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tables/table114.xml" ContentType="application/vnd.openxmlformats-officedocument.spreadsheetml.table+xml"/>
  <Override PartName="/xl/tables/table115.xml" ContentType="application/vnd.openxmlformats-officedocument.spreadsheetml.table+xml"/>
  <Override PartName="/xl/tables/table116.xml" ContentType="application/vnd.openxmlformats-officedocument.spreadsheetml.table+xml"/>
  <Override PartName="/xl/tables/table117.xml" ContentType="application/vnd.openxmlformats-officedocument.spreadsheetml.table+xml"/>
  <Override PartName="/xl/tables/table118.xml" ContentType="application/vnd.openxmlformats-officedocument.spreadsheetml.table+xml"/>
  <Override PartName="/xl/tables/table119.xml" ContentType="application/vnd.openxmlformats-officedocument.spreadsheetml.table+xml"/>
  <Override PartName="/xl/tables/table120.xml" ContentType="application/vnd.openxmlformats-officedocument.spreadsheetml.table+xml"/>
  <Override PartName="/xl/tables/table121.xml" ContentType="application/vnd.openxmlformats-officedocument.spreadsheetml.table+xml"/>
  <Override PartName="/xl/tables/table122.xml" ContentType="application/vnd.openxmlformats-officedocument.spreadsheetml.table+xml"/>
  <Override PartName="/xl/tables/table123.xml" ContentType="application/vnd.openxmlformats-officedocument.spreadsheetml.table+xml"/>
  <Override PartName="/xl/tables/table124.xml" ContentType="application/vnd.openxmlformats-officedocument.spreadsheetml.table+xml"/>
  <Override PartName="/xl/tables/table125.xml" ContentType="application/vnd.openxmlformats-officedocument.spreadsheetml.table+xml"/>
  <Override PartName="/xl/tables/table126.xml" ContentType="application/vnd.openxmlformats-officedocument.spreadsheetml.table+xml"/>
  <Override PartName="/xl/tables/table127.xml" ContentType="application/vnd.openxmlformats-officedocument.spreadsheetml.table+xml"/>
  <Override PartName="/xl/tables/table128.xml" ContentType="application/vnd.openxmlformats-officedocument.spreadsheetml.table+xml"/>
  <Override PartName="/xl/tables/table129.xml" ContentType="application/vnd.openxmlformats-officedocument.spreadsheetml.table+xml"/>
  <Override PartName="/xl/tables/table130.xml" ContentType="application/vnd.openxmlformats-officedocument.spreadsheetml.table+xml"/>
  <Override PartName="/xl/tables/table131.xml" ContentType="application/vnd.openxmlformats-officedocument.spreadsheetml.table+xml"/>
  <Override PartName="/xl/tables/table132.xml" ContentType="application/vnd.openxmlformats-officedocument.spreadsheetml.table+xml"/>
  <Override PartName="/xl/tables/table133.xml" ContentType="application/vnd.openxmlformats-officedocument.spreadsheetml.table+xml"/>
  <Override PartName="/xl/tables/table134.xml" ContentType="application/vnd.openxmlformats-officedocument.spreadsheetml.table+xml"/>
  <Override PartName="/xl/tables/table135.xml" ContentType="application/vnd.openxmlformats-officedocument.spreadsheetml.table+xml"/>
  <Override PartName="/xl/tables/table136.xml" ContentType="application/vnd.openxmlformats-officedocument.spreadsheetml.table+xml"/>
  <Override PartName="/xl/tables/table137.xml" ContentType="application/vnd.openxmlformats-officedocument.spreadsheetml.table+xml"/>
  <Override PartName="/xl/tables/table138.xml" ContentType="application/vnd.openxmlformats-officedocument.spreadsheetml.table+xml"/>
  <Override PartName="/xl/tables/table139.xml" ContentType="application/vnd.openxmlformats-officedocument.spreadsheetml.table+xml"/>
  <Override PartName="/xl/tables/table140.xml" ContentType="application/vnd.openxmlformats-officedocument.spreadsheetml.table+xml"/>
  <Override PartName="/xl/tables/table141.xml" ContentType="application/vnd.openxmlformats-officedocument.spreadsheetml.table+xml"/>
  <Override PartName="/xl/tables/table142.xml" ContentType="application/vnd.openxmlformats-officedocument.spreadsheetml.table+xml"/>
  <Override PartName="/xl/tables/table143.xml" ContentType="application/vnd.openxmlformats-officedocument.spreadsheetml.table+xml"/>
  <Override PartName="/xl/tables/table144.xml" ContentType="application/vnd.openxmlformats-officedocument.spreadsheetml.table+xml"/>
  <Override PartName="/xl/tables/table14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07E0656C-6027-420D-978A-95A78A077042}" xr6:coauthVersionLast="47" xr6:coauthVersionMax="47" xr10:uidLastSave="{00000000-0000-0000-0000-000000000000}"/>
  <bookViews>
    <workbookView xWindow="390" yWindow="390" windowWidth="36330" windowHeight="19530" firstSheet="39" activeTab="43" xr2:uid="{992023F3-CAB7-4E5B-A348-08D563A0EF40}"/>
  </bookViews>
  <sheets>
    <sheet name="Home" sheetId="71" r:id="rId1"/>
    <sheet name="Results - Activity period" sheetId="13" r:id="rId2"/>
    <sheet name="Results - Product EI" sheetId="81" r:id="rId3"/>
    <sheet name="Input - Enterprise" sheetId="72" r:id="rId4"/>
    <sheet name="Input - Site" sheetId="75" r:id="rId5"/>
    <sheet name="Input - Pasture Beef" sheetId="82" r:id="rId6"/>
    <sheet name="Input - Livestock sales" sheetId="77" r:id="rId7"/>
    <sheet name="Input - Beef cattle purchases" sheetId="111" r:id="rId8"/>
    <sheet name="Input - Pasture" sheetId="107" r:id="rId9"/>
    <sheet name="Input - Fert Prod System" sheetId="76" r:id="rId10"/>
    <sheet name="Input - Fertiliser" sheetId="89" r:id="rId11"/>
    <sheet name="Input - Fuel" sheetId="100" r:id="rId12"/>
    <sheet name="Input - Electricity" sheetId="97" r:id="rId13"/>
    <sheet name="Input - Common farm inputs" sheetId="112" r:id="rId14"/>
    <sheet name="Input - Crop pasture farm input" sheetId="113" r:id="rId15"/>
    <sheet name="Input - Livestock farm Inputs" sheetId="114" r:id="rId16"/>
    <sheet name="Input - Freight" sheetId="115" r:id="rId17"/>
    <sheet name="Input - Solid waste" sheetId="104" r:id="rId18"/>
    <sheet name="Input - Manure sent off-site" sheetId="116" r:id="rId19"/>
    <sheet name="Input - Data quality" sheetId="78" r:id="rId20"/>
    <sheet name="3.2.1.1-2 Enteric Methane" sheetId="88" r:id="rId21"/>
    <sheet name="4.2.1.1-2 Methane" sheetId="83" r:id="rId22"/>
    <sheet name="4.2.1.3-4 Soil direct N20" sheetId="84" r:id="rId23"/>
    <sheet name="4.2.1.5-6 Soil Atmos Dep" sheetId="85" r:id="rId24"/>
    <sheet name="4.2.1.7-8 Soil leach runoff" sheetId="86" r:id="rId25"/>
    <sheet name="5.1.1.1-2 Inorganic fert N2O" sheetId="90" r:id="rId26"/>
    <sheet name="5.1.1.3-4 Inorganic fert CO2" sheetId="91" r:id="rId27"/>
    <sheet name="5.2.1.1-2 Organic Fert N2O" sheetId="92" r:id="rId28"/>
    <sheet name="5.3.1.1-2 Lime CO2" sheetId="93" r:id="rId29"/>
    <sheet name="5.4.1.1-4 Atmos deposition" sheetId="94" r:id="rId30"/>
    <sheet name="5.5.1.1-2 Leaching and runoff" sheetId="95" r:id="rId31"/>
    <sheet name="6.2.1.1-2 Pasture residue N2O" sheetId="108" r:id="rId32"/>
    <sheet name="6.3.1.1-2 Leach runoff pasture" sheetId="109" r:id="rId33"/>
    <sheet name="8.1.1.1-2 Transport fuel" sheetId="101" r:id="rId34"/>
    <sheet name="8.2.1.1-2 Stationary fuel" sheetId="102" r:id="rId35"/>
    <sheet name="10.1.1-2 Solid waste treatment" sheetId="105" r:id="rId36"/>
    <sheet name="14.1.1-2 Purchased electricity" sheetId="98" r:id="rId37"/>
    <sheet name="15 Scope 3" sheetId="117" r:id="rId38"/>
    <sheet name="Calcs - Manure sent off-site" sheetId="118" r:id="rId39"/>
    <sheet name="Constants - Pasture Beef" sheetId="87" r:id="rId40"/>
    <sheet name="Constants - Ag Residue" sheetId="110" r:id="rId41"/>
    <sheet name="Constants - Common Livestock" sheetId="120" r:id="rId42"/>
    <sheet name="Constants - Electricity" sheetId="99" r:id="rId43"/>
    <sheet name="Constants - Fertiliser" sheetId="96" r:id="rId44"/>
    <sheet name="Constants - Fuel" sheetId="103" r:id="rId45"/>
    <sheet name="Constants - Scope 3" sheetId="119" r:id="rId46"/>
    <sheet name="Constants - Solid Waste" sheetId="106" r:id="rId47"/>
    <sheet name="Constants - Common" sheetId="79" r:id="rId48"/>
    <sheet name="Acknowledgements" sheetId="121" r:id="rId49"/>
  </sheets>
  <definedNames>
    <definedName name="_Toc225350871" localSheetId="29">'5.4.1.1-4 Atmos deposition'!$C$1</definedName>
    <definedName name="_Toc225350871" localSheetId="30">'5.5.1.1-2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_xlfn.LAMBDA("fraction")</definedName>
    <definedName name="AgResidue_Equations_CropResidue.VEERG_6_1_1_2__1__FractionOfCropResidueRemovedBaled_Variable">_xlfn.LAMBDA("FFOD_c")</definedName>
    <definedName name="AgResidue_Equations_CropResidue.VEERG_6_1_1_2__1__FractionOfCropResidueRemovedBaled_Variation">_xlfn.LAMBDA("")</definedName>
    <definedName name="AgResidue_Equations_FieldBurning.VEERG_6_4_1_1__1__MethaneEmissionsFromBurningOfCropResidues">_xlfn.LAMBDA(_xlpm.M_burnc,_xlpm.CC_c,_xlpm.EF_CH4,_xlpm.C_CH4,
    (_xlpm.M_burnc * _xlpm.CC_c) * _xlpm.EF_CH4 * _xlpm.C_CH4 * 10^(-3)
  )</definedName>
    <definedName name="AgResidue_Equations_FieldBurning.VEERG_6_4_1_1__1__MethaneEmissionsFromBurningOfCropResidues_Arguments">_xlfn.LAMBDA(
    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
      )
    )
  )</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_xlfn.LAMBDA(_xlpm.M_burnc,_xlpm.NC_AGc,_xlpm.EF_N2O,_xlpm.C_N2O,
    (_xlpm.M_burnc * _xlpm.NC_AGc) * _xlpm.EF_N2O * _xlpm.C_N2O * 10^(-3)
  )</definedName>
    <definedName name="AgResidue_Equations_FieldBurning.VEERG_6_4_1_1__2__NitrousOxideEmissionsFromBurningOfCropResidues_Arguments">_xlfn.LAMBDA(
    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
      )
    )
  )</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_xlfn.LAMBDA(_xlpm.P_c,_xlpm.R_AGc,_xlpm.S_c,_xlpm.DM_c,_xlpm.Z_c,_xlpm.F_c,
    _xlpm.P_c * _xlpm.R_AGc * _xlpm.S_c * _xlpm.DM_c * _xlpm.Z_c * _xlpm.F_c
  )</definedName>
    <definedName name="AgResidue_Equations_FieldBurning.VEERG_6_4_1_1__3__MassOfCropResidueBurnt_Arguments">_xlfn.LAMBDA(
    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
      )
    )
  )</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_xlfn.MAKEARRAY(17,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1/(1+Common_InputFunctions.Utility_LookupValueInTableNumber(_xlpm.CropType, _xlpm.CropTypeArray, _xlpm.ResidueCropRatioArray))
)</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3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4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35">_xlfn.LAMBDA(_xlpm.Month,_xlpm.LivestockClass, IFERROR(SUM(_xlfn._xlws.FILTER(#REF!, (#REF! &gt;= EOMONTH(_xlpm.Month, -1) + 1) * (#REF! &lt;= EOMONTH(_xlpm.Month, 0)) * (#REF! = _xlpm.LivestockClass))), 0))</definedName>
    <definedName name="CommonLivestock_InputFunctions.LivestockMovement_HeadAddedDuringMonth" localSheetId="36">_xlfn.LAMBDA(_xlpm.Month,_xlpm.LivestockClass, IFERROR(SUM(_xlfn._xlws.FILTER(#REF!, (#REF! &gt;= EOMONTH(_xlpm.Month, -1) + 1) * (#REF! &lt;= EOMONTH(_xlpm.Month, 0)) * (#REF! = _xlpm.LivestockClass))), 0))</definedName>
    <definedName name="CommonLivestock_InputFunctions.LivestockMovement_HeadAddedDuringMonth" localSheetId="37">_xlfn.LAMBDA(_xlpm.Month,_xlpm.LivestockClass, IFERROR(SUM(_xlfn._xlws.FILTER(#REF!, (#REF! &gt;= EOMONTH(_xlpm.Month, -1) + 1) * (#REF! &lt;= EOMONTH(_xlpm.Month, 0)) * (#REF! = _xlpm.LivestockClass))), 0))</definedName>
    <definedName name="CommonLivestock_InputFunctions.LivestockMovement_HeadAddedDuringMonth" localSheetId="20">_xlfn.LAMBDA(_xlpm.Month,_xlpm.LivestockClass, IFERROR(SUM(_xlfn._xlws.FILTER(#REF!, (#REF! &gt;= EOMONTH(_xlpm.Month, -1) + 1) * (#REF! &lt;= EOMONTH(_xlpm.Month, 0)) * (#REF! = _xlpm.LivestockClass))), 0))</definedName>
    <definedName name="CommonLivestock_InputFunctions.LivestockMovement_HeadAddedDuringMonth" localSheetId="21">_xlfn.LAMBDA(_xlpm.Month,_xlpm.LivestockClass, IFERROR(SUM(_xlfn._xlws.FILTER(#REF!, (#REF! &gt;= EOMONTH(_xlpm.Month, -1) + 1) * (#REF! &lt;= EOMONTH(_xlpm.Month, 0)) * (#REF! = _xlpm.LivestockClass))), 0))</definedName>
    <definedName name="CommonLivestock_InputFunctions.LivestockMovement_HeadAddedDuringMonth" localSheetId="22">_xlfn.LAMBDA(_xlpm.Month,_xlpm.LivestockClass, IFERROR(SUM(_xlfn._xlws.FILTER(#REF!, (#REF! &gt;= EOMONTH(_xlpm.Month, -1) + 1) * (#REF! &lt;= EOMONTH(_xlpm.Month, 0)) * (#REF! = _xlpm.LivestockClass))), 0))</definedName>
    <definedName name="CommonLivestock_InputFunctions.LivestockMovement_HeadAddedDuringMonth" localSheetId="23">_xlfn.LAMBDA(_xlpm.Month,_xlpm.LivestockClass, IFERROR(SUM(_xlfn._xlws.FILTER(#REF!, (#REF! &gt;= EOMONTH(_xlpm.Month, -1) + 1) * (#REF! &lt;= EOMONTH(_xlpm.Month, 0)) * (#REF! = _xlpm.LivestockClass))), 0))</definedName>
    <definedName name="CommonLivestock_InputFunctions.LivestockMovement_HeadAddedDuringMonth" localSheetId="24">_xlfn.LAMBDA(_xlpm.Month,_xlpm.LivestockClass, IFERROR(SUM(_xlfn._xlws.FILTER(#REF!, (#REF! &gt;= EOMONTH(_xlpm.Month, -1) + 1) * (#REF! &lt;= EOMONTH(_xlpm.Month, 0)) * (#REF! = _xlpm.LivestockClass))), 0))</definedName>
    <definedName name="CommonLivestock_InputFunctions.LivestockMovement_HeadAddedDuringMonth" localSheetId="25">_xlfn.LAMBDA(_xlpm.Month,_xlpm.LivestockClass, IFERROR(SUM(_xlfn._xlws.FILTER(#REF!, (#REF! &gt;= EOMONTH(_xlpm.Month, -1) + 1) * (#REF! &lt;= EOMONTH(_xlpm.Month, 0)) * (#REF! = _xlpm.LivestockClass))), 0))</definedName>
    <definedName name="CommonLivestock_InputFunctions.LivestockMovement_HeadAddedDuringMonth" localSheetId="26">_xlfn.LAMBDA(_xlpm.Month,_xlpm.LivestockClass, IFERROR(SUM(_xlfn._xlws.FILTER(#REF!, (#REF! &gt;= EOMONTH(_xlpm.Month, -1) + 1) * (#REF! &lt;= EOMONTH(_xlpm.Month, 0)) * (#REF! = _xlpm.LivestockClass))), 0))</definedName>
    <definedName name="CommonLivestock_InputFunctions.LivestockMovement_HeadAddedDuringMonth" localSheetId="27">_xlfn.LAMBDA(_xlpm.Month,_xlpm.LivestockClass, IFERROR(SUM(_xlfn._xlws.FILTER(#REF!, (#REF! &gt;= EOMONTH(_xlpm.Month, -1) + 1) * (#REF! &lt;= EOMONTH(_xlpm.Month, 0)) * (#REF! = _xlpm.LivestockClass))), 0))</definedName>
    <definedName name="CommonLivestock_InputFunctions.LivestockMovement_HeadAddedDuringMonth" localSheetId="28">_xlfn.LAMBDA(_xlpm.Month,_xlpm.LivestockClass, IFERROR(SUM(_xlfn._xlws.FILTER(#REF!, (#REF! &gt;= EOMONTH(_xlpm.Month, -1) + 1) * (#REF! &lt;= EOMONTH(_xlpm.Month, 0)) * (#REF! = _xlpm.LivestockClass))), 0))</definedName>
    <definedName name="CommonLivestock_InputFunctions.LivestockMovement_HeadAddedDuringMonth" localSheetId="29">_xlfn.LAMBDA(_xlpm.Month,_xlpm.LivestockClass, IFERROR(SUM(_xlfn._xlws.FILTER(#REF!, (#REF! &gt;= EOMONTH(_xlpm.Month, -1) + 1) * (#REF! &lt;= EOMONTH(_xlpm.Month, 0)) * (#REF! = _xlpm.LivestockClass))), 0))</definedName>
    <definedName name="CommonLivestock_InputFunctions.LivestockMovement_HeadAddedDuringMonth" localSheetId="30">_xlfn.LAMBDA(_xlpm.Month,_xlpm.LivestockClass, IFERROR(SUM(_xlfn._xlws.FILTER(#REF!, (#REF! &gt;= EOMONTH(_xlpm.Month, -1) + 1) * (#REF! &lt;= EOMONTH(_xlpm.Month, 0)) * (#REF! = _xlpm.LivestockClass))), 0))</definedName>
    <definedName name="CommonLivestock_InputFunctions.LivestockMovement_HeadAddedDuringMonth" localSheetId="31">_xlfn.LAMBDA(_xlpm.Month,_xlpm.LivestockClass, IFERROR(SUM(_xlfn._xlws.FILTER(#REF!, (#REF! &gt;= EOMONTH(_xlpm.Month, -1) + 1) * (#REF! &lt;= EOMONTH(_xlpm.Month, 0)) * (#REF! = _xlpm.LivestockClass))), 0))</definedName>
    <definedName name="CommonLivestock_InputFunctions.LivestockMovement_HeadAddedDuringMonth" localSheetId="32">_xlfn.LAMBDA(_xlpm.Month,_xlpm.LivestockClass, IFERROR(SUM(_xlfn._xlws.FILTER(#REF!, (#REF! &gt;= EOMONTH(_xlpm.Month, -1) + 1) * (#REF! &lt;= EOMONTH(_xlpm.Month, 0)) * (#REF! = _xlpm.LivestockClass))), 0))</definedName>
    <definedName name="CommonLivestock_InputFunctions.LivestockMovement_HeadAddedDuringMonth" localSheetId="33">_xlfn.LAMBDA(_xlpm.Month,_xlpm.LivestockClass, IFERROR(SUM(_xlfn._xlws.FILTER(#REF!, (#REF! &gt;= EOMONTH(_xlpm.Month, -1) + 1) * (#REF! &lt;= EOMONTH(_xlpm.Month, 0)) * (#REF! = _xlpm.LivestockClass))), 0))</definedName>
    <definedName name="CommonLivestock_InputFunctions.LivestockMovement_HeadAddedDuringMonth" localSheetId="34">_xlfn.LAMBDA(_xlpm.Month,_xlpm.LivestockClass, IFERROR(SUM(_xlfn._xlws.FILTER(#REF!, (#REF! &gt;= EOMONTH(_xlpm.Month, -1) + 1) * (#REF! &lt;= EOMONTH(_xlpm.Month, 0)) * (#REF! = _xlpm.LivestockClass))), 0))</definedName>
    <definedName name="CommonLivestock_InputFunctions.LivestockMovement_HeadAddedDuringMonth" localSheetId="48">_xlfn.LAMBDA(_xlpm.Month,_xlpm.LivestockClass, IFERROR(SUM(_xlfn._xlws.FILTER(#REF!, (#REF! &gt;= EOMONTH(_xlpm.Month, -1) + 1) * (#REF! &lt;= EOMONTH(_xlpm.Month, 0)) * (#REF! = _xlpm.LivestockClass))), 0))</definedName>
    <definedName name="CommonLivestock_InputFunctions.LivestockMovement_HeadAddedDuringMonth" localSheetId="38">_xlfn.LAMBDA(_xlpm.Month,_xlpm.LivestockClass, IFERROR(SUM(_xlfn._xlws.FILTER(#REF!, (#REF! &gt;= EOMONTH(_xlpm.Month, -1) + 1) * (#REF! &lt;= EOMONTH(_xlpm.Month, 0)) * (#REF! = _xlpm.LivestockClass))), 0))</definedName>
    <definedName name="CommonLivestock_InputFunctions.LivestockMovement_HeadAddedDuringMonth" localSheetId="40">_xlfn.LAMBDA(_xlpm.Month,_xlpm.LivestockClass, IFERROR(SUM(_xlfn._xlws.FILTER(#REF!, (#REF! &gt;= EOMONTH(_xlpm.Month, -1) + 1) * (#REF! &lt;= EOMONTH(_xlpm.Month, 0)) * (#REF! = _xlpm.LivestockClass))), 0))</definedName>
    <definedName name="CommonLivestock_InputFunctions.LivestockMovement_HeadAddedDuringMonth" localSheetId="47">_xlfn.LAMBDA(_xlpm.Month,_xlpm.LivestockClass, IFERROR(SUM(_xlfn._xlws.FILTER(#REF!, (#REF! &gt;= EOMONTH(_xlpm.Month, -1) + 1) * (#REF! &lt;= EOMONTH(_xlpm.Month, 0)) * (#REF! = _xlpm.LivestockClass))), 0))</definedName>
    <definedName name="CommonLivestock_InputFunctions.LivestockMovement_HeadAddedDuringMonth" localSheetId="41">_xlfn.LAMBDA(_xlpm.Month,_xlpm.LivestockClass, IFERROR(SUM(_xlfn._xlws.FILTER(#REF!, (#REF! &gt;= EOMONTH(_xlpm.Month, -1) + 1) * (#REF! &lt;= EOMONTH(_xlpm.Month, 0)) * (#REF! = _xlpm.LivestockClass))), 0))</definedName>
    <definedName name="CommonLivestock_InputFunctions.LivestockMovement_HeadAddedDuringMonth" localSheetId="42">_xlfn.LAMBDA(_xlpm.Month,_xlpm.LivestockClass, IFERROR(SUM(_xlfn._xlws.FILTER(#REF!, (#REF! &gt;= EOMONTH(_xlpm.Month, -1) + 1) * (#REF! &lt;= EOMONTH(_xlpm.Month, 0)) * (#REF! = _xlpm.LivestockClass))), 0))</definedName>
    <definedName name="CommonLivestock_InputFunctions.LivestockMovement_HeadAddedDuringMonth" localSheetId="43">_xlfn.LAMBDA(_xlpm.Month,_xlpm.LivestockClass, IFERROR(SUM(_xlfn._xlws.FILTER(#REF!, (#REF! &gt;= EOMONTH(_xlpm.Month, -1) + 1) * (#REF! &lt;= EOMONTH(_xlpm.Month, 0)) * (#REF! = _xlpm.LivestockClass))), 0))</definedName>
    <definedName name="CommonLivestock_InputFunctions.LivestockMovement_HeadAddedDuringMonth" localSheetId="44">_xlfn.LAMBDA(_xlpm.Month,_xlpm.LivestockClass, IFERROR(SUM(_xlfn._xlws.FILTER(#REF!, (#REF! &gt;= EOMONTH(_xlpm.Month, -1) + 1) * (#REF! &lt;= EOMONTH(_xlpm.Month, 0)) * (#REF! = _xlpm.LivestockClass))), 0))</definedName>
    <definedName name="CommonLivestock_InputFunctions.LivestockMovement_HeadAddedDuringMonth" localSheetId="39">_xlfn.LAMBDA(_xlpm.Month,_xlpm.LivestockClass, IFERROR(SUM(_xlfn._xlws.FILTER(#REF!, (#REF! &gt;= EOMONTH(_xlpm.Month, -1) + 1) * (#REF! &lt;= EOMONTH(_xlpm.Month, 0)) * (#REF! = _xlpm.LivestockClass))), 0))</definedName>
    <definedName name="CommonLivestock_InputFunctions.LivestockMovement_HeadAddedDuringMonth" localSheetId="45">_xlfn.LAMBDA(_xlpm.Month,_xlpm.LivestockClass, IFERROR(SUM(_xlfn._xlws.FILTER(#REF!, (#REF! &gt;= EOMONTH(_xlpm.Month, -1) + 1) * (#REF! &lt;= EOMONTH(_xlpm.Month, 0)) * (#REF! = _xlpm.LivestockClass))), 0))</definedName>
    <definedName name="CommonLivestock_InputFunctions.LivestockMovement_HeadAddedDuringMonth" localSheetId="46">_xlfn.LAMBDA(_xlpm.Month,_xlpm.LivestockClass, IFERROR(SUM(_xlfn._xlws.FILTER(#REF!, (#REF! &gt;= EOMONTH(_xlpm.Month, -1) + 1) * (#REF! &lt;= EOMONTH(_xlpm.Month, 0)) * (#REF! = _xlpm.LivestockClass))), 0))</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 localSheetId="16">_xlfn.LAMBDA(_xlpm.Month,_xlpm.LivestockClass, IFERROR(SUM(_xlfn._xlws.FILTER(#REF!, (#REF! &gt;= EOMONTH(_xlpm.Month, -1) + 1) * (#REF! &lt;= EOMONTH(_xlpm.Month, 0)) * (#REF! = _xlpm.LivestockClass))), 0))</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 localSheetId="15">_xlfn.LAMBDA(_xlpm.Month,_xlpm.LivestockClass, IFERROR(SUM(_xlfn._xlws.FILTER(#REF!, (#REF! &gt;= EOMONTH(_xlpm.Month, -1) + 1) * (#REF! &lt;= EOMONTH(_xlpm.Month, 0)) * (#REF! = _xlpm.LivestockClass))), 0))</definedName>
    <definedName name="CommonLivestock_InputFunctions.LivestockMovement_HeadAddedDuringMonth" localSheetId="18">_xlfn.LAMBDA(_xlpm.Month,_xlpm.LivestockClass, IFERROR(SUM(_xlfn._xlws.FILTER(#REF!, (#REF! &gt;= EOMONTH(_xlpm.Month, -1) + 1) * (#REF! &lt;= EOMONTH(_xlpm.Month, 0)) * (#REF! = _xlpm.LivestockClass))), 0))</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 localSheetId="1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35">_xlfn.LAMBDA(_xlpm.Month,_xlpm.LivestockClass, IFERROR(SUM(_xlfn._xlws.FILTER(#REF!, (#REF! &gt;= EOMONTH(_xlpm.Month, -1) + 1) * (#REF! &lt;= EOMONTH(_xlpm.Month, 0)) * (#REF! = _xlpm.LivestockClass))), 0))</definedName>
    <definedName name="CommonLivestock_InputFunctions.LivestockMovement_HeadLostDuringMonth" localSheetId="36">_xlfn.LAMBDA(_xlpm.Month,_xlpm.LivestockClass, IFERROR(SUM(_xlfn._xlws.FILTER(#REF!, (#REF! &gt;= EOMONTH(_xlpm.Month, -1) + 1) * (#REF! &lt;= EOMONTH(_xlpm.Month, 0)) * (#REF! = _xlpm.LivestockClass))), 0))</definedName>
    <definedName name="CommonLivestock_InputFunctions.LivestockMovement_HeadLostDuringMonth" localSheetId="37">_xlfn.LAMBDA(_xlpm.Month,_xlpm.LivestockClass, IFERROR(SUM(_xlfn._xlws.FILTER(#REF!, (#REF! &gt;= EOMONTH(_xlpm.Month, -1) + 1) * (#REF! &lt;= EOMONTH(_xlpm.Month, 0)) * (#REF! = _xlpm.LivestockClass))), 0))</definedName>
    <definedName name="CommonLivestock_InputFunctions.LivestockMovement_HeadLostDuringMonth" localSheetId="20">_xlfn.LAMBDA(_xlpm.Month,_xlpm.LivestockClass, IFERROR(SUM(_xlfn._xlws.FILTER(#REF!, (#REF! &gt;= EOMONTH(_xlpm.Month, -1) + 1) * (#REF! &lt;= EOMONTH(_xlpm.Month, 0)) * (#REF! = _xlpm.LivestockClass))), 0))</definedName>
    <definedName name="CommonLivestock_InputFunctions.LivestockMovement_HeadLostDuringMonth" localSheetId="21">_xlfn.LAMBDA(_xlpm.Month,_xlpm.LivestockClass, IFERROR(SUM(_xlfn._xlws.FILTER(#REF!, (#REF! &gt;= EOMONTH(_xlpm.Month, -1) + 1) * (#REF! &lt;= EOMONTH(_xlpm.Month, 0)) * (#REF! = _xlpm.LivestockClass))), 0))</definedName>
    <definedName name="CommonLivestock_InputFunctions.LivestockMovement_HeadLostDuringMonth" localSheetId="22">_xlfn.LAMBDA(_xlpm.Month,_xlpm.LivestockClass, IFERROR(SUM(_xlfn._xlws.FILTER(#REF!, (#REF! &gt;= EOMONTH(_xlpm.Month, -1) + 1) * (#REF! &lt;= EOMONTH(_xlpm.Month, 0)) * (#REF! = _xlpm.LivestockClass))), 0))</definedName>
    <definedName name="CommonLivestock_InputFunctions.LivestockMovement_HeadLostDuringMonth" localSheetId="23">_xlfn.LAMBDA(_xlpm.Month,_xlpm.LivestockClass, IFERROR(SUM(_xlfn._xlws.FILTER(#REF!, (#REF! &gt;= EOMONTH(_xlpm.Month, -1) + 1) * (#REF! &lt;= EOMONTH(_xlpm.Month, 0)) * (#REF! = _xlpm.LivestockClass))), 0))</definedName>
    <definedName name="CommonLivestock_InputFunctions.LivestockMovement_HeadLostDuringMonth" localSheetId="24">_xlfn.LAMBDA(_xlpm.Month,_xlpm.LivestockClass, IFERROR(SUM(_xlfn._xlws.FILTER(#REF!, (#REF! &gt;= EOMONTH(_xlpm.Month, -1) + 1) * (#REF! &lt;= EOMONTH(_xlpm.Month, 0)) * (#REF! = _xlpm.LivestockClass))), 0))</definedName>
    <definedName name="CommonLivestock_InputFunctions.LivestockMovement_HeadLostDuringMonth" localSheetId="25">_xlfn.LAMBDA(_xlpm.Month,_xlpm.LivestockClass, IFERROR(SUM(_xlfn._xlws.FILTER(#REF!, (#REF! &gt;= EOMONTH(_xlpm.Month, -1) + 1) * (#REF! &lt;= EOMONTH(_xlpm.Month, 0)) * (#REF! = _xlpm.LivestockClass))), 0))</definedName>
    <definedName name="CommonLivestock_InputFunctions.LivestockMovement_HeadLostDuringMonth" localSheetId="26">_xlfn.LAMBDA(_xlpm.Month,_xlpm.LivestockClass, IFERROR(SUM(_xlfn._xlws.FILTER(#REF!, (#REF! &gt;= EOMONTH(_xlpm.Month, -1) + 1) * (#REF! &lt;= EOMONTH(_xlpm.Month, 0)) * (#REF! = _xlpm.LivestockClass))), 0))</definedName>
    <definedName name="CommonLivestock_InputFunctions.LivestockMovement_HeadLostDuringMonth" localSheetId="27">_xlfn.LAMBDA(_xlpm.Month,_xlpm.LivestockClass, IFERROR(SUM(_xlfn._xlws.FILTER(#REF!, (#REF! &gt;= EOMONTH(_xlpm.Month, -1) + 1) * (#REF! &lt;= EOMONTH(_xlpm.Month, 0)) * (#REF! = _xlpm.LivestockClass))), 0))</definedName>
    <definedName name="CommonLivestock_InputFunctions.LivestockMovement_HeadLostDuringMonth" localSheetId="28">_xlfn.LAMBDA(_xlpm.Month,_xlpm.LivestockClass, IFERROR(SUM(_xlfn._xlws.FILTER(#REF!, (#REF! &gt;= EOMONTH(_xlpm.Month, -1) + 1) * (#REF! &lt;= EOMONTH(_xlpm.Month, 0)) * (#REF! = _xlpm.LivestockClass))), 0))</definedName>
    <definedName name="CommonLivestock_InputFunctions.LivestockMovement_HeadLostDuringMonth" localSheetId="29">_xlfn.LAMBDA(_xlpm.Month,_xlpm.LivestockClass, IFERROR(SUM(_xlfn._xlws.FILTER(#REF!, (#REF! &gt;= EOMONTH(_xlpm.Month, -1) + 1) * (#REF! &lt;= EOMONTH(_xlpm.Month, 0)) * (#REF! = _xlpm.LivestockClass))), 0))</definedName>
    <definedName name="CommonLivestock_InputFunctions.LivestockMovement_HeadLostDuringMonth" localSheetId="30">_xlfn.LAMBDA(_xlpm.Month,_xlpm.LivestockClass, IFERROR(SUM(_xlfn._xlws.FILTER(#REF!, (#REF! &gt;= EOMONTH(_xlpm.Month, -1) + 1) * (#REF! &lt;= EOMONTH(_xlpm.Month, 0)) * (#REF! = _xlpm.LivestockClass))), 0))</definedName>
    <definedName name="CommonLivestock_InputFunctions.LivestockMovement_HeadLostDuringMonth" localSheetId="31">_xlfn.LAMBDA(_xlpm.Month,_xlpm.LivestockClass, IFERROR(SUM(_xlfn._xlws.FILTER(#REF!, (#REF! &gt;= EOMONTH(_xlpm.Month, -1) + 1) * (#REF! &lt;= EOMONTH(_xlpm.Month, 0)) * (#REF! = _xlpm.LivestockClass))), 0))</definedName>
    <definedName name="CommonLivestock_InputFunctions.LivestockMovement_HeadLostDuringMonth" localSheetId="32">_xlfn.LAMBDA(_xlpm.Month,_xlpm.LivestockClass, IFERROR(SUM(_xlfn._xlws.FILTER(#REF!, (#REF! &gt;= EOMONTH(_xlpm.Month, -1) + 1) * (#REF! &lt;= EOMONTH(_xlpm.Month, 0)) * (#REF! = _xlpm.LivestockClass))), 0))</definedName>
    <definedName name="CommonLivestock_InputFunctions.LivestockMovement_HeadLostDuringMonth" localSheetId="33">_xlfn.LAMBDA(_xlpm.Month,_xlpm.LivestockClass, IFERROR(SUM(_xlfn._xlws.FILTER(#REF!, (#REF! &gt;= EOMONTH(_xlpm.Month, -1) + 1) * (#REF! &lt;= EOMONTH(_xlpm.Month, 0)) * (#REF! = _xlpm.LivestockClass))), 0))</definedName>
    <definedName name="CommonLivestock_InputFunctions.LivestockMovement_HeadLostDuringMonth" localSheetId="34">_xlfn.LAMBDA(_xlpm.Month,_xlpm.LivestockClass, IFERROR(SUM(_xlfn._xlws.FILTER(#REF!, (#REF! &gt;= EOMONTH(_xlpm.Month, -1) + 1) * (#REF! &lt;= EOMONTH(_xlpm.Month, 0)) * (#REF! = _xlpm.LivestockClass))), 0))</definedName>
    <definedName name="CommonLivestock_InputFunctions.LivestockMovement_HeadLostDuringMonth" localSheetId="48">_xlfn.LAMBDA(_xlpm.Month,_xlpm.LivestockClass, IFERROR(SUM(_xlfn._xlws.FILTER(#REF!, (#REF! &gt;= EOMONTH(_xlpm.Month, -1) + 1) * (#REF! &lt;= EOMONTH(_xlpm.Month, 0)) * (#REF! = _xlpm.LivestockClass))), 0))</definedName>
    <definedName name="CommonLivestock_InputFunctions.LivestockMovement_HeadLostDuringMonth" localSheetId="38">_xlfn.LAMBDA(_xlpm.Month,_xlpm.LivestockClass, IFERROR(SUM(_xlfn._xlws.FILTER(#REF!, (#REF! &gt;= EOMONTH(_xlpm.Month, -1) + 1) * (#REF! &lt;= EOMONTH(_xlpm.Month, 0)) * (#REF! = _xlpm.LivestockClass))), 0))</definedName>
    <definedName name="CommonLivestock_InputFunctions.LivestockMovement_HeadLostDuringMonth" localSheetId="40">_xlfn.LAMBDA(_xlpm.Month,_xlpm.LivestockClass, IFERROR(SUM(_xlfn._xlws.FILTER(#REF!, (#REF! &gt;= EOMONTH(_xlpm.Month, -1) + 1) * (#REF! &lt;= EOMONTH(_xlpm.Month, 0)) * (#REF! = _xlpm.LivestockClass))), 0))</definedName>
    <definedName name="CommonLivestock_InputFunctions.LivestockMovement_HeadLostDuringMonth" localSheetId="47">_xlfn.LAMBDA(_xlpm.Month,_xlpm.LivestockClass, IFERROR(SUM(_xlfn._xlws.FILTER(#REF!, (#REF! &gt;= EOMONTH(_xlpm.Month, -1) + 1) * (#REF! &lt;= EOMONTH(_xlpm.Month, 0)) * (#REF! = _xlpm.LivestockClass))), 0))</definedName>
    <definedName name="CommonLivestock_InputFunctions.LivestockMovement_HeadLostDuringMonth" localSheetId="41">_xlfn.LAMBDA(_xlpm.Month,_xlpm.LivestockClass, IFERROR(SUM(_xlfn._xlws.FILTER(#REF!, (#REF! &gt;= EOMONTH(_xlpm.Month, -1) + 1) * (#REF! &lt;= EOMONTH(_xlpm.Month, 0)) * (#REF! = _xlpm.LivestockClass))), 0))</definedName>
    <definedName name="CommonLivestock_InputFunctions.LivestockMovement_HeadLostDuringMonth" localSheetId="42">_xlfn.LAMBDA(_xlpm.Month,_xlpm.LivestockClass, IFERROR(SUM(_xlfn._xlws.FILTER(#REF!, (#REF! &gt;= EOMONTH(_xlpm.Month, -1) + 1) * (#REF! &lt;= EOMONTH(_xlpm.Month, 0)) * (#REF! = _xlpm.LivestockClass))), 0))</definedName>
    <definedName name="CommonLivestock_InputFunctions.LivestockMovement_HeadLostDuringMonth" localSheetId="43">_xlfn.LAMBDA(_xlpm.Month,_xlpm.LivestockClass, IFERROR(SUM(_xlfn._xlws.FILTER(#REF!, (#REF! &gt;= EOMONTH(_xlpm.Month, -1) + 1) * (#REF! &lt;= EOMONTH(_xlpm.Month, 0)) * (#REF! = _xlpm.LivestockClass))), 0))</definedName>
    <definedName name="CommonLivestock_InputFunctions.LivestockMovement_HeadLostDuringMonth" localSheetId="44">_xlfn.LAMBDA(_xlpm.Month,_xlpm.LivestockClass, IFERROR(SUM(_xlfn._xlws.FILTER(#REF!, (#REF! &gt;= EOMONTH(_xlpm.Month, -1) + 1) * (#REF! &lt;= EOMONTH(_xlpm.Month, 0)) * (#REF! = _xlpm.LivestockClass))), 0))</definedName>
    <definedName name="CommonLivestock_InputFunctions.LivestockMovement_HeadLostDuringMonth" localSheetId="39">_xlfn.LAMBDA(_xlpm.Month,_xlpm.LivestockClass, IFERROR(SUM(_xlfn._xlws.FILTER(#REF!, (#REF! &gt;= EOMONTH(_xlpm.Month, -1) + 1) * (#REF! &lt;= EOMONTH(_xlpm.Month, 0)) * (#REF! = _xlpm.LivestockClass))), 0))</definedName>
    <definedName name="CommonLivestock_InputFunctions.LivestockMovement_HeadLostDuringMonth" localSheetId="45">_xlfn.LAMBDA(_xlpm.Month,_xlpm.LivestockClass, IFERROR(SUM(_xlfn._xlws.FILTER(#REF!, (#REF! &gt;= EOMONTH(_xlpm.Month, -1) + 1) * (#REF! &lt;= EOMONTH(_xlpm.Month, 0)) * (#REF! = _xlpm.LivestockClass))), 0))</definedName>
    <definedName name="CommonLivestock_InputFunctions.LivestockMovement_HeadLostDuringMonth" localSheetId="46">_xlfn.LAMBDA(_xlpm.Month,_xlpm.LivestockClass, IFERROR(SUM(_xlfn._xlws.FILTER(#REF!, (#REF! &gt;= EOMONTH(_xlpm.Month, -1) + 1) * (#REF! &lt;= EOMONTH(_xlpm.Month, 0)) * (#REF! = _xlpm.LivestockClass))), 0))</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 localSheetId="16">_xlfn.LAMBDA(_xlpm.Month,_xlpm.LivestockClass, IFERROR(SUM(_xlfn._xlws.FILTER(#REF!, (#REF! &gt;= EOMONTH(_xlpm.Month, -1) + 1) * (#REF! &lt;= EOMONTH(_xlpm.Month, 0)) * (#REF! = _xlpm.LivestockClass))), 0))</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 localSheetId="15">_xlfn.LAMBDA(_xlpm.Month,_xlpm.LivestockClass, IFERROR(SUM(_xlfn._xlws.FILTER(#REF!, (#REF! &gt;= EOMONTH(_xlpm.Month, -1) + 1) * (#REF! &lt;= EOMONTH(_xlpm.Month, 0)) * (#REF! = _xlpm.LivestockClass))), 0))</definedName>
    <definedName name="CommonLivestock_InputFunctions.LivestockMovement_HeadLostDuringMonth" localSheetId="18">_xlfn.LAMBDA(_xlpm.Month,_xlpm.LivestockClass, IFERROR(SUM(_xlfn._xlws.FILTER(#REF!, (#REF! &gt;= EOMONTH(_xlpm.Month, -1) + 1) * (#REF! &lt;= EOMONTH(_xlpm.Month, 0)) * (#REF! = _xlpm.LivestockClass))), 0))</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 localSheetId="1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35">_xlfn.LAMBDA(_xlpm.Month,_xlpm.LivestockClass, IFERROR(SUM(_xlfn._xlws.FILTER(#REF!, (#REF! &gt;= EOMONTH(_xlpm.Month, -1) + 1) * (#REF! &lt;= EOMONTH(_xlpm.Month, 0)) * (#REF! = _xlpm.LivestockClass))), 0))</definedName>
    <definedName name="CommonLivestock_InputFunctions.LivestockMovement_TotalLiveweightAddedDuringMonth" localSheetId="36">_xlfn.LAMBDA(_xlpm.Month,_xlpm.LivestockClass, IFERROR(SUM(_xlfn._xlws.FILTER(#REF!, (#REF! &gt;= EOMONTH(_xlpm.Month, -1) + 1) * (#REF! &lt;= EOMONTH(_xlpm.Month, 0)) * (#REF! = _xlpm.LivestockClass))), 0))</definedName>
    <definedName name="CommonLivestock_InputFunctions.LivestockMovement_TotalLiveweightAddedDuringMonth" localSheetId="37">_xlfn.LAMBDA(_xlpm.Month,_xlpm.LivestockClass, IFERROR(SUM(_xlfn._xlws.FILTER(#REF!, (#REF! &gt;= EOMONTH(_xlpm.Month, -1) + 1) * (#REF! &lt;= EOMONTH(_xlpm.Month, 0)) * (#REF! = _xlpm.LivestockClass))), 0))</definedName>
    <definedName name="CommonLivestock_InputFunctions.LivestockMovement_TotalLiveweightAddedDuringMonth" localSheetId="20">_xlfn.LAMBDA(_xlpm.Month,_xlpm.LivestockClass, IFERROR(SUM(_xlfn._xlws.FILTER(#REF!, (#REF! &gt;= EOMONTH(_xlpm.Month, -1) + 1) * (#REF! &lt;= EOMONTH(_xlpm.Month, 0)) * (#REF! = _xlpm.LivestockClass))), 0))</definedName>
    <definedName name="CommonLivestock_InputFunctions.LivestockMovement_TotalLiveweightAddedDuringMonth" localSheetId="21">_xlfn.LAMBDA(_xlpm.Month,_xlpm.LivestockClass, IFERROR(SUM(_xlfn._xlws.FILTER(#REF!, (#REF! &gt;= EOMONTH(_xlpm.Month, -1) + 1) * (#REF! &lt;= EOMONTH(_xlpm.Month, 0)) * (#REF! = _xlpm.LivestockClass))), 0))</definedName>
    <definedName name="CommonLivestock_InputFunctions.LivestockMovement_TotalLiveweightAddedDuringMonth" localSheetId="22">_xlfn.LAMBDA(_xlpm.Month,_xlpm.LivestockClass, IFERROR(SUM(_xlfn._xlws.FILTER(#REF!, (#REF! &gt;= EOMONTH(_xlpm.Month, -1) + 1) * (#REF! &lt;= EOMONTH(_xlpm.Month, 0)) * (#REF! = _xlpm.LivestockClass))), 0))</definedName>
    <definedName name="CommonLivestock_InputFunctions.LivestockMovement_TotalLiveweightAddedDuringMonth" localSheetId="23">_xlfn.LAMBDA(_xlpm.Month,_xlpm.LivestockClass, IFERROR(SUM(_xlfn._xlws.FILTER(#REF!, (#REF! &gt;= EOMONTH(_xlpm.Month, -1) + 1) * (#REF! &lt;= EOMONTH(_xlpm.Month, 0)) * (#REF! = _xlpm.LivestockClass))), 0))</definedName>
    <definedName name="CommonLivestock_InputFunctions.LivestockMovement_TotalLiveweightAddedDuringMonth" localSheetId="24">_xlfn.LAMBDA(_xlpm.Month,_xlpm.LivestockClass, IFERROR(SUM(_xlfn._xlws.FILTER(#REF!, (#REF! &gt;= EOMONTH(_xlpm.Month, -1) + 1) * (#REF! &lt;= EOMONTH(_xlpm.Month, 0)) * (#REF! = _xlpm.LivestockClass))), 0))</definedName>
    <definedName name="CommonLivestock_InputFunctions.LivestockMovement_TotalLiveweightAddedDuringMonth" localSheetId="25">_xlfn.LAMBDA(_xlpm.Month,_xlpm.LivestockClass, IFERROR(SUM(_xlfn._xlws.FILTER(#REF!, (#REF! &gt;= EOMONTH(_xlpm.Month, -1) + 1) * (#REF! &lt;= EOMONTH(_xlpm.Month, 0)) * (#REF! = _xlpm.LivestockClass))), 0))</definedName>
    <definedName name="CommonLivestock_InputFunctions.LivestockMovement_TotalLiveweightAddedDuringMonth" localSheetId="26">_xlfn.LAMBDA(_xlpm.Month,_xlpm.LivestockClass, IFERROR(SUM(_xlfn._xlws.FILTER(#REF!, (#REF! &gt;= EOMONTH(_xlpm.Month, -1) + 1) * (#REF! &lt;= EOMONTH(_xlpm.Month, 0)) * (#REF! = _xlpm.LivestockClass))), 0))</definedName>
    <definedName name="CommonLivestock_InputFunctions.LivestockMovement_TotalLiveweightAddedDuringMonth" localSheetId="27">_xlfn.LAMBDA(_xlpm.Month,_xlpm.LivestockClass, IFERROR(SUM(_xlfn._xlws.FILTER(#REF!, (#REF! &gt;= EOMONTH(_xlpm.Month, -1) + 1) * (#REF! &lt;= EOMONTH(_xlpm.Month, 0)) * (#REF! = _xlpm.LivestockClass))), 0))</definedName>
    <definedName name="CommonLivestock_InputFunctions.LivestockMovement_TotalLiveweightAddedDuringMonth" localSheetId="28">_xlfn.LAMBDA(_xlpm.Month,_xlpm.LivestockClass, IFERROR(SUM(_xlfn._xlws.FILTER(#REF!, (#REF! &gt;= EOMONTH(_xlpm.Month, -1) + 1) * (#REF! &lt;= EOMONTH(_xlpm.Month, 0)) * (#REF! = _xlpm.LivestockClass))), 0))</definedName>
    <definedName name="CommonLivestock_InputFunctions.LivestockMovement_TotalLiveweightAddedDuringMonth" localSheetId="29">_xlfn.LAMBDA(_xlpm.Month,_xlpm.LivestockClass, IFERROR(SUM(_xlfn._xlws.FILTER(#REF!, (#REF! &gt;= EOMONTH(_xlpm.Month, -1) + 1) * (#REF! &lt;= EOMONTH(_xlpm.Month, 0)) * (#REF! = _xlpm.LivestockClass))), 0))</definedName>
    <definedName name="CommonLivestock_InputFunctions.LivestockMovement_TotalLiveweightAddedDuringMonth" localSheetId="30">_xlfn.LAMBDA(_xlpm.Month,_xlpm.LivestockClass, IFERROR(SUM(_xlfn._xlws.FILTER(#REF!, (#REF! &gt;= EOMONTH(_xlpm.Month, -1) + 1) * (#REF! &lt;= EOMONTH(_xlpm.Month, 0)) * (#REF! = _xlpm.LivestockClass))), 0))</definedName>
    <definedName name="CommonLivestock_InputFunctions.LivestockMovement_TotalLiveweightAddedDuringMonth" localSheetId="31">_xlfn.LAMBDA(_xlpm.Month,_xlpm.LivestockClass, IFERROR(SUM(_xlfn._xlws.FILTER(#REF!, (#REF! &gt;= EOMONTH(_xlpm.Month, -1) + 1) * (#REF! &lt;= EOMONTH(_xlpm.Month, 0)) * (#REF! = _xlpm.LivestockClass))), 0))</definedName>
    <definedName name="CommonLivestock_InputFunctions.LivestockMovement_TotalLiveweightAddedDuringMonth" localSheetId="32">_xlfn.LAMBDA(_xlpm.Month,_xlpm.LivestockClass, IFERROR(SUM(_xlfn._xlws.FILTER(#REF!, (#REF! &gt;= EOMONTH(_xlpm.Month, -1) + 1) * (#REF! &lt;= EOMONTH(_xlpm.Month, 0)) * (#REF! = _xlpm.LivestockClass))), 0))</definedName>
    <definedName name="CommonLivestock_InputFunctions.LivestockMovement_TotalLiveweightAddedDuringMonth" localSheetId="33">_xlfn.LAMBDA(_xlpm.Month,_xlpm.LivestockClass, IFERROR(SUM(_xlfn._xlws.FILTER(#REF!, (#REF! &gt;= EOMONTH(_xlpm.Month, -1) + 1) * (#REF! &lt;= EOMONTH(_xlpm.Month, 0)) * (#REF! = _xlpm.LivestockClass))), 0))</definedName>
    <definedName name="CommonLivestock_InputFunctions.LivestockMovement_TotalLiveweightAddedDuringMonth" localSheetId="34">_xlfn.LAMBDA(_xlpm.Month,_xlpm.LivestockClass, IFERROR(SUM(_xlfn._xlws.FILTER(#REF!, (#REF! &gt;= EOMONTH(_xlpm.Month, -1) + 1) * (#REF! &lt;= EOMONTH(_xlpm.Month, 0)) * (#REF! = _xlpm.LivestockClass))), 0))</definedName>
    <definedName name="CommonLivestock_InputFunctions.LivestockMovement_TotalLiveweightAddedDuringMonth" localSheetId="48">_xlfn.LAMBDA(_xlpm.Month,_xlpm.LivestockClass, IFERROR(SUM(_xlfn._xlws.FILTER(#REF!, (#REF! &gt;= EOMONTH(_xlpm.Month, -1) + 1) * (#REF! &lt;= EOMONTH(_xlpm.Month, 0)) * (#REF! = _xlpm.LivestockClass))), 0))</definedName>
    <definedName name="CommonLivestock_InputFunctions.LivestockMovement_TotalLiveweightAddedDuringMonth" localSheetId="38">_xlfn.LAMBDA(_xlpm.Month,_xlpm.LivestockClass, IFERROR(SUM(_xlfn._xlws.FILTER(#REF!, (#REF! &gt;= EOMONTH(_xlpm.Month, -1) + 1) * (#REF! &lt;= EOMONTH(_xlpm.Month, 0)) * (#REF! = _xlpm.LivestockClass))), 0))</definedName>
    <definedName name="CommonLivestock_InputFunctions.LivestockMovement_TotalLiveweightAddedDuringMonth" localSheetId="40">_xlfn.LAMBDA(_xlpm.Month,_xlpm.LivestockClass, IFERROR(SUM(_xlfn._xlws.FILTER(#REF!, (#REF! &gt;= EOMONTH(_xlpm.Month, -1) + 1) * (#REF! &lt;= EOMONTH(_xlpm.Month, 0)) * (#REF! = _xlpm.LivestockClass))), 0))</definedName>
    <definedName name="CommonLivestock_InputFunctions.LivestockMovement_TotalLiveweightAddedDuringMonth" localSheetId="47">_xlfn.LAMBDA(_xlpm.Month,_xlpm.LivestockClass, IFERROR(SUM(_xlfn._xlws.FILTER(#REF!, (#REF! &gt;= EOMONTH(_xlpm.Month, -1) + 1) * (#REF! &lt;= EOMONTH(_xlpm.Month, 0)) * (#REF! = _xlpm.LivestockClass))), 0))</definedName>
    <definedName name="CommonLivestock_InputFunctions.LivestockMovement_TotalLiveweightAddedDuringMonth" localSheetId="41">_xlfn.LAMBDA(_xlpm.Month,_xlpm.LivestockClass, IFERROR(SUM(_xlfn._xlws.FILTER(#REF!, (#REF! &gt;= EOMONTH(_xlpm.Month, -1) + 1) * (#REF! &lt;= EOMONTH(_xlpm.Month, 0)) * (#REF! = _xlpm.LivestockClass))), 0))</definedName>
    <definedName name="CommonLivestock_InputFunctions.LivestockMovement_TotalLiveweightAddedDuringMonth" localSheetId="42">_xlfn.LAMBDA(_xlpm.Month,_xlpm.LivestockClass, IFERROR(SUM(_xlfn._xlws.FILTER(#REF!, (#REF! &gt;= EOMONTH(_xlpm.Month, -1) + 1) * (#REF! &lt;= EOMONTH(_xlpm.Month, 0)) * (#REF! = _xlpm.LivestockClass))), 0))</definedName>
    <definedName name="CommonLivestock_InputFunctions.LivestockMovement_TotalLiveweightAddedDuringMonth" localSheetId="43">_xlfn.LAMBDA(_xlpm.Month,_xlpm.LivestockClass, IFERROR(SUM(_xlfn._xlws.FILTER(#REF!, (#REF! &gt;= EOMONTH(_xlpm.Month, -1) + 1) * (#REF! &lt;= EOMONTH(_xlpm.Month, 0)) * (#REF! = _xlpm.LivestockClass))), 0))</definedName>
    <definedName name="CommonLivestock_InputFunctions.LivestockMovement_TotalLiveweightAddedDuringMonth" localSheetId="44">_xlfn.LAMBDA(_xlpm.Month,_xlpm.LivestockClass, IFERROR(SUM(_xlfn._xlws.FILTER(#REF!, (#REF! &gt;= EOMONTH(_xlpm.Month, -1) + 1) * (#REF! &lt;= EOMONTH(_xlpm.Month, 0)) * (#REF! = _xlpm.LivestockClass))), 0))</definedName>
    <definedName name="CommonLivestock_InputFunctions.LivestockMovement_TotalLiveweightAddedDuringMonth" localSheetId="39">_xlfn.LAMBDA(_xlpm.Month,_xlpm.LivestockClass, IFERROR(SUM(_xlfn._xlws.FILTER(#REF!, (#REF! &gt;= EOMONTH(_xlpm.Month, -1) + 1) * (#REF! &lt;= EOMONTH(_xlpm.Month, 0)) * (#REF! = _xlpm.LivestockClass))), 0))</definedName>
    <definedName name="CommonLivestock_InputFunctions.LivestockMovement_TotalLiveweightAddedDuringMonth" localSheetId="45">_xlfn.LAMBDA(_xlpm.Month,_xlpm.LivestockClass, IFERROR(SUM(_xlfn._xlws.FILTER(#REF!, (#REF! &gt;= EOMONTH(_xlpm.Month, -1) + 1) * (#REF! &lt;= EOMONTH(_xlpm.Month, 0)) * (#REF! = _xlpm.LivestockClass))), 0))</definedName>
    <definedName name="CommonLivestock_InputFunctions.LivestockMovement_TotalLiveweightAddedDuringMonth" localSheetId="46">_xlfn.LAMBDA(_xlpm.Month,_xlpm.LivestockClass, IFERROR(SUM(_xlfn._xlws.FILTER(#REF!, (#REF! &gt;= EOMONTH(_xlpm.Month, -1) + 1) * (#REF! &lt;= EOMONTH(_xlpm.Month, 0)) * (#REF! =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 localSheetId="16">_xlfn.LAMBDA(_xlpm.Month,_xlpm.LivestockClass, IFERROR(SUM(_xlfn._xlws.FILTER(#REF!, (#REF! &gt;= EOMONTH(_xlpm.Month, -1) + 1) * (#REF! &lt;= EOMONTH(_xlpm.Month, 0)) * (#REF! =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 localSheetId="15">_xlfn.LAMBDA(_xlpm.Month,_xlpm.LivestockClass, IFERROR(SUM(_xlfn._xlws.FILTER(#REF!, (#REF! &gt;= EOMONTH(_xlpm.Month, -1) + 1) * (#REF! &lt;= EOMONTH(_xlpm.Month, 0)) * (#REF! = _xlpm.LivestockClass))), 0))</definedName>
    <definedName name="CommonLivestock_InputFunctions.LivestockMovement_TotalLiveweightAddedDuringMonth" localSheetId="18">_xlfn.LAMBDA(_xlpm.Month,_xlpm.LivestockClass, IFERROR(SUM(_xlfn._xlws.FILTER(#REF!, (#REF! &gt;= EOMONTH(_xlpm.Month, -1) + 1) * (#REF! &lt;= EOMONTH(_xlpm.Month, 0)) * (#REF! =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 localSheetId="1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35">_xlfn.LAMBDA(_xlpm.Month,_xlpm.LivestockClass, IFERROR(SUM(_xlfn._xlws.FILTER(#REF!, (#REF! &gt;= EOMONTH(_xlpm.Month, -1) + 1) * (#REF! &lt;= EOMONTH(_xlpm.Month, 0)) * (#REF! = _xlpm.LivestockClass))), 0))</definedName>
    <definedName name="CommonLivestock_InputFunctions.LivestockMovement_TotalLiveweightGrownDuringMonth" localSheetId="36">_xlfn.LAMBDA(_xlpm.Month,_xlpm.LivestockClass, IFERROR(SUM(_xlfn._xlws.FILTER(#REF!, (#REF! &gt;= EOMONTH(_xlpm.Month, -1) + 1) * (#REF! &lt;= EOMONTH(_xlpm.Month, 0)) * (#REF! = _xlpm.LivestockClass))), 0))</definedName>
    <definedName name="CommonLivestock_InputFunctions.LivestockMovement_TotalLiveweightGrownDuringMonth" localSheetId="37">_xlfn.LAMBDA(_xlpm.Month,_xlpm.LivestockClass, IFERROR(SUM(_xlfn._xlws.FILTER(#REF!, (#REF! &gt;= EOMONTH(_xlpm.Month, -1) + 1) * (#REF! &lt;= EOMONTH(_xlpm.Month, 0)) * (#REF! = _xlpm.LivestockClass))), 0))</definedName>
    <definedName name="CommonLivestock_InputFunctions.LivestockMovement_TotalLiveweightGrownDuringMonth" localSheetId="20">_xlfn.LAMBDA(_xlpm.Month,_xlpm.LivestockClass, IFERROR(SUM(_xlfn._xlws.FILTER(#REF!, (#REF! &gt;= EOMONTH(_xlpm.Month, -1) + 1) * (#REF! &lt;= EOMONTH(_xlpm.Month, 0)) * (#REF! = _xlpm.LivestockClass))), 0))</definedName>
    <definedName name="CommonLivestock_InputFunctions.LivestockMovement_TotalLiveweightGrownDuringMonth" localSheetId="21">_xlfn.LAMBDA(_xlpm.Month,_xlpm.LivestockClass, IFERROR(SUM(_xlfn._xlws.FILTER(#REF!, (#REF! &gt;= EOMONTH(_xlpm.Month, -1) + 1) * (#REF! &lt;= EOMONTH(_xlpm.Month, 0)) * (#REF! = _xlpm.LivestockClass))), 0))</definedName>
    <definedName name="CommonLivestock_InputFunctions.LivestockMovement_TotalLiveweightGrownDuringMonth" localSheetId="22">_xlfn.LAMBDA(_xlpm.Month,_xlpm.LivestockClass, IFERROR(SUM(_xlfn._xlws.FILTER(#REF!, (#REF! &gt;= EOMONTH(_xlpm.Month, -1) + 1) * (#REF! &lt;= EOMONTH(_xlpm.Month, 0)) * (#REF! = _xlpm.LivestockClass))), 0))</definedName>
    <definedName name="CommonLivestock_InputFunctions.LivestockMovement_TotalLiveweightGrownDuringMonth" localSheetId="23">_xlfn.LAMBDA(_xlpm.Month,_xlpm.LivestockClass, IFERROR(SUM(_xlfn._xlws.FILTER(#REF!, (#REF! &gt;= EOMONTH(_xlpm.Month, -1) + 1) * (#REF! &lt;= EOMONTH(_xlpm.Month, 0)) * (#REF! = _xlpm.LivestockClass))), 0))</definedName>
    <definedName name="CommonLivestock_InputFunctions.LivestockMovement_TotalLiveweightGrownDuringMonth" localSheetId="24">_xlfn.LAMBDA(_xlpm.Month,_xlpm.LivestockClass, IFERROR(SUM(_xlfn._xlws.FILTER(#REF!, (#REF! &gt;= EOMONTH(_xlpm.Month, -1) + 1) * (#REF! &lt;= EOMONTH(_xlpm.Month, 0)) * (#REF! = _xlpm.LivestockClass))), 0))</definedName>
    <definedName name="CommonLivestock_InputFunctions.LivestockMovement_TotalLiveweightGrownDuringMonth" localSheetId="25">_xlfn.LAMBDA(_xlpm.Month,_xlpm.LivestockClass, IFERROR(SUM(_xlfn._xlws.FILTER(#REF!, (#REF! &gt;= EOMONTH(_xlpm.Month, -1) + 1) * (#REF! &lt;= EOMONTH(_xlpm.Month, 0)) * (#REF! = _xlpm.LivestockClass))), 0))</definedName>
    <definedName name="CommonLivestock_InputFunctions.LivestockMovement_TotalLiveweightGrownDuringMonth" localSheetId="26">_xlfn.LAMBDA(_xlpm.Month,_xlpm.LivestockClass, IFERROR(SUM(_xlfn._xlws.FILTER(#REF!, (#REF! &gt;= EOMONTH(_xlpm.Month, -1) + 1) * (#REF! &lt;= EOMONTH(_xlpm.Month, 0)) * (#REF! = _xlpm.LivestockClass))), 0))</definedName>
    <definedName name="CommonLivestock_InputFunctions.LivestockMovement_TotalLiveweightGrownDuringMonth" localSheetId="27">_xlfn.LAMBDA(_xlpm.Month,_xlpm.LivestockClass, IFERROR(SUM(_xlfn._xlws.FILTER(#REF!, (#REF! &gt;= EOMONTH(_xlpm.Month, -1) + 1) * (#REF! &lt;= EOMONTH(_xlpm.Month, 0)) * (#REF! = _xlpm.LivestockClass))), 0))</definedName>
    <definedName name="CommonLivestock_InputFunctions.LivestockMovement_TotalLiveweightGrownDuringMonth" localSheetId="28">_xlfn.LAMBDA(_xlpm.Month,_xlpm.LivestockClass, IFERROR(SUM(_xlfn._xlws.FILTER(#REF!, (#REF! &gt;= EOMONTH(_xlpm.Month, -1) + 1) * (#REF! &lt;= EOMONTH(_xlpm.Month, 0)) * (#REF! = _xlpm.LivestockClass))), 0))</definedName>
    <definedName name="CommonLivestock_InputFunctions.LivestockMovement_TotalLiveweightGrownDuringMonth" localSheetId="29">_xlfn.LAMBDA(_xlpm.Month,_xlpm.LivestockClass, IFERROR(SUM(_xlfn._xlws.FILTER(#REF!, (#REF! &gt;= EOMONTH(_xlpm.Month, -1) + 1) * (#REF! &lt;= EOMONTH(_xlpm.Month, 0)) * (#REF! = _xlpm.LivestockClass))), 0))</definedName>
    <definedName name="CommonLivestock_InputFunctions.LivestockMovement_TotalLiveweightGrownDuringMonth" localSheetId="30">_xlfn.LAMBDA(_xlpm.Month,_xlpm.LivestockClass, IFERROR(SUM(_xlfn._xlws.FILTER(#REF!, (#REF! &gt;= EOMONTH(_xlpm.Month, -1) + 1) * (#REF! &lt;= EOMONTH(_xlpm.Month, 0)) * (#REF! = _xlpm.LivestockClass))), 0))</definedName>
    <definedName name="CommonLivestock_InputFunctions.LivestockMovement_TotalLiveweightGrownDuringMonth" localSheetId="31">_xlfn.LAMBDA(_xlpm.Month,_xlpm.LivestockClass, IFERROR(SUM(_xlfn._xlws.FILTER(#REF!, (#REF! &gt;= EOMONTH(_xlpm.Month, -1) + 1) * (#REF! &lt;= EOMONTH(_xlpm.Month, 0)) * (#REF! = _xlpm.LivestockClass))), 0))</definedName>
    <definedName name="CommonLivestock_InputFunctions.LivestockMovement_TotalLiveweightGrownDuringMonth" localSheetId="32">_xlfn.LAMBDA(_xlpm.Month,_xlpm.LivestockClass, IFERROR(SUM(_xlfn._xlws.FILTER(#REF!, (#REF! &gt;= EOMONTH(_xlpm.Month, -1) + 1) * (#REF! &lt;= EOMONTH(_xlpm.Month, 0)) * (#REF! = _xlpm.LivestockClass))), 0))</definedName>
    <definedName name="CommonLivestock_InputFunctions.LivestockMovement_TotalLiveweightGrownDuringMonth" localSheetId="33">_xlfn.LAMBDA(_xlpm.Month,_xlpm.LivestockClass, IFERROR(SUM(_xlfn._xlws.FILTER(#REF!, (#REF! &gt;= EOMONTH(_xlpm.Month, -1) + 1) * (#REF! &lt;= EOMONTH(_xlpm.Month, 0)) * (#REF! = _xlpm.LivestockClass))), 0))</definedName>
    <definedName name="CommonLivestock_InputFunctions.LivestockMovement_TotalLiveweightGrownDuringMonth" localSheetId="34">_xlfn.LAMBDA(_xlpm.Month,_xlpm.LivestockClass, IFERROR(SUM(_xlfn._xlws.FILTER(#REF!, (#REF! &gt;= EOMONTH(_xlpm.Month, -1) + 1) * (#REF! &lt;= EOMONTH(_xlpm.Month, 0)) * (#REF! = _xlpm.LivestockClass))), 0))</definedName>
    <definedName name="CommonLivestock_InputFunctions.LivestockMovement_TotalLiveweightGrownDuringMonth" localSheetId="48">_xlfn.LAMBDA(_xlpm.Month,_xlpm.LivestockClass, IFERROR(SUM(_xlfn._xlws.FILTER(#REF!, (#REF! &gt;= EOMONTH(_xlpm.Month, -1) + 1) * (#REF! &lt;= EOMONTH(_xlpm.Month, 0)) * (#REF! = _xlpm.LivestockClass))), 0))</definedName>
    <definedName name="CommonLivestock_InputFunctions.LivestockMovement_TotalLiveweightGrownDuringMonth" localSheetId="38">_xlfn.LAMBDA(_xlpm.Month,_xlpm.LivestockClass, IFERROR(SUM(_xlfn._xlws.FILTER(#REF!, (#REF! &gt;= EOMONTH(_xlpm.Month, -1) + 1) * (#REF! &lt;= EOMONTH(_xlpm.Month, 0)) * (#REF! = _xlpm.LivestockClass))), 0))</definedName>
    <definedName name="CommonLivestock_InputFunctions.LivestockMovement_TotalLiveweightGrownDuringMonth" localSheetId="40">_xlfn.LAMBDA(_xlpm.Month,_xlpm.LivestockClass, IFERROR(SUM(_xlfn._xlws.FILTER(#REF!, (#REF! &gt;= EOMONTH(_xlpm.Month, -1) + 1) * (#REF! &lt;= EOMONTH(_xlpm.Month, 0)) * (#REF! = _xlpm.LivestockClass))), 0))</definedName>
    <definedName name="CommonLivestock_InputFunctions.LivestockMovement_TotalLiveweightGrownDuringMonth" localSheetId="47">_xlfn.LAMBDA(_xlpm.Month,_xlpm.LivestockClass, IFERROR(SUM(_xlfn._xlws.FILTER(#REF!, (#REF! &gt;= EOMONTH(_xlpm.Month, -1) + 1) * (#REF! &lt;= EOMONTH(_xlpm.Month, 0)) * (#REF! = _xlpm.LivestockClass))), 0))</definedName>
    <definedName name="CommonLivestock_InputFunctions.LivestockMovement_TotalLiveweightGrownDuringMonth" localSheetId="41">_xlfn.LAMBDA(_xlpm.Month,_xlpm.LivestockClass, IFERROR(SUM(_xlfn._xlws.FILTER(#REF!, (#REF! &gt;= EOMONTH(_xlpm.Month, -1) + 1) * (#REF! &lt;= EOMONTH(_xlpm.Month, 0)) * (#REF! = _xlpm.LivestockClass))), 0))</definedName>
    <definedName name="CommonLivestock_InputFunctions.LivestockMovement_TotalLiveweightGrownDuringMonth" localSheetId="42">_xlfn.LAMBDA(_xlpm.Month,_xlpm.LivestockClass, IFERROR(SUM(_xlfn._xlws.FILTER(#REF!, (#REF! &gt;= EOMONTH(_xlpm.Month, -1) + 1) * (#REF! &lt;= EOMONTH(_xlpm.Month, 0)) * (#REF! = _xlpm.LivestockClass))), 0))</definedName>
    <definedName name="CommonLivestock_InputFunctions.LivestockMovement_TotalLiveweightGrownDuringMonth" localSheetId="43">_xlfn.LAMBDA(_xlpm.Month,_xlpm.LivestockClass, IFERROR(SUM(_xlfn._xlws.FILTER(#REF!, (#REF! &gt;= EOMONTH(_xlpm.Month, -1) + 1) * (#REF! &lt;= EOMONTH(_xlpm.Month, 0)) * (#REF! = _xlpm.LivestockClass))), 0))</definedName>
    <definedName name="CommonLivestock_InputFunctions.LivestockMovement_TotalLiveweightGrownDuringMonth" localSheetId="44">_xlfn.LAMBDA(_xlpm.Month,_xlpm.LivestockClass, IFERROR(SUM(_xlfn._xlws.FILTER(#REF!, (#REF! &gt;= EOMONTH(_xlpm.Month, -1) + 1) * (#REF! &lt;= EOMONTH(_xlpm.Month, 0)) * (#REF! = _xlpm.LivestockClass))), 0))</definedName>
    <definedName name="CommonLivestock_InputFunctions.LivestockMovement_TotalLiveweightGrownDuringMonth" localSheetId="39">_xlfn.LAMBDA(_xlpm.Month,_xlpm.LivestockClass, IFERROR(SUM(_xlfn._xlws.FILTER(#REF!, (#REF! &gt;= EOMONTH(_xlpm.Month, -1) + 1) * (#REF! &lt;= EOMONTH(_xlpm.Month, 0)) * (#REF! = _xlpm.LivestockClass))), 0))</definedName>
    <definedName name="CommonLivestock_InputFunctions.LivestockMovement_TotalLiveweightGrownDuringMonth" localSheetId="45">_xlfn.LAMBDA(_xlpm.Month,_xlpm.LivestockClass, IFERROR(SUM(_xlfn._xlws.FILTER(#REF!, (#REF! &gt;= EOMONTH(_xlpm.Month, -1) + 1) * (#REF! &lt;= EOMONTH(_xlpm.Month, 0)) * (#REF! = _xlpm.LivestockClass))), 0))</definedName>
    <definedName name="CommonLivestock_InputFunctions.LivestockMovement_TotalLiveweightGrownDuringMonth" localSheetId="46">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 localSheetId="16">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 localSheetId="15">_xlfn.LAMBDA(_xlpm.Month,_xlpm.LivestockClass, IFERROR(SUM(_xlfn._xlws.FILTER(#REF!, (#REF! &gt;= EOMONTH(_xlpm.Month, -1) + 1) * (#REF! &lt;= EOMONTH(_xlpm.Month, 0)) * (#REF! = _xlpm.LivestockClass))), 0))</definedName>
    <definedName name="CommonLivestock_InputFunctions.LivestockMovement_TotalLiveweightGrownDuringMonth" localSheetId="18">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 localSheetId="1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'4.2.1.3-4 Soil direct N20'!$D$198:$N$202</definedName>
    <definedName name="M1_Table_D_j_Consumer_1">'4.2.1.1-2 Methane'!$D$226:$N$230</definedName>
    <definedName name="M1_Table_DMD_j_k_l">'4.2.1.1-2 Methane'!$D$114:$N$118</definedName>
    <definedName name="M1_Table_E_CH4">'4.2.1.1-2 Methane'!$D$234:$O$242</definedName>
    <definedName name="M1_Table_E_CO2">'5.1.1.3-4 Inorganic fert CO2'!$D$57:$E$76</definedName>
    <definedName name="M1_Table_E_enteric">'3.2.1.1-2 Enteric Methane'!$D$122:$N$126</definedName>
    <definedName name="M1_Table_E_N2O">'5.1.1.1-2 Inorganic fert N2O'!$D$59:$E$78</definedName>
    <definedName name="M1_Table_I_j_k_l">'4.2.1.1-2 Methane'!$D$83:$N$87</definedName>
    <definedName name="M1_Table_I_j_k_l_Consumer_1">'4.2.1.3-4 Soil direct N20'!$D$53:$N$57</definedName>
    <definedName name="M1_Table_L_j_k_l">'4.2.1.3-4 Soil direct N20'!$D$61:$N$65</definedName>
    <definedName name="M1_Table_LC_j_k45">'4.2.1.1-2 Methane'!$D$21:$H$25</definedName>
    <definedName name="M1_Table_LC_j_k45_Consumer_1">'4.2.1.3-4 Soil direct N20'!$D$86:$G$87</definedName>
    <definedName name="M1_Table_LWG_j_k_l">'4.2.1.3-4 Soil direct N20'!$D$118:$N$122</definedName>
    <definedName name="M1_Table_LWG_j_k_l_Consumer_1">'4.2.1.1-2 Methane'!$D$67:$N$71</definedName>
    <definedName name="M1_Table_M_j_k_l">'3.2.1.1-2 Enteric Methane'!$D$84:$N$88</definedName>
    <definedName name="M1_Table_M_j_k_l_m">'4.2.1.1-2 Methane'!$D$176:$O$184</definedName>
    <definedName name="M1_Table_MA_j_k45">'4.2.1.1-2 Methane'!$D$29:$R$33</definedName>
    <definedName name="M1_Table_MC_j_k_136">'4.2.1.3-4 Soil direct N20'!$D$160:$O$164</definedName>
    <definedName name="M1_Table_MCF_i_m">'4.2.1.1-2 Methane'!$D$170:$E$172</definedName>
    <definedName name="M1_Table_MP_j_k45">'4.2.1.3-4 Soil direct N20'!$D$94:$P$98</definedName>
    <definedName name="M1_Table_N_j_k_l">'4.2.1.3-4 Soil direct N20'!$D$190:$N$194</definedName>
    <definedName name="M1_Table_N_j_k_l_Consumer_1">'4.2.1.1-2 Methane'!$D$218:$N$222</definedName>
    <definedName name="M1_Table_NE_j_k_l">'4.2.1.3-4 Soil direct N20'!$D$168:$N$172</definedName>
    <definedName name="M1_Table_NR_j_k_l">'4.2.1.3-4 Soil direct N20'!$D$126:$N$130</definedName>
    <definedName name="M1_Table_VS_j_k_l">'4.2.1.1-2 Methane'!$D$130:$N$134</definedName>
    <definedName name="M1_Table_W_j_k_l">'4.2.1.3-4 Soil direct N20'!$D$19:$N$23</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'4.2.1.3-4 Soil direct N20'!$U$231:$AE$243</definedName>
    <definedName name="M2_Table_D_j_Consumer_1">'4.2.1.1-2 Methane'!$W$234:$AG$246</definedName>
    <definedName name="M2_Table_DMD_j_k_l">'4.2.1.1-2 Methane'!$W$114:$AG$126</definedName>
    <definedName name="M2_Table_E_CH4">'4.2.1.1-2 Methane'!$W$250:$AH$274</definedName>
    <definedName name="M2_Table_E_enteric">'3.2.1.1-2 Enteric Methane'!$U$148:$AE$161</definedName>
    <definedName name="M2_Table_FertApplications">'5.1.1.1-2 Inorganic fert N2O'!$M$10:$W$25</definedName>
    <definedName name="M2_Table_I_j_k_l">'4.2.1.1-2 Methane'!$W$75:$AG$87</definedName>
    <definedName name="M2_Table_I_j_k_l_Consumer_1">'4.2.1.3-4 Soil direct N20'!$U$55:$AE$67</definedName>
    <definedName name="M2_Table_L_j_k_l">'4.2.1.3-4 Soil direct N20'!$U$71:$AE$83</definedName>
    <definedName name="M2_Table_LC_j_k45">'4.2.1.3-4 Soil direct N20'!$U$91:$X$93</definedName>
    <definedName name="M2_Table_LC_j_k45_Consumer_1">'4.2.1.1-2 Methane'!$W$21:$Z$23</definedName>
    <definedName name="M2_Table_LW_j_k_l">'4.2.1.3-4 Soil direct N20'!$U$19:$AE$31</definedName>
    <definedName name="M2_Table_LWG_j_k_l">'4.2.1.3-4 Soil direct N20'!$U$119:$AE$131</definedName>
    <definedName name="M2_Table_LWG_j_k_l_Consumer_1">'4.2.1.1-2 Methane'!$W$59:$AG$71</definedName>
    <definedName name="M2_Table_M_j_k_l">'3.2.1.1-2 Enteric Methane'!$U$96:$AE$108</definedName>
    <definedName name="M2_Table_M_j_k_l_m">'4.2.1.1-2 Methane'!$W$176:$AH$200</definedName>
    <definedName name="M2_Table_MA_j_k45">'4.2.1.1-2 Methane'!$W$27:$AI$39</definedName>
    <definedName name="M2_Table_MC_j_k_136">'4.2.1.3-4 Soil direct N20'!$U$179:$AF$191</definedName>
    <definedName name="M2_Table_MCF_i_m">'4.2.1.1-2 Methane'!$W$170:$X$172</definedName>
    <definedName name="M2_Table_MP_j_k45">'4.2.1.3-4 Soil direct N20'!$U$99:$AG$111</definedName>
    <definedName name="M2_Table_N_j_k_l">'4.2.1.3-4 Soil direct N20'!$U$215:$AE$227</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'4.2.1.1-2 Methane'!$W$43:$AG$55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'Input - Enterprise'!$E$73</definedName>
    <definedName name="Result_EmissionsForWholeProductionCycle_Gross_Method1">'Input - Enterprise'!$E$60</definedName>
    <definedName name="Result_EmissionsForWholeProductionCycle_Gross_Method2">'Input - Enterprise'!$F$60</definedName>
    <definedName name="Result_EmissionsForWholeProductionCycle_Net_Method1">'Input - Enterprise'!$E$84</definedName>
    <definedName name="Result_EmissionsForWholeProductionCycle_Net_Method2">'Input - Enterprise'!$F$84</definedName>
    <definedName name="Result_Enterprise_Gross_Method1">'Results - Activity period'!$E$67</definedName>
    <definedName name="Result_Enterprise_Gross_Method2">'Results - Activity period'!$F$67</definedName>
    <definedName name="Result_Enterprise_Net_Method1">'Results - Activity period'!$E$68</definedName>
    <definedName name="Result_Enterprise_Net_Method2">'Results - Activity period'!$F$68</definedName>
    <definedName name="Result_Enterprise_Removals">'Results - Activity period'!$E$61</definedName>
    <definedName name="Result_Enterprise_Scope1_Method1">'Results - Activity period'!$H$28</definedName>
    <definedName name="Result_Enterprise_Scope1_Method2">'Results - Activity period'!$I$28</definedName>
    <definedName name="Result_Enterprise_Scope2_Method1">'Results - Activity period'!$H$35</definedName>
    <definedName name="Result_Enterprise_Scope2_Method2">'Results - Activity period'!$I$35</definedName>
    <definedName name="Result_Enterprise_Scope3_Method1">'Results - Activity period'!$H$56</definedName>
    <definedName name="Result_Enterprise_Scope3_Method2">'Results - Activity period'!$I$56</definedName>
    <definedName name="Result_NetEmissions_Method1">'Results - Product EI'!$E$37</definedName>
    <definedName name="Result_NetEmissions_Method2">'Results - Product EI'!$F$37</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MS_m">'4.2.1.1-2 Methane'!$D$164:$F$166</definedName>
    <definedName name="Table_MN_j_f">'5.1.1.1-2 Inorganic fert N2O'!$D$18:$G$37</definedName>
    <definedName name="Table_MNSoil_j_f">'5.2.1.1-2 Organic Fert N2O'!$D$19:$I$22</definedName>
    <definedName name="Table_MU_j_f">'5.1.1.3-4 Inorganic fert CO2'!$D$18:$G$37</definedName>
    <definedName name="Table_SRW_k">'4.2.1.3-4 Soil direct N20'!$D$27:$M$28</definedName>
    <definedName name="Table_V_w_t_offsite">'10.1.1-2 Solid waste treatment'!$D$58:$E$92</definedName>
    <definedName name="Table_V_w_t_onsite">'10.1.1-2 Solid waste treatment'!$D$20:$E$54</definedName>
    <definedName name="ValidLivestockClass" localSheetId="37">_xlfn.UNIQUE(_xlfn._xlws.FILTER(#REF!,#REF! =#REF!))</definedName>
    <definedName name="ValidLivestockClass" localSheetId="38">_xlfn.UNIQUE(_xlfn._xlws.FILTER(#REF!,#REF! =#REF!))</definedName>
    <definedName name="ValidLivestockClass" localSheetId="45">_xlfn.UNIQUE(_xlfn._xlws.FILTER(#REF!,#REF! =#REF!))</definedName>
    <definedName name="ValidLivestockClass" localSheetId="7">_xlfn.UNIQUE(_xlfn._xlws.FILTER(#REF!,#REF! =#REF!))</definedName>
    <definedName name="ValidLivestockClass" localSheetId="13">_xlfn.UNIQUE(_xlfn._xlws.FILTER(#REF!,#REF! =#REF!))</definedName>
    <definedName name="ValidLivestockClass" localSheetId="14">_xlfn.UNIQUE(_xlfn._xlws.FILTER(#REF!,#REF! =#REF!))</definedName>
    <definedName name="ValidLivestockClass" localSheetId="16">_xlfn.UNIQUE(_xlfn._xlws.FILTER(#REF!,#REF! =#REF!))</definedName>
    <definedName name="ValidLivestockClass" localSheetId="15">_xlfn.UNIQUE(_xlfn._xlws.FILTER(#REF!,#REF! =#REF!))</definedName>
    <definedName name="ValidLivestockClass" localSheetId="18">_xlfn.UNIQUE(_xlfn._xlws.FILTER(#REF!,#REF! =#REF!))</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3_2_1_1__1_TotalAnnualMethaneFromEntericFermentation_Result_Method1">'3.2.1.1-2 Enteric Methane'!$E$128</definedName>
    <definedName name="VEERG_3_2_1_1__1_TotalAnnualMethaneFromEntericFermentation_Result_Method2">'3.2.1.1-2 Enteric Methane'!$V$162</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3__2_TotalNitrogenExcretedToPastureRangeAndPaddock_Result_Method1">'4.2.1.3-4 Soil direct N20'!$E$212</definedName>
    <definedName name="VEERG_4_2_1_3__2_TotalNitrogenExcretedToPastureRangeAndPaddock_Result_Method2">'4.2.1.3-4 Soil direct N20'!$V$261</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1_OrganicFertiliserApplicationN2OEmissions_Result_Method1">'Calcs - Manure sent off-site'!$E$19</definedName>
    <definedName name="VEERG_5_2_1_1__1_OrganicFertiliserApplicationN2OEmissions_Result_Method2">'Calcs - Manure sent off-site'!$O$19</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4_1_3__1_OrganicFertiliserAtmosphericDepositionN2OEmissions_Result_Method2">'Calcs - Manure sent off-site'!$O$55</definedName>
    <definedName name="VEERG_5_5_1_1__1_FertiliserLeachingAndRunoffN2OEmissions_Result_Method1">'5.5.1.1-2 Leaching and runoff'!$E$94</definedName>
    <definedName name="VEERG_5_5_1_1__1_FertiliserLeachingAndRunoffN2OEmissions_Result_Method2">'Calcs - Manure sent off-site'!$O$90</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
  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
)))</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
  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
)))</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prise_LiveweightGrown_Method1">'Input - Enterprise'!$E$23</definedName>
    <definedName name="X_Cell_Enteprise_LiveweightGrown_Method2">'Input - Enterprise'!$E$24</definedName>
    <definedName name="X_Cell_Enteprise_ManureProduced_Method1">'Input - Enterprise'!$E$25</definedName>
    <definedName name="X_Cell_Enteprise_ManureProduced_Method2">'Input - Enterprise'!$E$26</definedName>
    <definedName name="X_Cell_Enteprise_PercentIncomeFromLiveweight">'Input - Enterprise'!$E$31</definedName>
    <definedName name="X_Cell_Enteprise_PercentIncomeFromManure">'Input - Enterprise'!$E$32</definedName>
    <definedName name="X_Cell_Enteprise_PercentManureAppliedAsFertiliserOwnFarm">'Input - Enterprise'!$E$28</definedName>
    <definedName name="X_Cell_Enteprise_PercentManureAppliedAsWaste">'Input - Enterprise'!$E$29</definedName>
    <definedName name="X_Cell_Enteprise_PercentManureSold">'Input - Enterprise'!$E$27</definedName>
    <definedName name="X_Cell_Enterprise_LiveweightSold">'Input - Enterprise'!$E$22</definedName>
    <definedName name="X_Cell_Enterprise_ProductionTimeframeEnd">'Input - Enterprise'!$E$19</definedName>
    <definedName name="X_Cell_Enterprise_ProductionTimeframeLength">'Input - Enterprise'!$E$20</definedName>
    <definedName name="X_Cell_Enterprise_ProductionTimeframeStart">'Input - Enterprise'!$E$18</definedName>
    <definedName name="X_Cell_FarmInputs_FeedRations_Chickens">'Input - Livestock farm Inputs'!$E$12</definedName>
    <definedName name="X_Cell_FarmInputs_FeedRations_DairyCalves">'Input - Livestock farm Inputs'!$E$13</definedName>
    <definedName name="X_Cell_FarmInputs_FeedRations_DairyCows">'Input - Livestock farm Inputs'!$E$14</definedName>
    <definedName name="X_Cell_FarmInputs_FeedRations_Pigs">'Input - Livestock farm Inputs'!$E$15</definedName>
    <definedName name="X_Cell_FarmInputs_LickBlocks_DrySeasonMix">'Input - Livestock farm Inputs'!$E$7</definedName>
    <definedName name="X_Cell_FarmInputs_LickBlocks_Mineral">'Input - Livestock farm Inputs'!$E$8</definedName>
    <definedName name="X_Cell_FarmInputs_LickBlocks_Weaner">'Input - Livestock farm Inputs'!$E$9</definedName>
    <definedName name="X_Cell_FarmInputs_Misc_AnimalEarTagsLarge">'Input - Livestock farm Inputs'!$E$47</definedName>
    <definedName name="X_Cell_FarmInputs_Misc_AnimalEarTagsSmall">'Input - Livestock farm Inputs'!$E$48</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Fuel_IsMetroLocation">'Input - Fuel'!$E$11</definedName>
    <definedName name="X_Cell_ManureSentOffsite_ManureIrrigationMethod">'Input - Manure sent off-site'!$F$14</definedName>
    <definedName name="X_Cell_ManureSentOffsite_ManureProductionSystem">'Input - Manure sent off-site'!$F$13</definedName>
    <definedName name="X_Cell_ManureSentOffsite_MassNitrogenManure_Method1">'Input - Manure sent off-site'!$F$10</definedName>
    <definedName name="X_Cell_ManureSentOffsite_MassNitrogenManure_Method2">'Input - Manure sent off-site'!$F$11</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PastureBeef_Breed">'Input - Pasture Beef'!$E$9</definedName>
    <definedName name="X_Cell_PastureBeef_CalculatedMMSAnaerobicLagoon">'Input - Pasture Beef'!$E$153</definedName>
    <definedName name="X_Cell_PastureBeef_CalculatedMMSPastureRangeAndPaddock">'Input - Pasture Beef'!$E$152</definedName>
    <definedName name="X_Cell_PastureBeef_FencedWater">'Input - Pasture Beef'!$E$149</definedName>
    <definedName name="X_Cell_PastureBeef_GrazingIrrigationMethod">'Input - Pasture Beef'!$E$157</definedName>
    <definedName name="X_Cell_PastureBeef_GrazingProductionSystem">'Input - Pasture Beef'!$E$156</definedName>
    <definedName name="X_Cell_PastureBeef_ProductionRegion">'Input - Pasture Beef'!$E$8</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ResultsTable_ActivityPeriod_Scope1">'Results - Activity period'!$D$8:$J$34</definedName>
    <definedName name="X_Table_PastureBeef_CrudeProtein_Method1">'Input - Pasture Beef'!$D$126:$N$130</definedName>
    <definedName name="X_Table_PastureBeef_CrudeProtein_Method2">'Input - Pasture Beef'!$D$132:$N$144</definedName>
    <definedName name="X_Table_PastureBeef_DryMatterDigestibility_Method1">'Input - Pasture Beef'!$D$104:$N$108</definedName>
    <definedName name="X_Table_PastureBeef_DryMatterDigestibility_Method2">'Input - Pasture Beef'!$D$110:$N$122</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 name="X_Table_Result_ActivityPeriodEmissions_RowsToCols">'Input - Enterprise'!$D$54:$F$59</definedName>
    <definedName name="X_Table_Result_CarbonRemovalsFromPlantings_RowsToCols">'Input - Enterprise'!$D$67:$E$72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3" i="87" l="1"/>
  <c r="F153" i="87"/>
  <c r="G153" i="87"/>
  <c r="H153" i="87"/>
  <c r="I153" i="87"/>
  <c r="J153" i="87"/>
  <c r="K153" i="87"/>
  <c r="L153" i="87"/>
  <c r="M153" i="87"/>
  <c r="N153" i="87"/>
  <c r="O153" i="87"/>
  <c r="P153" i="87"/>
  <c r="E152" i="87"/>
  <c r="F152" i="87"/>
  <c r="G152" i="87"/>
  <c r="H152" i="87"/>
  <c r="I152" i="87"/>
  <c r="J152" i="87"/>
  <c r="K152" i="87"/>
  <c r="L152" i="87"/>
  <c r="M152" i="87"/>
  <c r="N152" i="87"/>
  <c r="O152" i="87"/>
  <c r="P152" i="87"/>
  <c r="E151" i="87"/>
  <c r="F151" i="87"/>
  <c r="G151" i="87"/>
  <c r="H151" i="87"/>
  <c r="I151" i="87"/>
  <c r="J151" i="87"/>
  <c r="K151" i="87"/>
  <c r="L151" i="87"/>
  <c r="M151" i="87"/>
  <c r="N151" i="87"/>
  <c r="O151" i="87"/>
  <c r="P151" i="87"/>
  <c r="E150" i="87"/>
  <c r="F150" i="87"/>
  <c r="G150" i="87"/>
  <c r="H150" i="87"/>
  <c r="I150" i="87"/>
  <c r="J150" i="87"/>
  <c r="K150" i="87"/>
  <c r="L150" i="87"/>
  <c r="M150" i="87"/>
  <c r="N150" i="87"/>
  <c r="O150" i="87"/>
  <c r="P150" i="87"/>
  <c r="J651" i="117"/>
  <c r="J650" i="117"/>
  <c r="J649" i="117"/>
  <c r="J648" i="117"/>
  <c r="J647" i="117"/>
  <c r="J646" i="117"/>
  <c r="J645" i="117"/>
  <c r="J644" i="117"/>
  <c r="J643" i="117"/>
  <c r="J642" i="117"/>
  <c r="J633" i="117"/>
  <c r="J632" i="117"/>
  <c r="J631" i="117"/>
  <c r="J630" i="117"/>
  <c r="J629" i="117"/>
  <c r="J628" i="117"/>
  <c r="J627" i="117"/>
  <c r="J626" i="117"/>
  <c r="J625" i="117"/>
  <c r="J624" i="117"/>
  <c r="K514" i="117"/>
  <c r="K513" i="117"/>
  <c r="K512" i="117"/>
  <c r="K511" i="117"/>
  <c r="K510" i="117"/>
  <c r="K509" i="117"/>
  <c r="K508" i="117"/>
  <c r="K507" i="117"/>
  <c r="K506" i="117"/>
  <c r="K505" i="117"/>
  <c r="I496" i="117"/>
  <c r="I494" i="117"/>
  <c r="I485" i="117"/>
  <c r="I483" i="117"/>
  <c r="I481" i="117"/>
  <c r="J468" i="117"/>
  <c r="J467" i="117"/>
  <c r="J466" i="117"/>
  <c r="J465" i="117"/>
  <c r="J464" i="117"/>
  <c r="J463" i="117"/>
  <c r="J450" i="117"/>
  <c r="J449" i="117"/>
  <c r="J448" i="117"/>
  <c r="J447" i="117"/>
  <c r="J446" i="117"/>
  <c r="J445" i="117"/>
  <c r="J423" i="117"/>
  <c r="J422" i="117"/>
  <c r="J421" i="117"/>
  <c r="J420" i="117"/>
  <c r="J419" i="117"/>
  <c r="J418" i="117"/>
  <c r="J417" i="117"/>
  <c r="J416" i="117"/>
  <c r="J415" i="117"/>
  <c r="J414" i="117"/>
  <c r="J382" i="117"/>
  <c r="K360" i="117"/>
  <c r="K359" i="117"/>
  <c r="K358" i="117"/>
  <c r="K357" i="117"/>
  <c r="K356" i="117"/>
  <c r="K355" i="117"/>
  <c r="K354" i="117"/>
  <c r="K353" i="117"/>
  <c r="K352" i="117"/>
  <c r="K351" i="117"/>
  <c r="J329" i="117"/>
  <c r="J328" i="117"/>
  <c r="J327" i="117"/>
  <c r="J326" i="117"/>
  <c r="J325" i="117"/>
  <c r="J324" i="117"/>
  <c r="J323" i="117"/>
  <c r="J322" i="117"/>
  <c r="J321" i="117"/>
  <c r="J320" i="117"/>
  <c r="J261" i="117"/>
  <c r="J260" i="117"/>
  <c r="J259" i="117"/>
  <c r="J258" i="117"/>
  <c r="J257" i="117"/>
  <c r="J256" i="117"/>
  <c r="J255" i="117"/>
  <c r="J254" i="117"/>
  <c r="J253" i="117"/>
  <c r="J252" i="117"/>
  <c r="I179" i="117"/>
  <c r="I178" i="117"/>
  <c r="I177" i="117"/>
  <c r="I148" i="117"/>
  <c r="I138" i="117"/>
  <c r="I137" i="117"/>
  <c r="I122" i="117"/>
  <c r="I121" i="117"/>
  <c r="I120" i="117"/>
  <c r="J88" i="117"/>
  <c r="J87" i="117"/>
  <c r="J86" i="117"/>
  <c r="J85" i="117"/>
  <c r="J84" i="117"/>
  <c r="J83" i="117"/>
  <c r="J82" i="117"/>
  <c r="J81" i="117"/>
  <c r="J80" i="117"/>
  <c r="J79" i="117"/>
  <c r="G88" i="117"/>
  <c r="G87" i="117"/>
  <c r="G86" i="117"/>
  <c r="G85" i="117"/>
  <c r="G84" i="117"/>
  <c r="G83" i="117"/>
  <c r="G82" i="117"/>
  <c r="G81" i="117"/>
  <c r="G80" i="117"/>
  <c r="G79" i="117"/>
  <c r="J70" i="117"/>
  <c r="J69" i="117"/>
  <c r="J68" i="117"/>
  <c r="J67" i="117"/>
  <c r="J66" i="117"/>
  <c r="J65" i="117"/>
  <c r="J64" i="117"/>
  <c r="J63" i="117"/>
  <c r="J62" i="117"/>
  <c r="J61" i="117"/>
  <c r="G70" i="117"/>
  <c r="G69" i="117"/>
  <c r="G68" i="117"/>
  <c r="G67" i="117"/>
  <c r="G66" i="117"/>
  <c r="G65" i="117"/>
  <c r="G64" i="117"/>
  <c r="G63" i="117"/>
  <c r="G62" i="117"/>
  <c r="G61" i="117"/>
  <c r="J51" i="117"/>
  <c r="J50" i="117"/>
  <c r="J49" i="117"/>
  <c r="J48" i="117"/>
  <c r="J47" i="117"/>
  <c r="J46" i="117"/>
  <c r="J45" i="117"/>
  <c r="J44" i="117"/>
  <c r="J43" i="117"/>
  <c r="J42" i="117"/>
  <c r="G51" i="117"/>
  <c r="G50" i="117"/>
  <c r="G49" i="117"/>
  <c r="G48" i="117"/>
  <c r="G47" i="117"/>
  <c r="G46" i="117"/>
  <c r="G45" i="117"/>
  <c r="G44" i="117"/>
  <c r="G43" i="117"/>
  <c r="G42" i="117"/>
  <c r="M32" i="117"/>
  <c r="M31" i="117"/>
  <c r="M30" i="117"/>
  <c r="M29" i="117"/>
  <c r="M28" i="117"/>
  <c r="M27" i="117"/>
  <c r="M26" i="117"/>
  <c r="M25" i="117"/>
  <c r="M24" i="117"/>
  <c r="M23" i="117"/>
  <c r="I30" i="92"/>
  <c r="I29" i="92"/>
  <c r="I28" i="92"/>
  <c r="I27" i="92"/>
  <c r="I26" i="92"/>
  <c r="I25" i="92"/>
  <c r="I24" i="92"/>
  <c r="I23" i="92"/>
  <c r="I22" i="92"/>
  <c r="I21" i="92"/>
  <c r="I20" i="92"/>
  <c r="D224" i="84" a="1"/>
  <c r="D224" i="84" s="1"/>
  <c r="A60" i="121" l="1"/>
  <c r="A59" i="121"/>
  <c r="A58" i="121"/>
  <c r="A57" i="121"/>
  <c r="A56" i="121"/>
  <c r="A55" i="121"/>
  <c r="A54" i="121"/>
  <c r="A53" i="121"/>
  <c r="A52" i="121"/>
  <c r="A51" i="121"/>
  <c r="A47" i="121"/>
  <c r="A46" i="121"/>
  <c r="A45" i="121"/>
  <c r="A44" i="121"/>
  <c r="A43" i="121"/>
  <c r="A42" i="121"/>
  <c r="A41" i="121"/>
  <c r="A40" i="121"/>
  <c r="A39" i="121"/>
  <c r="A38" i="121"/>
  <c r="A37" i="121"/>
  <c r="A36" i="121"/>
  <c r="A35" i="121"/>
  <c r="A34" i="121"/>
  <c r="A33" i="121"/>
  <c r="A32" i="121"/>
  <c r="A31" i="121"/>
  <c r="A30" i="121"/>
  <c r="A29" i="121"/>
  <c r="A25" i="121"/>
  <c r="A24" i="121"/>
  <c r="A23" i="121"/>
  <c r="A22" i="121"/>
  <c r="A21" i="121"/>
  <c r="A20" i="121"/>
  <c r="A19" i="121"/>
  <c r="A18" i="121"/>
  <c r="A17" i="121"/>
  <c r="A16" i="121"/>
  <c r="A15" i="121"/>
  <c r="A14" i="121"/>
  <c r="A13" i="121"/>
  <c r="A12" i="121"/>
  <c r="A11" i="121"/>
  <c r="A10" i="121"/>
  <c r="A9" i="121"/>
  <c r="A5" i="121"/>
  <c r="A4" i="121"/>
  <c r="A3" i="121"/>
  <c r="A281" i="79"/>
  <c r="A251" i="79"/>
  <c r="A221" i="79"/>
  <c r="A191" i="79"/>
  <c r="A161" i="79"/>
  <c r="A131" i="79"/>
  <c r="A101" i="79"/>
  <c r="A71" i="79"/>
  <c r="A60" i="79"/>
  <c r="A59" i="79"/>
  <c r="A58" i="79"/>
  <c r="A57" i="79"/>
  <c r="A56" i="79"/>
  <c r="A55" i="79"/>
  <c r="A54" i="79"/>
  <c r="A53" i="79"/>
  <c r="A52" i="79"/>
  <c r="A51" i="79"/>
  <c r="A47" i="79"/>
  <c r="A46" i="79"/>
  <c r="A45" i="79"/>
  <c r="A44" i="79"/>
  <c r="A43" i="79"/>
  <c r="A42" i="79"/>
  <c r="A41" i="79"/>
  <c r="A40" i="79"/>
  <c r="A39" i="79"/>
  <c r="A38" i="79"/>
  <c r="A37" i="79"/>
  <c r="A36" i="79"/>
  <c r="A35" i="79"/>
  <c r="A34" i="79"/>
  <c r="A33" i="79"/>
  <c r="A32" i="79"/>
  <c r="A31" i="79"/>
  <c r="A30" i="79"/>
  <c r="A29" i="79"/>
  <c r="A25" i="79"/>
  <c r="A24" i="79"/>
  <c r="A23" i="79"/>
  <c r="A22" i="79"/>
  <c r="A21" i="79"/>
  <c r="A20" i="79"/>
  <c r="A19" i="79"/>
  <c r="A18" i="79"/>
  <c r="A17" i="79"/>
  <c r="A16" i="79"/>
  <c r="A15" i="79"/>
  <c r="A14" i="79"/>
  <c r="A13" i="79"/>
  <c r="A12" i="79"/>
  <c r="A11" i="79"/>
  <c r="A10" i="79"/>
  <c r="A9" i="79"/>
  <c r="A5" i="79"/>
  <c r="A4" i="79"/>
  <c r="A3" i="79"/>
  <c r="A60" i="106"/>
  <c r="A59" i="106"/>
  <c r="A58" i="106"/>
  <c r="A57" i="106"/>
  <c r="A56" i="106"/>
  <c r="A55" i="106"/>
  <c r="A54" i="106"/>
  <c r="A53" i="106"/>
  <c r="A52" i="106"/>
  <c r="A51" i="106"/>
  <c r="A47" i="106"/>
  <c r="A46" i="106"/>
  <c r="A45" i="106"/>
  <c r="A44" i="106"/>
  <c r="A43" i="106"/>
  <c r="A42" i="106"/>
  <c r="A41" i="106"/>
  <c r="A40" i="106"/>
  <c r="A39" i="106"/>
  <c r="A38" i="106"/>
  <c r="A37" i="106"/>
  <c r="A36" i="106"/>
  <c r="A35" i="106"/>
  <c r="A34" i="106"/>
  <c r="A33" i="106"/>
  <c r="A32" i="106"/>
  <c r="A31" i="106"/>
  <c r="A30" i="106"/>
  <c r="A29" i="106"/>
  <c r="A25" i="106"/>
  <c r="A24" i="106"/>
  <c r="A23" i="106"/>
  <c r="A22" i="106"/>
  <c r="A21" i="106"/>
  <c r="A20" i="106"/>
  <c r="A19" i="106"/>
  <c r="A18" i="106"/>
  <c r="A17" i="106"/>
  <c r="A16" i="106"/>
  <c r="A15" i="106"/>
  <c r="A14" i="106"/>
  <c r="A13" i="106"/>
  <c r="A12" i="106"/>
  <c r="A11" i="106"/>
  <c r="A10" i="106"/>
  <c r="A9" i="106"/>
  <c r="A5" i="106"/>
  <c r="A4" i="106"/>
  <c r="A3" i="106"/>
  <c r="A221" i="119"/>
  <c r="A191" i="119"/>
  <c r="A161" i="119"/>
  <c r="A131" i="119"/>
  <c r="A101" i="119"/>
  <c r="A71" i="119"/>
  <c r="A60" i="119"/>
  <c r="A59" i="119"/>
  <c r="A58" i="119"/>
  <c r="A57" i="119"/>
  <c r="A56" i="119"/>
  <c r="A55" i="119"/>
  <c r="A54" i="119"/>
  <c r="A53" i="119"/>
  <c r="A52" i="119"/>
  <c r="A51" i="119"/>
  <c r="A47" i="119"/>
  <c r="A46" i="119"/>
  <c r="A45" i="119"/>
  <c r="A44" i="119"/>
  <c r="A43" i="119"/>
  <c r="A42" i="119"/>
  <c r="A41" i="119"/>
  <c r="A40" i="119"/>
  <c r="A39" i="119"/>
  <c r="A38" i="119"/>
  <c r="A37" i="119"/>
  <c r="A36" i="119"/>
  <c r="A35" i="119"/>
  <c r="A34" i="119"/>
  <c r="A33" i="119"/>
  <c r="A32" i="119"/>
  <c r="A31" i="119"/>
  <c r="A30" i="119"/>
  <c r="A29" i="119"/>
  <c r="A25" i="119"/>
  <c r="A24" i="119"/>
  <c r="A23" i="119"/>
  <c r="A22" i="119"/>
  <c r="A21" i="119"/>
  <c r="A20" i="119"/>
  <c r="A19" i="119"/>
  <c r="A18" i="119"/>
  <c r="A17" i="119"/>
  <c r="A16" i="119"/>
  <c r="A15" i="119"/>
  <c r="A14" i="119"/>
  <c r="A13" i="119"/>
  <c r="A12" i="119"/>
  <c r="A11" i="119"/>
  <c r="A10" i="119"/>
  <c r="A9" i="119"/>
  <c r="A5" i="119"/>
  <c r="A4" i="119"/>
  <c r="A3" i="119"/>
  <c r="A161" i="103"/>
  <c r="A131" i="103"/>
  <c r="A101" i="103"/>
  <c r="A71" i="103"/>
  <c r="A60" i="103"/>
  <c r="A59" i="103"/>
  <c r="A58" i="103"/>
  <c r="A57" i="103"/>
  <c r="A56" i="103"/>
  <c r="A55" i="103"/>
  <c r="A54" i="103"/>
  <c r="A53" i="103"/>
  <c r="A52" i="103"/>
  <c r="A51" i="103"/>
  <c r="A47" i="103"/>
  <c r="A46" i="103"/>
  <c r="A45" i="103"/>
  <c r="A44" i="103"/>
  <c r="A43" i="103"/>
  <c r="A42" i="103"/>
  <c r="A41" i="103"/>
  <c r="A40" i="103"/>
  <c r="A39" i="103"/>
  <c r="A38" i="103"/>
  <c r="A37" i="103"/>
  <c r="A36" i="103"/>
  <c r="A35" i="103"/>
  <c r="A34" i="103"/>
  <c r="A33" i="103"/>
  <c r="A32" i="103"/>
  <c r="A31" i="103"/>
  <c r="A30" i="103"/>
  <c r="A29" i="103"/>
  <c r="A25" i="103"/>
  <c r="A24" i="103"/>
  <c r="A23" i="103"/>
  <c r="A22" i="103"/>
  <c r="A21" i="103"/>
  <c r="A20" i="103"/>
  <c r="A19" i="103"/>
  <c r="A18" i="103"/>
  <c r="A17" i="103"/>
  <c r="A16" i="103"/>
  <c r="A15" i="103"/>
  <c r="A14" i="103"/>
  <c r="A13" i="103"/>
  <c r="A12" i="103"/>
  <c r="A11" i="103"/>
  <c r="A10" i="103"/>
  <c r="A9" i="103"/>
  <c r="A5" i="103"/>
  <c r="A4" i="103"/>
  <c r="A3" i="103"/>
  <c r="A221" i="96"/>
  <c r="A191" i="96"/>
  <c r="A161" i="96"/>
  <c r="A131" i="96"/>
  <c r="A101" i="96"/>
  <c r="A71" i="96"/>
  <c r="A60" i="96"/>
  <c r="A59" i="96"/>
  <c r="A58" i="96"/>
  <c r="A57" i="96"/>
  <c r="A56" i="96"/>
  <c r="A55" i="96"/>
  <c r="A54" i="96"/>
  <c r="A53" i="96"/>
  <c r="A52" i="96"/>
  <c r="A51" i="96"/>
  <c r="A47" i="96"/>
  <c r="A46" i="96"/>
  <c r="A45" i="96"/>
  <c r="A44" i="96"/>
  <c r="A43" i="96"/>
  <c r="A42" i="96"/>
  <c r="A41" i="96"/>
  <c r="A40" i="96"/>
  <c r="A39" i="96"/>
  <c r="A38" i="96"/>
  <c r="A37" i="96"/>
  <c r="A36" i="96"/>
  <c r="A35" i="96"/>
  <c r="A34" i="96"/>
  <c r="A33" i="96"/>
  <c r="A32" i="96"/>
  <c r="A31" i="96"/>
  <c r="A30" i="96"/>
  <c r="A29" i="96"/>
  <c r="A25" i="96"/>
  <c r="A24" i="96"/>
  <c r="A23" i="96"/>
  <c r="A22" i="96"/>
  <c r="A21" i="96"/>
  <c r="A20" i="96"/>
  <c r="A19" i="96"/>
  <c r="A18" i="96"/>
  <c r="A17" i="96"/>
  <c r="A16" i="96"/>
  <c r="A15" i="96"/>
  <c r="A14" i="96"/>
  <c r="A13" i="96"/>
  <c r="A12" i="96"/>
  <c r="A11" i="96"/>
  <c r="A10" i="96"/>
  <c r="A9" i="96"/>
  <c r="A5" i="96"/>
  <c r="A4" i="96"/>
  <c r="A3" i="96"/>
  <c r="A60" i="99"/>
  <c r="A59" i="99"/>
  <c r="A58" i="99"/>
  <c r="A57" i="99"/>
  <c r="A56" i="99"/>
  <c r="A55" i="99"/>
  <c r="A54" i="99"/>
  <c r="A53" i="99"/>
  <c r="A52" i="99"/>
  <c r="A51" i="99"/>
  <c r="A47" i="99"/>
  <c r="A46" i="99"/>
  <c r="A45" i="99"/>
  <c r="A44" i="99"/>
  <c r="A43" i="99"/>
  <c r="A42" i="99"/>
  <c r="A41" i="99"/>
  <c r="A40" i="99"/>
  <c r="A39" i="99"/>
  <c r="A38" i="99"/>
  <c r="A37" i="99"/>
  <c r="A36" i="99"/>
  <c r="A35" i="99"/>
  <c r="A34" i="99"/>
  <c r="A33" i="99"/>
  <c r="A32" i="99"/>
  <c r="A31" i="99"/>
  <c r="A30" i="99"/>
  <c r="A29" i="99"/>
  <c r="A25" i="99"/>
  <c r="A24" i="99"/>
  <c r="A23" i="99"/>
  <c r="A22" i="99"/>
  <c r="A21" i="99"/>
  <c r="A20" i="99"/>
  <c r="A19" i="99"/>
  <c r="A18" i="99"/>
  <c r="A17" i="99"/>
  <c r="A16" i="99"/>
  <c r="A15" i="99"/>
  <c r="A14" i="99"/>
  <c r="A13" i="99"/>
  <c r="A12" i="99"/>
  <c r="A11" i="99"/>
  <c r="A10" i="99"/>
  <c r="A9" i="99"/>
  <c r="A5" i="99"/>
  <c r="A4" i="99"/>
  <c r="A3" i="99"/>
  <c r="A60" i="120"/>
  <c r="A59" i="120"/>
  <c r="A58" i="120"/>
  <c r="A57" i="120"/>
  <c r="A56" i="120"/>
  <c r="A55" i="120"/>
  <c r="A54" i="120"/>
  <c r="A53" i="120"/>
  <c r="A52" i="120"/>
  <c r="A51" i="120"/>
  <c r="A47" i="120"/>
  <c r="A46" i="120"/>
  <c r="A45" i="120"/>
  <c r="A44" i="120"/>
  <c r="A43" i="120"/>
  <c r="A42" i="120"/>
  <c r="A41" i="120"/>
  <c r="A40" i="120"/>
  <c r="A39" i="120"/>
  <c r="A38" i="120"/>
  <c r="A37" i="120"/>
  <c r="A36" i="120"/>
  <c r="A35" i="120"/>
  <c r="A34" i="120"/>
  <c r="A33" i="120"/>
  <c r="A32" i="120"/>
  <c r="A31" i="120"/>
  <c r="A30" i="120"/>
  <c r="A29" i="120"/>
  <c r="A25" i="120"/>
  <c r="A24" i="120"/>
  <c r="A23" i="120"/>
  <c r="A22" i="120"/>
  <c r="A21" i="120"/>
  <c r="A20" i="120"/>
  <c r="A19" i="120"/>
  <c r="A18" i="120"/>
  <c r="A17" i="120"/>
  <c r="A16" i="120"/>
  <c r="A15" i="120"/>
  <c r="A14" i="120"/>
  <c r="A13" i="120"/>
  <c r="A12" i="120"/>
  <c r="A11" i="120"/>
  <c r="A10" i="120"/>
  <c r="A9" i="120"/>
  <c r="A5" i="120"/>
  <c r="A4" i="120"/>
  <c r="A3" i="120"/>
  <c r="A221" i="110"/>
  <c r="A191" i="110"/>
  <c r="A161" i="110"/>
  <c r="A131" i="110"/>
  <c r="A101" i="110"/>
  <c r="A71" i="110"/>
  <c r="A60" i="110"/>
  <c r="A59" i="110"/>
  <c r="A58" i="110"/>
  <c r="A57" i="110"/>
  <c r="A56" i="110"/>
  <c r="A55" i="110"/>
  <c r="A54" i="110"/>
  <c r="A53" i="110"/>
  <c r="A52" i="110"/>
  <c r="A51" i="110"/>
  <c r="A47" i="110"/>
  <c r="A46" i="110"/>
  <c r="A45" i="110"/>
  <c r="A44" i="110"/>
  <c r="A43" i="110"/>
  <c r="A42" i="110"/>
  <c r="A41" i="110"/>
  <c r="A40" i="110"/>
  <c r="A39" i="110"/>
  <c r="A38" i="110"/>
  <c r="A37" i="110"/>
  <c r="A36" i="110"/>
  <c r="A35" i="110"/>
  <c r="A34" i="110"/>
  <c r="A33" i="110"/>
  <c r="A32" i="110"/>
  <c r="A31" i="110"/>
  <c r="A30" i="110"/>
  <c r="A29" i="110"/>
  <c r="A25" i="110"/>
  <c r="A24" i="110"/>
  <c r="A23" i="110"/>
  <c r="A22" i="110"/>
  <c r="A21" i="110"/>
  <c r="A20" i="110"/>
  <c r="A19" i="110"/>
  <c r="A18" i="110"/>
  <c r="A17" i="110"/>
  <c r="A16" i="110"/>
  <c r="A15" i="110"/>
  <c r="A14" i="110"/>
  <c r="A13" i="110"/>
  <c r="A12" i="110"/>
  <c r="A11" i="110"/>
  <c r="A10" i="110"/>
  <c r="A9" i="110"/>
  <c r="A5" i="110"/>
  <c r="A4" i="110"/>
  <c r="A3" i="110"/>
  <c r="A461" i="87"/>
  <c r="A431" i="87"/>
  <c r="A401" i="87"/>
  <c r="A371" i="87"/>
  <c r="A341" i="87"/>
  <c r="A311" i="87"/>
  <c r="A281" i="87"/>
  <c r="A251" i="87"/>
  <c r="A221" i="87"/>
  <c r="A191" i="87"/>
  <c r="A161" i="87"/>
  <c r="A131" i="87"/>
  <c r="A101" i="87"/>
  <c r="A71" i="87"/>
  <c r="A60" i="87"/>
  <c r="A59" i="87"/>
  <c r="A58" i="87"/>
  <c r="A57" i="87"/>
  <c r="A56" i="87"/>
  <c r="A55" i="87"/>
  <c r="A54" i="87"/>
  <c r="A53" i="87"/>
  <c r="A52" i="87"/>
  <c r="A51" i="87"/>
  <c r="A47" i="87"/>
  <c r="A46" i="87"/>
  <c r="A45" i="87"/>
  <c r="A44" i="87"/>
  <c r="A43" i="87"/>
  <c r="A42" i="87"/>
  <c r="A41" i="87"/>
  <c r="A40" i="87"/>
  <c r="A39" i="87"/>
  <c r="A38" i="87"/>
  <c r="A37" i="87"/>
  <c r="A36" i="87"/>
  <c r="A35" i="87"/>
  <c r="A34" i="87"/>
  <c r="A33" i="87"/>
  <c r="A32" i="87"/>
  <c r="A31" i="87"/>
  <c r="A30" i="87"/>
  <c r="A29" i="87"/>
  <c r="A25" i="87"/>
  <c r="A24" i="87"/>
  <c r="A23" i="87"/>
  <c r="A22" i="87"/>
  <c r="A21" i="87"/>
  <c r="A20" i="87"/>
  <c r="A19" i="87"/>
  <c r="A18" i="87"/>
  <c r="A17" i="87"/>
  <c r="A16" i="87"/>
  <c r="A15" i="87"/>
  <c r="A14" i="87"/>
  <c r="A13" i="87"/>
  <c r="A12" i="87"/>
  <c r="A11" i="87"/>
  <c r="A10" i="87"/>
  <c r="A9" i="87"/>
  <c r="A5" i="87"/>
  <c r="A4" i="87"/>
  <c r="A3" i="87"/>
  <c r="A71" i="118"/>
  <c r="A60" i="118"/>
  <c r="A59" i="118"/>
  <c r="A58" i="118"/>
  <c r="A57" i="118"/>
  <c r="A56" i="118"/>
  <c r="A55" i="118"/>
  <c r="A54" i="118"/>
  <c r="A53" i="118"/>
  <c r="A52" i="118"/>
  <c r="A51" i="118"/>
  <c r="A47" i="118"/>
  <c r="A46" i="118"/>
  <c r="A45" i="118"/>
  <c r="A44" i="118"/>
  <c r="A43" i="118"/>
  <c r="A42" i="118"/>
  <c r="A41" i="118"/>
  <c r="A40" i="118"/>
  <c r="A39" i="118"/>
  <c r="A38" i="118"/>
  <c r="A37" i="118"/>
  <c r="A36" i="118"/>
  <c r="A35" i="118"/>
  <c r="A34" i="118"/>
  <c r="A33" i="118"/>
  <c r="A32" i="118"/>
  <c r="A31" i="118"/>
  <c r="A30" i="118"/>
  <c r="A29" i="118"/>
  <c r="A25" i="118"/>
  <c r="A24" i="118"/>
  <c r="A23" i="118"/>
  <c r="A22" i="118"/>
  <c r="A21" i="118"/>
  <c r="A20" i="118"/>
  <c r="A19" i="118"/>
  <c r="A18" i="118"/>
  <c r="A17" i="118"/>
  <c r="A16" i="118"/>
  <c r="A15" i="118"/>
  <c r="A14" i="118"/>
  <c r="A13" i="118"/>
  <c r="A12" i="118"/>
  <c r="A11" i="118"/>
  <c r="A10" i="118"/>
  <c r="A9" i="118"/>
  <c r="A5" i="118"/>
  <c r="A4" i="118"/>
  <c r="A3" i="118"/>
  <c r="A641" i="117"/>
  <c r="A611" i="117"/>
  <c r="A581" i="117"/>
  <c r="A551" i="117"/>
  <c r="A521" i="117"/>
  <c r="A491" i="117"/>
  <c r="A461" i="117"/>
  <c r="A431" i="117"/>
  <c r="A401" i="117"/>
  <c r="A371" i="117"/>
  <c r="A341" i="117"/>
  <c r="A311" i="117"/>
  <c r="A281" i="117"/>
  <c r="A251" i="117"/>
  <c r="A221" i="117"/>
  <c r="A191" i="117"/>
  <c r="A161" i="117"/>
  <c r="A131" i="117"/>
  <c r="A101" i="117"/>
  <c r="A71" i="117"/>
  <c r="A60" i="117"/>
  <c r="A59" i="117"/>
  <c r="A58" i="117"/>
  <c r="A57" i="117"/>
  <c r="A56" i="117"/>
  <c r="A55" i="117"/>
  <c r="A54" i="117"/>
  <c r="A53" i="117"/>
  <c r="A52" i="117"/>
  <c r="A51" i="117"/>
  <c r="A47" i="117"/>
  <c r="A46" i="117"/>
  <c r="A45" i="117"/>
  <c r="A44" i="117"/>
  <c r="A43" i="117"/>
  <c r="A42" i="117"/>
  <c r="A41" i="117"/>
  <c r="A40" i="117"/>
  <c r="A39" i="117"/>
  <c r="A38" i="117"/>
  <c r="A37" i="117"/>
  <c r="A36" i="117"/>
  <c r="A35" i="117"/>
  <c r="A34" i="117"/>
  <c r="A33" i="117"/>
  <c r="A32" i="117"/>
  <c r="A31" i="117"/>
  <c r="A30" i="117"/>
  <c r="A29" i="117"/>
  <c r="A25" i="117"/>
  <c r="A24" i="117"/>
  <c r="A23" i="117"/>
  <c r="A22" i="117"/>
  <c r="A21" i="117"/>
  <c r="A20" i="117"/>
  <c r="A19" i="117"/>
  <c r="A18" i="117"/>
  <c r="A17" i="117"/>
  <c r="A16" i="117"/>
  <c r="A15" i="117"/>
  <c r="A14" i="117"/>
  <c r="A13" i="117"/>
  <c r="A12" i="117"/>
  <c r="A11" i="117"/>
  <c r="A10" i="117"/>
  <c r="A9" i="117"/>
  <c r="A5" i="117"/>
  <c r="A4" i="117"/>
  <c r="A3" i="117"/>
  <c r="A60" i="98"/>
  <c r="A59" i="98"/>
  <c r="A58" i="98"/>
  <c r="A57" i="98"/>
  <c r="A56" i="98"/>
  <c r="A55" i="98"/>
  <c r="A54" i="98"/>
  <c r="A53" i="98"/>
  <c r="A52" i="98"/>
  <c r="A51" i="98"/>
  <c r="A47" i="98"/>
  <c r="A46" i="98"/>
  <c r="A45" i="98"/>
  <c r="A44" i="98"/>
  <c r="A43" i="98"/>
  <c r="A42" i="98"/>
  <c r="A41" i="98"/>
  <c r="A40" i="98"/>
  <c r="A39" i="98"/>
  <c r="A38" i="98"/>
  <c r="A37" i="98"/>
  <c r="A36" i="98"/>
  <c r="A35" i="98"/>
  <c r="A34" i="98"/>
  <c r="A33" i="98"/>
  <c r="A32" i="98"/>
  <c r="A31" i="98"/>
  <c r="A30" i="98"/>
  <c r="A29" i="98"/>
  <c r="A25" i="98"/>
  <c r="A24" i="98"/>
  <c r="A23" i="98"/>
  <c r="A22" i="98"/>
  <c r="A21" i="98"/>
  <c r="A20" i="98"/>
  <c r="A19" i="98"/>
  <c r="A18" i="98"/>
  <c r="A17" i="98"/>
  <c r="A16" i="98"/>
  <c r="A15" i="98"/>
  <c r="A14" i="98"/>
  <c r="A13" i="98"/>
  <c r="A12" i="98"/>
  <c r="A11" i="98"/>
  <c r="A10" i="98"/>
  <c r="A9" i="98"/>
  <c r="A5" i="98"/>
  <c r="A4" i="98"/>
  <c r="A3" i="98"/>
  <c r="A191" i="105"/>
  <c r="A161" i="105"/>
  <c r="A131" i="105"/>
  <c r="A101" i="105"/>
  <c r="A71" i="105"/>
  <c r="A60" i="105"/>
  <c r="A59" i="105"/>
  <c r="A58" i="105"/>
  <c r="A57" i="105"/>
  <c r="A56" i="105"/>
  <c r="A55" i="105"/>
  <c r="A54" i="105"/>
  <c r="A53" i="105"/>
  <c r="A52" i="105"/>
  <c r="A51" i="105"/>
  <c r="A47" i="105"/>
  <c r="A46" i="105"/>
  <c r="A45" i="105"/>
  <c r="A44" i="105"/>
  <c r="A43" i="105"/>
  <c r="A42" i="105"/>
  <c r="A41" i="105"/>
  <c r="A40" i="105"/>
  <c r="A39" i="105"/>
  <c r="A38" i="105"/>
  <c r="A37" i="105"/>
  <c r="A36" i="105"/>
  <c r="A35" i="105"/>
  <c r="A34" i="105"/>
  <c r="A33" i="105"/>
  <c r="A32" i="105"/>
  <c r="A31" i="105"/>
  <c r="A30" i="105"/>
  <c r="A29" i="105"/>
  <c r="A25" i="105"/>
  <c r="A24" i="105"/>
  <c r="A23" i="105"/>
  <c r="A22" i="105"/>
  <c r="A21" i="105"/>
  <c r="A20" i="105"/>
  <c r="A19" i="105"/>
  <c r="A18" i="105"/>
  <c r="A17" i="105"/>
  <c r="A16" i="105"/>
  <c r="A15" i="105"/>
  <c r="A14" i="105"/>
  <c r="A13" i="105"/>
  <c r="A12" i="105"/>
  <c r="A11" i="105"/>
  <c r="A10" i="105"/>
  <c r="A9" i="105"/>
  <c r="A5" i="105"/>
  <c r="A4" i="105"/>
  <c r="A3" i="105"/>
  <c r="A60" i="102"/>
  <c r="A59" i="102"/>
  <c r="A58" i="102"/>
  <c r="A57" i="102"/>
  <c r="A56" i="102"/>
  <c r="A55" i="102"/>
  <c r="A54" i="102"/>
  <c r="A53" i="102"/>
  <c r="A52" i="102"/>
  <c r="A51" i="102"/>
  <c r="A47" i="102"/>
  <c r="A46" i="102"/>
  <c r="A45" i="102"/>
  <c r="A44" i="102"/>
  <c r="A43" i="102"/>
  <c r="A42" i="102"/>
  <c r="A41" i="102"/>
  <c r="A40" i="102"/>
  <c r="A39" i="102"/>
  <c r="A38" i="102"/>
  <c r="A37" i="102"/>
  <c r="A36" i="102"/>
  <c r="A35" i="102"/>
  <c r="A34" i="102"/>
  <c r="A33" i="102"/>
  <c r="A32" i="102"/>
  <c r="A31" i="102"/>
  <c r="A30" i="102"/>
  <c r="A29" i="102"/>
  <c r="A25" i="102"/>
  <c r="A24" i="102"/>
  <c r="A23" i="102"/>
  <c r="A22" i="102"/>
  <c r="A21" i="102"/>
  <c r="A20" i="102"/>
  <c r="A19" i="102"/>
  <c r="A18" i="102"/>
  <c r="A17" i="102"/>
  <c r="A16" i="102"/>
  <c r="A15" i="102"/>
  <c r="A14" i="102"/>
  <c r="A13" i="102"/>
  <c r="A12" i="102"/>
  <c r="A11" i="102"/>
  <c r="A10" i="102"/>
  <c r="A9" i="102"/>
  <c r="A5" i="102"/>
  <c r="A4" i="102"/>
  <c r="A3" i="102"/>
  <c r="A60" i="101"/>
  <c r="A59" i="101"/>
  <c r="A58" i="101"/>
  <c r="A57" i="101"/>
  <c r="A56" i="101"/>
  <c r="A55" i="101"/>
  <c r="A54" i="101"/>
  <c r="A53" i="101"/>
  <c r="A52" i="101"/>
  <c r="A51" i="101"/>
  <c r="A47" i="101"/>
  <c r="A46" i="101"/>
  <c r="A45" i="101"/>
  <c r="A44" i="101"/>
  <c r="A43" i="101"/>
  <c r="A42" i="101"/>
  <c r="A41" i="101"/>
  <c r="A40" i="101"/>
  <c r="A39" i="101"/>
  <c r="A38" i="101"/>
  <c r="A37" i="101"/>
  <c r="A36" i="101"/>
  <c r="A35" i="101"/>
  <c r="A34" i="101"/>
  <c r="A33" i="101"/>
  <c r="A32" i="101"/>
  <c r="A31" i="101"/>
  <c r="A30" i="101"/>
  <c r="A29" i="101"/>
  <c r="A25" i="101"/>
  <c r="A24" i="101"/>
  <c r="A23" i="101"/>
  <c r="A22" i="101"/>
  <c r="A21" i="101"/>
  <c r="A20" i="101"/>
  <c r="A19" i="101"/>
  <c r="A18" i="101"/>
  <c r="A17" i="101"/>
  <c r="A16" i="101"/>
  <c r="A15" i="101"/>
  <c r="A14" i="101"/>
  <c r="A13" i="101"/>
  <c r="A12" i="101"/>
  <c r="A11" i="101"/>
  <c r="A10" i="101"/>
  <c r="A9" i="101"/>
  <c r="A5" i="101"/>
  <c r="A4" i="101"/>
  <c r="A3" i="101"/>
  <c r="A60" i="109"/>
  <c r="A59" i="109"/>
  <c r="A58" i="109"/>
  <c r="A57" i="109"/>
  <c r="A56" i="109"/>
  <c r="A55" i="109"/>
  <c r="A54" i="109"/>
  <c r="A53" i="109"/>
  <c r="A52" i="109"/>
  <c r="A51" i="109"/>
  <c r="A47" i="109"/>
  <c r="A46" i="109"/>
  <c r="A45" i="109"/>
  <c r="A44" i="109"/>
  <c r="A43" i="109"/>
  <c r="A42" i="109"/>
  <c r="A41" i="109"/>
  <c r="A40" i="109"/>
  <c r="A39" i="109"/>
  <c r="A38" i="109"/>
  <c r="A37" i="109"/>
  <c r="A36" i="109"/>
  <c r="A35" i="109"/>
  <c r="A34" i="109"/>
  <c r="A33" i="109"/>
  <c r="A32" i="109"/>
  <c r="A31" i="109"/>
  <c r="A30" i="109"/>
  <c r="A29" i="109"/>
  <c r="A25" i="109"/>
  <c r="A24" i="109"/>
  <c r="A23" i="109"/>
  <c r="A22" i="109"/>
  <c r="A21" i="109"/>
  <c r="A20" i="109"/>
  <c r="A19" i="109"/>
  <c r="A18" i="109"/>
  <c r="A17" i="109"/>
  <c r="A16" i="109"/>
  <c r="A15" i="109"/>
  <c r="A14" i="109"/>
  <c r="A13" i="109"/>
  <c r="A12" i="109"/>
  <c r="A11" i="109"/>
  <c r="A10" i="109"/>
  <c r="A9" i="109"/>
  <c r="A5" i="109"/>
  <c r="A4" i="109"/>
  <c r="A3" i="109"/>
  <c r="A60" i="108"/>
  <c r="A59" i="108"/>
  <c r="A58" i="108"/>
  <c r="A57" i="108"/>
  <c r="A56" i="108"/>
  <c r="A55" i="108"/>
  <c r="A54" i="108"/>
  <c r="A53" i="108"/>
  <c r="A52" i="108"/>
  <c r="A51" i="108"/>
  <c r="A47" i="108"/>
  <c r="A46" i="108"/>
  <c r="A45" i="108"/>
  <c r="A44" i="108"/>
  <c r="A43" i="108"/>
  <c r="A42" i="108"/>
  <c r="A41" i="108"/>
  <c r="A40" i="108"/>
  <c r="A39" i="108"/>
  <c r="A38" i="108"/>
  <c r="A37" i="108"/>
  <c r="A36" i="108"/>
  <c r="A35" i="108"/>
  <c r="A34" i="108"/>
  <c r="A33" i="108"/>
  <c r="A32" i="108"/>
  <c r="A31" i="108"/>
  <c r="A30" i="108"/>
  <c r="A29" i="108"/>
  <c r="A25" i="108"/>
  <c r="A24" i="108"/>
  <c r="A23" i="108"/>
  <c r="A22" i="108"/>
  <c r="A21" i="108"/>
  <c r="A20" i="108"/>
  <c r="A19" i="108"/>
  <c r="A18" i="108"/>
  <c r="A17" i="108"/>
  <c r="A16" i="108"/>
  <c r="A15" i="108"/>
  <c r="A14" i="108"/>
  <c r="A13" i="108"/>
  <c r="A12" i="108"/>
  <c r="A11" i="108"/>
  <c r="A10" i="108"/>
  <c r="A9" i="108"/>
  <c r="A5" i="108"/>
  <c r="A4" i="108"/>
  <c r="A3" i="108"/>
  <c r="A71" i="95"/>
  <c r="A60" i="95"/>
  <c r="A59" i="95"/>
  <c r="A58" i="95"/>
  <c r="A57" i="95"/>
  <c r="A56" i="95"/>
  <c r="A55" i="95"/>
  <c r="A54" i="95"/>
  <c r="A53" i="95"/>
  <c r="A52" i="95"/>
  <c r="A51" i="95"/>
  <c r="A47" i="95"/>
  <c r="A46" i="95"/>
  <c r="A45" i="95"/>
  <c r="A44" i="95"/>
  <c r="A43" i="95"/>
  <c r="A42" i="95"/>
  <c r="A41" i="95"/>
  <c r="A40" i="95"/>
  <c r="A39" i="95"/>
  <c r="A38" i="95"/>
  <c r="A37" i="95"/>
  <c r="A36" i="95"/>
  <c r="A35" i="95"/>
  <c r="A34" i="95"/>
  <c r="A33" i="95"/>
  <c r="A32" i="95"/>
  <c r="A31" i="95"/>
  <c r="A30" i="95"/>
  <c r="A29" i="95"/>
  <c r="A25" i="95"/>
  <c r="A24" i="95"/>
  <c r="A23" i="95"/>
  <c r="A22" i="95"/>
  <c r="A21" i="95"/>
  <c r="A20" i="95"/>
  <c r="A19" i="95"/>
  <c r="A18" i="95"/>
  <c r="A17" i="95"/>
  <c r="A16" i="95"/>
  <c r="A15" i="95"/>
  <c r="A14" i="95"/>
  <c r="A13" i="95"/>
  <c r="A12" i="95"/>
  <c r="A11" i="95"/>
  <c r="A10" i="95"/>
  <c r="A9" i="95"/>
  <c r="A5" i="95"/>
  <c r="A4" i="95"/>
  <c r="A3" i="95"/>
  <c r="A131" i="94"/>
  <c r="A101" i="94"/>
  <c r="A71" i="94"/>
  <c r="A60" i="94"/>
  <c r="A59" i="94"/>
  <c r="A58" i="94"/>
  <c r="A57" i="94"/>
  <c r="A56" i="94"/>
  <c r="A55" i="94"/>
  <c r="A54" i="94"/>
  <c r="A53" i="94"/>
  <c r="A52" i="94"/>
  <c r="A51" i="94"/>
  <c r="A47" i="94"/>
  <c r="A46" i="94"/>
  <c r="A45" i="94"/>
  <c r="A44" i="94"/>
  <c r="A43" i="94"/>
  <c r="A42" i="94"/>
  <c r="A41" i="94"/>
  <c r="A40" i="94"/>
  <c r="A39" i="94"/>
  <c r="A38" i="94"/>
  <c r="A37" i="94"/>
  <c r="A36" i="94"/>
  <c r="A35" i="94"/>
  <c r="A34" i="94"/>
  <c r="A33" i="94"/>
  <c r="A32" i="94"/>
  <c r="A31" i="94"/>
  <c r="A30" i="94"/>
  <c r="A29" i="94"/>
  <c r="A25" i="94"/>
  <c r="A24" i="94"/>
  <c r="A23" i="94"/>
  <c r="A22" i="94"/>
  <c r="A21" i="94"/>
  <c r="A20" i="94"/>
  <c r="A19" i="94"/>
  <c r="A18" i="94"/>
  <c r="A17" i="94"/>
  <c r="A16" i="94"/>
  <c r="A15" i="94"/>
  <c r="A14" i="94"/>
  <c r="A13" i="94"/>
  <c r="A12" i="94"/>
  <c r="A11" i="94"/>
  <c r="A10" i="94"/>
  <c r="A9" i="94"/>
  <c r="A5" i="94"/>
  <c r="A4" i="94"/>
  <c r="A3" i="94"/>
  <c r="A60" i="93"/>
  <c r="A59" i="93"/>
  <c r="A58" i="93"/>
  <c r="A57" i="93"/>
  <c r="A56" i="93"/>
  <c r="A55" i="93"/>
  <c r="A54" i="93"/>
  <c r="A53" i="93"/>
  <c r="A52" i="93"/>
  <c r="A51" i="93"/>
  <c r="A47" i="93"/>
  <c r="A46" i="93"/>
  <c r="A45" i="93"/>
  <c r="A44" i="93"/>
  <c r="A43" i="93"/>
  <c r="A42" i="93"/>
  <c r="A41" i="93"/>
  <c r="A40" i="93"/>
  <c r="A39" i="93"/>
  <c r="A38" i="93"/>
  <c r="A37" i="93"/>
  <c r="A36" i="93"/>
  <c r="A35" i="93"/>
  <c r="A34" i="93"/>
  <c r="A33" i="93"/>
  <c r="A32" i="93"/>
  <c r="A31" i="93"/>
  <c r="A30" i="93"/>
  <c r="A29" i="93"/>
  <c r="A25" i="93"/>
  <c r="A24" i="93"/>
  <c r="A23" i="93"/>
  <c r="A22" i="93"/>
  <c r="A21" i="93"/>
  <c r="A20" i="93"/>
  <c r="A19" i="93"/>
  <c r="A18" i="93"/>
  <c r="A17" i="93"/>
  <c r="A16" i="93"/>
  <c r="A15" i="93"/>
  <c r="A14" i="93"/>
  <c r="A13" i="93"/>
  <c r="A12" i="93"/>
  <c r="A11" i="93"/>
  <c r="A10" i="93"/>
  <c r="A9" i="93"/>
  <c r="A5" i="93"/>
  <c r="A4" i="93"/>
  <c r="A3" i="93"/>
  <c r="A60" i="92"/>
  <c r="A59" i="92"/>
  <c r="A58" i="92"/>
  <c r="A57" i="92"/>
  <c r="A56" i="92"/>
  <c r="A55" i="92"/>
  <c r="A54" i="92"/>
  <c r="A53" i="92"/>
  <c r="A52" i="92"/>
  <c r="A51" i="92"/>
  <c r="A47" i="92"/>
  <c r="A46" i="92"/>
  <c r="A45" i="92"/>
  <c r="A44" i="92"/>
  <c r="A43" i="92"/>
  <c r="A42" i="92"/>
  <c r="A41" i="92"/>
  <c r="A40" i="92"/>
  <c r="A39" i="92"/>
  <c r="A38" i="92"/>
  <c r="A37" i="92"/>
  <c r="A36" i="92"/>
  <c r="A35" i="92"/>
  <c r="A34" i="92"/>
  <c r="A33" i="92"/>
  <c r="A32" i="92"/>
  <c r="A31" i="92"/>
  <c r="A30" i="92"/>
  <c r="A29" i="92"/>
  <c r="A25" i="92"/>
  <c r="A24" i="92"/>
  <c r="A23" i="92"/>
  <c r="A22" i="92"/>
  <c r="A21" i="92"/>
  <c r="A20" i="92"/>
  <c r="A19" i="92"/>
  <c r="A18" i="92"/>
  <c r="A17" i="92"/>
  <c r="A16" i="92"/>
  <c r="A15" i="92"/>
  <c r="A14" i="92"/>
  <c r="A13" i="92"/>
  <c r="A12" i="92"/>
  <c r="A11" i="92"/>
  <c r="A10" i="92"/>
  <c r="A9" i="92"/>
  <c r="A5" i="92"/>
  <c r="A4" i="92"/>
  <c r="A3" i="92"/>
  <c r="A71" i="91"/>
  <c r="A60" i="91"/>
  <c r="A59" i="91"/>
  <c r="A58" i="91"/>
  <c r="A57" i="91"/>
  <c r="A56" i="91"/>
  <c r="A55" i="91"/>
  <c r="A54" i="91"/>
  <c r="A53" i="91"/>
  <c r="A52" i="91"/>
  <c r="A51" i="91"/>
  <c r="A47" i="91"/>
  <c r="A46" i="91"/>
  <c r="A45" i="91"/>
  <c r="A44" i="91"/>
  <c r="A43" i="91"/>
  <c r="A42" i="91"/>
  <c r="A41" i="91"/>
  <c r="A40" i="91"/>
  <c r="A39" i="91"/>
  <c r="A38" i="91"/>
  <c r="A37" i="91"/>
  <c r="A36" i="91"/>
  <c r="A35" i="91"/>
  <c r="A34" i="91"/>
  <c r="A33" i="91"/>
  <c r="A32" i="91"/>
  <c r="A31" i="91"/>
  <c r="A30" i="91"/>
  <c r="A29" i="91"/>
  <c r="A25" i="91"/>
  <c r="A24" i="91"/>
  <c r="A23" i="91"/>
  <c r="A22" i="91"/>
  <c r="A21" i="91"/>
  <c r="A20" i="91"/>
  <c r="A19" i="91"/>
  <c r="A18" i="91"/>
  <c r="A17" i="91"/>
  <c r="A16" i="91"/>
  <c r="A15" i="91"/>
  <c r="A14" i="91"/>
  <c r="A13" i="91"/>
  <c r="A12" i="91"/>
  <c r="A11" i="91"/>
  <c r="A10" i="91"/>
  <c r="A9" i="91"/>
  <c r="A5" i="91"/>
  <c r="A4" i="91"/>
  <c r="A3" i="91"/>
  <c r="A101" i="90"/>
  <c r="A71" i="90"/>
  <c r="A60" i="90"/>
  <c r="A59" i="90"/>
  <c r="A58" i="90"/>
  <c r="A57" i="90"/>
  <c r="A56" i="90"/>
  <c r="A55" i="90"/>
  <c r="A54" i="90"/>
  <c r="A53" i="90"/>
  <c r="A52" i="90"/>
  <c r="A51" i="90"/>
  <c r="A47" i="90"/>
  <c r="A46" i="90"/>
  <c r="A45" i="90"/>
  <c r="A44" i="90"/>
  <c r="A43" i="90"/>
  <c r="A42" i="90"/>
  <c r="A41" i="90"/>
  <c r="A40" i="90"/>
  <c r="A39" i="90"/>
  <c r="A38" i="90"/>
  <c r="A37" i="90"/>
  <c r="A36" i="90"/>
  <c r="A35" i="90"/>
  <c r="A34" i="90"/>
  <c r="A33" i="90"/>
  <c r="A32" i="90"/>
  <c r="A31" i="90"/>
  <c r="A30" i="90"/>
  <c r="A29" i="90"/>
  <c r="A25" i="90"/>
  <c r="A24" i="90"/>
  <c r="A23" i="90"/>
  <c r="A22" i="90"/>
  <c r="A21" i="90"/>
  <c r="A20" i="90"/>
  <c r="A19" i="90"/>
  <c r="A18" i="90"/>
  <c r="A17" i="90"/>
  <c r="A16" i="90"/>
  <c r="A15" i="90"/>
  <c r="A14" i="90"/>
  <c r="A13" i="90"/>
  <c r="A12" i="90"/>
  <c r="A11" i="90"/>
  <c r="A10" i="90"/>
  <c r="A9" i="90"/>
  <c r="A5" i="90"/>
  <c r="A4" i="90"/>
  <c r="A3" i="90"/>
  <c r="A60" i="86"/>
  <c r="A59" i="86"/>
  <c r="A58" i="86"/>
  <c r="A57" i="86"/>
  <c r="A56" i="86"/>
  <c r="A55" i="86"/>
  <c r="A54" i="86"/>
  <c r="A53" i="86"/>
  <c r="A52" i="86"/>
  <c r="A51" i="86"/>
  <c r="A47" i="86"/>
  <c r="A46" i="86"/>
  <c r="A45" i="86"/>
  <c r="A44" i="86"/>
  <c r="A43" i="86"/>
  <c r="A42" i="86"/>
  <c r="A41" i="86"/>
  <c r="A40" i="86"/>
  <c r="A39" i="86"/>
  <c r="A38" i="86"/>
  <c r="A37" i="86"/>
  <c r="A36" i="86"/>
  <c r="A35" i="86"/>
  <c r="A34" i="86"/>
  <c r="A33" i="86"/>
  <c r="A32" i="86"/>
  <c r="A31" i="86"/>
  <c r="A30" i="86"/>
  <c r="A29" i="86"/>
  <c r="A25" i="86"/>
  <c r="A24" i="86"/>
  <c r="A23" i="86"/>
  <c r="A22" i="86"/>
  <c r="A21" i="86"/>
  <c r="A20" i="86"/>
  <c r="A19" i="86"/>
  <c r="A18" i="86"/>
  <c r="A17" i="86"/>
  <c r="A16" i="86"/>
  <c r="A15" i="86"/>
  <c r="A14" i="86"/>
  <c r="A13" i="86"/>
  <c r="A12" i="86"/>
  <c r="A11" i="86"/>
  <c r="A10" i="86"/>
  <c r="A9" i="86"/>
  <c r="A5" i="86"/>
  <c r="A4" i="86"/>
  <c r="A3" i="86"/>
  <c r="A60" i="85"/>
  <c r="A59" i="85"/>
  <c r="A58" i="85"/>
  <c r="A57" i="85"/>
  <c r="A56" i="85"/>
  <c r="A55" i="85"/>
  <c r="A54" i="85"/>
  <c r="A53" i="85"/>
  <c r="A52" i="85"/>
  <c r="A51" i="85"/>
  <c r="A47" i="85"/>
  <c r="A46" i="85"/>
  <c r="A45" i="85"/>
  <c r="A44" i="85"/>
  <c r="A43" i="85"/>
  <c r="A42" i="85"/>
  <c r="A41" i="85"/>
  <c r="A40" i="85"/>
  <c r="A39" i="85"/>
  <c r="A38" i="85"/>
  <c r="A37" i="85"/>
  <c r="A36" i="85"/>
  <c r="A35" i="85"/>
  <c r="A34" i="85"/>
  <c r="A33" i="85"/>
  <c r="A32" i="85"/>
  <c r="A31" i="85"/>
  <c r="A30" i="85"/>
  <c r="A29" i="85"/>
  <c r="A25" i="85"/>
  <c r="A24" i="85"/>
  <c r="A23" i="85"/>
  <c r="A22" i="85"/>
  <c r="A21" i="85"/>
  <c r="A20" i="85"/>
  <c r="A19" i="85"/>
  <c r="A18" i="85"/>
  <c r="A17" i="85"/>
  <c r="A16" i="85"/>
  <c r="A15" i="85"/>
  <c r="A14" i="85"/>
  <c r="A13" i="85"/>
  <c r="A12" i="85"/>
  <c r="A11" i="85"/>
  <c r="A10" i="85"/>
  <c r="A9" i="85"/>
  <c r="A5" i="85"/>
  <c r="A4" i="85"/>
  <c r="A3" i="85"/>
  <c r="A251" i="84"/>
  <c r="A221" i="84"/>
  <c r="A191" i="84"/>
  <c r="A161" i="84"/>
  <c r="A131" i="84"/>
  <c r="A101" i="84"/>
  <c r="A71" i="84"/>
  <c r="A60" i="84"/>
  <c r="A59" i="84"/>
  <c r="A58" i="84"/>
  <c r="A57" i="84"/>
  <c r="A56" i="84"/>
  <c r="A55" i="84"/>
  <c r="A54" i="84"/>
  <c r="A53" i="84"/>
  <c r="A52" i="84"/>
  <c r="A51" i="84"/>
  <c r="A47" i="84"/>
  <c r="A46" i="84"/>
  <c r="A45" i="84"/>
  <c r="A44" i="84"/>
  <c r="A43" i="84"/>
  <c r="A42" i="84"/>
  <c r="A41" i="84"/>
  <c r="A40" i="84"/>
  <c r="A39" i="84"/>
  <c r="A38" i="84"/>
  <c r="A37" i="84"/>
  <c r="A36" i="84"/>
  <c r="A35" i="84"/>
  <c r="A34" i="84"/>
  <c r="A33" i="84"/>
  <c r="A32" i="84"/>
  <c r="A31" i="84"/>
  <c r="A30" i="84"/>
  <c r="A29" i="84"/>
  <c r="A25" i="84"/>
  <c r="A24" i="84"/>
  <c r="A23" i="84"/>
  <c r="A22" i="84"/>
  <c r="A21" i="84"/>
  <c r="A20" i="84"/>
  <c r="A19" i="84"/>
  <c r="A18" i="84"/>
  <c r="A17" i="84"/>
  <c r="A16" i="84"/>
  <c r="A15" i="84"/>
  <c r="A14" i="84"/>
  <c r="A13" i="84"/>
  <c r="A12" i="84"/>
  <c r="A11" i="84"/>
  <c r="A10" i="84"/>
  <c r="A9" i="84"/>
  <c r="A5" i="84"/>
  <c r="A4" i="84"/>
  <c r="A3" i="84"/>
  <c r="A281" i="83"/>
  <c r="A251" i="83"/>
  <c r="A221" i="83"/>
  <c r="A191" i="83"/>
  <c r="A161" i="83"/>
  <c r="A131" i="83"/>
  <c r="A101" i="83"/>
  <c r="A71" i="83"/>
  <c r="A60" i="83"/>
  <c r="A59" i="83"/>
  <c r="A58" i="83"/>
  <c r="A57" i="83"/>
  <c r="A56" i="83"/>
  <c r="A55" i="83"/>
  <c r="A54" i="83"/>
  <c r="A53" i="83"/>
  <c r="A52" i="83"/>
  <c r="A51" i="83"/>
  <c r="A47" i="83"/>
  <c r="A46" i="83"/>
  <c r="A45" i="83"/>
  <c r="A44" i="83"/>
  <c r="A43" i="83"/>
  <c r="A42" i="83"/>
  <c r="A41" i="83"/>
  <c r="A40" i="83"/>
  <c r="A39" i="83"/>
  <c r="A38" i="83"/>
  <c r="A37" i="83"/>
  <c r="A36" i="83"/>
  <c r="A35" i="83"/>
  <c r="A34" i="83"/>
  <c r="A33" i="83"/>
  <c r="A32" i="83"/>
  <c r="A31" i="83"/>
  <c r="A30" i="83"/>
  <c r="A29" i="83"/>
  <c r="A25" i="83"/>
  <c r="A24" i="83"/>
  <c r="A23" i="83"/>
  <c r="A22" i="83"/>
  <c r="A21" i="83"/>
  <c r="A20" i="83"/>
  <c r="A19" i="83"/>
  <c r="A18" i="83"/>
  <c r="A17" i="83"/>
  <c r="A16" i="83"/>
  <c r="A15" i="83"/>
  <c r="A14" i="83"/>
  <c r="A13" i="83"/>
  <c r="A12" i="83"/>
  <c r="A11" i="83"/>
  <c r="A10" i="83"/>
  <c r="A9" i="83"/>
  <c r="A5" i="83"/>
  <c r="A4" i="83"/>
  <c r="A3" i="83"/>
  <c r="A161" i="88"/>
  <c r="A131" i="88"/>
  <c r="A101" i="88"/>
  <c r="A71" i="88"/>
  <c r="A60" i="88"/>
  <c r="A59" i="88"/>
  <c r="A58" i="88"/>
  <c r="A57" i="88"/>
  <c r="A56" i="88"/>
  <c r="A55" i="88"/>
  <c r="A54" i="88"/>
  <c r="A53" i="88"/>
  <c r="A52" i="88"/>
  <c r="A51" i="88"/>
  <c r="A47" i="88"/>
  <c r="A46" i="88"/>
  <c r="A45" i="88"/>
  <c r="A44" i="88"/>
  <c r="A43" i="88"/>
  <c r="A42" i="88"/>
  <c r="A41" i="88"/>
  <c r="A40" i="88"/>
  <c r="A39" i="88"/>
  <c r="A38" i="88"/>
  <c r="A37" i="88"/>
  <c r="A36" i="88"/>
  <c r="A35" i="88"/>
  <c r="A34" i="88"/>
  <c r="A33" i="88"/>
  <c r="A32" i="88"/>
  <c r="A31" i="88"/>
  <c r="A30" i="88"/>
  <c r="A29" i="88"/>
  <c r="A25" i="88"/>
  <c r="A24" i="88"/>
  <c r="A23" i="88"/>
  <c r="A22" i="88"/>
  <c r="A21" i="88"/>
  <c r="A20" i="88"/>
  <c r="A19" i="88"/>
  <c r="A18" i="88"/>
  <c r="A17" i="88"/>
  <c r="A16" i="88"/>
  <c r="A15" i="88"/>
  <c r="A14" i="88"/>
  <c r="A13" i="88"/>
  <c r="A12" i="88"/>
  <c r="A11" i="88"/>
  <c r="A10" i="88"/>
  <c r="A9" i="88"/>
  <c r="A5" i="88"/>
  <c r="A4" i="88"/>
  <c r="A3" i="88"/>
  <c r="A71" i="78"/>
  <c r="A60" i="78"/>
  <c r="A59" i="78"/>
  <c r="A58" i="78"/>
  <c r="A57" i="78"/>
  <c r="A56" i="78"/>
  <c r="A55" i="78"/>
  <c r="A54" i="78"/>
  <c r="A53" i="78"/>
  <c r="A52" i="78"/>
  <c r="A51" i="78"/>
  <c r="A47" i="78"/>
  <c r="A46" i="78"/>
  <c r="A45" i="78"/>
  <c r="A44" i="78"/>
  <c r="A43" i="78"/>
  <c r="A42" i="78"/>
  <c r="A41" i="78"/>
  <c r="A40" i="78"/>
  <c r="A39" i="78"/>
  <c r="A38" i="78"/>
  <c r="A37" i="78"/>
  <c r="A36" i="78"/>
  <c r="A35" i="78"/>
  <c r="A34" i="78"/>
  <c r="A33" i="78"/>
  <c r="A32" i="78"/>
  <c r="A31" i="78"/>
  <c r="A30" i="78"/>
  <c r="A29" i="78"/>
  <c r="A25" i="78"/>
  <c r="A24" i="78"/>
  <c r="A23" i="78"/>
  <c r="A22" i="78"/>
  <c r="A21" i="78"/>
  <c r="A20" i="78"/>
  <c r="A19" i="78"/>
  <c r="A18" i="78"/>
  <c r="A17" i="78"/>
  <c r="A16" i="78"/>
  <c r="A15" i="78"/>
  <c r="A14" i="78"/>
  <c r="A13" i="78"/>
  <c r="A12" i="78"/>
  <c r="A11" i="78"/>
  <c r="A10" i="78"/>
  <c r="A9" i="78"/>
  <c r="A5" i="78"/>
  <c r="A4" i="78"/>
  <c r="A3" i="78"/>
  <c r="A60" i="116"/>
  <c r="A59" i="116"/>
  <c r="A58" i="116"/>
  <c r="A57" i="116"/>
  <c r="A56" i="116"/>
  <c r="A55" i="116"/>
  <c r="A54" i="116"/>
  <c r="A53" i="116"/>
  <c r="A52" i="116"/>
  <c r="A51" i="116"/>
  <c r="A47" i="116"/>
  <c r="A46" i="116"/>
  <c r="A45" i="116"/>
  <c r="A44" i="116"/>
  <c r="A43" i="116"/>
  <c r="A42" i="116"/>
  <c r="A41" i="116"/>
  <c r="A40" i="116"/>
  <c r="A39" i="116"/>
  <c r="A38" i="116"/>
  <c r="A37" i="116"/>
  <c r="A36" i="116"/>
  <c r="A35" i="116"/>
  <c r="A34" i="116"/>
  <c r="A33" i="116"/>
  <c r="A32" i="116"/>
  <c r="A31" i="116"/>
  <c r="A30" i="116"/>
  <c r="A29" i="116"/>
  <c r="A25" i="116"/>
  <c r="A24" i="116"/>
  <c r="A23" i="116"/>
  <c r="A22" i="116"/>
  <c r="A21" i="116"/>
  <c r="A20" i="116"/>
  <c r="A19" i="116"/>
  <c r="A18" i="116"/>
  <c r="A17" i="116"/>
  <c r="A16" i="116"/>
  <c r="A15" i="116"/>
  <c r="A14" i="116"/>
  <c r="A13" i="116"/>
  <c r="A12" i="116"/>
  <c r="A11" i="116"/>
  <c r="A10" i="116"/>
  <c r="A9" i="116"/>
  <c r="A5" i="116"/>
  <c r="A4" i="116"/>
  <c r="A3" i="116"/>
  <c r="A60" i="104"/>
  <c r="A59" i="104"/>
  <c r="A58" i="104"/>
  <c r="A57" i="104"/>
  <c r="A56" i="104"/>
  <c r="A55" i="104"/>
  <c r="A54" i="104"/>
  <c r="A53" i="104"/>
  <c r="A52" i="104"/>
  <c r="A51" i="104"/>
  <c r="A47" i="104"/>
  <c r="A46" i="104"/>
  <c r="A45" i="104"/>
  <c r="A44" i="104"/>
  <c r="A43" i="104"/>
  <c r="A42" i="104"/>
  <c r="A41" i="104"/>
  <c r="A40" i="104"/>
  <c r="A39" i="104"/>
  <c r="A38" i="104"/>
  <c r="A37" i="104"/>
  <c r="A36" i="104"/>
  <c r="A35" i="104"/>
  <c r="A34" i="104"/>
  <c r="A33" i="104"/>
  <c r="A32" i="104"/>
  <c r="A31" i="104"/>
  <c r="A30" i="104"/>
  <c r="A29" i="104"/>
  <c r="A25" i="104"/>
  <c r="A24" i="104"/>
  <c r="A23" i="104"/>
  <c r="A22" i="104"/>
  <c r="A21" i="104"/>
  <c r="A20" i="104"/>
  <c r="A19" i="104"/>
  <c r="A18" i="104"/>
  <c r="A17" i="104"/>
  <c r="A16" i="104"/>
  <c r="A15" i="104"/>
  <c r="A14" i="104"/>
  <c r="A13" i="104"/>
  <c r="A12" i="104"/>
  <c r="A11" i="104"/>
  <c r="A10" i="104"/>
  <c r="A9" i="104"/>
  <c r="A5" i="104"/>
  <c r="A4" i="104"/>
  <c r="A3" i="104"/>
  <c r="A60" i="115"/>
  <c r="A59" i="115"/>
  <c r="A58" i="115"/>
  <c r="A57" i="115"/>
  <c r="A56" i="115"/>
  <c r="A55" i="115"/>
  <c r="A54" i="115"/>
  <c r="A53" i="115"/>
  <c r="A52" i="115"/>
  <c r="A51" i="115"/>
  <c r="A47" i="115"/>
  <c r="A46" i="115"/>
  <c r="A45" i="115"/>
  <c r="A44" i="115"/>
  <c r="A43" i="115"/>
  <c r="A42" i="115"/>
  <c r="A41" i="115"/>
  <c r="A40" i="115"/>
  <c r="A39" i="115"/>
  <c r="A38" i="115"/>
  <c r="A37" i="115"/>
  <c r="A36" i="115"/>
  <c r="A35" i="115"/>
  <c r="A34" i="115"/>
  <c r="A33" i="115"/>
  <c r="A32" i="115"/>
  <c r="A31" i="115"/>
  <c r="A30" i="115"/>
  <c r="A29" i="115"/>
  <c r="A25" i="115"/>
  <c r="A24" i="115"/>
  <c r="A23" i="115"/>
  <c r="A22" i="115"/>
  <c r="A21" i="115"/>
  <c r="A20" i="115"/>
  <c r="A19" i="115"/>
  <c r="A18" i="115"/>
  <c r="A17" i="115"/>
  <c r="A16" i="115"/>
  <c r="A15" i="115"/>
  <c r="A14" i="115"/>
  <c r="A13" i="115"/>
  <c r="A12" i="115"/>
  <c r="A11" i="115"/>
  <c r="A10" i="115"/>
  <c r="A9" i="115"/>
  <c r="A5" i="115"/>
  <c r="A4" i="115"/>
  <c r="A3" i="115"/>
  <c r="A60" i="114"/>
  <c r="A59" i="114"/>
  <c r="A58" i="114"/>
  <c r="A57" i="114"/>
  <c r="A56" i="114"/>
  <c r="A55" i="114"/>
  <c r="A54" i="114"/>
  <c r="A53" i="114"/>
  <c r="A52" i="114"/>
  <c r="A51" i="114"/>
  <c r="A47" i="114"/>
  <c r="A46" i="114"/>
  <c r="A45" i="114"/>
  <c r="A44" i="114"/>
  <c r="A43" i="114"/>
  <c r="A42" i="114"/>
  <c r="A41" i="114"/>
  <c r="A40" i="114"/>
  <c r="A39" i="114"/>
  <c r="A38" i="114"/>
  <c r="A37" i="114"/>
  <c r="A36" i="114"/>
  <c r="A35" i="114"/>
  <c r="A34" i="114"/>
  <c r="A33" i="114"/>
  <c r="A32" i="114"/>
  <c r="A31" i="114"/>
  <c r="A30" i="114"/>
  <c r="A29" i="114"/>
  <c r="A25" i="114"/>
  <c r="A24" i="114"/>
  <c r="A23" i="114"/>
  <c r="A22" i="114"/>
  <c r="A21" i="114"/>
  <c r="A20" i="114"/>
  <c r="A19" i="114"/>
  <c r="A18" i="114"/>
  <c r="A17" i="114"/>
  <c r="A16" i="114"/>
  <c r="A15" i="114"/>
  <c r="A14" i="114"/>
  <c r="A13" i="114"/>
  <c r="A12" i="114"/>
  <c r="A11" i="114"/>
  <c r="A10" i="114"/>
  <c r="A9" i="114"/>
  <c r="A5" i="114"/>
  <c r="A4" i="114"/>
  <c r="A3" i="114"/>
  <c r="A60" i="113"/>
  <c r="A59" i="113"/>
  <c r="A58" i="113"/>
  <c r="A57" i="113"/>
  <c r="A56" i="113"/>
  <c r="A55" i="113"/>
  <c r="A54" i="113"/>
  <c r="A53" i="113"/>
  <c r="A52" i="113"/>
  <c r="A51" i="113"/>
  <c r="A47" i="113"/>
  <c r="A46" i="113"/>
  <c r="A45" i="113"/>
  <c r="A44" i="113"/>
  <c r="A43" i="113"/>
  <c r="A42" i="113"/>
  <c r="A41" i="113"/>
  <c r="A40" i="113"/>
  <c r="A39" i="113"/>
  <c r="A38" i="113"/>
  <c r="A37" i="113"/>
  <c r="A36" i="113"/>
  <c r="A35" i="113"/>
  <c r="A34" i="113"/>
  <c r="A33" i="113"/>
  <c r="A32" i="113"/>
  <c r="A31" i="113"/>
  <c r="A30" i="113"/>
  <c r="A29" i="113"/>
  <c r="A25" i="113"/>
  <c r="A24" i="113"/>
  <c r="A23" i="113"/>
  <c r="A22" i="113"/>
  <c r="A21" i="113"/>
  <c r="A20" i="113"/>
  <c r="A19" i="113"/>
  <c r="A18" i="113"/>
  <c r="A17" i="113"/>
  <c r="A16" i="113"/>
  <c r="A15" i="113"/>
  <c r="A14" i="113"/>
  <c r="A13" i="113"/>
  <c r="A12" i="113"/>
  <c r="A11" i="113"/>
  <c r="A10" i="113"/>
  <c r="A9" i="113"/>
  <c r="A5" i="113"/>
  <c r="A4" i="113"/>
  <c r="A3" i="113"/>
  <c r="A60" i="112"/>
  <c r="A59" i="112"/>
  <c r="A58" i="112"/>
  <c r="A57" i="112"/>
  <c r="A56" i="112"/>
  <c r="A55" i="112"/>
  <c r="A54" i="112"/>
  <c r="A53" i="112"/>
  <c r="A52" i="112"/>
  <c r="A51" i="112"/>
  <c r="A47" i="112"/>
  <c r="A46" i="112"/>
  <c r="A45" i="112"/>
  <c r="A44" i="112"/>
  <c r="A43" i="112"/>
  <c r="A42" i="112"/>
  <c r="A41" i="112"/>
  <c r="A40" i="112"/>
  <c r="A39" i="112"/>
  <c r="A38" i="112"/>
  <c r="A37" i="112"/>
  <c r="A36" i="112"/>
  <c r="A35" i="112"/>
  <c r="A34" i="112"/>
  <c r="A33" i="112"/>
  <c r="A32" i="112"/>
  <c r="A31" i="112"/>
  <c r="A30" i="112"/>
  <c r="A29" i="112"/>
  <c r="A25" i="112"/>
  <c r="A24" i="112"/>
  <c r="A23" i="112"/>
  <c r="A22" i="112"/>
  <c r="A21" i="112"/>
  <c r="A20" i="112"/>
  <c r="A19" i="112"/>
  <c r="A18" i="112"/>
  <c r="A17" i="112"/>
  <c r="A16" i="112"/>
  <c r="A15" i="112"/>
  <c r="A14" i="112"/>
  <c r="A13" i="112"/>
  <c r="A12" i="112"/>
  <c r="A11" i="112"/>
  <c r="A10" i="112"/>
  <c r="A9" i="112"/>
  <c r="A5" i="112"/>
  <c r="A4" i="112"/>
  <c r="A3" i="112"/>
  <c r="A60" i="97"/>
  <c r="A59" i="97"/>
  <c r="A58" i="97"/>
  <c r="A57" i="97"/>
  <c r="A56" i="97"/>
  <c r="A55" i="97"/>
  <c r="A54" i="97"/>
  <c r="A53" i="97"/>
  <c r="A52" i="97"/>
  <c r="A51" i="97"/>
  <c r="A47" i="97"/>
  <c r="A46" i="97"/>
  <c r="A45" i="97"/>
  <c r="A44" i="97"/>
  <c r="A43" i="97"/>
  <c r="A42" i="97"/>
  <c r="A41" i="97"/>
  <c r="A40" i="97"/>
  <c r="A39" i="97"/>
  <c r="A38" i="97"/>
  <c r="A37" i="97"/>
  <c r="A36" i="97"/>
  <c r="A35" i="97"/>
  <c r="A34" i="97"/>
  <c r="A33" i="97"/>
  <c r="A32" i="97"/>
  <c r="A31" i="97"/>
  <c r="A30" i="97"/>
  <c r="A29" i="97"/>
  <c r="A25" i="97"/>
  <c r="A24" i="97"/>
  <c r="A23" i="97"/>
  <c r="A22" i="97"/>
  <c r="A21" i="97"/>
  <c r="A20" i="97"/>
  <c r="A19" i="97"/>
  <c r="A18" i="97"/>
  <c r="A17" i="97"/>
  <c r="A16" i="97"/>
  <c r="A15" i="97"/>
  <c r="A14" i="97"/>
  <c r="A13" i="97"/>
  <c r="A12" i="97"/>
  <c r="A11" i="97"/>
  <c r="A10" i="97"/>
  <c r="A9" i="97"/>
  <c r="A5" i="97"/>
  <c r="A4" i="97"/>
  <c r="A3" i="97"/>
  <c r="A60" i="100"/>
  <c r="A59" i="100"/>
  <c r="A58" i="100"/>
  <c r="A57" i="100"/>
  <c r="A56" i="100"/>
  <c r="A55" i="100"/>
  <c r="A54" i="100"/>
  <c r="A53" i="100"/>
  <c r="A52" i="100"/>
  <c r="A51" i="100"/>
  <c r="A47" i="100"/>
  <c r="A46" i="100"/>
  <c r="A45" i="100"/>
  <c r="A44" i="100"/>
  <c r="A43" i="100"/>
  <c r="A42" i="100"/>
  <c r="A41" i="100"/>
  <c r="A40" i="100"/>
  <c r="A39" i="100"/>
  <c r="A38" i="100"/>
  <c r="A37" i="100"/>
  <c r="A36" i="100"/>
  <c r="A35" i="100"/>
  <c r="A34" i="100"/>
  <c r="A33" i="100"/>
  <c r="A32" i="100"/>
  <c r="A31" i="100"/>
  <c r="A30" i="100"/>
  <c r="A29" i="100"/>
  <c r="A25" i="100"/>
  <c r="A24" i="100"/>
  <c r="A23" i="100"/>
  <c r="A22" i="100"/>
  <c r="A21" i="100"/>
  <c r="A20" i="100"/>
  <c r="A19" i="100"/>
  <c r="A18" i="100"/>
  <c r="A17" i="100"/>
  <c r="A16" i="100"/>
  <c r="A15" i="100"/>
  <c r="A14" i="100"/>
  <c r="A13" i="100"/>
  <c r="A12" i="100"/>
  <c r="A11" i="100"/>
  <c r="A10" i="100"/>
  <c r="A9" i="100"/>
  <c r="A5" i="100"/>
  <c r="A4" i="100"/>
  <c r="A3" i="100"/>
  <c r="A60" i="89"/>
  <c r="A59" i="89"/>
  <c r="A58" i="89"/>
  <c r="A57" i="89"/>
  <c r="A56" i="89"/>
  <c r="A55" i="89"/>
  <c r="A54" i="89"/>
  <c r="A53" i="89"/>
  <c r="A52" i="89"/>
  <c r="A51" i="89"/>
  <c r="A47" i="89"/>
  <c r="A46" i="89"/>
  <c r="A45" i="89"/>
  <c r="A44" i="89"/>
  <c r="A43" i="89"/>
  <c r="A42" i="89"/>
  <c r="A41" i="89"/>
  <c r="A40" i="89"/>
  <c r="A39" i="89"/>
  <c r="A38" i="89"/>
  <c r="A37" i="89"/>
  <c r="A36" i="89"/>
  <c r="A35" i="89"/>
  <c r="A34" i="89"/>
  <c r="A33" i="89"/>
  <c r="A32" i="89"/>
  <c r="A31" i="89"/>
  <c r="A30" i="89"/>
  <c r="A29" i="89"/>
  <c r="A25" i="89"/>
  <c r="A24" i="89"/>
  <c r="A23" i="89"/>
  <c r="A22" i="89"/>
  <c r="A21" i="89"/>
  <c r="A20" i="89"/>
  <c r="A19" i="89"/>
  <c r="A18" i="89"/>
  <c r="A17" i="89"/>
  <c r="A16" i="89"/>
  <c r="A15" i="89"/>
  <c r="A14" i="89"/>
  <c r="A13" i="89"/>
  <c r="A12" i="89"/>
  <c r="A11" i="89"/>
  <c r="A10" i="89"/>
  <c r="A9" i="89"/>
  <c r="A5" i="89"/>
  <c r="A4" i="89"/>
  <c r="A3" i="89"/>
  <c r="A60" i="76"/>
  <c r="A59" i="76"/>
  <c r="A58" i="76"/>
  <c r="A57" i="76"/>
  <c r="A56" i="76"/>
  <c r="A55" i="76"/>
  <c r="A54" i="76"/>
  <c r="A53" i="76"/>
  <c r="A52" i="76"/>
  <c r="A51" i="76"/>
  <c r="A47" i="76"/>
  <c r="A46" i="76"/>
  <c r="A45" i="76"/>
  <c r="A44" i="76"/>
  <c r="A43" i="76"/>
  <c r="A42" i="76"/>
  <c r="A41" i="76"/>
  <c r="A40" i="76"/>
  <c r="A39" i="76"/>
  <c r="A38" i="76"/>
  <c r="A37" i="76"/>
  <c r="A36" i="76"/>
  <c r="A35" i="76"/>
  <c r="A34" i="76"/>
  <c r="A33" i="76"/>
  <c r="A32" i="76"/>
  <c r="A31" i="76"/>
  <c r="A30" i="76"/>
  <c r="A29" i="76"/>
  <c r="A25" i="76"/>
  <c r="A24" i="76"/>
  <c r="A23" i="76"/>
  <c r="A22" i="76"/>
  <c r="A21" i="76"/>
  <c r="A20" i="76"/>
  <c r="A19" i="76"/>
  <c r="A18" i="76"/>
  <c r="A17" i="76"/>
  <c r="A16" i="76"/>
  <c r="A15" i="76"/>
  <c r="A14" i="76"/>
  <c r="A13" i="76"/>
  <c r="A12" i="76"/>
  <c r="A11" i="76"/>
  <c r="A10" i="76"/>
  <c r="A9" i="76"/>
  <c r="A5" i="76"/>
  <c r="A4" i="76"/>
  <c r="A3" i="76"/>
  <c r="A60" i="107"/>
  <c r="A59" i="107"/>
  <c r="A58" i="107"/>
  <c r="A57" i="107"/>
  <c r="A56" i="107"/>
  <c r="A55" i="107"/>
  <c r="A54" i="107"/>
  <c r="A53" i="107"/>
  <c r="A52" i="107"/>
  <c r="A51" i="107"/>
  <c r="A47" i="107"/>
  <c r="A46" i="107"/>
  <c r="A45" i="107"/>
  <c r="A44" i="107"/>
  <c r="A43" i="107"/>
  <c r="A42" i="107"/>
  <c r="A41" i="107"/>
  <c r="A40" i="107"/>
  <c r="A39" i="107"/>
  <c r="A38" i="107"/>
  <c r="A37" i="107"/>
  <c r="A36" i="107"/>
  <c r="A35" i="107"/>
  <c r="A34" i="107"/>
  <c r="A33" i="107"/>
  <c r="A32" i="107"/>
  <c r="A31" i="107"/>
  <c r="A30" i="107"/>
  <c r="A29" i="107"/>
  <c r="A25" i="107"/>
  <c r="A24" i="107"/>
  <c r="A23" i="107"/>
  <c r="A22" i="107"/>
  <c r="A21" i="107"/>
  <c r="A20" i="107"/>
  <c r="A19" i="107"/>
  <c r="A18" i="107"/>
  <c r="A17" i="107"/>
  <c r="A16" i="107"/>
  <c r="A15" i="107"/>
  <c r="A14" i="107"/>
  <c r="A13" i="107"/>
  <c r="A12" i="107"/>
  <c r="A11" i="107"/>
  <c r="A10" i="107"/>
  <c r="A9" i="107"/>
  <c r="A5" i="107"/>
  <c r="A4" i="107"/>
  <c r="A3" i="107"/>
  <c r="A60" i="111"/>
  <c r="A59" i="111"/>
  <c r="A58" i="111"/>
  <c r="A57" i="111"/>
  <c r="A56" i="111"/>
  <c r="A55" i="111"/>
  <c r="A54" i="111"/>
  <c r="A53" i="111"/>
  <c r="A52" i="111"/>
  <c r="A51" i="111"/>
  <c r="A47" i="111"/>
  <c r="A46" i="111"/>
  <c r="A45" i="111"/>
  <c r="A44" i="111"/>
  <c r="A43" i="111"/>
  <c r="A42" i="111"/>
  <c r="A41" i="111"/>
  <c r="A40" i="111"/>
  <c r="A39" i="111"/>
  <c r="A38" i="111"/>
  <c r="A37" i="111"/>
  <c r="A36" i="111"/>
  <c r="A35" i="111"/>
  <c r="A34" i="111"/>
  <c r="A33" i="111"/>
  <c r="A32" i="111"/>
  <c r="A31" i="111"/>
  <c r="A30" i="111"/>
  <c r="A29" i="111"/>
  <c r="A25" i="111"/>
  <c r="A24" i="111"/>
  <c r="A23" i="111"/>
  <c r="A22" i="111"/>
  <c r="A21" i="111"/>
  <c r="A20" i="111"/>
  <c r="A19" i="111"/>
  <c r="A18" i="111"/>
  <c r="A17" i="111"/>
  <c r="A16" i="111"/>
  <c r="A15" i="111"/>
  <c r="A14" i="111"/>
  <c r="A13" i="111"/>
  <c r="A12" i="111"/>
  <c r="A11" i="111"/>
  <c r="A10" i="111"/>
  <c r="A9" i="111"/>
  <c r="A5" i="111"/>
  <c r="A4" i="111"/>
  <c r="A3" i="111"/>
  <c r="A60" i="77"/>
  <c r="A59" i="77"/>
  <c r="A58" i="77"/>
  <c r="A57" i="77"/>
  <c r="A56" i="77"/>
  <c r="A55" i="77"/>
  <c r="A54" i="77"/>
  <c r="A53" i="77"/>
  <c r="A52" i="77"/>
  <c r="A51" i="77"/>
  <c r="A47" i="77"/>
  <c r="A46" i="77"/>
  <c r="A45" i="77"/>
  <c r="A44" i="77"/>
  <c r="A43" i="77"/>
  <c r="A42" i="77"/>
  <c r="A41" i="77"/>
  <c r="A40" i="77"/>
  <c r="A39" i="77"/>
  <c r="A38" i="77"/>
  <c r="A37" i="77"/>
  <c r="A36" i="77"/>
  <c r="A35" i="77"/>
  <c r="A34" i="77"/>
  <c r="A33" i="77"/>
  <c r="A32" i="77"/>
  <c r="A31" i="77"/>
  <c r="A30" i="77"/>
  <c r="A29" i="77"/>
  <c r="A25" i="77"/>
  <c r="A24" i="77"/>
  <c r="A23" i="77"/>
  <c r="A22" i="77"/>
  <c r="A21" i="77"/>
  <c r="A20" i="77"/>
  <c r="A19" i="77"/>
  <c r="A18" i="77"/>
  <c r="A17" i="77"/>
  <c r="A16" i="77"/>
  <c r="A15" i="77"/>
  <c r="A14" i="77"/>
  <c r="A13" i="77"/>
  <c r="A12" i="77"/>
  <c r="A11" i="77"/>
  <c r="A10" i="77"/>
  <c r="A9" i="77"/>
  <c r="A5" i="77"/>
  <c r="A4" i="77"/>
  <c r="A3" i="77"/>
  <c r="A161" i="82"/>
  <c r="A131" i="82"/>
  <c r="A101" i="82"/>
  <c r="A71" i="82"/>
  <c r="A60" i="82"/>
  <c r="A59" i="82"/>
  <c r="A58" i="82"/>
  <c r="A57" i="82"/>
  <c r="A56" i="82"/>
  <c r="A55" i="82"/>
  <c r="A54" i="82"/>
  <c r="A53" i="82"/>
  <c r="A52" i="82"/>
  <c r="A51" i="82"/>
  <c r="A47" i="82"/>
  <c r="A46" i="82"/>
  <c r="A45" i="82"/>
  <c r="A44" i="82"/>
  <c r="A43" i="82"/>
  <c r="A42" i="82"/>
  <c r="A41" i="82"/>
  <c r="A40" i="82"/>
  <c r="A39" i="82"/>
  <c r="A38" i="82"/>
  <c r="A37" i="82"/>
  <c r="A36" i="82"/>
  <c r="A35" i="82"/>
  <c r="A34" i="82"/>
  <c r="A33" i="82"/>
  <c r="A32" i="82"/>
  <c r="A31" i="82"/>
  <c r="A30" i="82"/>
  <c r="A29" i="82"/>
  <c r="A25" i="82"/>
  <c r="A24" i="82"/>
  <c r="A23" i="82"/>
  <c r="A22" i="82"/>
  <c r="A21" i="82"/>
  <c r="A20" i="82"/>
  <c r="A19" i="82"/>
  <c r="A18" i="82"/>
  <c r="A17" i="82"/>
  <c r="A16" i="82"/>
  <c r="A15" i="82"/>
  <c r="A14" i="82"/>
  <c r="A13" i="82"/>
  <c r="A12" i="82"/>
  <c r="A11" i="82"/>
  <c r="A10" i="82"/>
  <c r="A9" i="82"/>
  <c r="A5" i="82"/>
  <c r="A4" i="82"/>
  <c r="A3" i="82"/>
  <c r="A60" i="75"/>
  <c r="A59" i="75"/>
  <c r="A58" i="75"/>
  <c r="A57" i="75"/>
  <c r="A56" i="75"/>
  <c r="A55" i="75"/>
  <c r="A54" i="75"/>
  <c r="A53" i="75"/>
  <c r="A52" i="75"/>
  <c r="A51" i="75"/>
  <c r="A47" i="75"/>
  <c r="A46" i="75"/>
  <c r="A45" i="75"/>
  <c r="A44" i="75"/>
  <c r="A43" i="75"/>
  <c r="A42" i="75"/>
  <c r="A41" i="75"/>
  <c r="A40" i="75"/>
  <c r="A39" i="75"/>
  <c r="A38" i="75"/>
  <c r="A37" i="75"/>
  <c r="A36" i="75"/>
  <c r="A35" i="75"/>
  <c r="A34" i="75"/>
  <c r="A33" i="75"/>
  <c r="A32" i="75"/>
  <c r="A31" i="75"/>
  <c r="A30" i="75"/>
  <c r="A29" i="75"/>
  <c r="A25" i="75"/>
  <c r="A24" i="75"/>
  <c r="A23" i="75"/>
  <c r="A22" i="75"/>
  <c r="A21" i="75"/>
  <c r="A20" i="75"/>
  <c r="A19" i="75"/>
  <c r="A18" i="75"/>
  <c r="A17" i="75"/>
  <c r="A16" i="75"/>
  <c r="A15" i="75"/>
  <c r="A14" i="75"/>
  <c r="A13" i="75"/>
  <c r="A12" i="75"/>
  <c r="A11" i="75"/>
  <c r="A10" i="75"/>
  <c r="A9" i="75"/>
  <c r="A5" i="75"/>
  <c r="A4" i="75"/>
  <c r="A3" i="75"/>
  <c r="A71" i="72"/>
  <c r="A60" i="72"/>
  <c r="A59" i="72"/>
  <c r="A58" i="72"/>
  <c r="A57" i="72"/>
  <c r="A56" i="72"/>
  <c r="A55" i="72"/>
  <c r="A54" i="72"/>
  <c r="A53" i="72"/>
  <c r="A52" i="72"/>
  <c r="A51" i="72"/>
  <c r="A47" i="72"/>
  <c r="A46" i="72"/>
  <c r="A45" i="72"/>
  <c r="A44" i="72"/>
  <c r="A43" i="72"/>
  <c r="A42" i="72"/>
  <c r="A41" i="72"/>
  <c r="A40" i="72"/>
  <c r="A39" i="72"/>
  <c r="A38" i="72"/>
  <c r="A37" i="72"/>
  <c r="A36" i="72"/>
  <c r="A35" i="72"/>
  <c r="A34" i="72"/>
  <c r="A33" i="72"/>
  <c r="A32" i="72"/>
  <c r="A31" i="72"/>
  <c r="A30" i="72"/>
  <c r="A29" i="72"/>
  <c r="A25" i="72"/>
  <c r="A24" i="72"/>
  <c r="A23" i="72"/>
  <c r="A22" i="72"/>
  <c r="A21" i="72"/>
  <c r="A20" i="72"/>
  <c r="A19" i="72"/>
  <c r="A18" i="72"/>
  <c r="A17" i="72"/>
  <c r="A16" i="72"/>
  <c r="A15" i="72"/>
  <c r="A14" i="72"/>
  <c r="A13" i="72"/>
  <c r="A12" i="72"/>
  <c r="A11" i="72"/>
  <c r="A10" i="72"/>
  <c r="A9" i="72"/>
  <c r="A5" i="72"/>
  <c r="A4" i="72"/>
  <c r="A3" i="72"/>
  <c r="A60" i="81"/>
  <c r="A59" i="81"/>
  <c r="A58" i="81"/>
  <c r="A57" i="81"/>
  <c r="A56" i="81"/>
  <c r="A55" i="81"/>
  <c r="A54" i="81"/>
  <c r="A53" i="81"/>
  <c r="A52" i="81"/>
  <c r="A51" i="81"/>
  <c r="A47" i="81"/>
  <c r="A46" i="81"/>
  <c r="A45" i="81"/>
  <c r="A44" i="81"/>
  <c r="A43" i="81"/>
  <c r="A42" i="81"/>
  <c r="A41" i="81"/>
  <c r="A40" i="81"/>
  <c r="A39" i="81"/>
  <c r="A38" i="81"/>
  <c r="A37" i="81"/>
  <c r="A36" i="81"/>
  <c r="A35" i="81"/>
  <c r="A34" i="81"/>
  <c r="A33" i="81"/>
  <c r="A32" i="81"/>
  <c r="A31" i="81"/>
  <c r="A30" i="81"/>
  <c r="A29" i="81"/>
  <c r="A25" i="81"/>
  <c r="A24" i="81"/>
  <c r="A23" i="81"/>
  <c r="A22" i="81"/>
  <c r="A21" i="81"/>
  <c r="A20" i="81"/>
  <c r="A19" i="81"/>
  <c r="A18" i="81"/>
  <c r="A17" i="81"/>
  <c r="A16" i="81"/>
  <c r="A15" i="81"/>
  <c r="A14" i="81"/>
  <c r="A13" i="81"/>
  <c r="A12" i="81"/>
  <c r="A11" i="81"/>
  <c r="A10" i="81"/>
  <c r="A9" i="81"/>
  <c r="A5" i="81"/>
  <c r="A4" i="81"/>
  <c r="A3" i="81"/>
  <c r="A60" i="13"/>
  <c r="A59" i="13"/>
  <c r="A58" i="13"/>
  <c r="A57" i="13"/>
  <c r="A56" i="13"/>
  <c r="A55" i="13"/>
  <c r="A54" i="13"/>
  <c r="A53" i="13"/>
  <c r="A52" i="13"/>
  <c r="A51" i="13"/>
  <c r="A47" i="13"/>
  <c r="A46" i="13"/>
  <c r="A45" i="13"/>
  <c r="A44" i="13"/>
  <c r="A43" i="13"/>
  <c r="A42" i="13"/>
  <c r="A41" i="13"/>
  <c r="A40" i="13"/>
  <c r="A39" i="13"/>
  <c r="A38" i="13"/>
  <c r="A37" i="13"/>
  <c r="A36" i="13"/>
  <c r="A35" i="13"/>
  <c r="A34" i="13"/>
  <c r="A33" i="13"/>
  <c r="A32" i="13"/>
  <c r="A31" i="13"/>
  <c r="A30" i="13"/>
  <c r="A29" i="13"/>
  <c r="A25" i="13"/>
  <c r="A24" i="13"/>
  <c r="A23" i="13"/>
  <c r="A22" i="13"/>
  <c r="A21" i="13"/>
  <c r="A20" i="13"/>
  <c r="A19" i="13"/>
  <c r="A18" i="13"/>
  <c r="A17" i="13"/>
  <c r="A16" i="13"/>
  <c r="A15" i="13"/>
  <c r="A14" i="13"/>
  <c r="A13" i="13"/>
  <c r="A12" i="13"/>
  <c r="A11" i="13"/>
  <c r="A10" i="13"/>
  <c r="A9" i="13"/>
  <c r="A5" i="13"/>
  <c r="A4" i="13"/>
  <c r="A3" i="13"/>
  <c r="A60" i="71"/>
  <c r="A59" i="71"/>
  <c r="A58" i="71"/>
  <c r="A57" i="71"/>
  <c r="A56" i="71"/>
  <c r="A55" i="71"/>
  <c r="A54" i="71"/>
  <c r="A53" i="71"/>
  <c r="A52" i="71"/>
  <c r="A51" i="71"/>
  <c r="A47" i="71"/>
  <c r="A46" i="71"/>
  <c r="A45" i="71"/>
  <c r="A44" i="71"/>
  <c r="A43" i="71"/>
  <c r="A42" i="71"/>
  <c r="A41" i="71"/>
  <c r="A40" i="71"/>
  <c r="A39" i="71"/>
  <c r="A38" i="71"/>
  <c r="A37" i="71"/>
  <c r="A36" i="71"/>
  <c r="A35" i="71"/>
  <c r="A34" i="71"/>
  <c r="A33" i="71"/>
  <c r="A32" i="71"/>
  <c r="A31" i="71"/>
  <c r="A30" i="71"/>
  <c r="A29" i="71"/>
  <c r="A25" i="71"/>
  <c r="A24" i="71"/>
  <c r="A23" i="71"/>
  <c r="A22" i="71"/>
  <c r="A21" i="71"/>
  <c r="A20" i="71"/>
  <c r="A19" i="71"/>
  <c r="A18" i="71"/>
  <c r="A17" i="71"/>
  <c r="A16" i="71"/>
  <c r="A15" i="71"/>
  <c r="A14" i="71"/>
  <c r="A13" i="71"/>
  <c r="A12" i="71"/>
  <c r="A11" i="71"/>
  <c r="A10" i="71"/>
  <c r="A9" i="71"/>
  <c r="A5" i="71"/>
  <c r="A4" i="71"/>
  <c r="A3" i="71"/>
  <c r="F642" i="117" a="1"/>
  <c r="F642" i="117" s="1"/>
  <c r="E642" i="117" a="1"/>
  <c r="E642" i="117" s="1"/>
  <c r="D642" i="117" a="1"/>
  <c r="D642" i="117" s="1"/>
  <c r="F624" i="117" a="1"/>
  <c r="F624" i="117" s="1"/>
  <c r="E624" i="117" a="1"/>
  <c r="E624" i="117" s="1"/>
  <c r="D624" i="117" a="1"/>
  <c r="D624" i="117" s="1"/>
  <c r="F505" i="117" a="1"/>
  <c r="F505" i="117" s="1"/>
  <c r="E505" i="117" a="1"/>
  <c r="E505" i="117" s="1"/>
  <c r="D505" i="117" a="1"/>
  <c r="D505" i="117" s="1"/>
  <c r="F463" i="117" a="1"/>
  <c r="F463" i="117" s="1"/>
  <c r="E463" i="117" a="1"/>
  <c r="E463" i="117" s="1"/>
  <c r="D463" i="117" a="1"/>
  <c r="D463" i="117" s="1"/>
  <c r="F445" i="117" a="1"/>
  <c r="F445" i="117" s="1"/>
  <c r="E445" i="117" a="1"/>
  <c r="E445" i="117" s="1"/>
  <c r="G445" i="117" s="1" a="1"/>
  <c r="G445" i="117" s="1"/>
  <c r="H445" i="117" s="1"/>
  <c r="D445" i="117" a="1"/>
  <c r="D445" i="117" s="1"/>
  <c r="G351" i="117" a="1"/>
  <c r="G351" i="117" s="1"/>
  <c r="F351" i="117" a="1"/>
  <c r="F351" i="117" s="1"/>
  <c r="E351" i="117" a="1"/>
  <c r="E351" i="117" s="1"/>
  <c r="D351" i="117" a="1"/>
  <c r="D351" i="117" s="1"/>
  <c r="D320" i="117" a="1"/>
  <c r="D320" i="117" s="1"/>
  <c r="AD252" i="117" a="1"/>
  <c r="AD252" i="117" s="1"/>
  <c r="AC252" i="117" a="1"/>
  <c r="AC252" i="117" s="1"/>
  <c r="Z252" i="117" a="1"/>
  <c r="Z252" i="117" s="1"/>
  <c r="Y252" i="117" a="1"/>
  <c r="Y252" i="117" s="1"/>
  <c r="V252" i="117" a="1"/>
  <c r="V252" i="117" s="1"/>
  <c r="U252" i="117" a="1"/>
  <c r="U252" i="117" s="1"/>
  <c r="R252" i="117" a="1"/>
  <c r="R252" i="117" s="1"/>
  <c r="Q252" i="117" a="1"/>
  <c r="Q252" i="117" s="1"/>
  <c r="P252" i="117" a="1"/>
  <c r="P252" i="117" s="1"/>
  <c r="O252" i="117" a="1"/>
  <c r="O252" i="117" s="1"/>
  <c r="D252" i="117" a="1"/>
  <c r="D252" i="117" s="1"/>
  <c r="D236" i="117" a="1"/>
  <c r="D236" i="117" s="1"/>
  <c r="F148" i="117" a="1"/>
  <c r="F148" i="117" s="1"/>
  <c r="G148" i="117" s="1"/>
  <c r="AA120" i="117" a="1"/>
  <c r="AA120" i="117" s="1"/>
  <c r="Z120" i="117" a="1"/>
  <c r="Z120" i="117" s="1"/>
  <c r="Y120" i="117" a="1"/>
  <c r="Y120" i="117" s="1"/>
  <c r="W120" i="117" a="1"/>
  <c r="W120" i="117" s="1"/>
  <c r="V120" i="117" a="1"/>
  <c r="V120" i="117" s="1"/>
  <c r="U120" i="117" a="1"/>
  <c r="U120" i="117" s="1"/>
  <c r="S120" i="117" a="1"/>
  <c r="S120" i="117" s="1"/>
  <c r="R120" i="117" a="1"/>
  <c r="R120" i="117" s="1"/>
  <c r="Q120" i="117" a="1"/>
  <c r="Q120" i="117" s="1"/>
  <c r="T120" i="117" s="1" a="1"/>
  <c r="T120" i="117" s="1"/>
  <c r="O120" i="117" a="1"/>
  <c r="O120" i="117" s="1"/>
  <c r="N120" i="117" a="1"/>
  <c r="N120" i="117" s="1"/>
  <c r="M120" i="117" a="1"/>
  <c r="M120" i="117" s="1"/>
  <c r="E120" i="117" a="1"/>
  <c r="E120" i="117" s="1"/>
  <c r="D120" i="117" a="1"/>
  <c r="D120" i="117" s="1"/>
  <c r="K23" i="117" a="1"/>
  <c r="K23" i="117" s="1"/>
  <c r="G23" i="117" a="1"/>
  <c r="G23" i="117" s="1"/>
  <c r="F23" i="117" a="1"/>
  <c r="F23" i="117" s="1"/>
  <c r="E23" i="117" a="1"/>
  <c r="E23" i="117" s="1"/>
  <c r="D23" i="117" a="1"/>
  <c r="D23" i="117" s="1"/>
  <c r="D32" i="102"/>
  <c r="D25" i="102"/>
  <c r="F39" i="101"/>
  <c r="M39" i="101" s="1" a="1"/>
  <c r="M39" i="101" s="1"/>
  <c r="D37" i="101"/>
  <c r="D34" i="101"/>
  <c r="D33" i="101"/>
  <c r="D25" i="101"/>
  <c r="D75" i="95"/>
  <c r="D74" i="95"/>
  <c r="D73" i="95"/>
  <c r="D72" i="95"/>
  <c r="D71" i="95"/>
  <c r="D70" i="95"/>
  <c r="D69" i="95"/>
  <c r="D68" i="95"/>
  <c r="D134" i="94" a="1"/>
  <c r="D134" i="94" s="1"/>
  <c r="D102" i="94" a="1"/>
  <c r="D102" i="94" s="1"/>
  <c r="G25" i="93" a="1"/>
  <c r="G25" i="93" s="1"/>
  <c r="F25" i="93" a="1"/>
  <c r="F25" i="93" s="1"/>
  <c r="D25" i="93" a="1"/>
  <c r="D25" i="93" s="1"/>
  <c r="H20" i="92" a="1"/>
  <c r="H20" i="92" s="1"/>
  <c r="E20" i="92" a="1"/>
  <c r="E20" i="92" s="1"/>
  <c r="D20" i="92" a="1"/>
  <c r="D20" i="92" s="1"/>
  <c r="N21" i="90" a="1"/>
  <c r="N21" i="90" s="1"/>
  <c r="N11" i="90" a="1"/>
  <c r="N11" i="90" s="1"/>
  <c r="I148" i="84"/>
  <c r="G87" i="84"/>
  <c r="F87" i="84"/>
  <c r="E87" i="84"/>
  <c r="D87" i="84"/>
  <c r="W274" i="83"/>
  <c r="W273" i="83"/>
  <c r="W272" i="83"/>
  <c r="W271" i="83"/>
  <c r="W270" i="83"/>
  <c r="W269" i="83"/>
  <c r="W268" i="83"/>
  <c r="W267" i="83"/>
  <c r="W266" i="83"/>
  <c r="W265" i="83"/>
  <c r="W264" i="83"/>
  <c r="W263" i="83"/>
  <c r="W262" i="83"/>
  <c r="W261" i="83"/>
  <c r="W260" i="83"/>
  <c r="W259" i="83"/>
  <c r="W258" i="83"/>
  <c r="W257" i="83"/>
  <c r="W256" i="83"/>
  <c r="W255" i="83"/>
  <c r="W254" i="83"/>
  <c r="W253" i="83"/>
  <c r="W252" i="83"/>
  <c r="W251" i="83"/>
  <c r="D242" i="83"/>
  <c r="D241" i="83"/>
  <c r="D240" i="83"/>
  <c r="D239" i="83"/>
  <c r="D238" i="83"/>
  <c r="D237" i="83"/>
  <c r="D236" i="83"/>
  <c r="D235" i="83"/>
  <c r="W200" i="83"/>
  <c r="W199" i="83"/>
  <c r="W198" i="83"/>
  <c r="W197" i="83"/>
  <c r="W196" i="83"/>
  <c r="W195" i="83"/>
  <c r="W194" i="83"/>
  <c r="W193" i="83"/>
  <c r="W192" i="83"/>
  <c r="W191" i="83"/>
  <c r="W190" i="83"/>
  <c r="W189" i="83"/>
  <c r="W188" i="83"/>
  <c r="W187" i="83"/>
  <c r="W186" i="83"/>
  <c r="W185" i="83"/>
  <c r="W184" i="83"/>
  <c r="D184" i="83"/>
  <c r="W183" i="83"/>
  <c r="D183" i="83"/>
  <c r="W182" i="83"/>
  <c r="D182" i="83"/>
  <c r="W181" i="83"/>
  <c r="D181" i="83"/>
  <c r="W180" i="83"/>
  <c r="D180" i="83"/>
  <c r="W179" i="83"/>
  <c r="D179" i="83"/>
  <c r="W178" i="83"/>
  <c r="D178" i="83"/>
  <c r="W177" i="83"/>
  <c r="D177" i="83"/>
  <c r="W172" i="83"/>
  <c r="D172" i="83"/>
  <c r="W171" i="83"/>
  <c r="D171" i="83"/>
  <c r="D166" i="83"/>
  <c r="D165" i="83"/>
  <c r="F33" i="83"/>
  <c r="E33" i="83"/>
  <c r="F32" i="83"/>
  <c r="E32" i="83"/>
  <c r="F31" i="83"/>
  <c r="E31" i="83"/>
  <c r="F30" i="83"/>
  <c r="E30" i="83"/>
  <c r="H25" i="83"/>
  <c r="G25" i="83"/>
  <c r="F25" i="83"/>
  <c r="E25" i="83"/>
  <c r="H24" i="83"/>
  <c r="G24" i="83"/>
  <c r="F24" i="83"/>
  <c r="E24" i="83"/>
  <c r="H23" i="83"/>
  <c r="G23" i="83"/>
  <c r="F23" i="83"/>
  <c r="E23" i="83"/>
  <c r="H22" i="83"/>
  <c r="G22" i="83"/>
  <c r="F22" i="83"/>
  <c r="E22" i="83"/>
  <c r="U23" i="88"/>
  <c r="G21" i="88"/>
  <c r="F21" i="88"/>
  <c r="E21" i="88"/>
  <c r="D21" i="88"/>
  <c r="D47" i="114"/>
  <c r="D494" i="117" s="1"/>
  <c r="F494" i="117" s="1" a="1"/>
  <c r="F494" i="117" s="1"/>
  <c r="G494" i="117" s="1"/>
  <c r="J21" i="100" a="1"/>
  <c r="J21" i="100" s="1"/>
  <c r="G21" i="100" a="1"/>
  <c r="G21" i="100" s="1"/>
  <c r="J20" i="100" a="1"/>
  <c r="J20" i="100" s="1"/>
  <c r="G20" i="100" a="1"/>
  <c r="G20" i="100" s="1"/>
  <c r="J19" i="100" a="1"/>
  <c r="J19" i="100" s="1"/>
  <c r="G19" i="100" a="1"/>
  <c r="G19" i="100" s="1"/>
  <c r="J18" i="100" a="1"/>
  <c r="J18" i="100" s="1"/>
  <c r="G18" i="100" a="1"/>
  <c r="G18" i="100" s="1"/>
  <c r="J17" i="100" a="1"/>
  <c r="J17" i="100" s="1"/>
  <c r="G17" i="100" a="1"/>
  <c r="G17" i="100" s="1"/>
  <c r="J16" i="111" a="1"/>
  <c r="J16" i="111" s="1"/>
  <c r="J15" i="111" a="1"/>
  <c r="J15" i="111" s="1"/>
  <c r="J14" i="111" a="1"/>
  <c r="J14" i="111" s="1"/>
  <c r="J13" i="111" a="1"/>
  <c r="J13" i="111" s="1"/>
  <c r="J12" i="111" a="1"/>
  <c r="J12" i="111" s="1"/>
  <c r="J11" i="111" a="1"/>
  <c r="J11" i="111" s="1"/>
  <c r="J10" i="111" a="1"/>
  <c r="J10" i="111" s="1"/>
  <c r="J9" i="111" a="1"/>
  <c r="J9" i="111" s="1"/>
  <c r="F151" i="117" a="1"/>
  <c r="F151" i="117" s="1"/>
  <c r="M243" i="119"/>
  <c r="L243" i="119"/>
  <c r="M242" i="119"/>
  <c r="L242" i="119"/>
  <c r="N241" i="119" s="1"/>
  <c r="E317" i="117" a="1"/>
  <c r="E317" i="117" s="1"/>
  <c r="D285" i="117" a="1"/>
  <c r="G391" i="117" a="1"/>
  <c r="G391" i="117" s="1"/>
  <c r="D27" i="113"/>
  <c r="D485" i="117" s="1"/>
  <c r="F485" i="117" s="1" a="1"/>
  <c r="F485" i="117" s="1"/>
  <c r="G485" i="117" s="1"/>
  <c r="D26" i="113"/>
  <c r="D484" i="117" s="1"/>
  <c r="F484" i="117" s="1" a="1"/>
  <c r="F484" i="117" s="1"/>
  <c r="D25" i="113"/>
  <c r="D483" i="117" s="1"/>
  <c r="F483" i="117" s="1" a="1"/>
  <c r="F483" i="117" s="1"/>
  <c r="G483" i="117" s="1"/>
  <c r="D24" i="113"/>
  <c r="D482" i="117" s="1"/>
  <c r="F482" i="117" s="1" a="1"/>
  <c r="F482" i="117" s="1"/>
  <c r="D23" i="113"/>
  <c r="D481" i="117" s="1"/>
  <c r="F481" i="117" s="1" a="1"/>
  <c r="F481" i="117" s="1"/>
  <c r="G481" i="117" s="1"/>
  <c r="D48" i="114"/>
  <c r="D495" i="117" s="1"/>
  <c r="F495" i="117" s="1" a="1"/>
  <c r="F495" i="117" s="1"/>
  <c r="F496" i="117" a="1"/>
  <c r="F496" i="117" s="1"/>
  <c r="G496" i="117" s="1"/>
  <c r="D7" i="114" a="1"/>
  <c r="D12" i="114" a="1"/>
  <c r="P158" i="119"/>
  <c r="O158" i="119"/>
  <c r="Q157" i="119" s="1"/>
  <c r="M157" i="119"/>
  <c r="L157" i="119"/>
  <c r="N156" i="119" s="1"/>
  <c r="P156" i="119"/>
  <c r="O156" i="119"/>
  <c r="Q155" i="119" s="1"/>
  <c r="M155" i="119"/>
  <c r="L155" i="119"/>
  <c r="N154" i="119" s="1"/>
  <c r="P154" i="119"/>
  <c r="O154" i="119"/>
  <c r="Q153" i="119" s="1"/>
  <c r="M153" i="119"/>
  <c r="L153" i="119"/>
  <c r="N152" i="119" s="1"/>
  <c r="P152" i="119"/>
  <c r="O152" i="119"/>
  <c r="Q151" i="119" s="1"/>
  <c r="M151" i="119"/>
  <c r="L151" i="119"/>
  <c r="N150" i="119" s="1"/>
  <c r="P150" i="119"/>
  <c r="O150" i="119"/>
  <c r="P149" i="119"/>
  <c r="O149" i="119"/>
  <c r="P148" i="119"/>
  <c r="O148" i="119"/>
  <c r="P147" i="119"/>
  <c r="O147" i="119"/>
  <c r="P146" i="119"/>
  <c r="O146" i="119"/>
  <c r="P145" i="119"/>
  <c r="O145" i="119"/>
  <c r="P144" i="119"/>
  <c r="O144" i="119"/>
  <c r="Q143" i="119" s="1"/>
  <c r="M143" i="119"/>
  <c r="L143" i="119"/>
  <c r="M142" i="119"/>
  <c r="L142" i="119"/>
  <c r="M141" i="119"/>
  <c r="L141" i="119"/>
  <c r="M140" i="119"/>
  <c r="L140" i="119"/>
  <c r="M139" i="119"/>
  <c r="L139" i="119"/>
  <c r="M138" i="119"/>
  <c r="L138" i="119"/>
  <c r="N137" i="119" s="1"/>
  <c r="P137" i="119"/>
  <c r="O137" i="119"/>
  <c r="P136" i="119"/>
  <c r="O136" i="119"/>
  <c r="P135" i="119"/>
  <c r="O135" i="119"/>
  <c r="P134" i="119"/>
  <c r="O134" i="119"/>
  <c r="P133" i="119"/>
  <c r="O133" i="119"/>
  <c r="P132" i="119"/>
  <c r="O132" i="119"/>
  <c r="P131" i="119"/>
  <c r="O131" i="119"/>
  <c r="Q130" i="119" s="1"/>
  <c r="M130" i="119"/>
  <c r="L130" i="119"/>
  <c r="M129" i="119"/>
  <c r="L129" i="119"/>
  <c r="M128" i="119"/>
  <c r="L128" i="119"/>
  <c r="M127" i="119"/>
  <c r="L127" i="119"/>
  <c r="M126" i="119"/>
  <c r="L126" i="119"/>
  <c r="M125" i="119"/>
  <c r="L125" i="119"/>
  <c r="N124" i="119" s="1"/>
  <c r="P124" i="119"/>
  <c r="O124" i="119"/>
  <c r="P123" i="119"/>
  <c r="O123" i="119"/>
  <c r="P122" i="119"/>
  <c r="O122" i="119"/>
  <c r="P121" i="119"/>
  <c r="O121" i="119"/>
  <c r="P120" i="119"/>
  <c r="O120" i="119"/>
  <c r="P119" i="119"/>
  <c r="O119" i="119"/>
  <c r="P118" i="119"/>
  <c r="O118" i="119"/>
  <c r="Q117" i="119" s="1"/>
  <c r="M117" i="119"/>
  <c r="L117" i="119"/>
  <c r="M116" i="119"/>
  <c r="L116" i="119"/>
  <c r="M115" i="119"/>
  <c r="L115" i="119"/>
  <c r="M114" i="119"/>
  <c r="L114" i="119"/>
  <c r="M113" i="119"/>
  <c r="L113" i="119"/>
  <c r="M112" i="119"/>
  <c r="L112" i="119"/>
  <c r="M111" i="119"/>
  <c r="L111" i="119"/>
  <c r="M110" i="119"/>
  <c r="L110" i="119"/>
  <c r="N109" i="119" s="1"/>
  <c r="P109" i="119"/>
  <c r="O109" i="119"/>
  <c r="P108" i="119"/>
  <c r="O108" i="119"/>
  <c r="P107" i="119"/>
  <c r="O107" i="119"/>
  <c r="P106" i="119"/>
  <c r="O106" i="119"/>
  <c r="P105" i="119"/>
  <c r="O105" i="119"/>
  <c r="Q104" i="119" s="1"/>
  <c r="M104" i="119"/>
  <c r="L104" i="119"/>
  <c r="M103" i="119"/>
  <c r="L103" i="119"/>
  <c r="M102" i="119"/>
  <c r="L102" i="119"/>
  <c r="M101" i="119"/>
  <c r="L101" i="119"/>
  <c r="M100" i="119"/>
  <c r="L100" i="119"/>
  <c r="M99" i="119"/>
  <c r="L99" i="119"/>
  <c r="M98" i="119"/>
  <c r="L98" i="119"/>
  <c r="N97" i="119" s="1"/>
  <c r="P97" i="119"/>
  <c r="O97" i="119"/>
  <c r="P96" i="119"/>
  <c r="O96" i="119"/>
  <c r="P95" i="119"/>
  <c r="O95" i="119"/>
  <c r="P94" i="119"/>
  <c r="O94" i="119"/>
  <c r="P93" i="119"/>
  <c r="O93" i="119"/>
  <c r="P92" i="119"/>
  <c r="O92" i="119"/>
  <c r="P91" i="119"/>
  <c r="O91" i="119"/>
  <c r="P90" i="119"/>
  <c r="O90" i="119"/>
  <c r="Q89" i="119" s="1"/>
  <c r="G463" i="117" a="1"/>
  <c r="G463" i="117" s="1"/>
  <c r="H463" i="117" s="1"/>
  <c r="I72" i="118"/>
  <c r="I71" i="118"/>
  <c r="I70" i="118"/>
  <c r="S67" i="118"/>
  <c r="I67" i="118"/>
  <c r="I52" i="118"/>
  <c r="I51" i="118"/>
  <c r="S32" i="118"/>
  <c r="I32" i="118"/>
  <c r="P35" i="118"/>
  <c r="F35" i="118"/>
  <c r="J16" i="118"/>
  <c r="T13" i="118"/>
  <c r="J13" i="118"/>
  <c r="P19" i="118"/>
  <c r="F603" i="117"/>
  <c r="N593" i="117" a="1"/>
  <c r="N593" i="117" s="1"/>
  <c r="F593" i="117" a="1"/>
  <c r="F593" i="117" s="1"/>
  <c r="L590" i="117" a="1"/>
  <c r="L590" i="117" s="1"/>
  <c r="D590" i="117" a="1"/>
  <c r="D590" i="117" s="1"/>
  <c r="N588" i="117"/>
  <c r="I568" i="117"/>
  <c r="I564" i="117"/>
  <c r="I563" i="117"/>
  <c r="I562" i="117"/>
  <c r="I546" i="117"/>
  <c r="I545" i="117" s="1" a="1"/>
  <c r="I545" i="117" s="1"/>
  <c r="E548" i="117" s="1"/>
  <c r="I544" i="117"/>
  <c r="E496" i="117"/>
  <c r="E495" i="117"/>
  <c r="E494" i="117"/>
  <c r="E485" i="117"/>
  <c r="E484" i="117"/>
  <c r="E483" i="117"/>
  <c r="E482" i="117"/>
  <c r="E481" i="117"/>
  <c r="K423" i="117"/>
  <c r="K421" i="117"/>
  <c r="K419" i="117"/>
  <c r="K418" i="117"/>
  <c r="K417" i="117"/>
  <c r="K416" i="117"/>
  <c r="K415" i="117"/>
  <c r="K414" i="117"/>
  <c r="K420" i="117"/>
  <c r="L359" i="117"/>
  <c r="L355" i="117"/>
  <c r="G315" i="117"/>
  <c r="E179" i="117"/>
  <c r="E178" i="117"/>
  <c r="E177" i="117"/>
  <c r="F570" i="117"/>
  <c r="E153" i="117"/>
  <c r="E152" i="117"/>
  <c r="E151" i="117"/>
  <c r="E150" i="117"/>
  <c r="E149" i="117"/>
  <c r="E148" i="117"/>
  <c r="E140" i="117"/>
  <c r="E139" i="117"/>
  <c r="E138" i="117"/>
  <c r="E137" i="117"/>
  <c r="R19" i="113"/>
  <c r="L19" i="113"/>
  <c r="H19" i="113"/>
  <c r="O19" i="113" s="1"/>
  <c r="O18" i="113"/>
  <c r="L18" i="113"/>
  <c r="H18" i="113"/>
  <c r="R18" i="113" s="1"/>
  <c r="H17" i="113"/>
  <c r="L17" i="113" s="1"/>
  <c r="H16" i="113"/>
  <c r="R16" i="113" s="1"/>
  <c r="L15" i="113"/>
  <c r="H15" i="113"/>
  <c r="R15" i="113" s="1"/>
  <c r="H14" i="113"/>
  <c r="R14" i="113" s="1"/>
  <c r="H13" i="113"/>
  <c r="O13" i="113" s="1"/>
  <c r="H12" i="113"/>
  <c r="O12" i="113" s="1"/>
  <c r="R11" i="113"/>
  <c r="L11" i="113"/>
  <c r="H11" i="113"/>
  <c r="O11" i="113" s="1"/>
  <c r="H10" i="113"/>
  <c r="R10" i="113" s="1"/>
  <c r="Q8" i="113" a="1"/>
  <c r="Q8" i="113" s="1"/>
  <c r="N8" i="113" a="1"/>
  <c r="N8" i="113" s="1"/>
  <c r="K8" i="113" a="1"/>
  <c r="K8" i="113" s="1"/>
  <c r="D91" i="110" a="1"/>
  <c r="D91" i="110" s="1"/>
  <c r="E19" i="107"/>
  <c r="D17" i="110" a="1"/>
  <c r="D17" i="110" s="1"/>
  <c r="P53" i="109" a="1"/>
  <c r="P53" i="109" s="1"/>
  <c r="F53" i="109" a="1"/>
  <c r="F53" i="109" s="1"/>
  <c r="N50" i="109" a="1"/>
  <c r="N50" i="109" s="1"/>
  <c r="D50" i="109" a="1"/>
  <c r="D50" i="109" s="1"/>
  <c r="N45" i="109"/>
  <c r="D45" i="109"/>
  <c r="J40" i="109"/>
  <c r="J36" i="109" a="1"/>
  <c r="J36" i="109" s="1"/>
  <c r="P48" i="109"/>
  <c r="G25" i="109"/>
  <c r="F25" i="109"/>
  <c r="J19" i="109" a="1"/>
  <c r="J19" i="109" s="1"/>
  <c r="J18" i="109"/>
  <c r="J16" i="109" a="1"/>
  <c r="J16" i="109" s="1"/>
  <c r="J14" i="109" a="1"/>
  <c r="J14" i="109" s="1"/>
  <c r="J13" i="109" a="1"/>
  <c r="J13" i="109" s="1"/>
  <c r="P45" i="108" a="1"/>
  <c r="P45" i="108" s="1"/>
  <c r="F45" i="108" a="1"/>
  <c r="F45" i="108" s="1"/>
  <c r="N42" i="108" a="1"/>
  <c r="N42" i="108" s="1"/>
  <c r="D42" i="108" a="1"/>
  <c r="D42" i="108" s="1"/>
  <c r="J36" i="108"/>
  <c r="J19" i="108"/>
  <c r="J13" i="108"/>
  <c r="O21" i="106"/>
  <c r="O20" i="106"/>
  <c r="O19" i="106"/>
  <c r="O18" i="106"/>
  <c r="O17" i="106"/>
  <c r="M21" i="106"/>
  <c r="M20" i="106"/>
  <c r="M19" i="106"/>
  <c r="M18" i="106"/>
  <c r="M17" i="106"/>
  <c r="K26" i="106"/>
  <c r="K25" i="106"/>
  <c r="K24" i="106"/>
  <c r="K23" i="106"/>
  <c r="K22" i="106"/>
  <c r="K21" i="106"/>
  <c r="K20" i="106"/>
  <c r="K19" i="106"/>
  <c r="K18" i="106"/>
  <c r="K17" i="106"/>
  <c r="I27" i="106"/>
  <c r="I26" i="106"/>
  <c r="I25" i="106"/>
  <c r="I24" i="106"/>
  <c r="I23" i="106"/>
  <c r="I22" i="106"/>
  <c r="I21" i="106"/>
  <c r="I20" i="106"/>
  <c r="I19" i="106"/>
  <c r="I18" i="106"/>
  <c r="I17" i="106"/>
  <c r="H185" i="105"/>
  <c r="H179" i="105"/>
  <c r="H168" i="105"/>
  <c r="H144" i="105"/>
  <c r="H138" i="105"/>
  <c r="H127" i="105"/>
  <c r="J16" i="105" a="1"/>
  <c r="J16" i="105" s="1"/>
  <c r="I16" i="105" a="1"/>
  <c r="I16" i="105" s="1"/>
  <c r="J15" i="105" a="1"/>
  <c r="J15" i="105" s="1"/>
  <c r="I15" i="105" a="1"/>
  <c r="I15" i="105" s="1"/>
  <c r="J14" i="105" a="1"/>
  <c r="J14" i="105" s="1"/>
  <c r="I14" i="105" a="1"/>
  <c r="I14" i="105" s="1"/>
  <c r="J13" i="105" a="1"/>
  <c r="J13" i="105" s="1"/>
  <c r="I13" i="105" a="1"/>
  <c r="I13" i="105" s="1"/>
  <c r="E139" i="103"/>
  <c r="F40" i="102" s="1"/>
  <c r="G138" i="103"/>
  <c r="F32" i="101" s="1"/>
  <c r="E138" i="103"/>
  <c r="F39" i="102" s="1"/>
  <c r="G137" i="103"/>
  <c r="F31" i="101" s="1"/>
  <c r="E137" i="103"/>
  <c r="F38" i="102" s="1"/>
  <c r="D137" i="103"/>
  <c r="F31" i="102" s="1"/>
  <c r="G136" i="103"/>
  <c r="F30" i="101" s="1"/>
  <c r="E136" i="103"/>
  <c r="F37" i="102" s="1"/>
  <c r="D136" i="103"/>
  <c r="F30" i="102" s="1"/>
  <c r="G135" i="103"/>
  <c r="F29" i="101" s="1"/>
  <c r="E135" i="103"/>
  <c r="F36" i="102" s="1"/>
  <c r="D135" i="103"/>
  <c r="F29" i="102" s="1"/>
  <c r="G134" i="103"/>
  <c r="F28" i="101" s="1"/>
  <c r="E134" i="103"/>
  <c r="F35" i="102" s="1"/>
  <c r="D134" i="103"/>
  <c r="F28" i="102" s="1"/>
  <c r="G133" i="103"/>
  <c r="F27" i="101" s="1"/>
  <c r="F133" i="103"/>
  <c r="F36" i="101" s="1"/>
  <c r="E133" i="103"/>
  <c r="F34" i="102" s="1"/>
  <c r="D133" i="103"/>
  <c r="F27" i="102" s="1"/>
  <c r="I132" i="103"/>
  <c r="F38" i="101" s="1"/>
  <c r="G132" i="103"/>
  <c r="F26" i="101" s="1"/>
  <c r="F132" i="103"/>
  <c r="F35" i="101" s="1"/>
  <c r="E132" i="103"/>
  <c r="F33" i="102" s="1"/>
  <c r="D132" i="103"/>
  <c r="F26" i="102" s="1"/>
  <c r="I131" i="103"/>
  <c r="F37" i="101" s="1"/>
  <c r="H131" i="103"/>
  <c r="F33" i="101" s="1"/>
  <c r="G131" i="103"/>
  <c r="F25" i="101" s="1"/>
  <c r="F131" i="103"/>
  <c r="F34" i="101" s="1"/>
  <c r="E131" i="103"/>
  <c r="F32" i="102" s="1"/>
  <c r="D131" i="103"/>
  <c r="F25" i="102" s="1"/>
  <c r="D110" i="103" a="1"/>
  <c r="D110" i="103" s="1"/>
  <c r="E40" i="102"/>
  <c r="E39" i="102"/>
  <c r="D84" i="103" a="1"/>
  <c r="D84" i="103" s="1"/>
  <c r="E31" i="102"/>
  <c r="E30" i="102"/>
  <c r="E36" i="102"/>
  <c r="E28" i="102"/>
  <c r="E34" i="102"/>
  <c r="E33" i="102"/>
  <c r="E25" i="102"/>
  <c r="D52" i="103" a="1"/>
  <c r="D52" i="103" s="1"/>
  <c r="E39" i="101"/>
  <c r="E36" i="101"/>
  <c r="E35" i="101"/>
  <c r="E34" i="101"/>
  <c r="E32" i="101"/>
  <c r="E31" i="101"/>
  <c r="E30" i="101"/>
  <c r="E29" i="101"/>
  <c r="E28" i="101"/>
  <c r="E27" i="101"/>
  <c r="E26" i="101"/>
  <c r="D8" i="103" a="1"/>
  <c r="D8" i="103" s="1"/>
  <c r="D34" i="102"/>
  <c r="D36" i="102"/>
  <c r="D27" i="102"/>
  <c r="D29" i="102"/>
  <c r="P18" i="102"/>
  <c r="P17" i="102"/>
  <c r="P16" i="102" a="1"/>
  <c r="P16" i="102" s="1"/>
  <c r="I16" i="102" a="1"/>
  <c r="I16" i="102" s="1"/>
  <c r="P15" i="102" a="1"/>
  <c r="P15" i="102" s="1"/>
  <c r="I15" i="102" a="1"/>
  <c r="I15" i="102" s="1"/>
  <c r="P14" i="102" a="1"/>
  <c r="P14" i="102" s="1"/>
  <c r="I14" i="102" a="1"/>
  <c r="I14" i="102" s="1"/>
  <c r="D38" i="101"/>
  <c r="D60" i="101"/>
  <c r="D32" i="101"/>
  <c r="D30" i="101"/>
  <c r="D29" i="101"/>
  <c r="D28" i="101"/>
  <c r="D27" i="101"/>
  <c r="D26" i="101"/>
  <c r="D42" i="101"/>
  <c r="P16" i="101" a="1"/>
  <c r="P16" i="101" s="1"/>
  <c r="I16" i="101" a="1"/>
  <c r="I16" i="101" s="1"/>
  <c r="P15" i="101" a="1"/>
  <c r="P15" i="101" s="1"/>
  <c r="I15" i="101" a="1"/>
  <c r="I15" i="101" s="1"/>
  <c r="P14" i="101" a="1"/>
  <c r="P14" i="101" s="1"/>
  <c r="I14" i="101" a="1"/>
  <c r="I14" i="101" s="1"/>
  <c r="H21" i="100"/>
  <c r="H20" i="100"/>
  <c r="H19" i="100"/>
  <c r="H18" i="100"/>
  <c r="H17" i="100"/>
  <c r="I567" i="117" a="1"/>
  <c r="I567" i="117" s="1"/>
  <c r="E570" i="117" s="1"/>
  <c r="J36" i="98" a="1"/>
  <c r="J36" i="98" s="1"/>
  <c r="E39" i="98" s="1"/>
  <c r="D7" i="99" a="1"/>
  <c r="D7" i="99" s="1"/>
  <c r="J37" i="98"/>
  <c r="J33" i="98" s="1"/>
  <c r="J32" i="98"/>
  <c r="J31" i="98"/>
  <c r="F39" i="98"/>
  <c r="I16" i="98"/>
  <c r="I15" i="98" s="1" a="1"/>
  <c r="I15" i="98" s="1"/>
  <c r="E18" i="98" s="1"/>
  <c r="I14" i="98"/>
  <c r="F18" i="98"/>
  <c r="H48" i="97"/>
  <c r="E48" i="97"/>
  <c r="H47" i="97"/>
  <c r="E47" i="97"/>
  <c r="H46" i="97"/>
  <c r="E46" i="97"/>
  <c r="H39" i="97"/>
  <c r="H38" i="97"/>
  <c r="H37" i="97"/>
  <c r="E29" i="97"/>
  <c r="E16" i="97"/>
  <c r="E22" i="97" s="1"/>
  <c r="E6" i="97"/>
  <c r="I15" i="95"/>
  <c r="I19" i="93"/>
  <c r="I18" i="93"/>
  <c r="I16" i="93"/>
  <c r="I15" i="93"/>
  <c r="I50" i="91"/>
  <c r="G180" i="119"/>
  <c r="G190" i="119"/>
  <c r="G182" i="119"/>
  <c r="G184" i="119"/>
  <c r="G198" i="119"/>
  <c r="G191" i="119"/>
  <c r="G189" i="119"/>
  <c r="G188" i="119"/>
  <c r="G186" i="119"/>
  <c r="G187" i="119"/>
  <c r="G185" i="119"/>
  <c r="G179" i="119"/>
  <c r="G178" i="119"/>
  <c r="G193" i="119"/>
  <c r="G192" i="119"/>
  <c r="H196" i="119"/>
  <c r="G196" i="119"/>
  <c r="H195" i="119"/>
  <c r="G181" i="119"/>
  <c r="I174" i="119"/>
  <c r="F99" i="95" a="1"/>
  <c r="F99" i="95" s="1"/>
  <c r="D96" i="95" a="1"/>
  <c r="D96" i="95" s="1"/>
  <c r="F94" i="95"/>
  <c r="D67" i="95"/>
  <c r="D66" i="95"/>
  <c r="D65" i="95"/>
  <c r="I59" i="95"/>
  <c r="I58" i="95"/>
  <c r="I55" i="95" a="1"/>
  <c r="I55" i="95" s="1"/>
  <c r="F77" i="95"/>
  <c r="I17" i="95"/>
  <c r="I16" i="95"/>
  <c r="I13" i="95" a="1"/>
  <c r="I13" i="95" s="1"/>
  <c r="F43" i="95"/>
  <c r="F151" i="94" a="1"/>
  <c r="F151" i="94" s="1"/>
  <c r="D148" i="94" a="1"/>
  <c r="D148" i="94" s="1"/>
  <c r="I127" i="94"/>
  <c r="I124" i="94" a="1"/>
  <c r="I124" i="94" s="1"/>
  <c r="F146" i="94"/>
  <c r="I96" i="94" a="1"/>
  <c r="I96" i="94" s="1"/>
  <c r="G102" i="94"/>
  <c r="F84" i="94" a="1"/>
  <c r="F84" i="94" s="1"/>
  <c r="D81" i="94" a="1"/>
  <c r="D81" i="94" s="1"/>
  <c r="J52" i="94"/>
  <c r="J49" i="94" a="1"/>
  <c r="J49" i="94" s="1"/>
  <c r="F79" i="94"/>
  <c r="I14" i="94" a="1"/>
  <c r="I14" i="94" s="1"/>
  <c r="I13" i="94" a="1"/>
  <c r="I13" i="94" s="1"/>
  <c r="I17" i="93" a="1"/>
  <c r="I17" i="93" s="1"/>
  <c r="I14" i="93" a="1"/>
  <c r="I14" i="93" s="1"/>
  <c r="I13" i="93" a="1"/>
  <c r="I13" i="93" s="1"/>
  <c r="F55" i="92" a="1"/>
  <c r="F55" i="92" s="1"/>
  <c r="D52" i="92" a="1"/>
  <c r="D52" i="92" s="1"/>
  <c r="K47" i="92"/>
  <c r="F50" i="92"/>
  <c r="E74" i="95"/>
  <c r="E73" i="95"/>
  <c r="E72" i="95"/>
  <c r="E71" i="95"/>
  <c r="E70" i="95"/>
  <c r="E106" i="94"/>
  <c r="I15" i="92" a="1"/>
  <c r="I15" i="92" s="1"/>
  <c r="I14" i="92" a="1"/>
  <c r="I14" i="92" s="1"/>
  <c r="I13" i="92" a="1"/>
  <c r="I13" i="92" s="1"/>
  <c r="F32" i="92"/>
  <c r="I53" i="91" a="1"/>
  <c r="I53" i="91" s="1"/>
  <c r="I52" i="91"/>
  <c r="I49" i="91" a="1"/>
  <c r="I49" i="91" s="1"/>
  <c r="I14" i="91" a="1"/>
  <c r="I14" i="91" s="1"/>
  <c r="I13" i="91" a="1"/>
  <c r="I13" i="91" s="1"/>
  <c r="O115" i="90" a="1"/>
  <c r="O115" i="90" s="1"/>
  <c r="M112" i="90" a="1"/>
  <c r="M112" i="90" s="1"/>
  <c r="S96" i="90"/>
  <c r="N107" i="90" s="1"/>
  <c r="S95" i="90"/>
  <c r="F85" i="90" a="1"/>
  <c r="F85" i="90" s="1"/>
  <c r="D82" i="90" a="1"/>
  <c r="D82" i="90" s="1"/>
  <c r="O79" i="90"/>
  <c r="O63" i="90"/>
  <c r="I53" i="90"/>
  <c r="I52" i="90"/>
  <c r="I49" i="90" a="1"/>
  <c r="I49" i="90" s="1"/>
  <c r="F80" i="90"/>
  <c r="O49" i="90"/>
  <c r="I14" i="90" a="1"/>
  <c r="I14" i="90" s="1"/>
  <c r="I13" i="90" a="1"/>
  <c r="I13" i="90" s="1"/>
  <c r="G56" i="89"/>
  <c r="G55" i="89"/>
  <c r="G54" i="89"/>
  <c r="K44" i="89"/>
  <c r="K43" i="89"/>
  <c r="K42" i="89"/>
  <c r="W167" i="88" a="1"/>
  <c r="W167" i="88" s="1"/>
  <c r="U164" i="88" a="1"/>
  <c r="U164" i="88" s="1"/>
  <c r="U144" i="88"/>
  <c r="U160" i="88" s="1"/>
  <c r="U143" i="88"/>
  <c r="U159" i="88" s="1"/>
  <c r="U142" i="88"/>
  <c r="U158" i="88" s="1"/>
  <c r="U141" i="88"/>
  <c r="U157" i="88" s="1"/>
  <c r="U140" i="88"/>
  <c r="U156" i="88" s="1"/>
  <c r="U139" i="88"/>
  <c r="U155" i="88" s="1"/>
  <c r="U138" i="88"/>
  <c r="U154" i="88" s="1"/>
  <c r="U137" i="88"/>
  <c r="U153" i="88" s="1"/>
  <c r="U136" i="88"/>
  <c r="U152" i="88" s="1"/>
  <c r="U135" i="88"/>
  <c r="U151" i="88" s="1"/>
  <c r="U134" i="88"/>
  <c r="U150" i="88" s="1"/>
  <c r="U133" i="88"/>
  <c r="U149" i="88" s="1"/>
  <c r="F133" i="88" a="1"/>
  <c r="F133" i="88" s="1"/>
  <c r="D130" i="88" a="1"/>
  <c r="D130" i="88" s="1"/>
  <c r="U128" i="88"/>
  <c r="U127" i="88"/>
  <c r="U126" i="88"/>
  <c r="U125" i="88"/>
  <c r="U124" i="88"/>
  <c r="U123" i="88"/>
  <c r="U122" i="88"/>
  <c r="U121" i="88"/>
  <c r="U120" i="88"/>
  <c r="U119" i="88"/>
  <c r="U118" i="88"/>
  <c r="V117" i="88" a="1"/>
  <c r="V117" i="88" s="1"/>
  <c r="U117" i="88"/>
  <c r="U108" i="88"/>
  <c r="U107" i="88"/>
  <c r="E107" i="88" a="1"/>
  <c r="E107" i="88" s="1"/>
  <c r="U106" i="88"/>
  <c r="U105" i="88"/>
  <c r="U104" i="88"/>
  <c r="U103" i="88"/>
  <c r="U102" i="88"/>
  <c r="I102" i="88" a="1"/>
  <c r="I102" i="88" s="1"/>
  <c r="U101" i="88"/>
  <c r="I101" i="88" a="1"/>
  <c r="I101" i="88" s="1"/>
  <c r="U100" i="88"/>
  <c r="I100" i="88" a="1"/>
  <c r="I100" i="88" s="1"/>
  <c r="AF117" i="88"/>
  <c r="U99" i="88"/>
  <c r="U98" i="88"/>
  <c r="U97" i="88"/>
  <c r="U87" i="88"/>
  <c r="U86" i="88"/>
  <c r="U85" i="88"/>
  <c r="U84" i="88"/>
  <c r="U83" i="88"/>
  <c r="U82" i="88"/>
  <c r="U81" i="88"/>
  <c r="U80" i="88"/>
  <c r="I80" i="88" a="1"/>
  <c r="I80" i="88" s="1"/>
  <c r="O85" i="88"/>
  <c r="U79" i="88"/>
  <c r="U78" i="88"/>
  <c r="U77" i="88"/>
  <c r="U76" i="88"/>
  <c r="U71" i="88"/>
  <c r="U70" i="88"/>
  <c r="U69" i="88"/>
  <c r="U68" i="88"/>
  <c r="U67" i="88"/>
  <c r="U66" i="88"/>
  <c r="U65" i="88"/>
  <c r="U64" i="88"/>
  <c r="U63" i="88"/>
  <c r="U62" i="88"/>
  <c r="U61" i="88"/>
  <c r="U60" i="88"/>
  <c r="D59" i="88"/>
  <c r="D58" i="88"/>
  <c r="D57" i="88"/>
  <c r="D56" i="88"/>
  <c r="U55" i="88"/>
  <c r="U54" i="88"/>
  <c r="U53" i="88"/>
  <c r="U52" i="88"/>
  <c r="U51" i="88"/>
  <c r="D51" i="88"/>
  <c r="U50" i="88"/>
  <c r="D50" i="88"/>
  <c r="U49" i="88"/>
  <c r="D49" i="88"/>
  <c r="U48" i="88"/>
  <c r="D48" i="88"/>
  <c r="U47" i="88"/>
  <c r="U46" i="88"/>
  <c r="U45" i="88"/>
  <c r="U44" i="88"/>
  <c r="I43" i="88" a="1"/>
  <c r="I43" i="88" s="1"/>
  <c r="I42" i="88" a="1"/>
  <c r="I42" i="88" s="1"/>
  <c r="I41" i="88" a="1"/>
  <c r="I41" i="88" s="1"/>
  <c r="U39" i="88"/>
  <c r="U38" i="88"/>
  <c r="U37" i="88"/>
  <c r="U36" i="88"/>
  <c r="U35" i="88"/>
  <c r="U34" i="88"/>
  <c r="U33" i="88"/>
  <c r="U32" i="88"/>
  <c r="U31" i="88"/>
  <c r="U30" i="88"/>
  <c r="U29" i="88"/>
  <c r="U28" i="88"/>
  <c r="E28" i="88" a="1"/>
  <c r="E28" i="88" s="1"/>
  <c r="F28" i="88" s="1" a="1"/>
  <c r="F28" i="88" s="1"/>
  <c r="E29" i="88" a="1"/>
  <c r="E29" i="88" s="1"/>
  <c r="J16" i="88"/>
  <c r="J13" i="88" a="1"/>
  <c r="J13" i="88" s="1"/>
  <c r="I15" i="86"/>
  <c r="J14" i="85"/>
  <c r="I155" i="83"/>
  <c r="O369" i="87"/>
  <c r="M369" i="87"/>
  <c r="K369" i="87"/>
  <c r="I369" i="87"/>
  <c r="H369" i="87"/>
  <c r="G369" i="87"/>
  <c r="F369" i="87"/>
  <c r="E369" i="87"/>
  <c r="D369" i="87"/>
  <c r="O368" i="87"/>
  <c r="K368" i="87"/>
  <c r="H368" i="87"/>
  <c r="G368" i="87"/>
  <c r="F368" i="87"/>
  <c r="E368" i="87"/>
  <c r="D368" i="87"/>
  <c r="O367" i="87"/>
  <c r="M367" i="87"/>
  <c r="K367" i="87"/>
  <c r="J367" i="87"/>
  <c r="H367" i="87"/>
  <c r="G367" i="87"/>
  <c r="F367" i="87"/>
  <c r="E367" i="87"/>
  <c r="D367" i="87"/>
  <c r="O366" i="87"/>
  <c r="K366" i="87"/>
  <c r="H366" i="87"/>
  <c r="G366" i="87"/>
  <c r="F366" i="87"/>
  <c r="E366" i="87"/>
  <c r="D366" i="87"/>
  <c r="O365" i="87"/>
  <c r="M365" i="87"/>
  <c r="K365" i="87"/>
  <c r="I365" i="87"/>
  <c r="H365" i="87"/>
  <c r="G365" i="87"/>
  <c r="F365" i="87"/>
  <c r="E365" i="87"/>
  <c r="D365" i="87"/>
  <c r="O364" i="87"/>
  <c r="M364" i="87"/>
  <c r="K364" i="87"/>
  <c r="I364" i="87"/>
  <c r="H364" i="87"/>
  <c r="G364" i="87"/>
  <c r="F364" i="87"/>
  <c r="E364" i="87"/>
  <c r="D364" i="87"/>
  <c r="O363" i="87"/>
  <c r="N363" i="87"/>
  <c r="K363" i="87"/>
  <c r="I363" i="87"/>
  <c r="H363" i="87"/>
  <c r="G363" i="87"/>
  <c r="F363" i="87"/>
  <c r="E363" i="87"/>
  <c r="D363" i="87"/>
  <c r="O362" i="87"/>
  <c r="N362" i="87"/>
  <c r="K362" i="87"/>
  <c r="H362" i="87"/>
  <c r="G362" i="87"/>
  <c r="F362" i="87"/>
  <c r="E362" i="87"/>
  <c r="D362" i="87"/>
  <c r="L338" i="87"/>
  <c r="K338" i="87"/>
  <c r="I338" i="87"/>
  <c r="L337" i="87"/>
  <c r="K337" i="87"/>
  <c r="I337" i="87"/>
  <c r="L336" i="87"/>
  <c r="K336" i="87"/>
  <c r="I336" i="87"/>
  <c r="L335" i="87"/>
  <c r="K335" i="87"/>
  <c r="I335" i="87"/>
  <c r="P282" i="87"/>
  <c r="O282" i="87"/>
  <c r="N282" i="87"/>
  <c r="M282" i="87"/>
  <c r="L282" i="87"/>
  <c r="K282" i="87"/>
  <c r="J282" i="87"/>
  <c r="I282" i="87"/>
  <c r="H282" i="87"/>
  <c r="G282" i="87"/>
  <c r="F282" i="87"/>
  <c r="E282" i="87"/>
  <c r="P281" i="87"/>
  <c r="O281" i="87"/>
  <c r="N281" i="87"/>
  <c r="M281" i="87"/>
  <c r="L281" i="87"/>
  <c r="K281" i="87"/>
  <c r="J281" i="87"/>
  <c r="I281" i="87"/>
  <c r="H281" i="87"/>
  <c r="G281" i="87"/>
  <c r="F281" i="87"/>
  <c r="E281" i="87"/>
  <c r="P280" i="87"/>
  <c r="O280" i="87"/>
  <c r="N280" i="87"/>
  <c r="M280" i="87"/>
  <c r="L280" i="87"/>
  <c r="K280" i="87"/>
  <c r="J280" i="87"/>
  <c r="I280" i="87"/>
  <c r="H280" i="87"/>
  <c r="G280" i="87"/>
  <c r="F280" i="87"/>
  <c r="E280" i="87"/>
  <c r="P279" i="87"/>
  <c r="O279" i="87"/>
  <c r="N279" i="87"/>
  <c r="M279" i="87"/>
  <c r="L279" i="87"/>
  <c r="K279" i="87"/>
  <c r="J279" i="87"/>
  <c r="I279" i="87"/>
  <c r="H279" i="87"/>
  <c r="G279" i="87"/>
  <c r="F279" i="87"/>
  <c r="E279" i="87"/>
  <c r="P278" i="87"/>
  <c r="O278" i="87"/>
  <c r="N278" i="87"/>
  <c r="M278" i="87"/>
  <c r="L278" i="87"/>
  <c r="K278" i="87"/>
  <c r="J278" i="87"/>
  <c r="I278" i="87"/>
  <c r="H278" i="87"/>
  <c r="G278" i="87"/>
  <c r="F278" i="87"/>
  <c r="E278" i="87"/>
  <c r="P277" i="87"/>
  <c r="O277" i="87"/>
  <c r="N277" i="87"/>
  <c r="M277" i="87"/>
  <c r="L277" i="87"/>
  <c r="K277" i="87"/>
  <c r="J277" i="87"/>
  <c r="I277" i="87"/>
  <c r="H277" i="87"/>
  <c r="G277" i="87"/>
  <c r="F277" i="87"/>
  <c r="E277" i="87"/>
  <c r="P276" i="87"/>
  <c r="O276" i="87"/>
  <c r="N276" i="87"/>
  <c r="M276" i="87"/>
  <c r="L276" i="87"/>
  <c r="K276" i="87"/>
  <c r="J276" i="87"/>
  <c r="I276" i="87"/>
  <c r="H276" i="87"/>
  <c r="G276" i="87"/>
  <c r="F276" i="87"/>
  <c r="E276" i="87"/>
  <c r="P275" i="87"/>
  <c r="O275" i="87"/>
  <c r="N275" i="87"/>
  <c r="M275" i="87"/>
  <c r="L275" i="87"/>
  <c r="K275" i="87"/>
  <c r="J275" i="87"/>
  <c r="I275" i="87"/>
  <c r="H275" i="87"/>
  <c r="G275" i="87"/>
  <c r="F275" i="87"/>
  <c r="E275" i="87"/>
  <c r="P274" i="87"/>
  <c r="O274" i="87"/>
  <c r="N274" i="87"/>
  <c r="M274" i="87"/>
  <c r="L274" i="87"/>
  <c r="K274" i="87"/>
  <c r="J274" i="87"/>
  <c r="I274" i="87"/>
  <c r="H274" i="87"/>
  <c r="G274" i="87"/>
  <c r="F274" i="87"/>
  <c r="E274" i="87"/>
  <c r="P273" i="87"/>
  <c r="O273" i="87"/>
  <c r="N273" i="87"/>
  <c r="M273" i="87"/>
  <c r="L273" i="87"/>
  <c r="K273" i="87"/>
  <c r="J273" i="87"/>
  <c r="I273" i="87"/>
  <c r="H273" i="87"/>
  <c r="G273" i="87"/>
  <c r="F273" i="87"/>
  <c r="E273" i="87"/>
  <c r="P272" i="87"/>
  <c r="O272" i="87"/>
  <c r="N272" i="87"/>
  <c r="M272" i="87"/>
  <c r="L272" i="87"/>
  <c r="K272" i="87"/>
  <c r="J272" i="87"/>
  <c r="I272" i="87"/>
  <c r="H272" i="87"/>
  <c r="G272" i="87"/>
  <c r="F272" i="87"/>
  <c r="E272" i="87"/>
  <c r="P271" i="87"/>
  <c r="O271" i="87"/>
  <c r="N271" i="87"/>
  <c r="M271" i="87"/>
  <c r="L271" i="87"/>
  <c r="K271" i="87"/>
  <c r="J271" i="87"/>
  <c r="I271" i="87"/>
  <c r="H271" i="87"/>
  <c r="G271" i="87"/>
  <c r="F271" i="87"/>
  <c r="E271" i="87"/>
  <c r="P270" i="87"/>
  <c r="O270" i="87"/>
  <c r="N270" i="87"/>
  <c r="M270" i="87"/>
  <c r="L270" i="87"/>
  <c r="K270" i="87"/>
  <c r="J270" i="87"/>
  <c r="I270" i="87"/>
  <c r="H270" i="87"/>
  <c r="G270" i="87"/>
  <c r="F270" i="87"/>
  <c r="E270" i="87"/>
  <c r="P269" i="87"/>
  <c r="O269" i="87"/>
  <c r="N269" i="87"/>
  <c r="M269" i="87"/>
  <c r="L269" i="87"/>
  <c r="K269" i="87"/>
  <c r="J269" i="87"/>
  <c r="I269" i="87"/>
  <c r="H269" i="87"/>
  <c r="G269" i="87"/>
  <c r="F269" i="87"/>
  <c r="E269" i="87"/>
  <c r="P268" i="87"/>
  <c r="O268" i="87"/>
  <c r="N268" i="87"/>
  <c r="M268" i="87"/>
  <c r="L268" i="87"/>
  <c r="K268" i="87"/>
  <c r="J268" i="87"/>
  <c r="I268" i="87"/>
  <c r="H268" i="87"/>
  <c r="G268" i="87"/>
  <c r="F268" i="87"/>
  <c r="E268" i="87"/>
  <c r="P267" i="87"/>
  <c r="O267" i="87"/>
  <c r="N267" i="87"/>
  <c r="M267" i="87"/>
  <c r="L267" i="87"/>
  <c r="K267" i="87"/>
  <c r="J267" i="87"/>
  <c r="I267" i="87"/>
  <c r="H267" i="87"/>
  <c r="G267" i="87"/>
  <c r="F267" i="87"/>
  <c r="E267" i="87"/>
  <c r="P266" i="87"/>
  <c r="O266" i="87"/>
  <c r="N266" i="87"/>
  <c r="M266" i="87"/>
  <c r="L266" i="87"/>
  <c r="K266" i="87"/>
  <c r="J266" i="87"/>
  <c r="I266" i="87"/>
  <c r="H266" i="87"/>
  <c r="G266" i="87"/>
  <c r="F266" i="87"/>
  <c r="E266" i="87"/>
  <c r="P265" i="87"/>
  <c r="O265" i="87"/>
  <c r="N265" i="87"/>
  <c r="M265" i="87"/>
  <c r="L265" i="87"/>
  <c r="K265" i="87"/>
  <c r="J265" i="87"/>
  <c r="I265" i="87"/>
  <c r="H265" i="87"/>
  <c r="G265" i="87"/>
  <c r="F265" i="87"/>
  <c r="E265" i="87"/>
  <c r="P264" i="87"/>
  <c r="O264" i="87"/>
  <c r="N264" i="87"/>
  <c r="M264" i="87"/>
  <c r="L264" i="87"/>
  <c r="K264" i="87"/>
  <c r="J264" i="87"/>
  <c r="I264" i="87"/>
  <c r="H264" i="87"/>
  <c r="G264" i="87"/>
  <c r="F264" i="87"/>
  <c r="E264" i="87"/>
  <c r="P263" i="87"/>
  <c r="O263" i="87"/>
  <c r="N263" i="87"/>
  <c r="M263" i="87"/>
  <c r="L263" i="87"/>
  <c r="K263" i="87"/>
  <c r="J263" i="87"/>
  <c r="I263" i="87"/>
  <c r="H263" i="87"/>
  <c r="G263" i="87"/>
  <c r="F263" i="87"/>
  <c r="E263" i="87"/>
  <c r="P262" i="87"/>
  <c r="O262" i="87"/>
  <c r="N262" i="87"/>
  <c r="M262" i="87"/>
  <c r="L262" i="87"/>
  <c r="K262" i="87"/>
  <c r="J262" i="87"/>
  <c r="I262" i="87"/>
  <c r="H262" i="87"/>
  <c r="G262" i="87"/>
  <c r="F262" i="87"/>
  <c r="E262" i="87"/>
  <c r="P261" i="87"/>
  <c r="O261" i="87"/>
  <c r="N261" i="87"/>
  <c r="M261" i="87"/>
  <c r="L261" i="87"/>
  <c r="K261" i="87"/>
  <c r="J261" i="87"/>
  <c r="I261" i="87"/>
  <c r="H261" i="87"/>
  <c r="G261" i="87"/>
  <c r="F261" i="87"/>
  <c r="E261" i="87"/>
  <c r="P260" i="87"/>
  <c r="O260" i="87"/>
  <c r="N260" i="87"/>
  <c r="M260" i="87"/>
  <c r="L260" i="87"/>
  <c r="K260" i="87"/>
  <c r="J260" i="87"/>
  <c r="I260" i="87"/>
  <c r="H260" i="87"/>
  <c r="G260" i="87"/>
  <c r="F260" i="87"/>
  <c r="E260" i="87"/>
  <c r="P259" i="87"/>
  <c r="O259" i="87"/>
  <c r="N259" i="87"/>
  <c r="M259" i="87"/>
  <c r="L259" i="87"/>
  <c r="K259" i="87"/>
  <c r="J259" i="87"/>
  <c r="I259" i="87"/>
  <c r="H259" i="87"/>
  <c r="G259" i="87"/>
  <c r="F259" i="87"/>
  <c r="E259" i="87"/>
  <c r="P258" i="87"/>
  <c r="O258" i="87"/>
  <c r="N258" i="87"/>
  <c r="M258" i="87"/>
  <c r="L258" i="87"/>
  <c r="K258" i="87"/>
  <c r="J258" i="87"/>
  <c r="I258" i="87"/>
  <c r="H258" i="87"/>
  <c r="G258" i="87"/>
  <c r="F258" i="87"/>
  <c r="E258" i="87"/>
  <c r="P257" i="87"/>
  <c r="O257" i="87"/>
  <c r="N257" i="87"/>
  <c r="M257" i="87"/>
  <c r="L257" i="87"/>
  <c r="K257" i="87"/>
  <c r="J257" i="87"/>
  <c r="I257" i="87"/>
  <c r="H257" i="87"/>
  <c r="G257" i="87"/>
  <c r="F257" i="87"/>
  <c r="E257" i="87"/>
  <c r="P256" i="87"/>
  <c r="O256" i="87"/>
  <c r="N256" i="87"/>
  <c r="M256" i="87"/>
  <c r="L256" i="87"/>
  <c r="K256" i="87"/>
  <c r="J256" i="87"/>
  <c r="I256" i="87"/>
  <c r="H256" i="87"/>
  <c r="G256" i="87"/>
  <c r="F256" i="87"/>
  <c r="E256" i="87"/>
  <c r="P255" i="87"/>
  <c r="O255" i="87"/>
  <c r="N255" i="87"/>
  <c r="M255" i="87"/>
  <c r="L255" i="87"/>
  <c r="K255" i="87"/>
  <c r="J255" i="87"/>
  <c r="I255" i="87"/>
  <c r="H255" i="87"/>
  <c r="G255" i="87"/>
  <c r="F255" i="87"/>
  <c r="E255" i="87"/>
  <c r="M254" i="87"/>
  <c r="J254" i="87"/>
  <c r="I254" i="87"/>
  <c r="H254" i="87"/>
  <c r="G254" i="87"/>
  <c r="F254" i="87"/>
  <c r="E254" i="87"/>
  <c r="M253" i="87"/>
  <c r="J253" i="87"/>
  <c r="I253" i="87"/>
  <c r="H253" i="87"/>
  <c r="G253" i="87"/>
  <c r="F253" i="87"/>
  <c r="E253" i="87"/>
  <c r="M252" i="87"/>
  <c r="J252" i="87"/>
  <c r="I252" i="87"/>
  <c r="H252" i="87"/>
  <c r="G252" i="87"/>
  <c r="F252" i="87"/>
  <c r="E252" i="87"/>
  <c r="M251" i="87"/>
  <c r="J251" i="87"/>
  <c r="I251" i="87"/>
  <c r="H251" i="87"/>
  <c r="G251" i="87"/>
  <c r="F251" i="87"/>
  <c r="E251" i="87"/>
  <c r="M250" i="87"/>
  <c r="J250" i="87"/>
  <c r="I250" i="87"/>
  <c r="H250" i="87"/>
  <c r="G250" i="87"/>
  <c r="F250" i="87"/>
  <c r="E250" i="87"/>
  <c r="M249" i="87"/>
  <c r="J249" i="87"/>
  <c r="I249" i="87"/>
  <c r="H249" i="87"/>
  <c r="G249" i="87"/>
  <c r="F249" i="87"/>
  <c r="E249" i="87"/>
  <c r="M248" i="87"/>
  <c r="J248" i="87"/>
  <c r="I248" i="87"/>
  <c r="H248" i="87"/>
  <c r="G248" i="87"/>
  <c r="F248" i="87"/>
  <c r="E248" i="87"/>
  <c r="M247" i="87"/>
  <c r="J247" i="87"/>
  <c r="I247" i="87"/>
  <c r="H247" i="87"/>
  <c r="G247" i="87"/>
  <c r="F247" i="87"/>
  <c r="E247" i="87"/>
  <c r="M246" i="87"/>
  <c r="J246" i="87"/>
  <c r="I246" i="87"/>
  <c r="H246" i="87"/>
  <c r="G246" i="87"/>
  <c r="F246" i="87"/>
  <c r="E246" i="87"/>
  <c r="M245" i="87"/>
  <c r="J245" i="87"/>
  <c r="I245" i="87"/>
  <c r="H245" i="87"/>
  <c r="G245" i="87"/>
  <c r="F245" i="87"/>
  <c r="E245" i="87"/>
  <c r="M244" i="87"/>
  <c r="J244" i="87"/>
  <c r="I244" i="87"/>
  <c r="H244" i="87"/>
  <c r="G244" i="87"/>
  <c r="F244" i="87"/>
  <c r="E244" i="87"/>
  <c r="M243" i="87"/>
  <c r="J243" i="87"/>
  <c r="I243" i="87"/>
  <c r="H243" i="87"/>
  <c r="G243" i="87"/>
  <c r="F243" i="87"/>
  <c r="E243" i="87"/>
  <c r="M242" i="87"/>
  <c r="J242" i="87"/>
  <c r="I242" i="87"/>
  <c r="H242" i="87"/>
  <c r="G242" i="87"/>
  <c r="F242" i="87"/>
  <c r="M241" i="87"/>
  <c r="J241" i="87"/>
  <c r="I241" i="87"/>
  <c r="H241" i="87"/>
  <c r="G241" i="87"/>
  <c r="F241" i="87"/>
  <c r="M240" i="87"/>
  <c r="J240" i="87"/>
  <c r="I240" i="87"/>
  <c r="H240" i="87"/>
  <c r="G240" i="87"/>
  <c r="F240" i="87"/>
  <c r="M239" i="87"/>
  <c r="J239" i="87"/>
  <c r="I239" i="87"/>
  <c r="H239" i="87"/>
  <c r="G239" i="87"/>
  <c r="F239" i="87"/>
  <c r="M238" i="87"/>
  <c r="J238" i="87"/>
  <c r="I238" i="87"/>
  <c r="H238" i="87"/>
  <c r="G238" i="87"/>
  <c r="F238" i="87"/>
  <c r="M237" i="87"/>
  <c r="J237" i="87"/>
  <c r="I237" i="87"/>
  <c r="H237" i="87"/>
  <c r="G237" i="87"/>
  <c r="F237" i="87"/>
  <c r="M236" i="87"/>
  <c r="J236" i="87"/>
  <c r="I236" i="87"/>
  <c r="H236" i="87"/>
  <c r="G236" i="87"/>
  <c r="F236" i="87"/>
  <c r="M235" i="87"/>
  <c r="J235" i="87"/>
  <c r="I235" i="87"/>
  <c r="H235" i="87"/>
  <c r="G235" i="87"/>
  <c r="F235" i="87"/>
  <c r="M234" i="87"/>
  <c r="J234" i="87"/>
  <c r="I234" i="87"/>
  <c r="H234" i="87"/>
  <c r="G234" i="87"/>
  <c r="F234" i="87"/>
  <c r="M233" i="87"/>
  <c r="J233" i="87"/>
  <c r="I233" i="87"/>
  <c r="H233" i="87"/>
  <c r="G233" i="87"/>
  <c r="F233" i="87"/>
  <c r="M232" i="87"/>
  <c r="J232" i="87"/>
  <c r="I232" i="87"/>
  <c r="H232" i="87"/>
  <c r="G232" i="87"/>
  <c r="F232" i="87"/>
  <c r="M231" i="87"/>
  <c r="J231" i="87"/>
  <c r="I231" i="87"/>
  <c r="H231" i="87"/>
  <c r="G231" i="87"/>
  <c r="F231" i="87"/>
  <c r="P145" i="87"/>
  <c r="O145" i="87"/>
  <c r="N145" i="87"/>
  <c r="M145" i="87"/>
  <c r="L145" i="87"/>
  <c r="K145" i="87"/>
  <c r="J145" i="87"/>
  <c r="I145" i="87"/>
  <c r="H145" i="87"/>
  <c r="G145" i="87"/>
  <c r="F145" i="87"/>
  <c r="F149" i="87" s="1"/>
  <c r="E145" i="87"/>
  <c r="P144" i="87"/>
  <c r="O144" i="87"/>
  <c r="N144" i="87"/>
  <c r="M144" i="87"/>
  <c r="L144" i="87"/>
  <c r="K144" i="87"/>
  <c r="J144" i="87"/>
  <c r="I144" i="87"/>
  <c r="H144" i="87"/>
  <c r="G144" i="87"/>
  <c r="F144" i="87"/>
  <c r="F148" i="87" s="1"/>
  <c r="E144" i="87"/>
  <c r="P143" i="87"/>
  <c r="O143" i="87"/>
  <c r="N143" i="87"/>
  <c r="M143" i="87"/>
  <c r="L143" i="87"/>
  <c r="K143" i="87"/>
  <c r="J143" i="87"/>
  <c r="I143" i="87"/>
  <c r="H143" i="87"/>
  <c r="G143" i="87"/>
  <c r="F143" i="87"/>
  <c r="F147" i="87" s="1"/>
  <c r="E143" i="87"/>
  <c r="P142" i="87"/>
  <c r="O142" i="87"/>
  <c r="N142" i="87"/>
  <c r="M142" i="87"/>
  <c r="L142" i="87"/>
  <c r="K142" i="87"/>
  <c r="J142" i="87"/>
  <c r="I142" i="87"/>
  <c r="H142" i="87"/>
  <c r="G142" i="87"/>
  <c r="F142" i="87"/>
  <c r="F146" i="87" s="1"/>
  <c r="E142" i="87"/>
  <c r="P141" i="87"/>
  <c r="O141" i="87"/>
  <c r="N141" i="87"/>
  <c r="M141" i="87"/>
  <c r="L141" i="87"/>
  <c r="K141" i="87"/>
  <c r="J141" i="87"/>
  <c r="I141" i="87"/>
  <c r="H141" i="87"/>
  <c r="G141" i="87"/>
  <c r="F141" i="87"/>
  <c r="E141" i="87"/>
  <c r="P140" i="87"/>
  <c r="O140" i="87"/>
  <c r="N140" i="87"/>
  <c r="M140" i="87"/>
  <c r="L140" i="87"/>
  <c r="K140" i="87"/>
  <c r="J140" i="87"/>
  <c r="I140" i="87"/>
  <c r="H140" i="87"/>
  <c r="G140" i="87"/>
  <c r="F140" i="87"/>
  <c r="E140" i="87"/>
  <c r="P139" i="87"/>
  <c r="O139" i="87"/>
  <c r="N139" i="87"/>
  <c r="M139" i="87"/>
  <c r="L139" i="87"/>
  <c r="K139" i="87"/>
  <c r="J139" i="87"/>
  <c r="I139" i="87"/>
  <c r="H139" i="87"/>
  <c r="G139" i="87"/>
  <c r="F139" i="87"/>
  <c r="E139" i="87"/>
  <c r="P138" i="87"/>
  <c r="O138" i="87"/>
  <c r="N138" i="87"/>
  <c r="M138" i="87"/>
  <c r="L138" i="87"/>
  <c r="K138" i="87"/>
  <c r="J138" i="87"/>
  <c r="I138" i="87"/>
  <c r="H138" i="87"/>
  <c r="G138" i="87"/>
  <c r="F138" i="87"/>
  <c r="E138" i="87"/>
  <c r="P137" i="87"/>
  <c r="O137" i="87"/>
  <c r="N137" i="87"/>
  <c r="M137" i="87"/>
  <c r="L137" i="87"/>
  <c r="K137" i="87"/>
  <c r="J137" i="87"/>
  <c r="I137" i="87"/>
  <c r="H137" i="87"/>
  <c r="G137" i="87"/>
  <c r="F137" i="87"/>
  <c r="E137" i="87"/>
  <c r="P136" i="87"/>
  <c r="O136" i="87"/>
  <c r="N136" i="87"/>
  <c r="M136" i="87"/>
  <c r="L136" i="87"/>
  <c r="K136" i="87"/>
  <c r="J136" i="87"/>
  <c r="I136" i="87"/>
  <c r="H136" i="87"/>
  <c r="G136" i="87"/>
  <c r="F136" i="87"/>
  <c r="E136" i="87"/>
  <c r="P135" i="87"/>
  <c r="O135" i="87"/>
  <c r="N135" i="87"/>
  <c r="M135" i="87"/>
  <c r="L135" i="87"/>
  <c r="K135" i="87"/>
  <c r="J135" i="87"/>
  <c r="I135" i="87"/>
  <c r="H135" i="87"/>
  <c r="G135" i="87"/>
  <c r="F135" i="87"/>
  <c r="E135" i="87"/>
  <c r="P134" i="87"/>
  <c r="O134" i="87"/>
  <c r="N134" i="87"/>
  <c r="M134" i="87"/>
  <c r="L134" i="87"/>
  <c r="K134" i="87"/>
  <c r="J134" i="87"/>
  <c r="I134" i="87"/>
  <c r="H134" i="87"/>
  <c r="G134" i="87"/>
  <c r="F134" i="87"/>
  <c r="E134" i="87"/>
  <c r="P133" i="87"/>
  <c r="O133" i="87"/>
  <c r="N133" i="87"/>
  <c r="M133" i="87"/>
  <c r="L133" i="87"/>
  <c r="K133" i="87"/>
  <c r="J133" i="87"/>
  <c r="I133" i="87"/>
  <c r="H133" i="87"/>
  <c r="G133" i="87"/>
  <c r="F133" i="87"/>
  <c r="E133" i="87"/>
  <c r="P132" i="87"/>
  <c r="O132" i="87"/>
  <c r="N132" i="87"/>
  <c r="M132" i="87"/>
  <c r="L132" i="87"/>
  <c r="K132" i="87"/>
  <c r="J132" i="87"/>
  <c r="I132" i="87"/>
  <c r="H132" i="87"/>
  <c r="G132" i="87"/>
  <c r="F132" i="87"/>
  <c r="E132" i="87"/>
  <c r="P131" i="87"/>
  <c r="O131" i="87"/>
  <c r="N131" i="87"/>
  <c r="M131" i="87"/>
  <c r="L131" i="87"/>
  <c r="K131" i="87"/>
  <c r="J131" i="87"/>
  <c r="I131" i="87"/>
  <c r="H131" i="87"/>
  <c r="G131" i="87"/>
  <c r="F131" i="87"/>
  <c r="E131" i="87"/>
  <c r="P130" i="87"/>
  <c r="O130" i="87"/>
  <c r="N130" i="87"/>
  <c r="M130" i="87"/>
  <c r="L130" i="87"/>
  <c r="K130" i="87"/>
  <c r="J130" i="87"/>
  <c r="I130" i="87"/>
  <c r="H130" i="87"/>
  <c r="G130" i="87"/>
  <c r="F130" i="87"/>
  <c r="E130" i="87"/>
  <c r="P129" i="87"/>
  <c r="O129" i="87"/>
  <c r="N129" i="87"/>
  <c r="M129" i="87"/>
  <c r="L129" i="87"/>
  <c r="K129" i="87"/>
  <c r="J129" i="87"/>
  <c r="I129" i="87"/>
  <c r="H129" i="87"/>
  <c r="G129" i="87"/>
  <c r="F129" i="87"/>
  <c r="E129" i="87"/>
  <c r="P128" i="87"/>
  <c r="O128" i="87"/>
  <c r="N128" i="87"/>
  <c r="M128" i="87"/>
  <c r="L128" i="87"/>
  <c r="K128" i="87"/>
  <c r="J128" i="87"/>
  <c r="I128" i="87"/>
  <c r="H128" i="87"/>
  <c r="G128" i="87"/>
  <c r="F128" i="87"/>
  <c r="E128" i="87"/>
  <c r="P127" i="87"/>
  <c r="O127" i="87"/>
  <c r="N127" i="87"/>
  <c r="M127" i="87"/>
  <c r="L127" i="87"/>
  <c r="K127" i="87"/>
  <c r="J127" i="87"/>
  <c r="I127" i="87"/>
  <c r="H127" i="87"/>
  <c r="G127" i="87"/>
  <c r="F127" i="87"/>
  <c r="E127" i="87"/>
  <c r="P126" i="87"/>
  <c r="O126" i="87"/>
  <c r="N126" i="87"/>
  <c r="M126" i="87"/>
  <c r="L126" i="87"/>
  <c r="K126" i="87"/>
  <c r="J126" i="87"/>
  <c r="I126" i="87"/>
  <c r="H126" i="87"/>
  <c r="G126" i="87"/>
  <c r="F126" i="87"/>
  <c r="E126" i="87"/>
  <c r="P125" i="87"/>
  <c r="O125" i="87"/>
  <c r="N125" i="87"/>
  <c r="M125" i="87"/>
  <c r="L125" i="87"/>
  <c r="K125" i="87"/>
  <c r="J125" i="87"/>
  <c r="I125" i="87"/>
  <c r="H125" i="87"/>
  <c r="G125" i="87"/>
  <c r="F125" i="87"/>
  <c r="E125" i="87"/>
  <c r="P124" i="87"/>
  <c r="O124" i="87"/>
  <c r="N124" i="87"/>
  <c r="M124" i="87"/>
  <c r="L124" i="87"/>
  <c r="K124" i="87"/>
  <c r="J124" i="87"/>
  <c r="I124" i="87"/>
  <c r="H124" i="87"/>
  <c r="G124" i="87"/>
  <c r="F124" i="87"/>
  <c r="E124" i="87"/>
  <c r="P123" i="87"/>
  <c r="O123" i="87"/>
  <c r="N123" i="87"/>
  <c r="M123" i="87"/>
  <c r="L123" i="87"/>
  <c r="K123" i="87"/>
  <c r="J123" i="87"/>
  <c r="I123" i="87"/>
  <c r="H123" i="87"/>
  <c r="G123" i="87"/>
  <c r="F123" i="87"/>
  <c r="E123" i="87"/>
  <c r="P122" i="87"/>
  <c r="O122" i="87"/>
  <c r="N122" i="87"/>
  <c r="M122" i="87"/>
  <c r="L122" i="87"/>
  <c r="K122" i="87"/>
  <c r="J122" i="87"/>
  <c r="I122" i="87"/>
  <c r="H122" i="87"/>
  <c r="G122" i="87"/>
  <c r="F122" i="87"/>
  <c r="E122" i="87"/>
  <c r="P121" i="87"/>
  <c r="O121" i="87"/>
  <c r="N121" i="87"/>
  <c r="M121" i="87"/>
  <c r="L121" i="87"/>
  <c r="K121" i="87"/>
  <c r="J121" i="87"/>
  <c r="I121" i="87"/>
  <c r="H121" i="87"/>
  <c r="G121" i="87"/>
  <c r="F121" i="87"/>
  <c r="E121" i="87"/>
  <c r="P120" i="87"/>
  <c r="O120" i="87"/>
  <c r="N120" i="87"/>
  <c r="M120" i="87"/>
  <c r="L120" i="87"/>
  <c r="K120" i="87"/>
  <c r="J120" i="87"/>
  <c r="I120" i="87"/>
  <c r="H120" i="87"/>
  <c r="G120" i="87"/>
  <c r="F120" i="87"/>
  <c r="E120" i="87"/>
  <c r="P119" i="87"/>
  <c r="O119" i="87"/>
  <c r="N119" i="87"/>
  <c r="M119" i="87"/>
  <c r="L119" i="87"/>
  <c r="K119" i="87"/>
  <c r="J119" i="87"/>
  <c r="I119" i="87"/>
  <c r="H119" i="87"/>
  <c r="G119" i="87"/>
  <c r="F119" i="87"/>
  <c r="E119" i="87"/>
  <c r="P118" i="87"/>
  <c r="O118" i="87"/>
  <c r="N118" i="87"/>
  <c r="M118" i="87"/>
  <c r="L118" i="87"/>
  <c r="K118" i="87"/>
  <c r="J118" i="87"/>
  <c r="I118" i="87"/>
  <c r="H118" i="87"/>
  <c r="G118" i="87"/>
  <c r="F118" i="87"/>
  <c r="E118" i="87"/>
  <c r="P117" i="87"/>
  <c r="M117" i="87"/>
  <c r="J117" i="87"/>
  <c r="I117" i="87"/>
  <c r="H117" i="87"/>
  <c r="G117" i="87"/>
  <c r="F117" i="87"/>
  <c r="E117" i="87"/>
  <c r="O116" i="87"/>
  <c r="M116" i="87"/>
  <c r="L116" i="87"/>
  <c r="J116" i="87"/>
  <c r="I116" i="87"/>
  <c r="H116" i="87"/>
  <c r="G116" i="87"/>
  <c r="F116" i="87"/>
  <c r="E116" i="87"/>
  <c r="M115" i="87"/>
  <c r="K115" i="87"/>
  <c r="J115" i="87"/>
  <c r="I115" i="87"/>
  <c r="H115" i="87"/>
  <c r="G115" i="87"/>
  <c r="F115" i="87"/>
  <c r="E115" i="87"/>
  <c r="M114" i="87"/>
  <c r="K114" i="87"/>
  <c r="J114" i="87"/>
  <c r="I114" i="87"/>
  <c r="H114" i="87"/>
  <c r="G114" i="87"/>
  <c r="F114" i="87"/>
  <c r="E114" i="87"/>
  <c r="O113" i="87"/>
  <c r="M113" i="87"/>
  <c r="K113" i="87"/>
  <c r="J113" i="87"/>
  <c r="I113" i="87"/>
  <c r="H113" i="87"/>
  <c r="G113" i="87"/>
  <c r="F113" i="87"/>
  <c r="E113" i="87"/>
  <c r="O112" i="87"/>
  <c r="M112" i="87"/>
  <c r="J112" i="87"/>
  <c r="I112" i="87"/>
  <c r="H112" i="87"/>
  <c r="G112" i="87"/>
  <c r="F112" i="87"/>
  <c r="E112" i="87"/>
  <c r="M111" i="87"/>
  <c r="K111" i="87"/>
  <c r="J111" i="87"/>
  <c r="I111" i="87"/>
  <c r="H111" i="87"/>
  <c r="G111" i="87"/>
  <c r="F111" i="87"/>
  <c r="E111" i="87"/>
  <c r="M110" i="87"/>
  <c r="J110" i="87"/>
  <c r="I110" i="87"/>
  <c r="H110" i="87"/>
  <c r="G110" i="87"/>
  <c r="F110" i="87"/>
  <c r="E110" i="87"/>
  <c r="M109" i="87"/>
  <c r="J109" i="87"/>
  <c r="I109" i="87"/>
  <c r="H109" i="87"/>
  <c r="G109" i="87"/>
  <c r="F109" i="87"/>
  <c r="E109" i="87"/>
  <c r="M108" i="87"/>
  <c r="L108" i="87"/>
  <c r="J108" i="87"/>
  <c r="I108" i="87"/>
  <c r="H108" i="87"/>
  <c r="G108" i="87"/>
  <c r="F108" i="87"/>
  <c r="E108" i="87"/>
  <c r="M107" i="87"/>
  <c r="J107" i="87"/>
  <c r="I107" i="87"/>
  <c r="H107" i="87"/>
  <c r="G107" i="87"/>
  <c r="F107" i="87"/>
  <c r="E107" i="87"/>
  <c r="M106" i="87"/>
  <c r="J106" i="87"/>
  <c r="I106" i="87"/>
  <c r="H106" i="87"/>
  <c r="G106" i="87"/>
  <c r="E106" i="87"/>
  <c r="M105" i="87"/>
  <c r="J105" i="87"/>
  <c r="I105" i="87"/>
  <c r="H105" i="87"/>
  <c r="G105" i="87"/>
  <c r="O104" i="87"/>
  <c r="M104" i="87"/>
  <c r="J104" i="87"/>
  <c r="I104" i="87"/>
  <c r="H104" i="87"/>
  <c r="G104" i="87"/>
  <c r="M103" i="87"/>
  <c r="J103" i="87"/>
  <c r="I103" i="87"/>
  <c r="H103" i="87"/>
  <c r="G103" i="87"/>
  <c r="M102" i="87"/>
  <c r="J102" i="87"/>
  <c r="I102" i="87"/>
  <c r="H102" i="87"/>
  <c r="G102" i="87"/>
  <c r="F98" i="87"/>
  <c r="M101" i="87"/>
  <c r="J101" i="87"/>
  <c r="I101" i="87"/>
  <c r="H101" i="87"/>
  <c r="G101" i="87"/>
  <c r="M100" i="87"/>
  <c r="J100" i="87"/>
  <c r="I100" i="87"/>
  <c r="H100" i="87"/>
  <c r="G100" i="87"/>
  <c r="M99" i="87"/>
  <c r="J99" i="87"/>
  <c r="I99" i="87"/>
  <c r="H99" i="87"/>
  <c r="G99" i="87"/>
  <c r="O98" i="87"/>
  <c r="M98" i="87"/>
  <c r="J98" i="87"/>
  <c r="I98" i="87"/>
  <c r="H98" i="87"/>
  <c r="G98" i="87"/>
  <c r="F94" i="87"/>
  <c r="M97" i="87"/>
  <c r="J97" i="87"/>
  <c r="I97" i="87"/>
  <c r="H97" i="87"/>
  <c r="G97" i="87"/>
  <c r="M96" i="87"/>
  <c r="J96" i="87"/>
  <c r="I96" i="87"/>
  <c r="H96" i="87"/>
  <c r="G96" i="87"/>
  <c r="M95" i="87"/>
  <c r="J95" i="87"/>
  <c r="I95" i="87"/>
  <c r="H95" i="87"/>
  <c r="G95" i="87"/>
  <c r="M94" i="87"/>
  <c r="J94" i="87"/>
  <c r="I94" i="87"/>
  <c r="H94" i="87"/>
  <c r="G94" i="87"/>
  <c r="F90" i="87"/>
  <c r="M89" i="87"/>
  <c r="H88" i="87"/>
  <c r="M87" i="87"/>
  <c r="H90" i="87"/>
  <c r="F86" i="87"/>
  <c r="O41" i="86" a="1"/>
  <c r="O41" i="86" s="1"/>
  <c r="F41" i="86" a="1"/>
  <c r="F41" i="86" s="1"/>
  <c r="M38" i="86" a="1"/>
  <c r="M38" i="86" s="1"/>
  <c r="D38" i="86" a="1"/>
  <c r="D38" i="86" s="1"/>
  <c r="I18" i="86"/>
  <c r="I17" i="86"/>
  <c r="I16" i="86"/>
  <c r="P40" i="85" a="1"/>
  <c r="P40" i="85" s="1"/>
  <c r="F40" i="85" a="1"/>
  <c r="F40" i="85" s="1"/>
  <c r="N37" i="85" a="1"/>
  <c r="N37" i="85" s="1"/>
  <c r="D37" i="85" a="1"/>
  <c r="D37" i="85" s="1"/>
  <c r="I32" i="85"/>
  <c r="I31" i="85"/>
  <c r="P16" i="85"/>
  <c r="F16" i="85"/>
  <c r="W272" i="84" a="1"/>
  <c r="W272" i="84" s="1"/>
  <c r="U269" i="84" a="1"/>
  <c r="U269" i="84" s="1"/>
  <c r="U259" i="84"/>
  <c r="U258" i="84"/>
  <c r="U257" i="84"/>
  <c r="U256" i="84"/>
  <c r="U255" i="84"/>
  <c r="U254" i="84"/>
  <c r="U253" i="84"/>
  <c r="U252" i="84"/>
  <c r="U251" i="84"/>
  <c r="U250" i="84"/>
  <c r="U249" i="84"/>
  <c r="U248" i="84"/>
  <c r="U243" i="84"/>
  <c r="U242" i="84"/>
  <c r="U241" i="84"/>
  <c r="U240" i="84"/>
  <c r="U239" i="84"/>
  <c r="U238" i="84"/>
  <c r="U237" i="84"/>
  <c r="U236" i="84"/>
  <c r="U235" i="84"/>
  <c r="U234" i="84"/>
  <c r="F234" i="84" a="1"/>
  <c r="F234" i="84" s="1"/>
  <c r="U233" i="84"/>
  <c r="U232" i="84"/>
  <c r="D231" i="84" a="1"/>
  <c r="D231" i="84" s="1"/>
  <c r="U227" i="84"/>
  <c r="U226" i="84"/>
  <c r="U225" i="84"/>
  <c r="U224" i="84"/>
  <c r="H224" i="84"/>
  <c r="U223" i="84"/>
  <c r="U222" i="84"/>
  <c r="U221" i="84"/>
  <c r="U220" i="84"/>
  <c r="U219" i="84"/>
  <c r="U218" i="84"/>
  <c r="U217" i="84"/>
  <c r="V216" i="84" a="1"/>
  <c r="U216" i="84"/>
  <c r="U207" i="84"/>
  <c r="U206" i="84"/>
  <c r="U205" i="84"/>
  <c r="U204" i="84"/>
  <c r="U203" i="84"/>
  <c r="U202" i="84"/>
  <c r="U201" i="84"/>
  <c r="U200" i="84"/>
  <c r="U199" i="84"/>
  <c r="U198" i="84"/>
  <c r="U197" i="84"/>
  <c r="U196" i="84"/>
  <c r="U191" i="84"/>
  <c r="E191" i="84" a="1"/>
  <c r="U190" i="84"/>
  <c r="U189" i="84"/>
  <c r="U188" i="84"/>
  <c r="U187" i="84"/>
  <c r="U186" i="84"/>
  <c r="I186" i="84" a="1"/>
  <c r="I186" i="84" s="1"/>
  <c r="U185" i="84"/>
  <c r="I185" i="84" a="1"/>
  <c r="I185" i="84" s="1"/>
  <c r="U184" i="84"/>
  <c r="I184" i="84" a="1"/>
  <c r="I184" i="84" s="1"/>
  <c r="U183" i="84"/>
  <c r="U182" i="84"/>
  <c r="AF258" i="84"/>
  <c r="U181" i="84"/>
  <c r="U180" i="84"/>
  <c r="U175" i="84"/>
  <c r="U174" i="84"/>
  <c r="U173" i="84"/>
  <c r="U172" i="84"/>
  <c r="U171" i="84"/>
  <c r="U170" i="84"/>
  <c r="U169" i="84"/>
  <c r="U168" i="84"/>
  <c r="U167" i="84"/>
  <c r="U166" i="84"/>
  <c r="U165" i="84"/>
  <c r="U164" i="84"/>
  <c r="U147" i="84"/>
  <c r="I147" i="84"/>
  <c r="U146" i="84"/>
  <c r="I146" i="84" a="1"/>
  <c r="I146" i="84" s="1"/>
  <c r="U145" i="84"/>
  <c r="I145" i="84" a="1"/>
  <c r="I145" i="84" s="1"/>
  <c r="U144" i="84"/>
  <c r="I144" i="84" a="1"/>
  <c r="I144" i="84" s="1"/>
  <c r="U143" i="84"/>
  <c r="I143" i="84" a="1"/>
  <c r="I143" i="84" s="1"/>
  <c r="U142" i="84"/>
  <c r="I142" i="84" a="1"/>
  <c r="I142" i="84" s="1"/>
  <c r="U141" i="84"/>
  <c r="U140" i="84"/>
  <c r="U139" i="84"/>
  <c r="U138" i="84"/>
  <c r="U137" i="84"/>
  <c r="U136" i="84"/>
  <c r="U131" i="84"/>
  <c r="U130" i="84"/>
  <c r="U129" i="84"/>
  <c r="U128" i="84"/>
  <c r="U127" i="84"/>
  <c r="U126" i="84"/>
  <c r="U125" i="84"/>
  <c r="U124" i="84"/>
  <c r="U123" i="84"/>
  <c r="U122" i="84"/>
  <c r="D122" i="84"/>
  <c r="U121" i="84"/>
  <c r="D121" i="84"/>
  <c r="U120" i="84"/>
  <c r="D120" i="84"/>
  <c r="D119" i="84"/>
  <c r="I114" i="84" a="1"/>
  <c r="I114" i="84" s="1"/>
  <c r="I113" i="84" a="1"/>
  <c r="I113" i="84" s="1"/>
  <c r="I112" i="84" a="1"/>
  <c r="I112" i="84" s="1"/>
  <c r="U111" i="84"/>
  <c r="I111" i="84" a="1"/>
  <c r="I111" i="84" s="1"/>
  <c r="U110" i="84"/>
  <c r="U109" i="84"/>
  <c r="U108" i="84"/>
  <c r="U107" i="84"/>
  <c r="U106" i="84"/>
  <c r="U105" i="84"/>
  <c r="U104" i="84"/>
  <c r="U103" i="84"/>
  <c r="U102" i="84"/>
  <c r="U101" i="84"/>
  <c r="U100" i="84"/>
  <c r="D98" i="84"/>
  <c r="D97" i="84"/>
  <c r="D96" i="84"/>
  <c r="D95" i="84"/>
  <c r="U83" i="84"/>
  <c r="U82" i="84"/>
  <c r="I82" i="84"/>
  <c r="U81" i="84"/>
  <c r="U80" i="84"/>
  <c r="U79" i="84"/>
  <c r="I79" i="84" a="1"/>
  <c r="I79" i="84" s="1"/>
  <c r="U78" i="84"/>
  <c r="I78" i="84" a="1"/>
  <c r="I78" i="84" s="1"/>
  <c r="U77" i="84"/>
  <c r="U76" i="84"/>
  <c r="U75" i="84"/>
  <c r="U74" i="84"/>
  <c r="U73" i="84"/>
  <c r="U72" i="84"/>
  <c r="U67" i="84"/>
  <c r="U66" i="84"/>
  <c r="U65" i="84"/>
  <c r="U64" i="84"/>
  <c r="U63" i="84"/>
  <c r="U62" i="84"/>
  <c r="U61" i="84"/>
  <c r="U60" i="84"/>
  <c r="U59" i="84"/>
  <c r="U58" i="84"/>
  <c r="U57" i="84"/>
  <c r="U56" i="84"/>
  <c r="I49" i="84" a="1"/>
  <c r="I49" i="84" s="1"/>
  <c r="I48" i="84" a="1"/>
  <c r="I48" i="84" s="1"/>
  <c r="U47" i="84"/>
  <c r="U46" i="84"/>
  <c r="AF72" i="84"/>
  <c r="U45" i="84"/>
  <c r="U44" i="84"/>
  <c r="U43" i="84"/>
  <c r="U42" i="84"/>
  <c r="U41" i="84"/>
  <c r="U40" i="84"/>
  <c r="U39" i="84"/>
  <c r="U38" i="84"/>
  <c r="U37" i="84"/>
  <c r="U36" i="84"/>
  <c r="D36" i="84"/>
  <c r="D35" i="84"/>
  <c r="D34" i="84"/>
  <c r="D33" i="84"/>
  <c r="U31" i="84"/>
  <c r="U30" i="84"/>
  <c r="U29" i="84"/>
  <c r="U28" i="84"/>
  <c r="U27" i="84"/>
  <c r="U26" i="84"/>
  <c r="U25" i="84"/>
  <c r="U24" i="84"/>
  <c r="U23" i="84"/>
  <c r="D23" i="84"/>
  <c r="U22" i="84"/>
  <c r="D22" i="84"/>
  <c r="U21" i="84"/>
  <c r="D21" i="84"/>
  <c r="U20" i="84"/>
  <c r="D20" i="84"/>
  <c r="H15" i="84"/>
  <c r="H14" i="84" a="1"/>
  <c r="H14" i="84" s="1"/>
  <c r="H13" i="84" a="1"/>
  <c r="H13" i="84" s="1"/>
  <c r="AF45" i="84"/>
  <c r="Y281" i="83" a="1"/>
  <c r="Y281" i="83" s="1"/>
  <c r="W278" i="83" a="1"/>
  <c r="W278" i="83" s="1"/>
  <c r="X274" i="83"/>
  <c r="X273" i="83"/>
  <c r="X272" i="83"/>
  <c r="X271" i="83"/>
  <c r="X270" i="83"/>
  <c r="X269" i="83"/>
  <c r="X268" i="83"/>
  <c r="X267" i="83"/>
  <c r="X266" i="83"/>
  <c r="X265" i="83"/>
  <c r="X264" i="83"/>
  <c r="X263" i="83"/>
  <c r="X262" i="83"/>
  <c r="X261" i="83"/>
  <c r="X260" i="83"/>
  <c r="X259" i="83"/>
  <c r="X258" i="83"/>
  <c r="X257" i="83"/>
  <c r="X256" i="83"/>
  <c r="X255" i="83"/>
  <c r="X254" i="83"/>
  <c r="X253" i="83"/>
  <c r="X252" i="83"/>
  <c r="X251" i="83"/>
  <c r="F249" i="83" a="1"/>
  <c r="F249" i="83" s="1"/>
  <c r="W246" i="83"/>
  <c r="D246" i="83" a="1"/>
  <c r="D246" i="83" s="1"/>
  <c r="W245" i="83"/>
  <c r="W244" i="83"/>
  <c r="W243" i="83"/>
  <c r="W242" i="83"/>
  <c r="W241" i="83"/>
  <c r="W240" i="83"/>
  <c r="W239" i="83"/>
  <c r="W238" i="83"/>
  <c r="W237" i="83"/>
  <c r="W236" i="83"/>
  <c r="W235" i="83"/>
  <c r="W230" i="83"/>
  <c r="W229" i="83"/>
  <c r="W228" i="83"/>
  <c r="W227" i="83"/>
  <c r="W226" i="83"/>
  <c r="W225" i="83"/>
  <c r="W224" i="83"/>
  <c r="W223" i="83"/>
  <c r="W222" i="83"/>
  <c r="W221" i="83"/>
  <c r="W220" i="83"/>
  <c r="X219" i="83" a="1"/>
  <c r="W219" i="83"/>
  <c r="E219" i="83" a="1"/>
  <c r="I214" i="83" a="1"/>
  <c r="I214" i="83" s="1"/>
  <c r="I213" i="83" a="1"/>
  <c r="I213" i="83" s="1"/>
  <c r="I212" i="83" a="1"/>
  <c r="I212" i="83" s="1"/>
  <c r="X200" i="83"/>
  <c r="X199" i="83"/>
  <c r="X198" i="83"/>
  <c r="X197" i="83"/>
  <c r="X196" i="83"/>
  <c r="X195" i="83"/>
  <c r="X194" i="83"/>
  <c r="X193" i="83"/>
  <c r="X192" i="83"/>
  <c r="X191" i="83"/>
  <c r="X190" i="83"/>
  <c r="X189" i="83"/>
  <c r="X188" i="83"/>
  <c r="X187" i="83"/>
  <c r="X186" i="83"/>
  <c r="X185" i="83"/>
  <c r="X184" i="83"/>
  <c r="X183" i="83"/>
  <c r="X182" i="83"/>
  <c r="X181" i="83"/>
  <c r="X180" i="83"/>
  <c r="X179" i="83"/>
  <c r="X178" i="83"/>
  <c r="X177" i="83"/>
  <c r="I160" i="83"/>
  <c r="AB159" i="83"/>
  <c r="I159" i="83"/>
  <c r="I157" i="83" a="1"/>
  <c r="I157" i="83" s="1"/>
  <c r="I156" i="83" a="1"/>
  <c r="I156" i="83" s="1"/>
  <c r="I154" i="83" a="1"/>
  <c r="I154" i="83" s="1"/>
  <c r="W142" i="83"/>
  <c r="W141" i="83"/>
  <c r="W140" i="83"/>
  <c r="W139" i="83"/>
  <c r="W138" i="83"/>
  <c r="W137" i="83"/>
  <c r="W136" i="83"/>
  <c r="W135" i="83"/>
  <c r="W134" i="83"/>
  <c r="W133" i="83"/>
  <c r="W132" i="83"/>
  <c r="W131" i="83"/>
  <c r="W126" i="83"/>
  <c r="W125" i="83"/>
  <c r="W124" i="83"/>
  <c r="W123" i="83"/>
  <c r="W122" i="83"/>
  <c r="W121" i="83"/>
  <c r="W120" i="83"/>
  <c r="W119" i="83"/>
  <c r="W118" i="83"/>
  <c r="W117" i="83"/>
  <c r="W116" i="83"/>
  <c r="W115" i="83"/>
  <c r="I110" i="83"/>
  <c r="I109" i="83" a="1"/>
  <c r="I109" i="83" s="1"/>
  <c r="I108" i="83" a="1"/>
  <c r="I108" i="83" s="1"/>
  <c r="W87" i="83"/>
  <c r="W86" i="83"/>
  <c r="W85" i="83"/>
  <c r="W84" i="83"/>
  <c r="W83" i="83"/>
  <c r="W82" i="83"/>
  <c r="W81" i="83"/>
  <c r="W80" i="83"/>
  <c r="W79" i="83"/>
  <c r="W78" i="83"/>
  <c r="W77" i="83"/>
  <c r="W76" i="83"/>
  <c r="W71" i="83"/>
  <c r="D71" i="83"/>
  <c r="W70" i="83"/>
  <c r="D70" i="83"/>
  <c r="W69" i="83"/>
  <c r="D69" i="83"/>
  <c r="W68" i="83"/>
  <c r="D68" i="83"/>
  <c r="W67" i="83"/>
  <c r="W66" i="83"/>
  <c r="W65" i="83"/>
  <c r="W64" i="83"/>
  <c r="W63" i="83"/>
  <c r="W62" i="83"/>
  <c r="W61" i="83"/>
  <c r="W60" i="83"/>
  <c r="W55" i="83"/>
  <c r="D55" i="83"/>
  <c r="W54" i="83"/>
  <c r="D54" i="83"/>
  <c r="W53" i="83"/>
  <c r="D53" i="83"/>
  <c r="W52" i="83"/>
  <c r="D52" i="83"/>
  <c r="W51" i="83"/>
  <c r="W50" i="83"/>
  <c r="W49" i="83"/>
  <c r="W48" i="83"/>
  <c r="W47" i="83"/>
  <c r="I47" i="83" a="1"/>
  <c r="I47" i="83" s="1"/>
  <c r="W46" i="83"/>
  <c r="I46" i="83" a="1"/>
  <c r="I46" i="83" s="1"/>
  <c r="W45" i="83"/>
  <c r="I45" i="83" a="1"/>
  <c r="I45" i="83" s="1"/>
  <c r="W44" i="83"/>
  <c r="W39" i="83"/>
  <c r="W38" i="83"/>
  <c r="W37" i="83"/>
  <c r="W36" i="83"/>
  <c r="W35" i="83"/>
  <c r="W34" i="83"/>
  <c r="W33" i="83"/>
  <c r="H33" i="83"/>
  <c r="W32" i="83"/>
  <c r="G32" i="83"/>
  <c r="W31" i="83"/>
  <c r="W30" i="83"/>
  <c r="W29" i="83"/>
  <c r="W28" i="83"/>
  <c r="J16" i="83"/>
  <c r="J13" i="83" a="1"/>
  <c r="J13" i="83" s="1"/>
  <c r="S31" i="83"/>
  <c r="G185" i="82"/>
  <c r="F185" i="82"/>
  <c r="E185" i="82"/>
  <c r="D182" i="82"/>
  <c r="K181" i="82"/>
  <c r="J181" i="82"/>
  <c r="K180" i="82"/>
  <c r="M181" i="82" s="1"/>
  <c r="J180" i="82"/>
  <c r="K179" i="82"/>
  <c r="M180" i="82" s="1"/>
  <c r="J179" i="82"/>
  <c r="K178" i="82"/>
  <c r="L178" i="82" s="1"/>
  <c r="J178" i="82"/>
  <c r="E178" i="82"/>
  <c r="D184" i="82" s="1"/>
  <c r="E177" i="82"/>
  <c r="M171" i="82"/>
  <c r="L171" i="82"/>
  <c r="M170" i="82"/>
  <c r="L170" i="82"/>
  <c r="M169" i="82"/>
  <c r="L169" i="82"/>
  <c r="M168" i="82"/>
  <c r="L168" i="82"/>
  <c r="D168" i="82"/>
  <c r="D144" i="82"/>
  <c r="D143" i="82"/>
  <c r="D142" i="82"/>
  <c r="D141" i="82"/>
  <c r="D140" i="82"/>
  <c r="D139" i="82"/>
  <c r="D138" i="82"/>
  <c r="D137" i="82"/>
  <c r="D136" i="82"/>
  <c r="D135" i="82"/>
  <c r="D134" i="82"/>
  <c r="D133" i="82"/>
  <c r="D122" i="82"/>
  <c r="D121" i="82"/>
  <c r="D120" i="82"/>
  <c r="D119" i="82"/>
  <c r="D118" i="82"/>
  <c r="D117" i="82"/>
  <c r="D116" i="82"/>
  <c r="D115" i="82"/>
  <c r="D114" i="82"/>
  <c r="D113" i="82"/>
  <c r="D112" i="82"/>
  <c r="D111" i="82"/>
  <c r="D100" i="82"/>
  <c r="D99" i="82"/>
  <c r="D98" i="82"/>
  <c r="D97" i="82"/>
  <c r="D96" i="82"/>
  <c r="D95" i="82"/>
  <c r="D94" i="82"/>
  <c r="D93" i="82"/>
  <c r="D92" i="82"/>
  <c r="D91" i="82"/>
  <c r="D90" i="82"/>
  <c r="D89" i="82"/>
  <c r="D78" i="82"/>
  <c r="D77" i="82"/>
  <c r="D76" i="82"/>
  <c r="D75" i="82"/>
  <c r="D74" i="82"/>
  <c r="D73" i="82"/>
  <c r="D72" i="82"/>
  <c r="D71" i="82"/>
  <c r="D70" i="82"/>
  <c r="D69" i="82"/>
  <c r="D68" i="82"/>
  <c r="D67" i="82"/>
  <c r="D56" i="82"/>
  <c r="D55" i="82"/>
  <c r="D54" i="82"/>
  <c r="D53" i="82"/>
  <c r="D52" i="82"/>
  <c r="D51" i="82"/>
  <c r="D50" i="82"/>
  <c r="D49" i="82"/>
  <c r="D48" i="82"/>
  <c r="D47" i="82"/>
  <c r="D46" i="82"/>
  <c r="D45" i="82"/>
  <c r="D34" i="82"/>
  <c r="D33" i="82"/>
  <c r="N33" i="82" s="1"/>
  <c r="D32" i="82"/>
  <c r="L32" i="82" s="1"/>
  <c r="D31" i="82"/>
  <c r="I31" i="82" s="1"/>
  <c r="D30" i="82"/>
  <c r="G30" i="82" s="1"/>
  <c r="D29" i="82"/>
  <c r="L29" i="82" s="1"/>
  <c r="D28" i="82"/>
  <c r="N28" i="82" s="1"/>
  <c r="D27" i="82"/>
  <c r="K27" i="82" s="1"/>
  <c r="D26" i="82"/>
  <c r="H26" i="82" s="1"/>
  <c r="D25" i="82"/>
  <c r="E25" i="82" s="1"/>
  <c r="D24" i="82"/>
  <c r="L24" i="82" s="1"/>
  <c r="D23" i="82"/>
  <c r="E23" i="82" s="1"/>
  <c r="N20" i="82"/>
  <c r="M20" i="82"/>
  <c r="L20" i="82"/>
  <c r="K20" i="82"/>
  <c r="J20" i="82"/>
  <c r="I20" i="82"/>
  <c r="H20" i="82"/>
  <c r="G20" i="82"/>
  <c r="F20" i="82"/>
  <c r="E20" i="82"/>
  <c r="N19" i="82"/>
  <c r="M19" i="82"/>
  <c r="L19" i="82"/>
  <c r="K19" i="82"/>
  <c r="J19" i="82"/>
  <c r="I19" i="82"/>
  <c r="H19" i="82"/>
  <c r="G19" i="82"/>
  <c r="F19" i="82"/>
  <c r="E19" i="82"/>
  <c r="N18" i="82"/>
  <c r="M18" i="82"/>
  <c r="L18" i="82"/>
  <c r="K18" i="82"/>
  <c r="J18" i="82"/>
  <c r="I18" i="82"/>
  <c r="H18" i="82"/>
  <c r="G18" i="82"/>
  <c r="F18" i="82"/>
  <c r="E18" i="82"/>
  <c r="N17" i="82"/>
  <c r="M17" i="82"/>
  <c r="L17" i="82"/>
  <c r="K17" i="82"/>
  <c r="J17" i="82"/>
  <c r="I17" i="82"/>
  <c r="H17" i="82"/>
  <c r="G17" i="82"/>
  <c r="F17" i="82"/>
  <c r="E17" i="82"/>
  <c r="E115" i="88" s="1" a="1"/>
  <c r="E7" i="82"/>
  <c r="F83" i="72"/>
  <c r="F82" i="72"/>
  <c r="E83" i="72"/>
  <c r="E82" i="72"/>
  <c r="D79" i="72" a="1"/>
  <c r="D76" i="72"/>
  <c r="D79" i="78"/>
  <c r="J79" i="78"/>
  <c r="I151" i="117" l="1"/>
  <c r="G151" i="117"/>
  <c r="J391" i="117"/>
  <c r="H391" i="117"/>
  <c r="G495" i="117"/>
  <c r="I495" i="117"/>
  <c r="E499" i="117" s="1"/>
  <c r="I484" i="117"/>
  <c r="G484" i="117"/>
  <c r="I482" i="117"/>
  <c r="G482" i="117"/>
  <c r="I81" i="84" a="1"/>
  <c r="I81" i="84" s="1"/>
  <c r="W110" i="84" s="1" a="1"/>
  <c r="W110" i="84" s="1"/>
  <c r="K28" i="88"/>
  <c r="L28" i="88"/>
  <c r="J28" i="88"/>
  <c r="V216" i="84"/>
  <c r="E191" i="84"/>
  <c r="X219" i="83"/>
  <c r="E115" i="88"/>
  <c r="W23" i="83"/>
  <c r="U93" i="84"/>
  <c r="M34" i="102" a="1"/>
  <c r="M34" i="102" s="1"/>
  <c r="L34" i="102" a="1"/>
  <c r="L34" i="102" s="1"/>
  <c r="M31" i="101" a="1"/>
  <c r="M31" i="101" s="1"/>
  <c r="L21" i="89" a="1"/>
  <c r="L21" i="89" s="1"/>
  <c r="P20" i="89" a="1"/>
  <c r="P20" i="89" s="1"/>
  <c r="T19" i="89" a="1"/>
  <c r="T19" i="89" s="1"/>
  <c r="Y18" i="89"/>
  <c r="J18" i="89" a="1"/>
  <c r="J18" i="89" s="1"/>
  <c r="N17" i="89" a="1"/>
  <c r="N17" i="89" s="1"/>
  <c r="R16" i="89" a="1"/>
  <c r="R16" i="89" s="1"/>
  <c r="F15" i="89"/>
  <c r="L14" i="89" a="1"/>
  <c r="L14" i="89" s="1"/>
  <c r="P13" i="89" a="1"/>
  <c r="P13" i="89" s="1"/>
  <c r="T12" i="89" a="1"/>
  <c r="T12" i="89" s="1"/>
  <c r="Z21" i="89"/>
  <c r="K21" i="89" a="1"/>
  <c r="K21" i="89" s="1"/>
  <c r="O20" i="89" a="1"/>
  <c r="O20" i="89" s="1"/>
  <c r="S19" i="89" a="1"/>
  <c r="S19" i="89" s="1"/>
  <c r="W18" i="89" a="1"/>
  <c r="W18" i="89" s="1"/>
  <c r="H18" i="89"/>
  <c r="M17" i="89" a="1"/>
  <c r="M17" i="89" s="1"/>
  <c r="Q16" i="89" a="1"/>
  <c r="Q16" i="89" s="1"/>
  <c r="U15" i="89" a="1"/>
  <c r="U15" i="89" s="1"/>
  <c r="Z14" i="89"/>
  <c r="K14" i="89" a="1"/>
  <c r="K14" i="89" s="1"/>
  <c r="O13" i="89" a="1"/>
  <c r="O13" i="89" s="1"/>
  <c r="S12" i="89" a="1"/>
  <c r="S12" i="89" s="1"/>
  <c r="Y21" i="89"/>
  <c r="J21" i="89" a="1"/>
  <c r="J21" i="89" s="1"/>
  <c r="N20" i="89" a="1"/>
  <c r="N20" i="89" s="1"/>
  <c r="R19" i="89" a="1"/>
  <c r="R19" i="89" s="1"/>
  <c r="F18" i="89"/>
  <c r="L17" i="89" a="1"/>
  <c r="L17" i="89" s="1"/>
  <c r="P16" i="89" a="1"/>
  <c r="P16" i="89" s="1"/>
  <c r="T15" i="89" a="1"/>
  <c r="T15" i="89" s="1"/>
  <c r="Y14" i="89"/>
  <c r="J14" i="89" a="1"/>
  <c r="J14" i="89" s="1"/>
  <c r="N13" i="89" a="1"/>
  <c r="N13" i="89" s="1"/>
  <c r="R12" i="89" a="1"/>
  <c r="R12" i="89" s="1"/>
  <c r="W21" i="89" a="1"/>
  <c r="W21" i="89" s="1"/>
  <c r="H21" i="89"/>
  <c r="M20" i="89" a="1"/>
  <c r="M20" i="89" s="1"/>
  <c r="Q19" i="89" a="1"/>
  <c r="Q19" i="89" s="1"/>
  <c r="U18" i="89" a="1"/>
  <c r="U18" i="89" s="1"/>
  <c r="Z17" i="89"/>
  <c r="K17" i="89" a="1"/>
  <c r="K17" i="89" s="1"/>
  <c r="O16" i="89" a="1"/>
  <c r="O16" i="89" s="1"/>
  <c r="S15" i="89" a="1"/>
  <c r="S15" i="89" s="1"/>
  <c r="W14" i="89" a="1"/>
  <c r="W14" i="89" s="1"/>
  <c r="H14" i="89"/>
  <c r="M13" i="89" a="1"/>
  <c r="M13" i="89" s="1"/>
  <c r="Q12" i="89" a="1"/>
  <c r="Q12" i="89" s="1"/>
  <c r="F21" i="89"/>
  <c r="L20" i="89" a="1"/>
  <c r="L20" i="89" s="1"/>
  <c r="P19" i="89" a="1"/>
  <c r="P19" i="89" s="1"/>
  <c r="T18" i="89" a="1"/>
  <c r="T18" i="89" s="1"/>
  <c r="Y17" i="89"/>
  <c r="J17" i="89" a="1"/>
  <c r="J17" i="89" s="1"/>
  <c r="N16" i="89" a="1"/>
  <c r="N16" i="89" s="1"/>
  <c r="R15" i="89" a="1"/>
  <c r="R15" i="89" s="1"/>
  <c r="F14" i="89"/>
  <c r="L13" i="89" a="1"/>
  <c r="L13" i="89" s="1"/>
  <c r="P12" i="89" a="1"/>
  <c r="P12" i="89" s="1"/>
  <c r="U21" i="89" a="1"/>
  <c r="U21" i="89" s="1"/>
  <c r="Z20" i="89"/>
  <c r="K20" i="89" a="1"/>
  <c r="K20" i="89" s="1"/>
  <c r="O19" i="89" a="1"/>
  <c r="O19" i="89" s="1"/>
  <c r="S18" i="89" a="1"/>
  <c r="S18" i="89" s="1"/>
  <c r="W17" i="89" a="1"/>
  <c r="W17" i="89" s="1"/>
  <c r="H17" i="89"/>
  <c r="M16" i="89" a="1"/>
  <c r="M16" i="89" s="1"/>
  <c r="Q15" i="89" a="1"/>
  <c r="Q15" i="89" s="1"/>
  <c r="U14" i="89" a="1"/>
  <c r="U14" i="89" s="1"/>
  <c r="Z13" i="89"/>
  <c r="K13" i="89" a="1"/>
  <c r="K13" i="89" s="1"/>
  <c r="O12" i="89" a="1"/>
  <c r="O12" i="89" s="1"/>
  <c r="T21" i="89" a="1"/>
  <c r="T21" i="89" s="1"/>
  <c r="Y20" i="89"/>
  <c r="J20" i="89" a="1"/>
  <c r="J20" i="89" s="1"/>
  <c r="N19" i="89" a="1"/>
  <c r="N19" i="89" s="1"/>
  <c r="R18" i="89" a="1"/>
  <c r="R18" i="89" s="1"/>
  <c r="F17" i="89"/>
  <c r="L16" i="89" a="1"/>
  <c r="L16" i="89" s="1"/>
  <c r="P15" i="89" a="1"/>
  <c r="P15" i="89" s="1"/>
  <c r="T14" i="89" a="1"/>
  <c r="T14" i="89" s="1"/>
  <c r="Y13" i="89"/>
  <c r="J13" i="89" a="1"/>
  <c r="J13" i="89" s="1"/>
  <c r="N12" i="89" a="1"/>
  <c r="N12" i="89" s="1"/>
  <c r="S21" i="89" a="1"/>
  <c r="S21" i="89" s="1"/>
  <c r="W20" i="89" a="1"/>
  <c r="W20" i="89" s="1"/>
  <c r="H20" i="89"/>
  <c r="M19" i="89" a="1"/>
  <c r="M19" i="89" s="1"/>
  <c r="Q18" i="89" a="1"/>
  <c r="Q18" i="89" s="1"/>
  <c r="U17" i="89" a="1"/>
  <c r="U17" i="89" s="1"/>
  <c r="Z16" i="89"/>
  <c r="K16" i="89" a="1"/>
  <c r="K16" i="89" s="1"/>
  <c r="O15" i="89" a="1"/>
  <c r="O15" i="89" s="1"/>
  <c r="S14" i="89" a="1"/>
  <c r="S14" i="89" s="1"/>
  <c r="W13" i="89" a="1"/>
  <c r="W13" i="89" s="1"/>
  <c r="H13" i="89"/>
  <c r="M12" i="89" a="1"/>
  <c r="M12" i="89" s="1"/>
  <c r="R21" i="89" a="1"/>
  <c r="R21" i="89" s="1"/>
  <c r="F20" i="89"/>
  <c r="L19" i="89" a="1"/>
  <c r="L19" i="89" s="1"/>
  <c r="P18" i="89" a="1"/>
  <c r="P18" i="89" s="1"/>
  <c r="T17" i="89" a="1"/>
  <c r="T17" i="89" s="1"/>
  <c r="Y16" i="89"/>
  <c r="J16" i="89" a="1"/>
  <c r="J16" i="89" s="1"/>
  <c r="N15" i="89" a="1"/>
  <c r="N15" i="89" s="1"/>
  <c r="R14" i="89" a="1"/>
  <c r="R14" i="89" s="1"/>
  <c r="F13" i="89"/>
  <c r="L12" i="89" a="1"/>
  <c r="L12" i="89" s="1"/>
  <c r="Q21" i="89" a="1"/>
  <c r="Q21" i="89" s="1"/>
  <c r="U20" i="89" a="1"/>
  <c r="U20" i="89" s="1"/>
  <c r="Z19" i="89"/>
  <c r="K19" i="89" a="1"/>
  <c r="K19" i="89" s="1"/>
  <c r="O18" i="89" a="1"/>
  <c r="O18" i="89" s="1"/>
  <c r="S17" i="89" a="1"/>
  <c r="S17" i="89" s="1"/>
  <c r="W16" i="89" a="1"/>
  <c r="W16" i="89" s="1"/>
  <c r="H16" i="89"/>
  <c r="M15" i="89" a="1"/>
  <c r="M15" i="89" s="1"/>
  <c r="Q14" i="89" a="1"/>
  <c r="Q14" i="89" s="1"/>
  <c r="U13" i="89" a="1"/>
  <c r="U13" i="89" s="1"/>
  <c r="Z12" i="89"/>
  <c r="K12" i="89" a="1"/>
  <c r="K12" i="89" s="1"/>
  <c r="P21" i="89" a="1"/>
  <c r="P21" i="89" s="1"/>
  <c r="T20" i="89" a="1"/>
  <c r="T20" i="89" s="1"/>
  <c r="Y19" i="89"/>
  <c r="J19" i="89" a="1"/>
  <c r="J19" i="89" s="1"/>
  <c r="N18" i="89" a="1"/>
  <c r="N18" i="89" s="1"/>
  <c r="R17" i="89" a="1"/>
  <c r="R17" i="89" s="1"/>
  <c r="F16" i="89"/>
  <c r="L15" i="89" a="1"/>
  <c r="L15" i="89" s="1"/>
  <c r="P14" i="89" a="1"/>
  <c r="P14" i="89" s="1"/>
  <c r="T13" i="89" a="1"/>
  <c r="T13" i="89" s="1"/>
  <c r="Y12" i="89"/>
  <c r="J12" i="89" a="1"/>
  <c r="J12" i="89" s="1"/>
  <c r="O21" i="89" a="1"/>
  <c r="O21" i="89" s="1"/>
  <c r="S20" i="89" a="1"/>
  <c r="S20" i="89" s="1"/>
  <c r="W19" i="89" a="1"/>
  <c r="W19" i="89" s="1"/>
  <c r="H19" i="89"/>
  <c r="M18" i="89" a="1"/>
  <c r="M18" i="89" s="1"/>
  <c r="Q17" i="89" a="1"/>
  <c r="Q17" i="89" s="1"/>
  <c r="U16" i="89" a="1"/>
  <c r="U16" i="89" s="1"/>
  <c r="Z15" i="89"/>
  <c r="K15" i="89" a="1"/>
  <c r="K15" i="89" s="1"/>
  <c r="O14" i="89" a="1"/>
  <c r="O14" i="89" s="1"/>
  <c r="S13" i="89" a="1"/>
  <c r="S13" i="89" s="1"/>
  <c r="W12" i="89" a="1"/>
  <c r="W12" i="89" s="1"/>
  <c r="H12" i="89"/>
  <c r="N21" i="89" a="1"/>
  <c r="N21" i="89" s="1"/>
  <c r="R20" i="89" a="1"/>
  <c r="R20" i="89" s="1"/>
  <c r="F19" i="89"/>
  <c r="L18" i="89" a="1"/>
  <c r="L18" i="89" s="1"/>
  <c r="P17" i="89" a="1"/>
  <c r="P17" i="89" s="1"/>
  <c r="T16" i="89" a="1"/>
  <c r="T16" i="89" s="1"/>
  <c r="Y15" i="89"/>
  <c r="J15" i="89" a="1"/>
  <c r="J15" i="89" s="1"/>
  <c r="N14" i="89" a="1"/>
  <c r="N14" i="89" s="1"/>
  <c r="R13" i="89" a="1"/>
  <c r="R13" i="89" s="1"/>
  <c r="F12" i="89"/>
  <c r="M21" i="89" a="1"/>
  <c r="M21" i="89" s="1"/>
  <c r="Q20" i="89" a="1"/>
  <c r="Q20" i="89" s="1"/>
  <c r="U19" i="89" a="1"/>
  <c r="U19" i="89" s="1"/>
  <c r="Z18" i="89"/>
  <c r="K18" i="89" a="1"/>
  <c r="K18" i="89" s="1"/>
  <c r="O17" i="89" a="1"/>
  <c r="O17" i="89" s="1"/>
  <c r="S16" i="89" a="1"/>
  <c r="S16" i="89" s="1"/>
  <c r="W15" i="89" a="1"/>
  <c r="W15" i="89" s="1"/>
  <c r="H15" i="89"/>
  <c r="M14" i="89" a="1"/>
  <c r="M14" i="89" s="1"/>
  <c r="Q13" i="89" a="1"/>
  <c r="Q13" i="89" s="1"/>
  <c r="U12" i="89" a="1"/>
  <c r="U12" i="89" s="1"/>
  <c r="V189" i="84" a="1"/>
  <c r="V189" i="84" s="1"/>
  <c r="Y189" i="84" s="1" a="1"/>
  <c r="Y189" i="84" s="1"/>
  <c r="E227" i="83" a="1"/>
  <c r="E227" i="83" s="1"/>
  <c r="K30" i="102"/>
  <c r="J30" i="102"/>
  <c r="I30" i="102"/>
  <c r="H30" i="102"/>
  <c r="G30" i="102"/>
  <c r="G39" i="102"/>
  <c r="J39" i="102"/>
  <c r="I39" i="102"/>
  <c r="H39" i="102"/>
  <c r="M36" i="101" a="1"/>
  <c r="M36" i="101" s="1"/>
  <c r="M39" i="102" a="1"/>
  <c r="M39" i="102" s="1"/>
  <c r="V92" i="84"/>
  <c r="V22" i="88"/>
  <c r="X22" i="83"/>
  <c r="W92" i="84"/>
  <c r="W22" i="88"/>
  <c r="Y22" i="83"/>
  <c r="X22" i="88"/>
  <c r="Z22" i="83"/>
  <c r="X92" i="84"/>
  <c r="M25" i="102" a="1"/>
  <c r="M25" i="102" s="1"/>
  <c r="L25" i="102" a="1"/>
  <c r="L25" i="102" s="1"/>
  <c r="M27" i="101" a="1"/>
  <c r="M27" i="101" s="1"/>
  <c r="L27" i="101" a="1"/>
  <c r="L27" i="101" s="1"/>
  <c r="M32" i="101" a="1"/>
  <c r="M32" i="101" s="1"/>
  <c r="L32" i="101" a="1"/>
  <c r="L32" i="101" s="1"/>
  <c r="J91" i="95"/>
  <c r="J87" i="118"/>
  <c r="E199" i="84" a="1"/>
  <c r="E199" i="84" s="1"/>
  <c r="E68" i="95"/>
  <c r="E105" i="94"/>
  <c r="K33" i="102"/>
  <c r="J33" i="102"/>
  <c r="I33" i="102"/>
  <c r="H33" i="102"/>
  <c r="G33" i="102"/>
  <c r="J31" i="102"/>
  <c r="I31" i="102"/>
  <c r="H31" i="102"/>
  <c r="G31" i="102"/>
  <c r="K31" i="102"/>
  <c r="M32" i="102" a="1"/>
  <c r="M32" i="102" s="1"/>
  <c r="M28" i="102" a="1"/>
  <c r="M28" i="102" s="1"/>
  <c r="M40" i="102" a="1"/>
  <c r="M40" i="102" s="1"/>
  <c r="M34" i="101" a="1"/>
  <c r="M34" i="101" s="1"/>
  <c r="L34" i="101" a="1"/>
  <c r="L34" i="101" s="1"/>
  <c r="M35" i="102" a="1"/>
  <c r="M35" i="102" s="1"/>
  <c r="H25" i="102"/>
  <c r="G25" i="102"/>
  <c r="K25" i="102"/>
  <c r="J25" i="102"/>
  <c r="I25" i="102"/>
  <c r="M25" i="101" a="1"/>
  <c r="M25" i="101" s="1"/>
  <c r="L25" i="101" a="1"/>
  <c r="L25" i="101" s="1"/>
  <c r="M28" i="101" a="1"/>
  <c r="M28" i="101" s="1"/>
  <c r="L28" i="101" a="1"/>
  <c r="L28" i="101" s="1"/>
  <c r="D7" i="114"/>
  <c r="D177" i="117" s="1"/>
  <c r="F177" i="117" s="1" a="1"/>
  <c r="F177" i="117" s="1"/>
  <c r="G177" i="117" s="1"/>
  <c r="D179" i="117"/>
  <c r="F179" i="117" s="1" a="1"/>
  <c r="F179" i="117" s="1"/>
  <c r="G179" i="117" s="1"/>
  <c r="D178" i="117"/>
  <c r="F178" i="117" s="1" a="1"/>
  <c r="F178" i="117" s="1"/>
  <c r="G178" i="117" s="1"/>
  <c r="M33" i="101" a="1"/>
  <c r="M33" i="101" s="1"/>
  <c r="L33" i="101" a="1"/>
  <c r="L33" i="101" s="1"/>
  <c r="M29" i="102" a="1"/>
  <c r="M29" i="102" s="1"/>
  <c r="L29" i="102" a="1"/>
  <c r="L29" i="102" s="1"/>
  <c r="G174" i="119"/>
  <c r="G177" i="119"/>
  <c r="G176" i="119"/>
  <c r="G175" i="119"/>
  <c r="J34" i="102"/>
  <c r="I34" i="102"/>
  <c r="H34" i="102"/>
  <c r="G34" i="102"/>
  <c r="K34" i="102"/>
  <c r="K36" i="102"/>
  <c r="J36" i="102"/>
  <c r="I36" i="102"/>
  <c r="H36" i="102"/>
  <c r="G36" i="102"/>
  <c r="M37" i="101" a="1"/>
  <c r="M37" i="101" s="1"/>
  <c r="L37" i="101" a="1"/>
  <c r="L37" i="101" s="1"/>
  <c r="M36" i="102" a="1"/>
  <c r="M36" i="102" s="1"/>
  <c r="L36" i="102" a="1"/>
  <c r="L36" i="102" s="1"/>
  <c r="E20" i="107"/>
  <c r="T14" i="108"/>
  <c r="D285" i="117"/>
  <c r="E286" i="117"/>
  <c r="F292" i="117" a="1"/>
  <c r="F292" i="117" s="1"/>
  <c r="E292" i="117"/>
  <c r="F291" i="117" a="1"/>
  <c r="F291" i="117" s="1"/>
  <c r="E291" i="117"/>
  <c r="F290" i="117" a="1"/>
  <c r="F290" i="117" s="1"/>
  <c r="E290" i="117"/>
  <c r="F296" i="117" a="1"/>
  <c r="F296" i="117" s="1"/>
  <c r="F289" i="117" a="1"/>
  <c r="F289" i="117" s="1"/>
  <c r="E289" i="117"/>
  <c r="F295" i="117" a="1"/>
  <c r="F295" i="117" s="1"/>
  <c r="F288" i="117" a="1"/>
  <c r="F288" i="117" s="1"/>
  <c r="E295" i="117"/>
  <c r="E288" i="117"/>
  <c r="F294" i="117" a="1"/>
  <c r="F294" i="117" s="1"/>
  <c r="F287" i="117" a="1"/>
  <c r="F287" i="117" s="1"/>
  <c r="E294" i="117"/>
  <c r="E287" i="117"/>
  <c r="F293" i="117" a="1"/>
  <c r="F293" i="117" s="1"/>
  <c r="F286" i="117" a="1"/>
  <c r="F286" i="117" s="1"/>
  <c r="P25" i="89"/>
  <c r="G183" i="119"/>
  <c r="D19" i="94" a="1"/>
  <c r="D58" i="91" a="1"/>
  <c r="D58" i="91" s="1"/>
  <c r="D23" i="95" a="1"/>
  <c r="D23" i="95" s="1"/>
  <c r="D59" i="94" a="1"/>
  <c r="D59" i="94" s="1"/>
  <c r="P34" i="89"/>
  <c r="P33" i="89"/>
  <c r="P32" i="89"/>
  <c r="D19" i="90" a="1"/>
  <c r="P31" i="89"/>
  <c r="D19" i="91" a="1"/>
  <c r="P30" i="89"/>
  <c r="P29" i="89"/>
  <c r="P28" i="89"/>
  <c r="P27" i="89"/>
  <c r="D60" i="90" a="1"/>
  <c r="D60" i="90" s="1"/>
  <c r="P26" i="89"/>
  <c r="J40" i="102"/>
  <c r="I40" i="102"/>
  <c r="H40" i="102"/>
  <c r="G40" i="102"/>
  <c r="M26" i="102" a="1"/>
  <c r="M26" i="102" s="1"/>
  <c r="M29" i="101" a="1"/>
  <c r="M29" i="101" s="1"/>
  <c r="L29" i="101" a="1"/>
  <c r="L29" i="101" s="1"/>
  <c r="M33" i="102" a="1"/>
  <c r="M33" i="102" s="1"/>
  <c r="M30" i="102" a="1"/>
  <c r="M30" i="102" s="1"/>
  <c r="D12" i="114"/>
  <c r="D137" i="117" s="1"/>
  <c r="F137" i="117" s="1" a="1"/>
  <c r="F137" i="117" s="1"/>
  <c r="G137" i="117" s="1"/>
  <c r="D140" i="117"/>
  <c r="F140" i="117" s="1" a="1"/>
  <c r="F140" i="117" s="1"/>
  <c r="D139" i="117"/>
  <c r="F139" i="117" s="1" a="1"/>
  <c r="F139" i="117" s="1"/>
  <c r="D138" i="117"/>
  <c r="F138" i="117" s="1" a="1"/>
  <c r="F138" i="117" s="1"/>
  <c r="G138" i="117" s="1"/>
  <c r="I177" i="119"/>
  <c r="H197" i="119"/>
  <c r="E75" i="95"/>
  <c r="E112" i="94"/>
  <c r="M35" i="101" a="1"/>
  <c r="M35" i="101" s="1"/>
  <c r="M37" i="102" a="1"/>
  <c r="M37" i="102" s="1"/>
  <c r="D185" i="82"/>
  <c r="U92" i="84"/>
  <c r="V110" i="84" s="1" a="1"/>
  <c r="V110" i="84" s="1"/>
  <c r="M26" i="101" a="1"/>
  <c r="M26" i="101" s="1"/>
  <c r="M30" i="101" a="1"/>
  <c r="M30" i="101" s="1"/>
  <c r="L30" i="101" a="1"/>
  <c r="L30" i="101" s="1"/>
  <c r="M178" i="82"/>
  <c r="L181" i="82"/>
  <c r="J14" i="83" a="1"/>
  <c r="J14" i="83" s="1"/>
  <c r="G33" i="83" s="1"/>
  <c r="M38" i="101" a="1"/>
  <c r="M38" i="101" s="1"/>
  <c r="L38" i="101" a="1"/>
  <c r="L38" i="101" s="1"/>
  <c r="M31" i="102" a="1"/>
  <c r="M31" i="102" s="1"/>
  <c r="I97" i="94"/>
  <c r="I33" i="118"/>
  <c r="D183" i="82"/>
  <c r="W22" i="83" s="1"/>
  <c r="U22" i="88"/>
  <c r="V36" i="88" s="1" a="1"/>
  <c r="V36" i="88" s="1"/>
  <c r="I28" i="102"/>
  <c r="H28" i="102"/>
  <c r="G28" i="102"/>
  <c r="K28" i="102"/>
  <c r="J28" i="102"/>
  <c r="M27" i="102" a="1"/>
  <c r="M27" i="102" s="1"/>
  <c r="L27" i="102" a="1"/>
  <c r="L27" i="102" s="1"/>
  <c r="M38" i="102" a="1"/>
  <c r="M38" i="102" s="1"/>
  <c r="K40" i="102" a="1"/>
  <c r="K40" i="102" s="1"/>
  <c r="O17" i="113"/>
  <c r="J14" i="88" a="1"/>
  <c r="J14" i="88" s="1"/>
  <c r="F29" i="88" s="1" a="1"/>
  <c r="F29" i="88" s="1"/>
  <c r="J15" i="83" a="1"/>
  <c r="J15" i="83" s="1"/>
  <c r="E107" i="94"/>
  <c r="E69" i="95"/>
  <c r="I28" i="101" a="1"/>
  <c r="I28" i="101" s="1"/>
  <c r="J31" i="101" a="1"/>
  <c r="J31" i="101" s="1"/>
  <c r="E33" i="101"/>
  <c r="G33" i="101" s="1" a="1"/>
  <c r="G33" i="101" s="1"/>
  <c r="I34" i="101" a="1"/>
  <c r="I34" i="101" s="1"/>
  <c r="E27" i="102"/>
  <c r="P122" i="117" a="1"/>
  <c r="P122" i="117" s="1"/>
  <c r="X125" i="117" a="1"/>
  <c r="X125" i="117" s="1"/>
  <c r="P129" i="117" a="1"/>
  <c r="P129" i="117" s="1"/>
  <c r="F150" i="117" a="1"/>
  <c r="F150" i="117" s="1"/>
  <c r="G464" i="117" a="1"/>
  <c r="G464" i="117" s="1"/>
  <c r="H464" i="117" s="1"/>
  <c r="G197" i="119"/>
  <c r="K39" i="102" a="1"/>
  <c r="K39" i="102" s="1"/>
  <c r="R17" i="113"/>
  <c r="I69" i="118"/>
  <c r="J15" i="88" a="1"/>
  <c r="J15" i="88" s="1"/>
  <c r="E108" i="94"/>
  <c r="J28" i="101" a="1"/>
  <c r="J28" i="101" s="1"/>
  <c r="K31" i="101" a="1"/>
  <c r="K31" i="101" s="1"/>
  <c r="J34" i="101" a="1"/>
  <c r="J34" i="101" s="1"/>
  <c r="T122" i="117" a="1"/>
  <c r="T122" i="117" s="1"/>
  <c r="AB125" i="117" a="1"/>
  <c r="AB125" i="117" s="1"/>
  <c r="T129" i="117" a="1"/>
  <c r="T129" i="117" s="1"/>
  <c r="G382" i="117" a="1"/>
  <c r="G382" i="117" s="1"/>
  <c r="H382" i="117" s="1"/>
  <c r="G446" i="117" a="1"/>
  <c r="G446" i="117" s="1"/>
  <c r="H446" i="117" s="1"/>
  <c r="G465" i="117" a="1"/>
  <c r="G465" i="117" s="1"/>
  <c r="H465" i="117" s="1"/>
  <c r="I175" i="119"/>
  <c r="J18" i="108" a="1"/>
  <c r="J18" i="108" s="1"/>
  <c r="R12" i="113"/>
  <c r="E296" i="117" s="1"/>
  <c r="E109" i="94"/>
  <c r="K28" i="101" a="1"/>
  <c r="K28" i="101" s="1"/>
  <c r="G30" i="101" a="1"/>
  <c r="G30" i="101" s="1"/>
  <c r="K34" i="101" a="1"/>
  <c r="K34" i="101" s="1"/>
  <c r="G36" i="101" a="1"/>
  <c r="G36" i="101" s="1"/>
  <c r="G39" i="101" a="1"/>
  <c r="G39" i="101" s="1"/>
  <c r="E38" i="102"/>
  <c r="X122" i="117" a="1"/>
  <c r="X122" i="117" s="1"/>
  <c r="P126" i="117" a="1"/>
  <c r="P126" i="117" s="1"/>
  <c r="X129" i="117" a="1"/>
  <c r="X129" i="117" s="1"/>
  <c r="F152" i="117" a="1"/>
  <c r="F152" i="117" s="1"/>
  <c r="G383" i="117" a="1"/>
  <c r="G383" i="117" s="1"/>
  <c r="G447" i="117" a="1"/>
  <c r="G447" i="117" s="1"/>
  <c r="H447" i="117" s="1"/>
  <c r="G466" i="117" a="1"/>
  <c r="G466" i="117" s="1"/>
  <c r="H466" i="117" s="1"/>
  <c r="I21" i="100"/>
  <c r="E110" i="94"/>
  <c r="G27" i="101" a="1"/>
  <c r="G27" i="101" s="1"/>
  <c r="H30" i="101" a="1"/>
  <c r="H30" i="101" s="1"/>
  <c r="H36" i="101" a="1"/>
  <c r="H36" i="101" s="1"/>
  <c r="H39" i="101" a="1"/>
  <c r="H39" i="101" s="1"/>
  <c r="E35" i="102"/>
  <c r="AB122" i="117" a="1"/>
  <c r="AB122" i="117" s="1"/>
  <c r="T126" i="117" a="1"/>
  <c r="T126" i="117" s="1"/>
  <c r="AB129" i="117" a="1"/>
  <c r="AB129" i="117" s="1"/>
  <c r="F153" i="117" a="1"/>
  <c r="F153" i="117" s="1"/>
  <c r="G384" i="117" a="1"/>
  <c r="G384" i="117" s="1"/>
  <c r="G448" i="117" a="1"/>
  <c r="G448" i="117" s="1"/>
  <c r="H448" i="117" s="1"/>
  <c r="G467" i="117" a="1"/>
  <c r="G467" i="117" s="1"/>
  <c r="H467" i="117" s="1"/>
  <c r="I176" i="119"/>
  <c r="R13" i="113"/>
  <c r="W189" i="84" a="1"/>
  <c r="W189" i="84" s="1"/>
  <c r="E111" i="94"/>
  <c r="H27" i="101" a="1"/>
  <c r="H27" i="101" s="1"/>
  <c r="I30" i="101" a="1"/>
  <c r="I30" i="101" s="1"/>
  <c r="I36" i="101" a="1"/>
  <c r="I36" i="101" s="1"/>
  <c r="I39" i="101" a="1"/>
  <c r="I39" i="101" s="1"/>
  <c r="E29" i="102"/>
  <c r="E32" i="102"/>
  <c r="P123" i="117" a="1"/>
  <c r="P123" i="117" s="1"/>
  <c r="X126" i="117" a="1"/>
  <c r="X126" i="117" s="1"/>
  <c r="G385" i="117" a="1"/>
  <c r="G385" i="117" s="1"/>
  <c r="G449" i="117" a="1"/>
  <c r="G449" i="117" s="1"/>
  <c r="H449" i="117" s="1"/>
  <c r="G468" i="117" a="1"/>
  <c r="G468" i="117" s="1"/>
  <c r="H468" i="117" s="1"/>
  <c r="I27" i="101" a="1"/>
  <c r="I27" i="101" s="1"/>
  <c r="J30" i="101" a="1"/>
  <c r="J30" i="101" s="1"/>
  <c r="J36" i="101" a="1"/>
  <c r="J36" i="101" s="1"/>
  <c r="E38" i="101"/>
  <c r="I38" i="101" s="1" a="1"/>
  <c r="I38" i="101" s="1"/>
  <c r="J39" i="101" a="1"/>
  <c r="J39" i="101" s="1"/>
  <c r="E26" i="102"/>
  <c r="X120" i="117" a="1"/>
  <c r="X120" i="117" s="1"/>
  <c r="T123" i="117" a="1"/>
  <c r="T123" i="117" s="1"/>
  <c r="AB126" i="117" a="1"/>
  <c r="AB126" i="117" s="1"/>
  <c r="G386" i="117" a="1"/>
  <c r="G386" i="117" s="1"/>
  <c r="G450" i="117" a="1"/>
  <c r="G450" i="117" s="1"/>
  <c r="H450" i="117" s="1"/>
  <c r="G469" i="117" a="1"/>
  <c r="G469" i="117" s="1"/>
  <c r="AC189" i="84" a="1"/>
  <c r="AC189" i="84" s="1"/>
  <c r="J27" i="101" a="1"/>
  <c r="J27" i="101" s="1"/>
  <c r="K30" i="101" a="1"/>
  <c r="K30" i="101" s="1"/>
  <c r="G32" i="101" a="1"/>
  <c r="G32" i="101" s="1"/>
  <c r="K36" i="101" a="1"/>
  <c r="K36" i="101" s="1"/>
  <c r="K39" i="101" a="1"/>
  <c r="K39" i="101" s="1"/>
  <c r="X123" i="117" a="1"/>
  <c r="X123" i="117" s="1"/>
  <c r="P127" i="117" a="1"/>
  <c r="P127" i="117" s="1"/>
  <c r="G387" i="117" a="1"/>
  <c r="G387" i="117" s="1"/>
  <c r="G451" i="117" a="1"/>
  <c r="G451" i="117" s="1"/>
  <c r="G470" i="117" a="1"/>
  <c r="G470" i="117" s="1"/>
  <c r="K27" i="101" a="1"/>
  <c r="K27" i="101" s="1"/>
  <c r="G29" i="101" a="1"/>
  <c r="G29" i="101" s="1"/>
  <c r="H32" i="101" a="1"/>
  <c r="H32" i="101" s="1"/>
  <c r="G35" i="101" a="1"/>
  <c r="G35" i="101" s="1"/>
  <c r="E37" i="102"/>
  <c r="AB123" i="117" a="1"/>
  <c r="AB123" i="117" s="1"/>
  <c r="T127" i="117" a="1"/>
  <c r="T127" i="117" s="1"/>
  <c r="E315" i="117" a="1"/>
  <c r="E315" i="117" s="1"/>
  <c r="G388" i="117" a="1"/>
  <c r="G388" i="117" s="1"/>
  <c r="G452" i="117" a="1"/>
  <c r="G452" i="117" s="1"/>
  <c r="G471" i="117" a="1"/>
  <c r="G471" i="117" s="1"/>
  <c r="O15" i="113"/>
  <c r="G26" i="101" a="1"/>
  <c r="G26" i="101" s="1"/>
  <c r="H29" i="101" a="1"/>
  <c r="H29" i="101" s="1"/>
  <c r="I32" i="101" a="1"/>
  <c r="I32" i="101" s="1"/>
  <c r="H35" i="101" a="1"/>
  <c r="H35" i="101" s="1"/>
  <c r="P124" i="117" a="1"/>
  <c r="P124" i="117" s="1"/>
  <c r="X127" i="117" a="1"/>
  <c r="X127" i="117" s="1"/>
  <c r="E316" i="117" a="1"/>
  <c r="E316" i="117" s="1"/>
  <c r="G389" i="117" a="1"/>
  <c r="G389" i="117" s="1"/>
  <c r="G453" i="117" a="1"/>
  <c r="G453" i="117" s="1"/>
  <c r="G472" i="117" a="1"/>
  <c r="G472" i="117" s="1"/>
  <c r="G194" i="119"/>
  <c r="L179" i="82"/>
  <c r="I17" i="100"/>
  <c r="H26" i="101" a="1"/>
  <c r="H26" i="101" s="1"/>
  <c r="I29" i="101" a="1"/>
  <c r="I29" i="101" s="1"/>
  <c r="J32" i="101" a="1"/>
  <c r="J32" i="101" s="1"/>
  <c r="I35" i="101" a="1"/>
  <c r="I35" i="101" s="1"/>
  <c r="AB120" i="117" a="1"/>
  <c r="AB120" i="117" s="1"/>
  <c r="T124" i="117" a="1"/>
  <c r="T124" i="117" s="1"/>
  <c r="AB127" i="117" a="1"/>
  <c r="AB127" i="117" s="1"/>
  <c r="G390" i="117" a="1"/>
  <c r="G390" i="117" s="1"/>
  <c r="G454" i="117" a="1"/>
  <c r="G454" i="117" s="1"/>
  <c r="H194" i="119"/>
  <c r="D157" i="105" a="1"/>
  <c r="D157" i="105" s="1"/>
  <c r="I26" i="101" a="1"/>
  <c r="I26" i="101" s="1"/>
  <c r="J29" i="101" a="1"/>
  <c r="J29" i="101" s="1"/>
  <c r="K32" i="101" a="1"/>
  <c r="K32" i="101" s="1"/>
  <c r="J35" i="101" a="1"/>
  <c r="J35" i="101" s="1"/>
  <c r="E37" i="101"/>
  <c r="G37" i="101" s="1" a="1"/>
  <c r="G37" i="101" s="1"/>
  <c r="P121" i="117" a="1"/>
  <c r="P121" i="117" s="1"/>
  <c r="X124" i="117" a="1"/>
  <c r="X124" i="117" s="1"/>
  <c r="P128" i="117" a="1"/>
  <c r="P128" i="117" s="1"/>
  <c r="G195" i="119"/>
  <c r="O16" i="113"/>
  <c r="E25" i="101"/>
  <c r="I25" i="101" s="1" a="1"/>
  <c r="I25" i="101" s="1"/>
  <c r="J26" i="101" a="1"/>
  <c r="J26" i="101" s="1"/>
  <c r="K29" i="101" a="1"/>
  <c r="K29" i="101" s="1"/>
  <c r="G31" i="101" a="1"/>
  <c r="G31" i="101" s="1"/>
  <c r="K35" i="101" a="1"/>
  <c r="K35" i="101" s="1"/>
  <c r="P120" i="117" a="1"/>
  <c r="P120" i="117" s="1"/>
  <c r="T121" i="117" a="1"/>
  <c r="T121" i="117" s="1"/>
  <c r="AB124" i="117" a="1"/>
  <c r="AB124" i="117" s="1"/>
  <c r="T128" i="117" a="1"/>
  <c r="T128" i="117" s="1"/>
  <c r="L180" i="82"/>
  <c r="V103" i="84" a="1"/>
  <c r="V103" i="84" s="1"/>
  <c r="W103" i="84" s="1" a="1"/>
  <c r="W103" i="84" s="1"/>
  <c r="K26" i="101" a="1"/>
  <c r="K26" i="101" s="1"/>
  <c r="G28" i="101" a="1"/>
  <c r="G28" i="101" s="1"/>
  <c r="H31" i="101" a="1"/>
  <c r="H31" i="101" s="1"/>
  <c r="G34" i="101" a="1"/>
  <c r="G34" i="101" s="1"/>
  <c r="X121" i="117" a="1"/>
  <c r="X121" i="117" s="1"/>
  <c r="P125" i="117" a="1"/>
  <c r="P125" i="117" s="1"/>
  <c r="X128" i="117" a="1"/>
  <c r="X128" i="117" s="1"/>
  <c r="V104" i="84" a="1"/>
  <c r="V104" i="84" s="1"/>
  <c r="W104" i="84" s="1" a="1"/>
  <c r="W104" i="84" s="1"/>
  <c r="I19" i="100"/>
  <c r="L26" i="101" s="1" a="1"/>
  <c r="L26" i="101" s="1"/>
  <c r="H28" i="101" a="1"/>
  <c r="H28" i="101" s="1"/>
  <c r="I31" i="101" a="1"/>
  <c r="I31" i="101" s="1"/>
  <c r="H34" i="101" a="1"/>
  <c r="H34" i="101" s="1"/>
  <c r="AB121" i="117" a="1"/>
  <c r="AB121" i="117" s="1"/>
  <c r="T125" i="117" a="1"/>
  <c r="T125" i="117" s="1"/>
  <c r="AB128" i="117" a="1"/>
  <c r="AB128" i="117" s="1"/>
  <c r="F149" i="117" a="1"/>
  <c r="F149" i="117" s="1"/>
  <c r="E21" i="105" a="1"/>
  <c r="E157" i="105" a="1"/>
  <c r="E157" i="105" s="1"/>
  <c r="D116" i="105" a="1"/>
  <c r="D116" i="105" s="1"/>
  <c r="E116" i="105" a="1"/>
  <c r="E116" i="105" s="1"/>
  <c r="D59" i="105" a="1"/>
  <c r="E59" i="105" a="1"/>
  <c r="D21" i="105" a="1"/>
  <c r="I80" i="84" a="1"/>
  <c r="I80" i="84" s="1"/>
  <c r="J14" i="108" a="1"/>
  <c r="J14" i="108" s="1"/>
  <c r="J15" i="108" a="1"/>
  <c r="J15" i="108" s="1"/>
  <c r="J16" i="108" a="1"/>
  <c r="J16" i="108" s="1"/>
  <c r="J17" i="108" a="1"/>
  <c r="J17" i="108" s="1"/>
  <c r="F182" i="117"/>
  <c r="P55" i="118"/>
  <c r="F55" i="118"/>
  <c r="P74" i="118"/>
  <c r="F74" i="118"/>
  <c r="P90" i="118"/>
  <c r="F90" i="118"/>
  <c r="F263" i="117"/>
  <c r="F19" i="118"/>
  <c r="F588" i="117"/>
  <c r="F657" i="117"/>
  <c r="F636" i="117"/>
  <c r="F132" i="117"/>
  <c r="F142" i="117"/>
  <c r="F656" i="117"/>
  <c r="F654" i="117"/>
  <c r="F653" i="117"/>
  <c r="F155" i="117"/>
  <c r="F635" i="117"/>
  <c r="F131" i="117"/>
  <c r="F160" i="117"/>
  <c r="F143" i="117"/>
  <c r="F159" i="117"/>
  <c r="F156" i="117"/>
  <c r="F34" i="117"/>
  <c r="F94" i="117"/>
  <c r="F93" i="117"/>
  <c r="F73" i="117"/>
  <c r="F91" i="117"/>
  <c r="F54" i="117"/>
  <c r="F90" i="117"/>
  <c r="F72" i="117"/>
  <c r="F53" i="117"/>
  <c r="F35" i="117"/>
  <c r="E182" i="117"/>
  <c r="F267" i="117"/>
  <c r="F499" i="117"/>
  <c r="F488" i="117"/>
  <c r="F332" i="117"/>
  <c r="F516" i="117"/>
  <c r="F393" i="117"/>
  <c r="F363" i="117"/>
  <c r="F474" i="117"/>
  <c r="F456" i="117"/>
  <c r="F425" i="117"/>
  <c r="F517" i="117"/>
  <c r="F394" i="117"/>
  <c r="F266" i="117"/>
  <c r="F475" i="117"/>
  <c r="F264" i="117"/>
  <c r="F299" i="117"/>
  <c r="F331" i="117"/>
  <c r="F298" i="117"/>
  <c r="F362" i="117"/>
  <c r="F533" i="117"/>
  <c r="F548" i="117"/>
  <c r="L352" i="117"/>
  <c r="L360" i="117"/>
  <c r="L354" i="117"/>
  <c r="L357" i="117"/>
  <c r="L353" i="117"/>
  <c r="L358" i="117"/>
  <c r="L356" i="117"/>
  <c r="L351" i="117"/>
  <c r="F457" i="117"/>
  <c r="F181" i="117"/>
  <c r="F426" i="117"/>
  <c r="F487" i="117"/>
  <c r="F498" i="117"/>
  <c r="K422" i="117"/>
  <c r="L14" i="113"/>
  <c r="O14" i="113"/>
  <c r="L12" i="113"/>
  <c r="L10" i="113"/>
  <c r="O10" i="113"/>
  <c r="L13" i="113"/>
  <c r="L16" i="113"/>
  <c r="F48" i="109"/>
  <c r="F192" i="105"/>
  <c r="F151" i="105"/>
  <c r="F70" i="101"/>
  <c r="F43" i="101"/>
  <c r="F58" i="102"/>
  <c r="F49" i="102"/>
  <c r="F57" i="102"/>
  <c r="F46" i="102"/>
  <c r="F56" i="102"/>
  <c r="F45" i="102"/>
  <c r="F55" i="102"/>
  <c r="F44" i="102"/>
  <c r="F52" i="102"/>
  <c r="F43" i="102"/>
  <c r="F51" i="102"/>
  <c r="F50" i="102"/>
  <c r="D39" i="102"/>
  <c r="L39" i="102" s="1" a="1"/>
  <c r="L39" i="102" s="1"/>
  <c r="D42" i="102"/>
  <c r="D30" i="102"/>
  <c r="L30" i="102" s="1" a="1"/>
  <c r="L30" i="102" s="1"/>
  <c r="D37" i="102"/>
  <c r="L37" i="102" s="1" a="1"/>
  <c r="L37" i="102" s="1"/>
  <c r="D28" i="102"/>
  <c r="L28" i="102" s="1" a="1"/>
  <c r="L28" i="102" s="1"/>
  <c r="D35" i="102"/>
  <c r="D26" i="102"/>
  <c r="L26" i="102" s="1" a="1"/>
  <c r="L26" i="102" s="1"/>
  <c r="D33" i="102"/>
  <c r="D40" i="102"/>
  <c r="L40" i="102" s="1" a="1"/>
  <c r="L40" i="102" s="1"/>
  <c r="D31" i="102"/>
  <c r="L31" i="102" s="1" a="1"/>
  <c r="L31" i="102" s="1"/>
  <c r="D38" i="102"/>
  <c r="L38" i="102" s="1" a="1"/>
  <c r="L38" i="102" s="1"/>
  <c r="D48" i="102"/>
  <c r="D39" i="101"/>
  <c r="L39" i="101" s="1" a="1"/>
  <c r="L39" i="101" s="1"/>
  <c r="F52" i="101"/>
  <c r="F62" i="101"/>
  <c r="F44" i="101"/>
  <c r="D54" i="101"/>
  <c r="F63" i="101"/>
  <c r="F45" i="101"/>
  <c r="F55" i="101"/>
  <c r="F64" i="101"/>
  <c r="F46" i="101"/>
  <c r="F56" i="101"/>
  <c r="D48" i="101"/>
  <c r="F67" i="101"/>
  <c r="F57" i="101"/>
  <c r="F49" i="101"/>
  <c r="F68" i="101"/>
  <c r="D36" i="101"/>
  <c r="L36" i="101" s="1" a="1"/>
  <c r="L36" i="101" s="1"/>
  <c r="F58" i="101"/>
  <c r="D31" i="101"/>
  <c r="L31" i="101" s="1" a="1"/>
  <c r="L31" i="101" s="1"/>
  <c r="F50" i="101"/>
  <c r="F69" i="101"/>
  <c r="D35" i="101"/>
  <c r="L35" i="101" s="1" a="1"/>
  <c r="L35" i="101" s="1"/>
  <c r="F51" i="101"/>
  <c r="F61" i="101"/>
  <c r="I20" i="100"/>
  <c r="I18" i="100"/>
  <c r="L32" i="102" s="1" a="1"/>
  <c r="L32" i="102" s="1"/>
  <c r="I57" i="95"/>
  <c r="G59" i="94"/>
  <c r="N369" i="87"/>
  <c r="F78" i="91"/>
  <c r="F58" i="91"/>
  <c r="O115" i="88"/>
  <c r="F60" i="90"/>
  <c r="O110" i="90"/>
  <c r="D40" i="89"/>
  <c r="L365" i="87"/>
  <c r="N365" i="87"/>
  <c r="O107" i="88"/>
  <c r="Q28" i="88"/>
  <c r="AH32" i="88"/>
  <c r="AH33" i="88"/>
  <c r="AH28" i="88"/>
  <c r="AH34" i="88"/>
  <c r="AH35" i="88"/>
  <c r="Q29" i="88"/>
  <c r="AH36" i="88"/>
  <c r="AH29" i="88"/>
  <c r="AH37" i="88"/>
  <c r="Q26" i="88"/>
  <c r="AH38" i="88"/>
  <c r="AH30" i="88"/>
  <c r="AH39" i="88"/>
  <c r="Q27" i="88"/>
  <c r="AH31" i="88"/>
  <c r="AF87" i="88"/>
  <c r="AF84" i="88"/>
  <c r="AF86" i="88"/>
  <c r="AF83" i="88"/>
  <c r="AF79" i="88"/>
  <c r="AF77" i="88"/>
  <c r="AF85" i="88"/>
  <c r="AF80" i="88"/>
  <c r="AF82" i="88"/>
  <c r="O64" i="88"/>
  <c r="O66" i="88"/>
  <c r="AF78" i="88"/>
  <c r="AF76" i="88"/>
  <c r="AF81" i="88"/>
  <c r="O65" i="88"/>
  <c r="O67" i="88"/>
  <c r="V35" i="88" a="1"/>
  <c r="V35" i="88" s="1"/>
  <c r="V34" i="88" a="1"/>
  <c r="V34" i="88" s="1"/>
  <c r="W34" i="88" s="1" a="1"/>
  <c r="W34" i="88" s="1"/>
  <c r="AF97" i="88"/>
  <c r="V33" i="88" a="1"/>
  <c r="V33" i="88" s="1"/>
  <c r="W33" i="88" s="1" a="1"/>
  <c r="W33" i="88" s="1"/>
  <c r="L369" i="87"/>
  <c r="AF149" i="88"/>
  <c r="O123" i="88"/>
  <c r="F128" i="88"/>
  <c r="W162" i="88"/>
  <c r="E27" i="88" a="1"/>
  <c r="E27" i="88" s="1"/>
  <c r="F27" i="88" s="1" a="1"/>
  <c r="F27" i="88" s="1"/>
  <c r="V31" i="88" a="1"/>
  <c r="V31" i="88" s="1"/>
  <c r="W31" i="88" s="1" a="1"/>
  <c r="W31" i="88" s="1"/>
  <c r="E26" i="88" a="1"/>
  <c r="E26" i="88" s="1"/>
  <c r="V38" i="88" a="1"/>
  <c r="V38" i="88" s="1"/>
  <c r="V29" i="88" a="1"/>
  <c r="V29" i="88" s="1"/>
  <c r="W29" i="88" s="1" a="1"/>
  <c r="W29" i="88" s="1"/>
  <c r="V37" i="88" a="1"/>
  <c r="V37" i="88" s="1"/>
  <c r="AF47" i="84"/>
  <c r="J363" i="87"/>
  <c r="J364" i="87"/>
  <c r="O131" i="83"/>
  <c r="O134" i="83"/>
  <c r="L362" i="87"/>
  <c r="M362" i="87"/>
  <c r="J369" i="87"/>
  <c r="L364" i="87"/>
  <c r="L25" i="82"/>
  <c r="G27" i="82"/>
  <c r="I27" i="82"/>
  <c r="O111" i="87"/>
  <c r="P111" i="87"/>
  <c r="N111" i="87"/>
  <c r="O95" i="87"/>
  <c r="N95" i="87"/>
  <c r="P95" i="87"/>
  <c r="J87" i="87"/>
  <c r="J91" i="87"/>
  <c r="L92" i="87"/>
  <c r="K92" i="87"/>
  <c r="K88" i="87"/>
  <c r="L88" i="87"/>
  <c r="P99" i="87"/>
  <c r="O99" i="87"/>
  <c r="N99" i="87"/>
  <c r="I86" i="87"/>
  <c r="I90" i="87"/>
  <c r="L87" i="87"/>
  <c r="L91" i="87"/>
  <c r="K91" i="87"/>
  <c r="K87" i="87"/>
  <c r="M92" i="87"/>
  <c r="M88" i="87"/>
  <c r="N89" i="87"/>
  <c r="P93" i="87"/>
  <c r="N93" i="87"/>
  <c r="P89" i="87"/>
  <c r="O93" i="87"/>
  <c r="O89" i="87"/>
  <c r="L98" i="87"/>
  <c r="K98" i="87"/>
  <c r="O106" i="87"/>
  <c r="P106" i="87"/>
  <c r="N106" i="87"/>
  <c r="I93" i="87"/>
  <c r="I89" i="87"/>
  <c r="O114" i="87"/>
  <c r="N114" i="87"/>
  <c r="P114" i="87"/>
  <c r="G91" i="87"/>
  <c r="G87" i="87"/>
  <c r="I88" i="87"/>
  <c r="I92" i="87"/>
  <c r="J90" i="87"/>
  <c r="J86" i="87"/>
  <c r="O88" i="87"/>
  <c r="O92" i="87"/>
  <c r="P92" i="87"/>
  <c r="N92" i="87"/>
  <c r="P88" i="87"/>
  <c r="N88" i="87"/>
  <c r="K104" i="87"/>
  <c r="L104" i="87"/>
  <c r="K94" i="87"/>
  <c r="L94" i="87"/>
  <c r="O100" i="87"/>
  <c r="P100" i="87"/>
  <c r="N100" i="87"/>
  <c r="P94" i="87"/>
  <c r="N94" i="87"/>
  <c r="O94" i="87"/>
  <c r="L86" i="87"/>
  <c r="L90" i="87"/>
  <c r="K90" i="87"/>
  <c r="K86" i="87"/>
  <c r="L103" i="87"/>
  <c r="K103" i="87"/>
  <c r="M86" i="87"/>
  <c r="M90" i="87"/>
  <c r="N91" i="87"/>
  <c r="O87" i="87"/>
  <c r="O91" i="87"/>
  <c r="P87" i="87"/>
  <c r="N87" i="87"/>
  <c r="P91" i="87"/>
  <c r="L97" i="87"/>
  <c r="K97" i="87"/>
  <c r="J89" i="87"/>
  <c r="J93" i="87"/>
  <c r="H91" i="87"/>
  <c r="H87" i="87"/>
  <c r="J92" i="87"/>
  <c r="J88" i="87"/>
  <c r="N86" i="87"/>
  <c r="P90" i="87"/>
  <c r="N90" i="87"/>
  <c r="P86" i="87"/>
  <c r="O90" i="87"/>
  <c r="O86" i="87"/>
  <c r="K102" i="87"/>
  <c r="L102" i="87"/>
  <c r="P103" i="87"/>
  <c r="N103" i="87"/>
  <c r="O103" i="87"/>
  <c r="K107" i="87"/>
  <c r="L107" i="87"/>
  <c r="L89" i="87"/>
  <c r="L93" i="87"/>
  <c r="K93" i="87"/>
  <c r="K89" i="87"/>
  <c r="P97" i="87"/>
  <c r="N97" i="87"/>
  <c r="O97" i="87"/>
  <c r="K96" i="87"/>
  <c r="L96" i="87"/>
  <c r="F106" i="87"/>
  <c r="F102" i="87"/>
  <c r="L110" i="87"/>
  <c r="K110" i="87"/>
  <c r="O109" i="87"/>
  <c r="P109" i="87"/>
  <c r="N109" i="87"/>
  <c r="P108" i="87"/>
  <c r="N108" i="87"/>
  <c r="O108" i="87"/>
  <c r="G89" i="87"/>
  <c r="G93" i="87"/>
  <c r="P102" i="87"/>
  <c r="O102" i="87"/>
  <c r="N102" i="87"/>
  <c r="K112" i="87"/>
  <c r="L112" i="87"/>
  <c r="O115" i="87"/>
  <c r="P115" i="87"/>
  <c r="N115" i="87"/>
  <c r="G86" i="87"/>
  <c r="G90" i="87"/>
  <c r="L99" i="87"/>
  <c r="K99" i="87"/>
  <c r="I91" i="87"/>
  <c r="I87" i="87"/>
  <c r="L106" i="87"/>
  <c r="K106" i="87"/>
  <c r="G88" i="87"/>
  <c r="G92" i="87"/>
  <c r="H93" i="87"/>
  <c r="H89" i="87"/>
  <c r="L95" i="87"/>
  <c r="K95" i="87"/>
  <c r="P96" i="87"/>
  <c r="O96" i="87"/>
  <c r="N96" i="87"/>
  <c r="K100" i="87"/>
  <c r="L100" i="87"/>
  <c r="L109" i="87"/>
  <c r="K109" i="87"/>
  <c r="O107" i="87"/>
  <c r="P107" i="87"/>
  <c r="K117" i="87"/>
  <c r="L117" i="87"/>
  <c r="M91" i="87"/>
  <c r="M147" i="87" s="1"/>
  <c r="K108" i="87"/>
  <c r="G224" i="87"/>
  <c r="G228" i="87"/>
  <c r="H226" i="87"/>
  <c r="H230" i="87"/>
  <c r="L111" i="87"/>
  <c r="L114" i="87"/>
  <c r="I226" i="87"/>
  <c r="I230" i="87"/>
  <c r="L249" i="87"/>
  <c r="K249" i="87"/>
  <c r="L252" i="87"/>
  <c r="K252" i="87"/>
  <c r="H92" i="87"/>
  <c r="H148" i="87" s="1"/>
  <c r="F223" i="87"/>
  <c r="F227" i="87"/>
  <c r="I224" i="87"/>
  <c r="I228" i="87"/>
  <c r="G229" i="87"/>
  <c r="G225" i="87"/>
  <c r="P249" i="87"/>
  <c r="O249" i="87"/>
  <c r="N249" i="87"/>
  <c r="L253" i="87"/>
  <c r="K253" i="87"/>
  <c r="G223" i="87"/>
  <c r="G227" i="87"/>
  <c r="H229" i="87"/>
  <c r="H225" i="87"/>
  <c r="L115" i="87"/>
  <c r="H227" i="87"/>
  <c r="H223" i="87"/>
  <c r="J224" i="87"/>
  <c r="J228" i="87"/>
  <c r="I229" i="87"/>
  <c r="I225" i="87"/>
  <c r="L230" i="87"/>
  <c r="K230" i="87"/>
  <c r="L226" i="87"/>
  <c r="K226" i="87"/>
  <c r="L231" i="87"/>
  <c r="K231" i="87"/>
  <c r="N117" i="87"/>
  <c r="O117" i="87"/>
  <c r="H86" i="87"/>
  <c r="H146" i="87" s="1"/>
  <c r="I227" i="87"/>
  <c r="I223" i="87"/>
  <c r="J229" i="87"/>
  <c r="J225" i="87"/>
  <c r="P239" i="87"/>
  <c r="O239" i="87"/>
  <c r="N239" i="87"/>
  <c r="P242" i="87"/>
  <c r="O242" i="87"/>
  <c r="N242" i="87"/>
  <c r="L246" i="87"/>
  <c r="K246" i="87"/>
  <c r="P105" i="87"/>
  <c r="O105" i="87"/>
  <c r="N105" i="87"/>
  <c r="J227" i="87"/>
  <c r="J223" i="87"/>
  <c r="L224" i="87"/>
  <c r="L228" i="87"/>
  <c r="K224" i="87"/>
  <c r="K228" i="87"/>
  <c r="K229" i="87"/>
  <c r="L225" i="87"/>
  <c r="K225" i="87"/>
  <c r="L229" i="87"/>
  <c r="M230" i="87"/>
  <c r="M226" i="87"/>
  <c r="P231" i="87"/>
  <c r="O231" i="87"/>
  <c r="N231" i="87"/>
  <c r="L232" i="87"/>
  <c r="K232" i="87"/>
  <c r="L233" i="87"/>
  <c r="K233" i="87"/>
  <c r="K235" i="87"/>
  <c r="L235" i="87"/>
  <c r="L238" i="87"/>
  <c r="K238" i="87"/>
  <c r="P248" i="87"/>
  <c r="O248" i="87"/>
  <c r="N248" i="87"/>
  <c r="P101" i="87"/>
  <c r="N101" i="87"/>
  <c r="P112" i="87"/>
  <c r="N112" i="87"/>
  <c r="M93" i="87"/>
  <c r="M149" i="87" s="1"/>
  <c r="O243" i="87"/>
  <c r="N243" i="87"/>
  <c r="P243" i="87"/>
  <c r="P246" i="87"/>
  <c r="O246" i="87"/>
  <c r="N246" i="87"/>
  <c r="K116" i="87"/>
  <c r="M227" i="87"/>
  <c r="M223" i="87"/>
  <c r="M228" i="87"/>
  <c r="M224" i="87"/>
  <c r="N230" i="87"/>
  <c r="P226" i="87"/>
  <c r="P230" i="87"/>
  <c r="O230" i="87"/>
  <c r="O226" i="87"/>
  <c r="N226" i="87"/>
  <c r="P234" i="87"/>
  <c r="O234" i="87"/>
  <c r="N234" i="87"/>
  <c r="L101" i="87"/>
  <c r="K101" i="87"/>
  <c r="L113" i="87"/>
  <c r="N116" i="87"/>
  <c r="O227" i="87"/>
  <c r="N227" i="87"/>
  <c r="P223" i="87"/>
  <c r="O223" i="87"/>
  <c r="N223" i="87"/>
  <c r="P227" i="87"/>
  <c r="P98" i="87"/>
  <c r="N98" i="87"/>
  <c r="N104" i="87"/>
  <c r="N107" i="87"/>
  <c r="P116" i="87"/>
  <c r="N224" i="87"/>
  <c r="P228" i="87"/>
  <c r="O228" i="87"/>
  <c r="N228" i="87"/>
  <c r="P224" i="87"/>
  <c r="O224" i="87"/>
  <c r="O236" i="87"/>
  <c r="N236" i="87"/>
  <c r="P236" i="87"/>
  <c r="K105" i="87"/>
  <c r="L105" i="87"/>
  <c r="P104" i="87"/>
  <c r="F230" i="87"/>
  <c r="F226" i="87"/>
  <c r="P110" i="87"/>
  <c r="O110" i="87"/>
  <c r="N110" i="87"/>
  <c r="N113" i="87"/>
  <c r="P113" i="87"/>
  <c r="O101" i="87"/>
  <c r="F224" i="87"/>
  <c r="F228" i="87"/>
  <c r="G226" i="87"/>
  <c r="G230" i="87"/>
  <c r="P233" i="87"/>
  <c r="O233" i="87"/>
  <c r="N233" i="87"/>
  <c r="L247" i="87"/>
  <c r="K247" i="87"/>
  <c r="P250" i="87"/>
  <c r="O250" i="87"/>
  <c r="N250" i="87"/>
  <c r="P254" i="87"/>
  <c r="O254" i="87"/>
  <c r="N254" i="87"/>
  <c r="L227" i="87"/>
  <c r="K227" i="87"/>
  <c r="L223" i="87"/>
  <c r="K223" i="87"/>
  <c r="F229" i="87"/>
  <c r="F225" i="87"/>
  <c r="L239" i="87"/>
  <c r="K239" i="87"/>
  <c r="L243" i="87"/>
  <c r="K243" i="87"/>
  <c r="L244" i="87"/>
  <c r="K244" i="87"/>
  <c r="P251" i="87"/>
  <c r="O251" i="87"/>
  <c r="N251" i="87"/>
  <c r="O235" i="87"/>
  <c r="P235" i="87"/>
  <c r="N235" i="87"/>
  <c r="L236" i="87"/>
  <c r="K236" i="87"/>
  <c r="L240" i="87"/>
  <c r="K240" i="87"/>
  <c r="N252" i="87"/>
  <c r="P252" i="87"/>
  <c r="O252" i="87"/>
  <c r="L245" i="87"/>
  <c r="K245" i="87"/>
  <c r="K237" i="87"/>
  <c r="L237" i="87"/>
  <c r="L241" i="87"/>
  <c r="K241" i="87"/>
  <c r="N232" i="87"/>
  <c r="P232" i="87"/>
  <c r="O232" i="87"/>
  <c r="P240" i="87"/>
  <c r="O240" i="87"/>
  <c r="N240" i="87"/>
  <c r="N245" i="87"/>
  <c r="P245" i="87"/>
  <c r="O245" i="87"/>
  <c r="P253" i="87"/>
  <c r="O253" i="87"/>
  <c r="N253" i="87"/>
  <c r="L242" i="87"/>
  <c r="K242" i="87"/>
  <c r="M225" i="87"/>
  <c r="M229" i="87"/>
  <c r="J230" i="87"/>
  <c r="J226" i="87"/>
  <c r="L234" i="87"/>
  <c r="K234" i="87"/>
  <c r="P237" i="87"/>
  <c r="O237" i="87"/>
  <c r="N237" i="87"/>
  <c r="L250" i="87"/>
  <c r="K250" i="87"/>
  <c r="P225" i="87"/>
  <c r="P229" i="87"/>
  <c r="O225" i="87"/>
  <c r="N225" i="87"/>
  <c r="O229" i="87"/>
  <c r="N229" i="87"/>
  <c r="I362" i="87"/>
  <c r="J362" i="87"/>
  <c r="I366" i="87"/>
  <c r="J366" i="87"/>
  <c r="P238" i="87"/>
  <c r="O238" i="87"/>
  <c r="N238" i="87"/>
  <c r="P241" i="87"/>
  <c r="O241" i="87"/>
  <c r="N241" i="87"/>
  <c r="P244" i="87"/>
  <c r="O244" i="87"/>
  <c r="N244" i="87"/>
  <c r="P247" i="87"/>
  <c r="O247" i="87"/>
  <c r="N247" i="87"/>
  <c r="L248" i="87"/>
  <c r="K248" i="87"/>
  <c r="L251" i="87"/>
  <c r="K251" i="87"/>
  <c r="L254" i="87"/>
  <c r="K254" i="87"/>
  <c r="H228" i="87"/>
  <c r="H224" i="87"/>
  <c r="I367" i="87"/>
  <c r="L367" i="87"/>
  <c r="M368" i="87"/>
  <c r="N368" i="87"/>
  <c r="L368" i="87"/>
  <c r="N367" i="87"/>
  <c r="J365" i="87"/>
  <c r="M366" i="87"/>
  <c r="N366" i="87"/>
  <c r="L366" i="87"/>
  <c r="L363" i="87"/>
  <c r="M363" i="87"/>
  <c r="J368" i="87"/>
  <c r="I368" i="87"/>
  <c r="N364" i="87"/>
  <c r="O20" i="86"/>
  <c r="F20" i="86"/>
  <c r="O36" i="86"/>
  <c r="F36" i="86"/>
  <c r="AF41" i="84"/>
  <c r="G25" i="82"/>
  <c r="M25" i="82"/>
  <c r="J29" i="82"/>
  <c r="N25" i="82"/>
  <c r="I29" i="82"/>
  <c r="AF254" i="84"/>
  <c r="AF139" i="84"/>
  <c r="O129" i="84"/>
  <c r="AF136" i="84"/>
  <c r="AF146" i="84"/>
  <c r="AF138" i="84"/>
  <c r="AH108" i="84"/>
  <c r="AH109" i="84"/>
  <c r="Q98" i="84"/>
  <c r="AH105" i="84"/>
  <c r="Q95" i="84"/>
  <c r="P35" i="85"/>
  <c r="F35" i="85"/>
  <c r="AF200" i="84"/>
  <c r="O170" i="84"/>
  <c r="E97" i="84" a="1"/>
  <c r="E97" i="84" s="1"/>
  <c r="F97" i="84" s="1" a="1"/>
  <c r="F97" i="84" s="1"/>
  <c r="AF256" i="84"/>
  <c r="I33" i="82"/>
  <c r="AF43" i="84"/>
  <c r="J27" i="82"/>
  <c r="F212" i="84"/>
  <c r="AF249" i="84"/>
  <c r="H33" i="82"/>
  <c r="N27" i="82"/>
  <c r="E98" i="84" a="1"/>
  <c r="E98" i="84" s="1"/>
  <c r="AF251" i="84"/>
  <c r="AH76" i="83"/>
  <c r="AF56" i="84" s="1"/>
  <c r="AH84" i="83"/>
  <c r="AF64" i="84" s="1"/>
  <c r="AH79" i="83"/>
  <c r="AF59" i="84" s="1"/>
  <c r="AH81" i="83"/>
  <c r="AF61" i="84" s="1"/>
  <c r="O84" i="83"/>
  <c r="O54" i="84" s="1"/>
  <c r="AF80" i="84"/>
  <c r="AF76" i="84"/>
  <c r="AF73" i="84"/>
  <c r="AF83" i="84"/>
  <c r="AF75" i="84"/>
  <c r="AF74" i="84"/>
  <c r="AF78" i="84"/>
  <c r="AF79" i="84"/>
  <c r="AF77" i="84"/>
  <c r="AF81" i="84"/>
  <c r="O63" i="84"/>
  <c r="O62" i="84"/>
  <c r="AF82" i="84"/>
  <c r="O64" i="84"/>
  <c r="O65" i="84"/>
  <c r="AH140" i="83"/>
  <c r="AH131" i="83"/>
  <c r="AH134" i="83"/>
  <c r="AH136" i="83"/>
  <c r="AH141" i="83"/>
  <c r="O133" i="83"/>
  <c r="O36" i="84"/>
  <c r="O34" i="84"/>
  <c r="AF46" i="84"/>
  <c r="AF39" i="84"/>
  <c r="AF42" i="84"/>
  <c r="AF44" i="84"/>
  <c r="AF36" i="84"/>
  <c r="AF40" i="84"/>
  <c r="O35" i="84"/>
  <c r="O33" i="84"/>
  <c r="AF38" i="84"/>
  <c r="AF37" i="84"/>
  <c r="G29" i="82"/>
  <c r="E163" i="84" a="1"/>
  <c r="E163" i="84" s="1"/>
  <c r="L163" i="84" s="1" a="1"/>
  <c r="L163" i="84" s="1"/>
  <c r="E161" i="84" a="1"/>
  <c r="E161" i="84" s="1"/>
  <c r="L161" i="84" s="1" a="1"/>
  <c r="L161" i="84" s="1"/>
  <c r="E164" i="84" a="1"/>
  <c r="E164" i="84" s="1"/>
  <c r="E162" i="84" a="1"/>
  <c r="E162" i="84" s="1"/>
  <c r="F162" i="84" s="1" a="1"/>
  <c r="F162" i="84" s="1"/>
  <c r="F27" i="82"/>
  <c r="X35" i="83" a="1"/>
  <c r="X35" i="83" s="1"/>
  <c r="E96" i="84" a="1"/>
  <c r="E96" i="84" s="1"/>
  <c r="F96" i="84" s="1" a="1"/>
  <c r="F96" i="84" s="1"/>
  <c r="AH106" i="84"/>
  <c r="V182" i="84" a="1"/>
  <c r="V182" i="84" s="1"/>
  <c r="V187" i="84" a="1"/>
  <c r="V187" i="84" s="1"/>
  <c r="V190" i="84" a="1"/>
  <c r="V190" i="84" s="1"/>
  <c r="V184" i="84" a="1"/>
  <c r="V184" i="84" s="1"/>
  <c r="V191" i="84" a="1"/>
  <c r="V191" i="84" s="1"/>
  <c r="V183" i="84" a="1"/>
  <c r="V183" i="84" s="1"/>
  <c r="V105" i="84" a="1"/>
  <c r="V105" i="84" s="1"/>
  <c r="W105" i="84" s="1" a="1"/>
  <c r="W105" i="84" s="1"/>
  <c r="V188" i="84" a="1"/>
  <c r="V188" i="84" s="1"/>
  <c r="V106" i="84" a="1"/>
  <c r="V106" i="84" s="1"/>
  <c r="W106" i="84" s="1" a="1"/>
  <c r="W106" i="84" s="1"/>
  <c r="V108" i="84" a="1"/>
  <c r="V108" i="84" s="1"/>
  <c r="V186" i="84" a="1"/>
  <c r="V186" i="84" s="1"/>
  <c r="V180" i="84" a="1"/>
  <c r="V180" i="84" s="1"/>
  <c r="V109" i="84" a="1"/>
  <c r="V109" i="84" s="1"/>
  <c r="V102" i="84" a="1"/>
  <c r="V102" i="84" s="1"/>
  <c r="W102" i="84" s="1" a="1"/>
  <c r="W102" i="84" s="1"/>
  <c r="V185" i="84" a="1"/>
  <c r="V185" i="84" s="1"/>
  <c r="V100" i="84" a="1"/>
  <c r="V100" i="84" s="1"/>
  <c r="V107" i="84" a="1"/>
  <c r="V107" i="84" s="1"/>
  <c r="V181" i="84" a="1"/>
  <c r="V181" i="84" s="1"/>
  <c r="H30" i="83"/>
  <c r="V111" i="84" a="1"/>
  <c r="V111" i="84" s="1"/>
  <c r="AF205" i="84"/>
  <c r="O171" i="84"/>
  <c r="AF203" i="84"/>
  <c r="AF198" i="84"/>
  <c r="O169" i="84"/>
  <c r="AF201" i="84"/>
  <c r="AF196" i="84"/>
  <c r="AF207" i="84"/>
  <c r="AF202" i="84"/>
  <c r="AF204" i="84"/>
  <c r="AF199" i="84"/>
  <c r="AF197" i="84"/>
  <c r="AF206" i="84"/>
  <c r="O172" i="84"/>
  <c r="AH100" i="84"/>
  <c r="AH104" i="84"/>
  <c r="AH103" i="84"/>
  <c r="AH102" i="84"/>
  <c r="AH101" i="84"/>
  <c r="Q96" i="84"/>
  <c r="AH110" i="84"/>
  <c r="AH111" i="84"/>
  <c r="AH107" i="84"/>
  <c r="Q97" i="84"/>
  <c r="V101" i="84" a="1"/>
  <c r="V101" i="84" s="1"/>
  <c r="W101" i="84" s="1" a="1"/>
  <c r="W101" i="84" s="1"/>
  <c r="F229" i="84"/>
  <c r="W267" i="84"/>
  <c r="AF145" i="84"/>
  <c r="AF147" i="84"/>
  <c r="AF143" i="84"/>
  <c r="AF144" i="84"/>
  <c r="AF142" i="84"/>
  <c r="O128" i="84"/>
  <c r="AF137" i="84"/>
  <c r="O130" i="84"/>
  <c r="AF141" i="84"/>
  <c r="O127" i="84"/>
  <c r="E95" i="84" a="1"/>
  <c r="E95" i="84" s="1"/>
  <c r="AF140" i="84"/>
  <c r="O208" i="84"/>
  <c r="W261" i="84"/>
  <c r="AF259" i="84"/>
  <c r="AF252" i="84"/>
  <c r="O207" i="84"/>
  <c r="AF257" i="84"/>
  <c r="AF250" i="84"/>
  <c r="AF255" i="84"/>
  <c r="AF248" i="84"/>
  <c r="AF253" i="84"/>
  <c r="O209" i="84"/>
  <c r="O210" i="84"/>
  <c r="I34" i="82"/>
  <c r="N34" i="82"/>
  <c r="M34" i="82"/>
  <c r="L34" i="82"/>
  <c r="K34" i="82"/>
  <c r="H34" i="82"/>
  <c r="J34" i="82"/>
  <c r="G34" i="82"/>
  <c r="F34" i="82"/>
  <c r="F30" i="82"/>
  <c r="M30" i="82"/>
  <c r="L30" i="82"/>
  <c r="N30" i="82"/>
  <c r="K30" i="82"/>
  <c r="AI194" i="83"/>
  <c r="AI200" i="83"/>
  <c r="AI186" i="83"/>
  <c r="AI192" i="83"/>
  <c r="AI190" i="83"/>
  <c r="AI187" i="83"/>
  <c r="AI184" i="83"/>
  <c r="P182" i="83"/>
  <c r="AI178" i="83"/>
  <c r="AI196" i="83"/>
  <c r="P181" i="83"/>
  <c r="AI191" i="83"/>
  <c r="P183" i="83"/>
  <c r="P180" i="83"/>
  <c r="AI177" i="83"/>
  <c r="AI195" i="83"/>
  <c r="P184" i="83"/>
  <c r="P179" i="83"/>
  <c r="AI182" i="83"/>
  <c r="AI188" i="83"/>
  <c r="AI185" i="83"/>
  <c r="AI198" i="83"/>
  <c r="AI183" i="83"/>
  <c r="AI181" i="83"/>
  <c r="AI180" i="83"/>
  <c r="AI189" i="83"/>
  <c r="AI197" i="83"/>
  <c r="P178" i="83"/>
  <c r="AI193" i="83"/>
  <c r="AI179" i="83"/>
  <c r="P177" i="83"/>
  <c r="AI199" i="83"/>
  <c r="AJ28" i="83"/>
  <c r="AJ36" i="83"/>
  <c r="AJ37" i="83"/>
  <c r="AJ33" i="83"/>
  <c r="AJ31" i="83"/>
  <c r="AJ29" i="83"/>
  <c r="AJ34" i="83"/>
  <c r="AJ32" i="83"/>
  <c r="AJ35" i="83"/>
  <c r="S32" i="83"/>
  <c r="AJ30" i="83"/>
  <c r="AJ39" i="83"/>
  <c r="S30" i="83"/>
  <c r="AJ38" i="83"/>
  <c r="E34" i="82"/>
  <c r="N23" i="82"/>
  <c r="M23" i="82"/>
  <c r="I23" i="82"/>
  <c r="F23" i="82"/>
  <c r="S33" i="83"/>
  <c r="G26" i="82"/>
  <c r="O87" i="83"/>
  <c r="O57" i="84" s="1"/>
  <c r="O86" i="83"/>
  <c r="O56" i="84" s="1"/>
  <c r="AH82" i="83"/>
  <c r="AF62" i="84" s="1"/>
  <c r="X39" i="83" a="1"/>
  <c r="X39" i="83" s="1"/>
  <c r="AH87" i="83"/>
  <c r="AF67" i="84" s="1"/>
  <c r="J26" i="82"/>
  <c r="F25" i="82"/>
  <c r="K26" i="82"/>
  <c r="H29" i="82"/>
  <c r="X30" i="83" a="1"/>
  <c r="X30" i="83" s="1"/>
  <c r="Y30" i="83" s="1" a="1"/>
  <c r="Y30" i="83" s="1"/>
  <c r="X38" i="83" a="1"/>
  <c r="X38" i="83" s="1"/>
  <c r="AH77" i="83"/>
  <c r="AF57" i="84" s="1"/>
  <c r="L26" i="82"/>
  <c r="X37" i="83" a="1"/>
  <c r="X37" i="83" s="1"/>
  <c r="AH80" i="83"/>
  <c r="AF60" i="84" s="1"/>
  <c r="AH86" i="83"/>
  <c r="AF66" i="84" s="1"/>
  <c r="AH83" i="83"/>
  <c r="AF63" i="84" s="1"/>
  <c r="O85" i="83"/>
  <c r="O55" i="84" s="1"/>
  <c r="E26" i="82"/>
  <c r="H25" i="82"/>
  <c r="M26" i="82"/>
  <c r="I25" i="82"/>
  <c r="N26" i="82"/>
  <c r="K29" i="82"/>
  <c r="J33" i="82"/>
  <c r="AH85" i="83"/>
  <c r="AF65" i="84" s="1"/>
  <c r="M29" i="82"/>
  <c r="K33" i="82"/>
  <c r="AH78" i="83"/>
  <c r="AF58" i="84" s="1"/>
  <c r="F26" i="82"/>
  <c r="J25" i="82"/>
  <c r="K25" i="82"/>
  <c r="E27" i="82"/>
  <c r="N29" i="82"/>
  <c r="L33" i="82"/>
  <c r="AH139" i="83"/>
  <c r="AH132" i="83"/>
  <c r="AH137" i="83"/>
  <c r="AH135" i="83"/>
  <c r="O132" i="83"/>
  <c r="AH133" i="83"/>
  <c r="AH142" i="83"/>
  <c r="AH138" i="83"/>
  <c r="AI272" i="83"/>
  <c r="AI258" i="83"/>
  <c r="AI261" i="83"/>
  <c r="AI264" i="83"/>
  <c r="P239" i="83"/>
  <c r="AI267" i="83"/>
  <c r="AI270" i="83"/>
  <c r="AI256" i="83"/>
  <c r="AI273" i="83"/>
  <c r="AI259" i="83"/>
  <c r="AI262" i="83"/>
  <c r="AI268" i="83"/>
  <c r="AI254" i="83"/>
  <c r="AI271" i="83"/>
  <c r="AI257" i="83"/>
  <c r="AI274" i="83"/>
  <c r="AI260" i="83"/>
  <c r="AI263" i="83"/>
  <c r="AI253" i="83"/>
  <c r="P238" i="83"/>
  <c r="F244" i="83"/>
  <c r="AI265" i="83"/>
  <c r="P237" i="83"/>
  <c r="P242" i="83"/>
  <c r="P241" i="83"/>
  <c r="P236" i="83"/>
  <c r="P240" i="83"/>
  <c r="AI269" i="83"/>
  <c r="AI255" i="83"/>
  <c r="AI251" i="83"/>
  <c r="AI266" i="83"/>
  <c r="AI252" i="83"/>
  <c r="P235" i="83"/>
  <c r="E219" i="83"/>
  <c r="E28" i="82"/>
  <c r="F32" i="82"/>
  <c r="F81" i="72"/>
  <c r="F24" i="82"/>
  <c r="H32" i="82"/>
  <c r="M28" i="82"/>
  <c r="K31" i="82"/>
  <c r="M24" i="82"/>
  <c r="K23" i="82"/>
  <c r="N24" i="82"/>
  <c r="L27" i="82"/>
  <c r="E29" i="82"/>
  <c r="I30" i="82"/>
  <c r="M31" i="82"/>
  <c r="F33" i="82"/>
  <c r="E81" i="72"/>
  <c r="L23" i="82"/>
  <c r="I26" i="82"/>
  <c r="M27" i="82"/>
  <c r="F29" i="82"/>
  <c r="J30" i="82"/>
  <c r="N31" i="82"/>
  <c r="G33" i="82"/>
  <c r="N178" i="82"/>
  <c r="O178" i="82" s="1"/>
  <c r="E32" i="82"/>
  <c r="E24" i="82"/>
  <c r="N180" i="82"/>
  <c r="O180" i="82" s="1"/>
  <c r="G24" i="82"/>
  <c r="H28" i="82"/>
  <c r="E31" i="82"/>
  <c r="I32" i="82"/>
  <c r="M33" i="82"/>
  <c r="F28" i="82"/>
  <c r="G28" i="82"/>
  <c r="F31" i="82"/>
  <c r="J32" i="82"/>
  <c r="J28" i="82"/>
  <c r="G23" i="82"/>
  <c r="J24" i="82"/>
  <c r="M32" i="82"/>
  <c r="I24" i="82"/>
  <c r="G31" i="82"/>
  <c r="K32" i="82"/>
  <c r="K28" i="82"/>
  <c r="H31" i="82"/>
  <c r="H23" i="82"/>
  <c r="K24" i="82"/>
  <c r="H27" i="82"/>
  <c r="L28" i="82"/>
  <c r="E30" i="82"/>
  <c r="J31" i="82"/>
  <c r="N32" i="82"/>
  <c r="G32" i="82"/>
  <c r="H24" i="82"/>
  <c r="I28" i="82"/>
  <c r="H30" i="82"/>
  <c r="L31" i="82"/>
  <c r="E33" i="82"/>
  <c r="J23" i="82"/>
  <c r="N181" i="82"/>
  <c r="O181" i="82" s="1"/>
  <c r="M179" i="82"/>
  <c r="N179" i="82" s="1"/>
  <c r="O179" i="82" s="1"/>
  <c r="D79" i="72"/>
  <c r="D80" i="78"/>
  <c r="D78" i="78"/>
  <c r="D77" i="78"/>
  <c r="D76" i="78"/>
  <c r="D69" i="78"/>
  <c r="D68" i="78"/>
  <c r="D67" i="78"/>
  <c r="D66" i="78"/>
  <c r="D60" i="78"/>
  <c r="D59" i="78"/>
  <c r="D58" i="78"/>
  <c r="D57" i="78"/>
  <c r="D51" i="78"/>
  <c r="D50" i="78"/>
  <c r="D49" i="78"/>
  <c r="D48" i="78"/>
  <c r="D47" i="78"/>
  <c r="D41" i="78"/>
  <c r="D40" i="78"/>
  <c r="D39" i="78"/>
  <c r="D38" i="78"/>
  <c r="D37" i="78"/>
  <c r="D36" i="78"/>
  <c r="D35" i="78"/>
  <c r="D34" i="78"/>
  <c r="D33" i="78"/>
  <c r="D32" i="78"/>
  <c r="D31" i="78"/>
  <c r="D30" i="78"/>
  <c r="D24" i="78"/>
  <c r="D23" i="78"/>
  <c r="D22" i="78"/>
  <c r="D21" i="78"/>
  <c r="D20" i="78"/>
  <c r="D19" i="78"/>
  <c r="D13" i="78"/>
  <c r="D12" i="78"/>
  <c r="D11" i="78"/>
  <c r="D10" i="78"/>
  <c r="D9" i="78"/>
  <c r="D8" i="78"/>
  <c r="J119" i="105" l="1" a="1"/>
  <c r="J119" i="105" s="1"/>
  <c r="J125" i="105" a="1"/>
  <c r="J125" i="105" s="1"/>
  <c r="J122" i="105" a="1"/>
  <c r="J122" i="105" s="1"/>
  <c r="J116" i="105" a="1"/>
  <c r="J116" i="105" s="1"/>
  <c r="J126" i="105" a="1"/>
  <c r="J126" i="105" s="1"/>
  <c r="J133" i="105" a="1"/>
  <c r="J133" i="105" s="1"/>
  <c r="J158" i="105" a="1"/>
  <c r="J158" i="105" s="1"/>
  <c r="J132" i="105" a="1"/>
  <c r="J132" i="105" s="1"/>
  <c r="I149" i="117"/>
  <c r="G149" i="117"/>
  <c r="I153" i="117"/>
  <c r="G153" i="117"/>
  <c r="I152" i="117"/>
  <c r="G152" i="117"/>
  <c r="I150" i="117"/>
  <c r="G150" i="117"/>
  <c r="I325" i="117"/>
  <c r="I324" i="117"/>
  <c r="I323" i="117"/>
  <c r="I329" i="117"/>
  <c r="I322" i="117"/>
  <c r="I328" i="117"/>
  <c r="I321" i="117"/>
  <c r="I320" i="117"/>
  <c r="I327" i="117"/>
  <c r="I326" i="117"/>
  <c r="G289" i="117"/>
  <c r="I289" i="117"/>
  <c r="G290" i="117"/>
  <c r="I290" i="117"/>
  <c r="G291" i="117"/>
  <c r="I291" i="117"/>
  <c r="G287" i="117"/>
  <c r="I287" i="117"/>
  <c r="G292" i="117"/>
  <c r="I292" i="117"/>
  <c r="I294" i="117"/>
  <c r="G294" i="117"/>
  <c r="G296" i="117"/>
  <c r="I296" i="117"/>
  <c r="G286" i="117"/>
  <c r="I286" i="117"/>
  <c r="G288" i="117"/>
  <c r="I288" i="117"/>
  <c r="I295" i="117"/>
  <c r="G295" i="117"/>
  <c r="J387" i="117"/>
  <c r="H387" i="117"/>
  <c r="H388" i="117"/>
  <c r="J388" i="117"/>
  <c r="H389" i="117"/>
  <c r="J389" i="117"/>
  <c r="H390" i="117"/>
  <c r="J390" i="117"/>
  <c r="J385" i="117"/>
  <c r="H385" i="117"/>
  <c r="J384" i="117"/>
  <c r="H384" i="117"/>
  <c r="J383" i="117"/>
  <c r="H383" i="117"/>
  <c r="J386" i="117"/>
  <c r="H386" i="117"/>
  <c r="G140" i="117"/>
  <c r="I140" i="117"/>
  <c r="G139" i="117"/>
  <c r="I139" i="117"/>
  <c r="F128" i="117"/>
  <c r="G128" i="117" s="1"/>
  <c r="H472" i="117"/>
  <c r="J472" i="117"/>
  <c r="H469" i="117"/>
  <c r="J469" i="117"/>
  <c r="J470" i="117"/>
  <c r="H470" i="117"/>
  <c r="H471" i="117"/>
  <c r="J471" i="117"/>
  <c r="H452" i="117"/>
  <c r="J452" i="117"/>
  <c r="H454" i="117"/>
  <c r="J454" i="117"/>
  <c r="H453" i="117"/>
  <c r="J453" i="117"/>
  <c r="H451" i="117"/>
  <c r="J451" i="117"/>
  <c r="Q39" i="102"/>
  <c r="N39" i="102"/>
  <c r="P39" i="102"/>
  <c r="O39" i="102"/>
  <c r="Q40" i="102"/>
  <c r="P40" i="102"/>
  <c r="O40" i="102"/>
  <c r="N40" i="102"/>
  <c r="P31" i="102"/>
  <c r="O31" i="102"/>
  <c r="Q31" i="102"/>
  <c r="N31" i="102"/>
  <c r="O28" i="102"/>
  <c r="Q28" i="102"/>
  <c r="N28" i="102"/>
  <c r="P28" i="102"/>
  <c r="O30" i="102"/>
  <c r="N30" i="102"/>
  <c r="Q30" i="102"/>
  <c r="P30" i="102"/>
  <c r="P34" i="102"/>
  <c r="O34" i="102"/>
  <c r="N34" i="102"/>
  <c r="Q34" i="102"/>
  <c r="Q33" i="102"/>
  <c r="P33" i="102"/>
  <c r="O33" i="102"/>
  <c r="N33" i="102"/>
  <c r="Q36" i="102"/>
  <c r="P36" i="102"/>
  <c r="O36" i="102"/>
  <c r="N36" i="102"/>
  <c r="N25" i="102"/>
  <c r="Q25" i="102"/>
  <c r="O25" i="102"/>
  <c r="P25" i="102"/>
  <c r="J33" i="101" a="1"/>
  <c r="J33" i="101" s="1"/>
  <c r="K33" i="101" a="1"/>
  <c r="K33" i="101" s="1"/>
  <c r="Q33" i="101" s="1"/>
  <c r="E52" i="101" s="1"/>
  <c r="J25" i="101" a="1"/>
  <c r="J25" i="101" s="1"/>
  <c r="G25" i="101" a="1"/>
  <c r="G25" i="101" s="1"/>
  <c r="J37" i="101" a="1"/>
  <c r="J37" i="101" s="1"/>
  <c r="P37" i="101" s="1"/>
  <c r="K25" i="101" a="1"/>
  <c r="K25" i="101" s="1"/>
  <c r="Q27" i="101"/>
  <c r="P27" i="101"/>
  <c r="O27" i="101"/>
  <c r="N27" i="101"/>
  <c r="O29" i="101"/>
  <c r="Q29" i="101"/>
  <c r="P29" i="101"/>
  <c r="N29" i="101"/>
  <c r="P33" i="101"/>
  <c r="E51" i="101" s="1"/>
  <c r="P26" i="101"/>
  <c r="Q26" i="101"/>
  <c r="O26" i="101"/>
  <c r="N26" i="101"/>
  <c r="P31" i="101"/>
  <c r="O31" i="101"/>
  <c r="N31" i="101"/>
  <c r="Q31" i="101"/>
  <c r="Q39" i="101"/>
  <c r="O39" i="101"/>
  <c r="P39" i="101"/>
  <c r="N39" i="101"/>
  <c r="O34" i="101"/>
  <c r="N34" i="101"/>
  <c r="Q34" i="101"/>
  <c r="P34" i="101"/>
  <c r="Q32" i="101"/>
  <c r="P32" i="101"/>
  <c r="O32" i="101"/>
  <c r="N32" i="101"/>
  <c r="N36" i="101"/>
  <c r="Q36" i="101"/>
  <c r="P36" i="101"/>
  <c r="O36" i="101"/>
  <c r="N28" i="101"/>
  <c r="Q28" i="101"/>
  <c r="P28" i="101"/>
  <c r="O28" i="101"/>
  <c r="N35" i="101"/>
  <c r="Q35" i="101"/>
  <c r="O35" i="101"/>
  <c r="P35" i="101"/>
  <c r="O30" i="101"/>
  <c r="P30" i="101"/>
  <c r="Q30" i="101"/>
  <c r="N30" i="101"/>
  <c r="O35" i="118"/>
  <c r="E35" i="118"/>
  <c r="I48" i="118" s="1"/>
  <c r="F109" i="94"/>
  <c r="E141" i="94" s="1"/>
  <c r="F108" i="94"/>
  <c r="F107" i="94"/>
  <c r="E139" i="94" s="1"/>
  <c r="F106" i="94"/>
  <c r="E138" i="94" s="1"/>
  <c r="F110" i="94"/>
  <c r="E142" i="94" s="1"/>
  <c r="F105" i="94"/>
  <c r="E137" i="94" s="1"/>
  <c r="F102" i="94"/>
  <c r="F112" i="94"/>
  <c r="E144" i="94" s="1"/>
  <c r="F104" i="94"/>
  <c r="F103" i="94"/>
  <c r="F111" i="94"/>
  <c r="E21" i="108"/>
  <c r="O21" i="108"/>
  <c r="G31" i="83"/>
  <c r="W107" i="84" a="1"/>
  <c r="W107" i="84" s="1"/>
  <c r="AA107" i="84" s="1"/>
  <c r="W37" i="88" a="1"/>
  <c r="W37" i="88" s="1"/>
  <c r="AC37" i="88" s="1"/>
  <c r="W35" i="88" a="1"/>
  <c r="W35" i="88" s="1"/>
  <c r="AC35" i="88" s="1"/>
  <c r="W36" i="88" a="1"/>
  <c r="W36" i="88" s="1"/>
  <c r="AA36" i="88" s="1"/>
  <c r="N33" i="83"/>
  <c r="M33" i="83"/>
  <c r="L33" i="83"/>
  <c r="AC102" i="84"/>
  <c r="AB102" i="84"/>
  <c r="AA102" i="84"/>
  <c r="AC101" i="84"/>
  <c r="AB101" i="84"/>
  <c r="AA101" i="84"/>
  <c r="K27" i="88"/>
  <c r="J27" i="88"/>
  <c r="L27" i="88"/>
  <c r="L96" i="84"/>
  <c r="K96" i="84"/>
  <c r="J96" i="84"/>
  <c r="Y37" i="83" a="1"/>
  <c r="Y37" i="83" s="1"/>
  <c r="Y35" i="83" a="1"/>
  <c r="Y35" i="83" s="1"/>
  <c r="L29" i="88"/>
  <c r="K29" i="88"/>
  <c r="J29" i="88"/>
  <c r="G30" i="83"/>
  <c r="AC103" i="84"/>
  <c r="AB103" i="84"/>
  <c r="AA103" i="84"/>
  <c r="AC107" i="84"/>
  <c r="AB107" i="84"/>
  <c r="AC31" i="88"/>
  <c r="AB31" i="88"/>
  <c r="AA31" i="88"/>
  <c r="W109" i="84" a="1"/>
  <c r="W109" i="84" s="1"/>
  <c r="L97" i="84"/>
  <c r="K97" i="84"/>
  <c r="J97" i="84"/>
  <c r="AC106" i="84"/>
  <c r="AB106" i="84"/>
  <c r="AA106" i="84"/>
  <c r="AA33" i="88"/>
  <c r="AC33" i="88"/>
  <c r="AB33" i="88"/>
  <c r="AD30" i="83"/>
  <c r="AE30" i="83"/>
  <c r="AC30" i="83"/>
  <c r="AB110" i="84"/>
  <c r="AC110" i="84"/>
  <c r="AA110" i="84"/>
  <c r="AC105" i="84"/>
  <c r="AB105" i="84"/>
  <c r="AA105" i="84"/>
  <c r="AA37" i="88"/>
  <c r="AB37" i="88"/>
  <c r="AC36" i="88"/>
  <c r="AB36" i="88"/>
  <c r="AC34" i="88"/>
  <c r="AB34" i="88"/>
  <c r="AA34" i="88"/>
  <c r="AC29" i="88"/>
  <c r="AB29" i="88"/>
  <c r="AA29" i="88"/>
  <c r="AC104" i="84"/>
  <c r="AB104" i="84"/>
  <c r="AA104" i="84"/>
  <c r="S258" i="117" a="1"/>
  <c r="S258" i="117" s="1"/>
  <c r="E143" i="94"/>
  <c r="AA256" i="117" a="1"/>
  <c r="AA256" i="117" s="1"/>
  <c r="E140" i="94"/>
  <c r="S48" i="118"/>
  <c r="S255" i="117" a="1"/>
  <c r="S255" i="117" s="1"/>
  <c r="W261" i="117" a="1"/>
  <c r="W261" i="117" s="1"/>
  <c r="W255" i="117" a="1"/>
  <c r="W255" i="117" s="1"/>
  <c r="W260" i="117" a="1"/>
  <c r="W260" i="117" s="1"/>
  <c r="AA261" i="117" a="1"/>
  <c r="AA261" i="117" s="1"/>
  <c r="W254" i="117" a="1"/>
  <c r="W254" i="117" s="1"/>
  <c r="W259" i="117" a="1"/>
  <c r="W259" i="117" s="1"/>
  <c r="AA259" i="117" a="1"/>
  <c r="AA259" i="117" s="1"/>
  <c r="W257" i="117" a="1"/>
  <c r="W257" i="117" s="1"/>
  <c r="AA260" i="117" a="1"/>
  <c r="AA260" i="117" s="1"/>
  <c r="AE255" i="117" a="1"/>
  <c r="AE255" i="117" s="1"/>
  <c r="AA258" i="117" a="1"/>
  <c r="AA258" i="117" s="1"/>
  <c r="AE261" i="117" a="1"/>
  <c r="AE261" i="117" s="1"/>
  <c r="S261" i="117" a="1"/>
  <c r="S261" i="117" s="1"/>
  <c r="AA253" i="117" a="1"/>
  <c r="AA253" i="117" s="1"/>
  <c r="S256" i="117" a="1"/>
  <c r="S256" i="117" s="1"/>
  <c r="W258" i="117" a="1"/>
  <c r="W258" i="117" s="1"/>
  <c r="V15" i="89"/>
  <c r="X15" i="89" s="1"/>
  <c r="H162" i="84" a="1"/>
  <c r="H162" i="84" s="1"/>
  <c r="H161" i="84" a="1"/>
  <c r="H161" i="84" s="1"/>
  <c r="X32" i="83" a="1"/>
  <c r="X32" i="83" s="1"/>
  <c r="Y32" i="83" s="1" a="1"/>
  <c r="Y32" i="83" s="1"/>
  <c r="X34" i="83" a="1"/>
  <c r="X34" i="83" s="1"/>
  <c r="Y34" i="83" s="1" a="1"/>
  <c r="Y34" i="83" s="1"/>
  <c r="X33" i="83" a="1"/>
  <c r="X33" i="83" s="1"/>
  <c r="Y33" i="83" s="1" a="1"/>
  <c r="Y33" i="83" s="1"/>
  <c r="X29" i="83" a="1"/>
  <c r="X29" i="83" s="1"/>
  <c r="Y29" i="83" s="1" a="1"/>
  <c r="Y29" i="83" s="1"/>
  <c r="X36" i="83" a="1"/>
  <c r="X36" i="83" s="1"/>
  <c r="Y36" i="83" s="1" a="1"/>
  <c r="Y36" i="83" s="1"/>
  <c r="X31" i="83" a="1"/>
  <c r="X31" i="83" s="1"/>
  <c r="Y31" i="83" s="1" a="1"/>
  <c r="Y31" i="83" s="1"/>
  <c r="X28" i="83" a="1"/>
  <c r="X28" i="83" s="1"/>
  <c r="F161" i="84" a="1"/>
  <c r="F161" i="84" s="1"/>
  <c r="L33" i="102" a="1"/>
  <c r="L33" i="102" s="1"/>
  <c r="L35" i="102" a="1"/>
  <c r="L35" i="102" s="1"/>
  <c r="V232" i="84" a="1"/>
  <c r="V232" i="84" s="1"/>
  <c r="X235" i="83" a="1"/>
  <c r="V133" i="88" a="1"/>
  <c r="H163" i="84" a="1"/>
  <c r="H163" i="84" s="1"/>
  <c r="L164" i="84" a="1"/>
  <c r="L164" i="84" s="1"/>
  <c r="F164" i="84" a="1"/>
  <c r="F164" i="84" s="1"/>
  <c r="E293" i="117"/>
  <c r="F163" i="84" a="1"/>
  <c r="F163" i="84" s="1"/>
  <c r="K32" i="102"/>
  <c r="J32" i="102"/>
  <c r="I32" i="102"/>
  <c r="H32" i="102"/>
  <c r="G32" i="102"/>
  <c r="H164" i="84" a="1"/>
  <c r="H164" i="84" s="1"/>
  <c r="J7" i="111" a="1"/>
  <c r="J7" i="111" s="1"/>
  <c r="L162" i="84" a="1"/>
  <c r="L162" i="84" s="1"/>
  <c r="G38" i="101" a="1"/>
  <c r="G38" i="101" s="1"/>
  <c r="H38" i="101" a="1"/>
  <c r="H38" i="101" s="1"/>
  <c r="J38" i="101" a="1"/>
  <c r="J38" i="101" s="1"/>
  <c r="K38" i="101" a="1"/>
  <c r="K38" i="101" s="1"/>
  <c r="H37" i="101" a="1"/>
  <c r="H37" i="101" s="1"/>
  <c r="N37" i="101" s="1"/>
  <c r="S259" i="117" a="1"/>
  <c r="S259" i="117" s="1"/>
  <c r="AA255" i="117" a="1"/>
  <c r="AA255" i="117" s="1"/>
  <c r="AA252" i="117" a="1"/>
  <c r="AA252" i="117" s="1"/>
  <c r="AC236" i="117" a="1"/>
  <c r="J136" i="105" a="1"/>
  <c r="J136" i="105" s="1"/>
  <c r="J123" i="105" a="1"/>
  <c r="J123" i="105" s="1"/>
  <c r="K26" i="102"/>
  <c r="J26" i="102"/>
  <c r="I26" i="102"/>
  <c r="H26" i="102"/>
  <c r="G26" i="102"/>
  <c r="H33" i="101" a="1"/>
  <c r="H33" i="101" s="1"/>
  <c r="N33" i="101" s="1"/>
  <c r="E49" i="101" s="1"/>
  <c r="S253" i="117" a="1"/>
  <c r="S253" i="117" s="1"/>
  <c r="H25" i="101" a="1"/>
  <c r="H25" i="101" s="1"/>
  <c r="Z236" i="117" a="1"/>
  <c r="Z236" i="117" s="1"/>
  <c r="J127" i="105" a="1"/>
  <c r="J127" i="105" s="1"/>
  <c r="J185" i="105" a="1"/>
  <c r="J185" i="105" s="1"/>
  <c r="J8" i="111" a="1"/>
  <c r="J8" i="111" s="1"/>
  <c r="D19" i="91"/>
  <c r="F19" i="91" s="1" a="1"/>
  <c r="F19" i="91" s="1"/>
  <c r="F27" i="91" a="1"/>
  <c r="F27" i="91" s="1"/>
  <c r="F26" i="91" a="1"/>
  <c r="F26" i="91" s="1"/>
  <c r="F25" i="91" a="1"/>
  <c r="F25" i="91" s="1"/>
  <c r="F24" i="91" a="1"/>
  <c r="F24" i="91" s="1"/>
  <c r="F37" i="91" a="1"/>
  <c r="F37" i="91" s="1"/>
  <c r="F23" i="91" a="1"/>
  <c r="F23" i="91" s="1"/>
  <c r="F36" i="91" a="1"/>
  <c r="F36" i="91" s="1"/>
  <c r="F22" i="91" a="1"/>
  <c r="F22" i="91" s="1"/>
  <c r="F35" i="91" a="1"/>
  <c r="F35" i="91" s="1"/>
  <c r="F21" i="91" a="1"/>
  <c r="F21" i="91" s="1"/>
  <c r="F34" i="91" a="1"/>
  <c r="F34" i="91" s="1"/>
  <c r="F20" i="91" a="1"/>
  <c r="F20" i="91" s="1"/>
  <c r="F33" i="91" a="1"/>
  <c r="F33" i="91" s="1"/>
  <c r="F32" i="91" a="1"/>
  <c r="F32" i="91" s="1"/>
  <c r="F31" i="91" a="1"/>
  <c r="F31" i="91" s="1"/>
  <c r="F30" i="91" a="1"/>
  <c r="F30" i="91" s="1"/>
  <c r="F29" i="91" a="1"/>
  <c r="F29" i="91" s="1"/>
  <c r="F28" i="91" a="1"/>
  <c r="F28" i="91" s="1"/>
  <c r="AL236" i="117" a="1"/>
  <c r="AL236" i="117" s="1"/>
  <c r="Y236" i="117" a="1"/>
  <c r="K29" i="102"/>
  <c r="J29" i="102"/>
  <c r="I29" i="102"/>
  <c r="H29" i="102"/>
  <c r="G29" i="102"/>
  <c r="D19" i="90"/>
  <c r="F19" i="90" s="1" a="1"/>
  <c r="F19" i="90" s="1"/>
  <c r="F24" i="90" a="1"/>
  <c r="F24" i="90" s="1"/>
  <c r="F37" i="90" a="1"/>
  <c r="F37" i="90" s="1"/>
  <c r="F23" i="90" a="1"/>
  <c r="F23" i="90" s="1"/>
  <c r="F36" i="90" a="1"/>
  <c r="F36" i="90" s="1"/>
  <c r="F22" i="90" a="1"/>
  <c r="F22" i="90" s="1"/>
  <c r="F35" i="90" a="1"/>
  <c r="F35" i="90" s="1"/>
  <c r="F34" i="90" a="1"/>
  <c r="F34" i="90" s="1"/>
  <c r="F33" i="90" a="1"/>
  <c r="F33" i="90" s="1"/>
  <c r="F21" i="90" a="1"/>
  <c r="F21" i="90" s="1"/>
  <c r="F32" i="90" a="1"/>
  <c r="F32" i="90" s="1"/>
  <c r="F20" i="90" a="1"/>
  <c r="F20" i="90" s="1"/>
  <c r="F31" i="90" a="1"/>
  <c r="F31" i="90" s="1"/>
  <c r="F30" i="90" a="1"/>
  <c r="F30" i="90" s="1"/>
  <c r="F29" i="90" a="1"/>
  <c r="F29" i="90" s="1"/>
  <c r="F28" i="90" a="1"/>
  <c r="F28" i="90" s="1"/>
  <c r="F27" i="90" a="1"/>
  <c r="F27" i="90" s="1"/>
  <c r="F26" i="90" a="1"/>
  <c r="F26" i="90" s="1"/>
  <c r="F25" i="90" a="1"/>
  <c r="F25" i="90" s="1"/>
  <c r="V19" i="89"/>
  <c r="X19" i="89" s="1"/>
  <c r="V236" i="117" a="1"/>
  <c r="V236" i="117" s="1"/>
  <c r="V13" i="89"/>
  <c r="X13" i="89" s="1"/>
  <c r="V17" i="89"/>
  <c r="X17" i="89" s="1"/>
  <c r="J118" i="105" a="1"/>
  <c r="J118" i="105" s="1"/>
  <c r="AA254" i="117" a="1"/>
  <c r="AA254" i="117" s="1"/>
  <c r="AE257" i="117" a="1"/>
  <c r="AE257" i="117" s="1"/>
  <c r="AE256" i="117" a="1"/>
  <c r="AE256" i="117" s="1"/>
  <c r="K38" i="102"/>
  <c r="J38" i="102"/>
  <c r="I38" i="102"/>
  <c r="H38" i="102"/>
  <c r="G38" i="102"/>
  <c r="V21" i="89"/>
  <c r="X21" i="89" s="1"/>
  <c r="I33" i="101" a="1"/>
  <c r="I33" i="101" s="1"/>
  <c r="O33" i="101" s="1"/>
  <c r="E50" i="101" s="1"/>
  <c r="W253" i="117" a="1"/>
  <c r="W253" i="117" s="1"/>
  <c r="U236" i="117" a="1"/>
  <c r="AK236" i="117" a="1"/>
  <c r="V39" i="88" a="1"/>
  <c r="V39" i="88" s="1"/>
  <c r="W39" i="88" s="1" a="1"/>
  <c r="W39" i="88" s="1"/>
  <c r="V32" i="88" a="1"/>
  <c r="V32" i="88" s="1"/>
  <c r="W32" i="88" s="1" a="1"/>
  <c r="W32" i="88" s="1"/>
  <c r="J160" i="105" a="1"/>
  <c r="J160" i="105" s="1"/>
  <c r="J121" i="105" a="1"/>
  <c r="J121" i="105" s="1"/>
  <c r="AA257" i="117" a="1"/>
  <c r="AA257" i="117" s="1"/>
  <c r="K37" i="101" a="1"/>
  <c r="K37" i="101" s="1"/>
  <c r="Q37" i="101" s="1"/>
  <c r="F285" i="117" a="1"/>
  <c r="F285" i="117" s="1"/>
  <c r="E285" i="117"/>
  <c r="R236" i="117" a="1"/>
  <c r="AH236" i="117" a="1"/>
  <c r="AH236" i="117" s="1"/>
  <c r="W108" i="84" a="1"/>
  <c r="W108" i="84" s="1"/>
  <c r="F98" i="84" a="1"/>
  <c r="F98" i="84" s="1"/>
  <c r="V30" i="88" a="1"/>
  <c r="V30" i="88" s="1"/>
  <c r="W30" i="88" s="1" a="1"/>
  <c r="W30" i="88" s="1"/>
  <c r="J134" i="105" a="1"/>
  <c r="J134" i="105" s="1"/>
  <c r="J157" i="105" a="1"/>
  <c r="J157" i="105" s="1"/>
  <c r="AE258" i="117" a="1"/>
  <c r="AE258" i="117" s="1"/>
  <c r="S254" i="117" a="1"/>
  <c r="S254" i="117" s="1"/>
  <c r="AE260" i="117" a="1"/>
  <c r="AE260" i="117" s="1"/>
  <c r="K27" i="102"/>
  <c r="J27" i="102"/>
  <c r="I27" i="102"/>
  <c r="H27" i="102"/>
  <c r="G27" i="102"/>
  <c r="S252" i="117" a="1"/>
  <c r="S252" i="117" s="1"/>
  <c r="P236" i="117" a="1"/>
  <c r="P236" i="117" s="1"/>
  <c r="K37" i="102"/>
  <c r="J37" i="102"/>
  <c r="I37" i="102"/>
  <c r="H37" i="102"/>
  <c r="G37" i="102"/>
  <c r="I37" i="101" a="1"/>
  <c r="I37" i="101" s="1"/>
  <c r="O37" i="101" s="1"/>
  <c r="Q236" i="117" a="1"/>
  <c r="V12" i="89"/>
  <c r="X12" i="89" s="1"/>
  <c r="AG236" i="117" a="1"/>
  <c r="J144" i="105" a="1"/>
  <c r="J144" i="105" s="1"/>
  <c r="AE253" i="117" a="1"/>
  <c r="AE253" i="117" s="1"/>
  <c r="AE259" i="117" a="1"/>
  <c r="AE259" i="117" s="1"/>
  <c r="D19" i="94"/>
  <c r="F19" i="94" s="1" a="1"/>
  <c r="F19" i="94" s="1"/>
  <c r="G19" i="94" s="1" a="1"/>
  <c r="G19" i="94" s="1"/>
  <c r="F33" i="94" a="1"/>
  <c r="F33" i="94" s="1"/>
  <c r="G33" i="94" s="1" a="1"/>
  <c r="G33" i="94" s="1"/>
  <c r="F26" i="94" a="1"/>
  <c r="F26" i="94" s="1"/>
  <c r="G26" i="94" s="1" a="1"/>
  <c r="G26" i="94" s="1"/>
  <c r="F32" i="94" a="1"/>
  <c r="F32" i="94" s="1"/>
  <c r="G32" i="94" s="1" a="1"/>
  <c r="G32" i="94" s="1"/>
  <c r="F25" i="94" a="1"/>
  <c r="F25" i="94" s="1"/>
  <c r="G25" i="94" s="1" a="1"/>
  <c r="G25" i="94" s="1"/>
  <c r="F31" i="94" a="1"/>
  <c r="F31" i="94" s="1"/>
  <c r="G31" i="94" s="1" a="1"/>
  <c r="G31" i="94" s="1"/>
  <c r="F24" i="94" a="1"/>
  <c r="F24" i="94" s="1"/>
  <c r="G24" i="94" s="1" a="1"/>
  <c r="G24" i="94" s="1"/>
  <c r="F37" i="94" a="1"/>
  <c r="F37" i="94" s="1"/>
  <c r="G37" i="94" s="1" a="1"/>
  <c r="G37" i="94" s="1"/>
  <c r="F30" i="94" a="1"/>
  <c r="F30" i="94" s="1"/>
  <c r="G30" i="94" s="1" a="1"/>
  <c r="G30" i="94" s="1"/>
  <c r="F23" i="94" a="1"/>
  <c r="F23" i="94" s="1"/>
  <c r="G23" i="94" s="1" a="1"/>
  <c r="G23" i="94" s="1"/>
  <c r="F36" i="94" a="1"/>
  <c r="F36" i="94" s="1"/>
  <c r="G36" i="94" s="1" a="1"/>
  <c r="G36" i="94" s="1"/>
  <c r="F29" i="94" a="1"/>
  <c r="F29" i="94" s="1"/>
  <c r="G29" i="94" s="1" a="1"/>
  <c r="G29" i="94" s="1"/>
  <c r="F22" i="94" a="1"/>
  <c r="F22" i="94" s="1"/>
  <c r="G22" i="94" s="1" a="1"/>
  <c r="G22" i="94" s="1"/>
  <c r="F35" i="94" a="1"/>
  <c r="F35" i="94" s="1"/>
  <c r="G35" i="94" s="1" a="1"/>
  <c r="G35" i="94" s="1"/>
  <c r="F28" i="94" a="1"/>
  <c r="F28" i="94" s="1"/>
  <c r="G28" i="94" s="1" a="1"/>
  <c r="G28" i="94" s="1"/>
  <c r="F21" i="94" a="1"/>
  <c r="F21" i="94" s="1"/>
  <c r="G21" i="94" s="1" a="1"/>
  <c r="G21" i="94" s="1"/>
  <c r="F34" i="94" a="1"/>
  <c r="F34" i="94" s="1"/>
  <c r="G34" i="94" s="1" a="1"/>
  <c r="G34" i="94" s="1"/>
  <c r="F27" i="94" a="1"/>
  <c r="F27" i="94" s="1"/>
  <c r="G27" i="94" s="1" a="1"/>
  <c r="G27" i="94" s="1"/>
  <c r="F20" i="94" a="1"/>
  <c r="F20" i="94" s="1"/>
  <c r="G20" i="94" s="1" a="1"/>
  <c r="G20" i="94" s="1"/>
  <c r="W252" i="117" a="1"/>
  <c r="W252" i="117" s="1"/>
  <c r="O236" i="117" a="1"/>
  <c r="O236" i="117" s="1"/>
  <c r="V16" i="89"/>
  <c r="X16" i="89" s="1"/>
  <c r="AD236" i="117" a="1"/>
  <c r="AD236" i="117" s="1"/>
  <c r="J124" i="105" a="1"/>
  <c r="J124" i="105" s="1"/>
  <c r="K35" i="102"/>
  <c r="J35" i="102"/>
  <c r="I35" i="102"/>
  <c r="H35" i="102"/>
  <c r="G35" i="102"/>
  <c r="W256" i="117" a="1"/>
  <c r="W256" i="117" s="1"/>
  <c r="V20" i="89"/>
  <c r="X20" i="89" s="1"/>
  <c r="V14" i="89"/>
  <c r="X14" i="89" s="1"/>
  <c r="V28" i="88" a="1"/>
  <c r="V28" i="88" s="1"/>
  <c r="W28" i="88" s="1" a="1"/>
  <c r="W28" i="88" s="1"/>
  <c r="J120" i="105" a="1"/>
  <c r="J120" i="105" s="1"/>
  <c r="J117" i="105" a="1"/>
  <c r="J117" i="105" s="1"/>
  <c r="AE254" i="117" a="1"/>
  <c r="AE254" i="117" s="1"/>
  <c r="S257" i="117" a="1"/>
  <c r="S257" i="117" s="1"/>
  <c r="S260" i="117" a="1"/>
  <c r="S260" i="117" s="1"/>
  <c r="AE252" i="117" a="1"/>
  <c r="AE252" i="117" s="1"/>
  <c r="K252" i="117" s="1"/>
  <c r="O21" i="90" a="1"/>
  <c r="O21" i="90" s="1"/>
  <c r="V18" i="89"/>
  <c r="X18" i="89" s="1"/>
  <c r="J178" i="105" a="1"/>
  <c r="J178" i="105" s="1"/>
  <c r="J176" i="105" a="1"/>
  <c r="J176" i="105" s="1"/>
  <c r="J174" i="105" a="1"/>
  <c r="J174" i="105" s="1"/>
  <c r="J161" i="105" a="1"/>
  <c r="J161" i="105" s="1"/>
  <c r="J135" i="105" a="1"/>
  <c r="J135" i="105" s="1"/>
  <c r="J166" i="105" a="1"/>
  <c r="J166" i="105" s="1"/>
  <c r="J164" i="105" a="1"/>
  <c r="J164" i="105" s="1"/>
  <c r="J177" i="105" a="1"/>
  <c r="J177" i="105" s="1"/>
  <c r="J159" i="105" a="1"/>
  <c r="J159" i="105" s="1"/>
  <c r="J168" i="105" a="1"/>
  <c r="J168" i="105" s="1"/>
  <c r="D21" i="105"/>
  <c r="G180" i="105" a="1"/>
  <c r="G180" i="105" s="1"/>
  <c r="G172" i="105" a="1"/>
  <c r="G172" i="105" s="1"/>
  <c r="G163" i="105" a="1"/>
  <c r="G163" i="105" s="1"/>
  <c r="G137" i="105" a="1"/>
  <c r="G137" i="105" s="1"/>
  <c r="G128" i="105" a="1"/>
  <c r="G128" i="105" s="1"/>
  <c r="G42" i="105" a="1"/>
  <c r="G42" i="105" s="1"/>
  <c r="G35" i="105" a="1"/>
  <c r="G35" i="105" s="1"/>
  <c r="G27" i="105" a="1"/>
  <c r="G27" i="105" s="1"/>
  <c r="G171" i="105" a="1"/>
  <c r="G171" i="105" s="1"/>
  <c r="G149" i="105" a="1"/>
  <c r="G149" i="105" s="1"/>
  <c r="G120" i="105" a="1"/>
  <c r="G120" i="105" s="1"/>
  <c r="G50" i="105" a="1"/>
  <c r="G50" i="105" s="1"/>
  <c r="G170" i="105" a="1"/>
  <c r="G170" i="105" s="1"/>
  <c r="G162" i="105" a="1"/>
  <c r="G162" i="105" s="1"/>
  <c r="G148" i="105" a="1"/>
  <c r="G148" i="105" s="1"/>
  <c r="G136" i="105" a="1"/>
  <c r="G136" i="105" s="1"/>
  <c r="G41" i="105" a="1"/>
  <c r="G41" i="105" s="1"/>
  <c r="G34" i="105" a="1"/>
  <c r="G34" i="105" s="1"/>
  <c r="G26" i="105" a="1"/>
  <c r="G26" i="105" s="1"/>
  <c r="G178" i="105" a="1"/>
  <c r="G178" i="105" s="1"/>
  <c r="G169" i="105" a="1"/>
  <c r="G169" i="105" s="1"/>
  <c r="G147" i="105" a="1"/>
  <c r="G147" i="105" s="1"/>
  <c r="G126" i="105" a="1"/>
  <c r="G126" i="105" s="1"/>
  <c r="G119" i="105" a="1"/>
  <c r="G119" i="105" s="1"/>
  <c r="G48" i="105" a="1"/>
  <c r="G48" i="105" s="1"/>
  <c r="G190" i="105" a="1"/>
  <c r="G190" i="105" s="1"/>
  <c r="G161" i="105" a="1"/>
  <c r="G161" i="105" s="1"/>
  <c r="G146" i="105" a="1"/>
  <c r="G146" i="105" s="1"/>
  <c r="G135" i="105" a="1"/>
  <c r="G135" i="105" s="1"/>
  <c r="G40" i="105" a="1"/>
  <c r="G40" i="105" s="1"/>
  <c r="G33" i="105" a="1"/>
  <c r="G33" i="105" s="1"/>
  <c r="G25" i="105" a="1"/>
  <c r="G25" i="105" s="1"/>
  <c r="G189" i="105" a="1"/>
  <c r="G189" i="105" s="1"/>
  <c r="G177" i="105" a="1"/>
  <c r="G177" i="105" s="1"/>
  <c r="G145" i="105" a="1"/>
  <c r="G145" i="105" s="1"/>
  <c r="G125" i="105" a="1"/>
  <c r="G125" i="105" s="1"/>
  <c r="G118" i="105" a="1"/>
  <c r="G118" i="105" s="1"/>
  <c r="G47" i="105" a="1"/>
  <c r="G47" i="105" s="1"/>
  <c r="G188" i="105" a="1"/>
  <c r="G188" i="105" s="1"/>
  <c r="G167" i="105" a="1"/>
  <c r="G167" i="105" s="1"/>
  <c r="G160" i="105" a="1"/>
  <c r="G160" i="105" s="1"/>
  <c r="G134" i="105" a="1"/>
  <c r="G134" i="105" s="1"/>
  <c r="G39" i="105" a="1"/>
  <c r="G39" i="105" s="1"/>
  <c r="G31" i="105" a="1"/>
  <c r="G31" i="105" s="1"/>
  <c r="G24" i="105" a="1"/>
  <c r="G24" i="105" s="1"/>
  <c r="G187" i="105" a="1"/>
  <c r="G187" i="105" s="1"/>
  <c r="G176" i="105" a="1"/>
  <c r="G176" i="105" s="1"/>
  <c r="G143" i="105" a="1"/>
  <c r="G143" i="105" s="1"/>
  <c r="G124" i="105" a="1"/>
  <c r="G124" i="105" s="1"/>
  <c r="G117" i="105" a="1"/>
  <c r="G117" i="105" s="1"/>
  <c r="G54" i="105" a="1"/>
  <c r="G54" i="105" s="1"/>
  <c r="G186" i="105" a="1"/>
  <c r="G186" i="105" s="1"/>
  <c r="G166" i="105" a="1"/>
  <c r="G166" i="105" s="1"/>
  <c r="G159" i="105" a="1"/>
  <c r="G159" i="105" s="1"/>
  <c r="G142" i="105" a="1"/>
  <c r="G142" i="105" s="1"/>
  <c r="G133" i="105" a="1"/>
  <c r="G133" i="105" s="1"/>
  <c r="G46" i="105" a="1"/>
  <c r="G46" i="105" s="1"/>
  <c r="G38" i="105" a="1"/>
  <c r="G38" i="105" s="1"/>
  <c r="G30" i="105" a="1"/>
  <c r="G30" i="105" s="1"/>
  <c r="G23" i="105" a="1"/>
  <c r="G23" i="105" s="1"/>
  <c r="G175" i="105" a="1"/>
  <c r="G175" i="105" s="1"/>
  <c r="G141" i="105" a="1"/>
  <c r="G141" i="105" s="1"/>
  <c r="G123" i="105" a="1"/>
  <c r="G123" i="105" s="1"/>
  <c r="G53" i="105" a="1"/>
  <c r="G53" i="105" s="1"/>
  <c r="G184" i="105" a="1"/>
  <c r="G184" i="105" s="1"/>
  <c r="G165" i="105" a="1"/>
  <c r="G165" i="105" s="1"/>
  <c r="G158" i="105" a="1"/>
  <c r="G158" i="105" s="1"/>
  <c r="G140" i="105" a="1"/>
  <c r="G140" i="105" s="1"/>
  <c r="G132" i="105" a="1"/>
  <c r="G132" i="105" s="1"/>
  <c r="G45" i="105" a="1"/>
  <c r="G45" i="105" s="1"/>
  <c r="G37" i="105" a="1"/>
  <c r="G37" i="105" s="1"/>
  <c r="G29" i="105" a="1"/>
  <c r="G29" i="105" s="1"/>
  <c r="G22" i="105" a="1"/>
  <c r="G22" i="105" s="1"/>
  <c r="G183" i="105" a="1"/>
  <c r="G183" i="105" s="1"/>
  <c r="G174" i="105" a="1"/>
  <c r="G174" i="105" s="1"/>
  <c r="G139" i="105" a="1"/>
  <c r="G139" i="105" s="1"/>
  <c r="G131" i="105" a="1"/>
  <c r="G131" i="105" s="1"/>
  <c r="G122" i="105" a="1"/>
  <c r="G122" i="105" s="1"/>
  <c r="G52" i="105" a="1"/>
  <c r="G52" i="105" s="1"/>
  <c r="G182" i="105" a="1"/>
  <c r="G182" i="105" s="1"/>
  <c r="G164" i="105" a="1"/>
  <c r="G164" i="105" s="1"/>
  <c r="G130" i="105" a="1"/>
  <c r="G130" i="105" s="1"/>
  <c r="G44" i="105" a="1"/>
  <c r="G44" i="105" s="1"/>
  <c r="G36" i="105" a="1"/>
  <c r="G36" i="105" s="1"/>
  <c r="G28" i="105" a="1"/>
  <c r="G28" i="105" s="1"/>
  <c r="G181" i="105" a="1"/>
  <c r="G181" i="105" s="1"/>
  <c r="G173" i="105" a="1"/>
  <c r="G173" i="105" s="1"/>
  <c r="G129" i="105" a="1"/>
  <c r="G129" i="105" s="1"/>
  <c r="G121" i="105" a="1"/>
  <c r="G121" i="105" s="1"/>
  <c r="G51" i="105" a="1"/>
  <c r="G51" i="105" s="1"/>
  <c r="J173" i="105" a="1"/>
  <c r="J173" i="105" s="1"/>
  <c r="J175" i="105" a="1"/>
  <c r="J175" i="105" s="1"/>
  <c r="J138" i="105" a="1"/>
  <c r="J138" i="105" s="1"/>
  <c r="J179" i="105" a="1"/>
  <c r="J179" i="105" s="1"/>
  <c r="E59" i="105"/>
  <c r="H59" i="105" s="1" a="1"/>
  <c r="H59" i="105" s="1"/>
  <c r="H91" i="105" a="1"/>
  <c r="H91" i="105" s="1"/>
  <c r="H83" i="105" a="1"/>
  <c r="H83" i="105" s="1"/>
  <c r="H75" i="105" a="1"/>
  <c r="H75" i="105" s="1"/>
  <c r="H67" i="105" a="1"/>
  <c r="H67" i="105" s="1"/>
  <c r="H60" i="105" a="1"/>
  <c r="H60" i="105" s="1"/>
  <c r="H90" i="105" a="1"/>
  <c r="H90" i="105" s="1"/>
  <c r="H82" i="105" a="1"/>
  <c r="H82" i="105" s="1"/>
  <c r="H74" i="105" a="1"/>
  <c r="H74" i="105" s="1"/>
  <c r="H66" i="105" a="1"/>
  <c r="H66" i="105" s="1"/>
  <c r="H89" i="105" a="1"/>
  <c r="H89" i="105" s="1"/>
  <c r="H80" i="105" a="1"/>
  <c r="H80" i="105" s="1"/>
  <c r="H73" i="105" a="1"/>
  <c r="H73" i="105" s="1"/>
  <c r="H65" i="105" a="1"/>
  <c r="H65" i="105" s="1"/>
  <c r="H88" i="105" a="1"/>
  <c r="H88" i="105" s="1"/>
  <c r="H79" i="105" a="1"/>
  <c r="H79" i="105" s="1"/>
  <c r="H72" i="105" a="1"/>
  <c r="H72" i="105" s="1"/>
  <c r="H64" i="105" a="1"/>
  <c r="H64" i="105" s="1"/>
  <c r="H86" i="105" a="1"/>
  <c r="H86" i="105" s="1"/>
  <c r="H78" i="105" a="1"/>
  <c r="H78" i="105" s="1"/>
  <c r="H71" i="105" a="1"/>
  <c r="H71" i="105" s="1"/>
  <c r="H63" i="105" a="1"/>
  <c r="H63" i="105" s="1"/>
  <c r="H85" i="105" a="1"/>
  <c r="H85" i="105" s="1"/>
  <c r="H77" i="105" a="1"/>
  <c r="H77" i="105" s="1"/>
  <c r="H69" i="105" a="1"/>
  <c r="H69" i="105" s="1"/>
  <c r="H62" i="105" a="1"/>
  <c r="H62" i="105" s="1"/>
  <c r="H92" i="105" a="1"/>
  <c r="H92" i="105" s="1"/>
  <c r="H84" i="105" a="1"/>
  <c r="H84" i="105" s="1"/>
  <c r="H76" i="105" a="1"/>
  <c r="H76" i="105" s="1"/>
  <c r="H68" i="105" a="1"/>
  <c r="H68" i="105" s="1"/>
  <c r="H61" i="105" a="1"/>
  <c r="H61" i="105" s="1"/>
  <c r="J162" i="105" a="1"/>
  <c r="J162" i="105" s="1"/>
  <c r="J167" i="105" a="1"/>
  <c r="J167" i="105" s="1"/>
  <c r="J163" i="105" a="1"/>
  <c r="J163" i="105" s="1"/>
  <c r="J165" i="105" a="1"/>
  <c r="J165" i="105" s="1"/>
  <c r="J137" i="105" a="1"/>
  <c r="J137" i="105" s="1"/>
  <c r="D59" i="105"/>
  <c r="G91" i="105" a="1"/>
  <c r="G91" i="105" s="1"/>
  <c r="G83" i="105" a="1"/>
  <c r="G83" i="105" s="1"/>
  <c r="G75" i="105" a="1"/>
  <c r="G75" i="105" s="1"/>
  <c r="G67" i="105" a="1"/>
  <c r="G67" i="105" s="1"/>
  <c r="G60" i="105" a="1"/>
  <c r="G60" i="105" s="1"/>
  <c r="G90" i="105" a="1"/>
  <c r="G90" i="105" s="1"/>
  <c r="G82" i="105" a="1"/>
  <c r="G82" i="105" s="1"/>
  <c r="G74" i="105" a="1"/>
  <c r="G74" i="105" s="1"/>
  <c r="G66" i="105" a="1"/>
  <c r="G66" i="105" s="1"/>
  <c r="G89" i="105" a="1"/>
  <c r="G89" i="105" s="1"/>
  <c r="G80" i="105" a="1"/>
  <c r="G80" i="105" s="1"/>
  <c r="G73" i="105" a="1"/>
  <c r="G73" i="105" s="1"/>
  <c r="G65" i="105" a="1"/>
  <c r="G65" i="105" s="1"/>
  <c r="G88" i="105" a="1"/>
  <c r="G88" i="105" s="1"/>
  <c r="G79" i="105" a="1"/>
  <c r="G79" i="105" s="1"/>
  <c r="G72" i="105" a="1"/>
  <c r="G72" i="105" s="1"/>
  <c r="G64" i="105" a="1"/>
  <c r="G64" i="105" s="1"/>
  <c r="G86" i="105" a="1"/>
  <c r="G86" i="105" s="1"/>
  <c r="G78" i="105" a="1"/>
  <c r="G78" i="105" s="1"/>
  <c r="G71" i="105" a="1"/>
  <c r="G71" i="105" s="1"/>
  <c r="G63" i="105" a="1"/>
  <c r="G63" i="105" s="1"/>
  <c r="G85" i="105" a="1"/>
  <c r="G85" i="105" s="1"/>
  <c r="G77" i="105" a="1"/>
  <c r="G77" i="105" s="1"/>
  <c r="G69" i="105" a="1"/>
  <c r="G69" i="105" s="1"/>
  <c r="G62" i="105" a="1"/>
  <c r="G62" i="105" s="1"/>
  <c r="G92" i="105" a="1"/>
  <c r="G92" i="105" s="1"/>
  <c r="G84" i="105" a="1"/>
  <c r="G84" i="105" s="1"/>
  <c r="G76" i="105" a="1"/>
  <c r="G76" i="105" s="1"/>
  <c r="G68" i="105" a="1"/>
  <c r="G68" i="105" s="1"/>
  <c r="G61" i="105" a="1"/>
  <c r="G61" i="105" s="1"/>
  <c r="E21" i="105"/>
  <c r="H21" i="105" s="1" a="1"/>
  <c r="H21" i="105" s="1"/>
  <c r="H50" i="105" a="1"/>
  <c r="H50" i="105" s="1"/>
  <c r="H41" i="105" a="1"/>
  <c r="H41" i="105" s="1"/>
  <c r="H34" i="105" a="1"/>
  <c r="H34" i="105" s="1"/>
  <c r="H26" i="105" a="1"/>
  <c r="H26" i="105" s="1"/>
  <c r="H48" i="105" a="1"/>
  <c r="H48" i="105" s="1"/>
  <c r="H40" i="105" a="1"/>
  <c r="H40" i="105" s="1"/>
  <c r="H33" i="105" a="1"/>
  <c r="H33" i="105" s="1"/>
  <c r="H25" i="105" a="1"/>
  <c r="H25" i="105" s="1"/>
  <c r="H47" i="105" a="1"/>
  <c r="H47" i="105" s="1"/>
  <c r="H39" i="105" a="1"/>
  <c r="H39" i="105" s="1"/>
  <c r="H31" i="105" a="1"/>
  <c r="H31" i="105" s="1"/>
  <c r="H24" i="105" a="1"/>
  <c r="H24" i="105" s="1"/>
  <c r="H54" i="105" a="1"/>
  <c r="H54" i="105" s="1"/>
  <c r="H46" i="105" a="1"/>
  <c r="H46" i="105" s="1"/>
  <c r="H38" i="105" a="1"/>
  <c r="H38" i="105" s="1"/>
  <c r="H30" i="105" a="1"/>
  <c r="H30" i="105" s="1"/>
  <c r="H23" i="105" a="1"/>
  <c r="H23" i="105" s="1"/>
  <c r="H53" i="105" a="1"/>
  <c r="H53" i="105" s="1"/>
  <c r="H45" i="105" a="1"/>
  <c r="H45" i="105" s="1"/>
  <c r="H37" i="105" a="1"/>
  <c r="H37" i="105" s="1"/>
  <c r="H29" i="105" a="1"/>
  <c r="H29" i="105" s="1"/>
  <c r="H22" i="105" a="1"/>
  <c r="H22" i="105" s="1"/>
  <c r="H52" i="105" a="1"/>
  <c r="H52" i="105" s="1"/>
  <c r="H44" i="105" a="1"/>
  <c r="H44" i="105" s="1"/>
  <c r="H36" i="105" a="1"/>
  <c r="H36" i="105" s="1"/>
  <c r="H28" i="105" a="1"/>
  <c r="H28" i="105" s="1"/>
  <c r="H51" i="105" a="1"/>
  <c r="H51" i="105" s="1"/>
  <c r="H42" i="105" a="1"/>
  <c r="H42" i="105" s="1"/>
  <c r="H35" i="105" a="1"/>
  <c r="H35" i="105" s="1"/>
  <c r="H27" i="105" a="1"/>
  <c r="H27" i="105" s="1"/>
  <c r="W183" i="84" a="1"/>
  <c r="W183" i="84" s="1"/>
  <c r="Y183" i="84" a="1"/>
  <c r="Y183" i="84" s="1"/>
  <c r="AC183" i="84" a="1"/>
  <c r="AC183" i="84" s="1"/>
  <c r="AC181" i="84" a="1"/>
  <c r="AC181" i="84" s="1"/>
  <c r="Y181" i="84" a="1"/>
  <c r="Y181" i="84" s="1"/>
  <c r="W181" i="84" a="1"/>
  <c r="W181" i="84" s="1"/>
  <c r="AC185" i="84" a="1"/>
  <c r="AC185" i="84" s="1"/>
  <c r="Y185" i="84" a="1"/>
  <c r="Y185" i="84" s="1"/>
  <c r="W185" i="84" a="1"/>
  <c r="W185" i="84" s="1"/>
  <c r="AC180" i="84" a="1"/>
  <c r="AC180" i="84" s="1"/>
  <c r="Y180" i="84" a="1"/>
  <c r="Y180" i="84" s="1"/>
  <c r="W180" i="84" a="1"/>
  <c r="W180" i="84" s="1"/>
  <c r="AC190" i="84" a="1"/>
  <c r="AC190" i="84" s="1"/>
  <c r="Y190" i="84" a="1"/>
  <c r="Y190" i="84" s="1"/>
  <c r="W190" i="84" a="1"/>
  <c r="W190" i="84" s="1"/>
  <c r="AC187" i="84" a="1"/>
  <c r="AC187" i="84" s="1"/>
  <c r="Y187" i="84" a="1"/>
  <c r="Y187" i="84" s="1"/>
  <c r="W187" i="84" a="1"/>
  <c r="W187" i="84" s="1"/>
  <c r="AC186" i="84" a="1"/>
  <c r="AC186" i="84" s="1"/>
  <c r="Y186" i="84" a="1"/>
  <c r="Y186" i="84" s="1"/>
  <c r="W186" i="84" a="1"/>
  <c r="W186" i="84" s="1"/>
  <c r="AC184" i="84" a="1"/>
  <c r="AC184" i="84" s="1"/>
  <c r="Y184" i="84" a="1"/>
  <c r="Y184" i="84" s="1"/>
  <c r="W184" i="84" a="1"/>
  <c r="W184" i="84" s="1"/>
  <c r="AC191" i="84" a="1"/>
  <c r="AC191" i="84" s="1"/>
  <c r="Y191" i="84" a="1"/>
  <c r="Y191" i="84" s="1"/>
  <c r="W191" i="84" a="1"/>
  <c r="W191" i="84" s="1"/>
  <c r="AC182" i="84" a="1"/>
  <c r="AC182" i="84" s="1"/>
  <c r="Y182" i="84" a="1"/>
  <c r="Y182" i="84" s="1"/>
  <c r="W182" i="84" a="1"/>
  <c r="W182" i="84" s="1"/>
  <c r="W188" i="84" a="1"/>
  <c r="W188" i="84" s="1"/>
  <c r="AC188" i="84" a="1"/>
  <c r="AC188" i="84" s="1"/>
  <c r="Y188" i="84" a="1"/>
  <c r="Y188" i="84" s="1"/>
  <c r="F129" i="117"/>
  <c r="E488" i="117"/>
  <c r="E143" i="117"/>
  <c r="E498" i="117"/>
  <c r="F124" i="117"/>
  <c r="E142" i="117"/>
  <c r="F121" i="117"/>
  <c r="G121" i="117" s="1"/>
  <c r="F122" i="117"/>
  <c r="G122" i="117" s="1"/>
  <c r="F120" i="117"/>
  <c r="G120" i="117" s="1"/>
  <c r="E487" i="117"/>
  <c r="E181" i="117"/>
  <c r="E654" i="117"/>
  <c r="E426" i="117"/>
  <c r="E72" i="117"/>
  <c r="E53" i="117"/>
  <c r="F125" i="117"/>
  <c r="F127" i="117"/>
  <c r="F123" i="117"/>
  <c r="E517" i="117"/>
  <c r="E54" i="117"/>
  <c r="E636" i="117"/>
  <c r="E91" i="117"/>
  <c r="E90" i="117"/>
  <c r="E363" i="117"/>
  <c r="E73" i="117"/>
  <c r="E456" i="117"/>
  <c r="E457" i="117"/>
  <c r="F126" i="117"/>
  <c r="E474" i="117"/>
  <c r="F26" i="88" a="1"/>
  <c r="F26" i="88" s="1"/>
  <c r="AF133" i="88"/>
  <c r="F95" i="84" a="1"/>
  <c r="F95" i="84" s="1"/>
  <c r="W111" i="84" a="1"/>
  <c r="W111" i="84" s="1"/>
  <c r="W100" i="84" a="1"/>
  <c r="W100" i="84" s="1"/>
  <c r="J148" i="87"/>
  <c r="G147" i="87"/>
  <c r="W38" i="88" a="1"/>
  <c r="W38" i="88" s="1"/>
  <c r="I148" i="87"/>
  <c r="Y38" i="83" a="1"/>
  <c r="Y38" i="83" s="1"/>
  <c r="M148" i="87"/>
  <c r="J147" i="87"/>
  <c r="I146" i="87"/>
  <c r="N146" i="87"/>
  <c r="L148" i="87"/>
  <c r="H149" i="87"/>
  <c r="H147" i="87"/>
  <c r="G148" i="87"/>
  <c r="I147" i="87"/>
  <c r="M146" i="87"/>
  <c r="K148" i="87"/>
  <c r="N149" i="87"/>
  <c r="L149" i="87"/>
  <c r="K146" i="87"/>
  <c r="N148" i="87"/>
  <c r="P149" i="87"/>
  <c r="J149" i="87"/>
  <c r="P148" i="87"/>
  <c r="I149" i="87"/>
  <c r="K147" i="87"/>
  <c r="L146" i="87"/>
  <c r="G149" i="87"/>
  <c r="O146" i="87"/>
  <c r="N147" i="87"/>
  <c r="O148" i="87"/>
  <c r="L147" i="87"/>
  <c r="P146" i="87"/>
  <c r="P147" i="87"/>
  <c r="J146" i="87"/>
  <c r="K149" i="87"/>
  <c r="G146" i="87"/>
  <c r="O147" i="87"/>
  <c r="O149" i="87"/>
  <c r="H32" i="83"/>
  <c r="Y39" i="83" a="1"/>
  <c r="Y39" i="83" s="1"/>
  <c r="Y28" i="83" a="1"/>
  <c r="Y28" i="83" s="1"/>
  <c r="H31" i="83"/>
  <c r="M31" i="83" s="1"/>
  <c r="F79" i="72"/>
  <c r="E79" i="72"/>
  <c r="E52" i="13" a="1"/>
  <c r="E52" i="13" s="1"/>
  <c r="D52" i="13" a="1"/>
  <c r="D52" i="13" s="1"/>
  <c r="H54" i="81"/>
  <c r="H52" i="81"/>
  <c r="D34" i="13" a="1"/>
  <c r="D34" i="13" s="1"/>
  <c r="E34" i="13" a="1"/>
  <c r="E34" i="13" s="1"/>
  <c r="F34" i="13" s="1"/>
  <c r="I84" i="105" l="1"/>
  <c r="H182" i="105" s="1"/>
  <c r="I65" i="105"/>
  <c r="H163" i="105" s="1"/>
  <c r="I163" i="105" s="1"/>
  <c r="K163" i="105" s="1"/>
  <c r="I45" i="105"/>
  <c r="H140" i="105" s="1"/>
  <c r="I73" i="105"/>
  <c r="H171" i="105" s="1"/>
  <c r="I62" i="105"/>
  <c r="H160" i="105" s="1"/>
  <c r="I160" i="105" s="1"/>
  <c r="K160" i="105" s="1"/>
  <c r="I80" i="105"/>
  <c r="H178" i="105" s="1"/>
  <c r="I178" i="105" s="1"/>
  <c r="K178" i="105" s="1"/>
  <c r="I46" i="105"/>
  <c r="H141" i="105" s="1"/>
  <c r="I61" i="105"/>
  <c r="H159" i="105" s="1"/>
  <c r="I159" i="105" s="1"/>
  <c r="K159" i="105" s="1"/>
  <c r="I72" i="105"/>
  <c r="H170" i="105" s="1"/>
  <c r="I83" i="105"/>
  <c r="H181" i="105" s="1"/>
  <c r="I68" i="105"/>
  <c r="H166" i="105" s="1"/>
  <c r="I166" i="105" s="1"/>
  <c r="K166" i="105" s="1"/>
  <c r="I79" i="105"/>
  <c r="H177" i="105" s="1"/>
  <c r="I177" i="105" s="1"/>
  <c r="K177" i="105" s="1"/>
  <c r="I91" i="105"/>
  <c r="H189" i="105" s="1"/>
  <c r="I76" i="105"/>
  <c r="H174" i="105" s="1"/>
  <c r="I174" i="105" s="1"/>
  <c r="K174" i="105" s="1"/>
  <c r="I88" i="105"/>
  <c r="H186" i="105" s="1"/>
  <c r="I23" i="105"/>
  <c r="H118" i="105" s="1"/>
  <c r="I118" i="105" s="1"/>
  <c r="K118" i="105" s="1"/>
  <c r="I34" i="105"/>
  <c r="H129" i="105" s="1"/>
  <c r="I22" i="105"/>
  <c r="H117" i="105" s="1"/>
  <c r="I117" i="105" s="1"/>
  <c r="K117" i="105" s="1"/>
  <c r="I30" i="105"/>
  <c r="H125" i="105" s="1"/>
  <c r="I125" i="105" s="1"/>
  <c r="K125" i="105" s="1"/>
  <c r="I33" i="105"/>
  <c r="H128" i="105" s="1"/>
  <c r="I41" i="105"/>
  <c r="H136" i="105" s="1"/>
  <c r="I136" i="105" s="1"/>
  <c r="K136" i="105" s="1"/>
  <c r="I29" i="105"/>
  <c r="H124" i="105" s="1"/>
  <c r="I124" i="105" s="1"/>
  <c r="K124" i="105" s="1"/>
  <c r="I38" i="105"/>
  <c r="H133" i="105" s="1"/>
  <c r="I133" i="105" s="1"/>
  <c r="K133" i="105" s="1"/>
  <c r="I40" i="105"/>
  <c r="H135" i="105" s="1"/>
  <c r="I135" i="105" s="1"/>
  <c r="K135" i="105" s="1"/>
  <c r="I37" i="105"/>
  <c r="H132" i="105" s="1"/>
  <c r="I132" i="105" s="1"/>
  <c r="K132" i="105" s="1"/>
  <c r="I24" i="105"/>
  <c r="H119" i="105" s="1"/>
  <c r="I119" i="105" s="1"/>
  <c r="K119" i="105" s="1"/>
  <c r="I31" i="105"/>
  <c r="H126" i="105" s="1"/>
  <c r="I126" i="105" s="1"/>
  <c r="K126" i="105" s="1"/>
  <c r="I39" i="105"/>
  <c r="H134" i="105" s="1"/>
  <c r="I134" i="105" s="1"/>
  <c r="K134" i="105" s="1"/>
  <c r="I50" i="105"/>
  <c r="H145" i="105" s="1"/>
  <c r="I69" i="105"/>
  <c r="H167" i="105" s="1"/>
  <c r="I167" i="105" s="1"/>
  <c r="K167" i="105" s="1"/>
  <c r="I66" i="105"/>
  <c r="H164" i="105" s="1"/>
  <c r="I164" i="105" s="1"/>
  <c r="K164" i="105" s="1"/>
  <c r="I74" i="105"/>
  <c r="H172" i="105" s="1"/>
  <c r="I82" i="105"/>
  <c r="H180" i="105" s="1"/>
  <c r="I48" i="105"/>
  <c r="H143" i="105" s="1"/>
  <c r="I77" i="105"/>
  <c r="H175" i="105" s="1"/>
  <c r="I175" i="105" s="1"/>
  <c r="K175" i="105" s="1"/>
  <c r="I44" i="105"/>
  <c r="H139" i="105" s="1"/>
  <c r="I63" i="105"/>
  <c r="H161" i="105" s="1"/>
  <c r="I161" i="105" s="1"/>
  <c r="K161" i="105" s="1"/>
  <c r="I78" i="105"/>
  <c r="H176" i="105" s="1"/>
  <c r="I176" i="105" s="1"/>
  <c r="K176" i="105" s="1"/>
  <c r="I47" i="105"/>
  <c r="H142" i="105" s="1"/>
  <c r="I28" i="105"/>
  <c r="H123" i="105" s="1"/>
  <c r="I123" i="105" s="1"/>
  <c r="K123" i="105" s="1"/>
  <c r="I36" i="105"/>
  <c r="H131" i="105" s="1"/>
  <c r="I85" i="105"/>
  <c r="H183" i="105" s="1"/>
  <c r="I86" i="105"/>
  <c r="H184" i="105" s="1"/>
  <c r="I52" i="105"/>
  <c r="H147" i="105" s="1"/>
  <c r="I54" i="105"/>
  <c r="H149" i="105" s="1"/>
  <c r="I89" i="105"/>
  <c r="H187" i="105" s="1"/>
  <c r="I53" i="105"/>
  <c r="H148" i="105" s="1"/>
  <c r="I27" i="105"/>
  <c r="H122" i="105" s="1"/>
  <c r="I122" i="105" s="1"/>
  <c r="K122" i="105" s="1"/>
  <c r="I35" i="105"/>
  <c r="H130" i="105" s="1"/>
  <c r="I51" i="105"/>
  <c r="H146" i="105" s="1"/>
  <c r="I42" i="105"/>
  <c r="H137" i="105" s="1"/>
  <c r="I137" i="105" s="1"/>
  <c r="K137" i="105" s="1"/>
  <c r="I26" i="105"/>
  <c r="H121" i="105" s="1"/>
  <c r="I121" i="105" s="1"/>
  <c r="K121" i="105" s="1"/>
  <c r="I25" i="105"/>
  <c r="H120" i="105" s="1"/>
  <c r="I120" i="105" s="1"/>
  <c r="K120" i="105" s="1"/>
  <c r="I71" i="105"/>
  <c r="H169" i="105" s="1"/>
  <c r="I90" i="105"/>
  <c r="H188" i="105" s="1"/>
  <c r="I92" i="105"/>
  <c r="H190" i="105" s="1"/>
  <c r="I60" i="105"/>
  <c r="H158" i="105" s="1"/>
  <c r="I158" i="105" s="1"/>
  <c r="K158" i="105" s="1"/>
  <c r="I67" i="105"/>
  <c r="H165" i="105" s="1"/>
  <c r="I165" i="105" s="1"/>
  <c r="K165" i="105" s="1"/>
  <c r="I64" i="105"/>
  <c r="H162" i="105" s="1"/>
  <c r="I162" i="105" s="1"/>
  <c r="K162" i="105" s="1"/>
  <c r="I75" i="105"/>
  <c r="H173" i="105" s="1"/>
  <c r="I173" i="105" s="1"/>
  <c r="K173" i="105" s="1"/>
  <c r="E156" i="117"/>
  <c r="E155" i="117"/>
  <c r="I293" i="117"/>
  <c r="G293" i="117"/>
  <c r="G285" i="117"/>
  <c r="I285" i="117"/>
  <c r="E299" i="117" s="1"/>
  <c r="I128" i="117"/>
  <c r="I124" i="117"/>
  <c r="G124" i="117"/>
  <c r="I123" i="117"/>
  <c r="G123" i="117"/>
  <c r="G127" i="117"/>
  <c r="I127" i="117"/>
  <c r="I125" i="117"/>
  <c r="G125" i="117"/>
  <c r="G126" i="117"/>
  <c r="I126" i="117"/>
  <c r="G129" i="117"/>
  <c r="I129" i="117"/>
  <c r="E475" i="117"/>
  <c r="Q27" i="102"/>
  <c r="P27" i="102"/>
  <c r="O27" i="102"/>
  <c r="N27" i="102"/>
  <c r="O38" i="102"/>
  <c r="Q38" i="102"/>
  <c r="P38" i="102"/>
  <c r="N38" i="102"/>
  <c r="N32" i="102"/>
  <c r="O32" i="102"/>
  <c r="Q32" i="102"/>
  <c r="P32" i="102"/>
  <c r="O35" i="102"/>
  <c r="P35" i="102"/>
  <c r="Q35" i="102"/>
  <c r="N35" i="102"/>
  <c r="Q29" i="102"/>
  <c r="P29" i="102"/>
  <c r="O29" i="102"/>
  <c r="N29" i="102"/>
  <c r="O37" i="102"/>
  <c r="N37" i="102"/>
  <c r="Q37" i="102"/>
  <c r="P37" i="102"/>
  <c r="Q26" i="102"/>
  <c r="E46" i="102" s="1"/>
  <c r="P26" i="102"/>
  <c r="O26" i="102"/>
  <c r="E44" i="102" s="1"/>
  <c r="N26" i="102"/>
  <c r="E43" i="102" s="1"/>
  <c r="N25" i="101"/>
  <c r="E43" i="101" s="1"/>
  <c r="P25" i="101"/>
  <c r="E45" i="101" s="1"/>
  <c r="O25" i="101"/>
  <c r="Q25" i="101"/>
  <c r="E46" i="101" s="1"/>
  <c r="P38" i="101"/>
  <c r="E63" i="101" s="1"/>
  <c r="O38" i="101"/>
  <c r="E62" i="101" s="1"/>
  <c r="N38" i="101"/>
  <c r="E61" i="101" s="1"/>
  <c r="Q38" i="101"/>
  <c r="E64" i="101" s="1"/>
  <c r="H252" i="117"/>
  <c r="F252" i="117"/>
  <c r="G252" i="117" s="1"/>
  <c r="F256" i="117"/>
  <c r="G256" i="117" s="1"/>
  <c r="K256" i="117"/>
  <c r="H256" i="117"/>
  <c r="H255" i="117"/>
  <c r="K255" i="117"/>
  <c r="F255" i="117"/>
  <c r="G255" i="117" s="1"/>
  <c r="K261" i="117"/>
  <c r="H261" i="117"/>
  <c r="F261" i="117"/>
  <c r="G261" i="117" s="1"/>
  <c r="F258" i="117"/>
  <c r="G258" i="117" s="1"/>
  <c r="H258" i="117"/>
  <c r="K258" i="117"/>
  <c r="K253" i="117"/>
  <c r="H253" i="117"/>
  <c r="F253" i="117"/>
  <c r="G253" i="117" s="1"/>
  <c r="H260" i="117"/>
  <c r="F260" i="117"/>
  <c r="G260" i="117" s="1"/>
  <c r="K260" i="117"/>
  <c r="H259" i="117"/>
  <c r="K259" i="117"/>
  <c r="F259" i="117"/>
  <c r="G259" i="117" s="1"/>
  <c r="H257" i="117"/>
  <c r="F257" i="117"/>
  <c r="G257" i="117" s="1"/>
  <c r="K257" i="117"/>
  <c r="H254" i="117"/>
  <c r="K254" i="117"/>
  <c r="F254" i="117"/>
  <c r="G254" i="117" s="1"/>
  <c r="AA35" i="88"/>
  <c r="AB35" i="88"/>
  <c r="N31" i="83"/>
  <c r="AB100" i="84"/>
  <c r="AA100" i="84"/>
  <c r="AC100" i="84"/>
  <c r="N30" i="83"/>
  <c r="M30" i="83"/>
  <c r="L30" i="83"/>
  <c r="AA28" i="88"/>
  <c r="AC28" i="88"/>
  <c r="AB28" i="88"/>
  <c r="J98" i="84"/>
  <c r="L98" i="84"/>
  <c r="K98" i="84"/>
  <c r="AC38" i="88"/>
  <c r="AB38" i="88"/>
  <c r="AA38" i="88"/>
  <c r="AB108" i="84"/>
  <c r="AA108" i="84"/>
  <c r="AC108" i="84"/>
  <c r="AD28" i="83"/>
  <c r="AC28" i="83"/>
  <c r="AE28" i="83"/>
  <c r="AC111" i="84"/>
  <c r="AB111" i="84"/>
  <c r="AA111" i="84"/>
  <c r="AD39" i="83"/>
  <c r="AC39" i="83"/>
  <c r="AE39" i="83"/>
  <c r="L95" i="84"/>
  <c r="K95" i="84"/>
  <c r="J95" i="84"/>
  <c r="AC109" i="84"/>
  <c r="AB109" i="84"/>
  <c r="AA109" i="84"/>
  <c r="AE31" i="83"/>
  <c r="AD31" i="83"/>
  <c r="AC31" i="83"/>
  <c r="K26" i="88"/>
  <c r="L26" i="88"/>
  <c r="J26" i="88"/>
  <c r="AE36" i="83"/>
  <c r="AD36" i="83"/>
  <c r="AC36" i="83"/>
  <c r="AE32" i="83"/>
  <c r="AC32" i="83"/>
  <c r="AD32" i="83"/>
  <c r="M32" i="83"/>
  <c r="N32" i="83"/>
  <c r="L32" i="83"/>
  <c r="AE29" i="83"/>
  <c r="AD29" i="83"/>
  <c r="AC29" i="83"/>
  <c r="AC35" i="83"/>
  <c r="AE35" i="83"/>
  <c r="AD35" i="83"/>
  <c r="AB32" i="88"/>
  <c r="AA32" i="88"/>
  <c r="AC32" i="88"/>
  <c r="AC33" i="83"/>
  <c r="AE33" i="83"/>
  <c r="AD33" i="83"/>
  <c r="L31" i="83"/>
  <c r="AE37" i="83"/>
  <c r="AD37" i="83"/>
  <c r="AC37" i="83"/>
  <c r="AE38" i="83"/>
  <c r="AD38" i="83"/>
  <c r="AC38" i="83"/>
  <c r="AB30" i="88"/>
  <c r="AA30" i="88"/>
  <c r="AC30" i="88"/>
  <c r="AC39" i="88"/>
  <c r="AB39" i="88"/>
  <c r="AA39" i="88"/>
  <c r="AD34" i="83"/>
  <c r="AC34" i="83"/>
  <c r="AE34" i="83"/>
  <c r="H23" i="117" a="1"/>
  <c r="J25" i="117" s="1"/>
  <c r="E657" i="117"/>
  <c r="V133" i="88"/>
  <c r="R236" i="117"/>
  <c r="Y276" i="83"/>
  <c r="X235" i="83"/>
  <c r="AK236" i="117"/>
  <c r="AM236" i="117" s="1" a="1"/>
  <c r="AM236" i="117" s="1"/>
  <c r="AM240" i="117" a="1"/>
  <c r="AM240" i="117" s="1"/>
  <c r="AM242" i="117" a="1"/>
  <c r="AM242" i="117" s="1"/>
  <c r="AM244" i="117" a="1"/>
  <c r="AM244" i="117" s="1"/>
  <c r="AM237" i="117" a="1"/>
  <c r="AM237" i="117" s="1"/>
  <c r="AM239" i="117" a="1"/>
  <c r="AM239" i="117" s="1"/>
  <c r="AM241" i="117" a="1"/>
  <c r="AM241" i="117" s="1"/>
  <c r="AM243" i="117" a="1"/>
  <c r="AM243" i="117" s="1"/>
  <c r="AM245" i="117" a="1"/>
  <c r="AM245" i="117" s="1"/>
  <c r="AM238" i="117" a="1"/>
  <c r="AM238" i="117" s="1"/>
  <c r="Y236" i="117"/>
  <c r="AA236" i="117" s="1" a="1"/>
  <c r="AA236" i="117" s="1"/>
  <c r="AA243" i="117" a="1"/>
  <c r="AA243" i="117" s="1"/>
  <c r="AA245" i="117" a="1"/>
  <c r="AA245" i="117" s="1"/>
  <c r="AA238" i="117" a="1"/>
  <c r="AA238" i="117" s="1"/>
  <c r="AA240" i="117" a="1"/>
  <c r="AA240" i="117" s="1"/>
  <c r="AA242" i="117" a="1"/>
  <c r="AA242" i="117" s="1"/>
  <c r="AA244" i="117" a="1"/>
  <c r="AA244" i="117" s="1"/>
  <c r="AA237" i="117" a="1"/>
  <c r="AA237" i="117" s="1"/>
  <c r="AA239" i="117" a="1"/>
  <c r="AA239" i="117" s="1"/>
  <c r="AA241" i="117" a="1"/>
  <c r="AA241" i="117" s="1"/>
  <c r="G59" i="105" a="1"/>
  <c r="G59" i="105" s="1"/>
  <c r="U236" i="117"/>
  <c r="W236" i="117" s="1" a="1"/>
  <c r="W236" i="117" s="1"/>
  <c r="W243" i="117" a="1"/>
  <c r="W243" i="117" s="1"/>
  <c r="W245" i="117" a="1"/>
  <c r="W245" i="117" s="1"/>
  <c r="W238" i="117" a="1"/>
  <c r="W238" i="117" s="1"/>
  <c r="W240" i="117" a="1"/>
  <c r="W240" i="117" s="1"/>
  <c r="W242" i="117" a="1"/>
  <c r="W242" i="117" s="1"/>
  <c r="W244" i="117" a="1"/>
  <c r="W244" i="117" s="1"/>
  <c r="W237" i="117" a="1"/>
  <c r="W237" i="117" s="1"/>
  <c r="W239" i="117" a="1"/>
  <c r="W239" i="117" s="1"/>
  <c r="W241" i="117" a="1"/>
  <c r="W241" i="117" s="1"/>
  <c r="AG236" i="117"/>
  <c r="AI236" i="117" s="1" a="1"/>
  <c r="AI236" i="117" s="1"/>
  <c r="AI245" i="117" a="1"/>
  <c r="AI245" i="117" s="1"/>
  <c r="AI238" i="117" a="1"/>
  <c r="AI238" i="117" s="1"/>
  <c r="AI240" i="117" a="1"/>
  <c r="AI240" i="117" s="1"/>
  <c r="AI242" i="117" a="1"/>
  <c r="AI242" i="117" s="1"/>
  <c r="AI244" i="117" a="1"/>
  <c r="AI244" i="117" s="1"/>
  <c r="AI237" i="117" a="1"/>
  <c r="AI237" i="117" s="1"/>
  <c r="AI239" i="117" a="1"/>
  <c r="AI239" i="117" s="1"/>
  <c r="AI241" i="117" a="1"/>
  <c r="AI241" i="117" s="1"/>
  <c r="AI243" i="117" a="1"/>
  <c r="AI243" i="117" s="1"/>
  <c r="O11" i="90" a="1"/>
  <c r="Q236" i="117"/>
  <c r="S236" i="117" s="1" a="1"/>
  <c r="S236" i="117" s="1"/>
  <c r="S241" i="117" a="1"/>
  <c r="S241" i="117" s="1"/>
  <c r="S243" i="117" a="1"/>
  <c r="S243" i="117" s="1"/>
  <c r="S245" i="117" a="1"/>
  <c r="S245" i="117" s="1"/>
  <c r="S238" i="117" a="1"/>
  <c r="S238" i="117" s="1"/>
  <c r="S240" i="117" a="1"/>
  <c r="S240" i="117" s="1"/>
  <c r="S242" i="117" a="1"/>
  <c r="S242" i="117" s="1"/>
  <c r="S244" i="117" a="1"/>
  <c r="S244" i="117" s="1"/>
  <c r="S237" i="117" a="1"/>
  <c r="S237" i="117" s="1"/>
  <c r="S239" i="117" a="1"/>
  <c r="S239" i="117" s="1"/>
  <c r="AC236" i="117"/>
  <c r="AE236" i="117" s="1" a="1"/>
  <c r="AE236" i="117" s="1"/>
  <c r="AE245" i="117" a="1"/>
  <c r="AE245" i="117" s="1"/>
  <c r="AE238" i="117" a="1"/>
  <c r="AE238" i="117" s="1"/>
  <c r="AE240" i="117" a="1"/>
  <c r="AE240" i="117" s="1"/>
  <c r="AE242" i="117" a="1"/>
  <c r="AE242" i="117" s="1"/>
  <c r="AE244" i="117" a="1"/>
  <c r="AE244" i="117" s="1"/>
  <c r="AE237" i="117" a="1"/>
  <c r="AE237" i="117" s="1"/>
  <c r="AE239" i="117" a="1"/>
  <c r="AE239" i="117" s="1"/>
  <c r="AE241" i="117" a="1"/>
  <c r="AE241" i="117" s="1"/>
  <c r="AE243" i="117" a="1"/>
  <c r="AE243" i="117" s="1"/>
  <c r="G116" i="105" a="1"/>
  <c r="G116" i="105" s="1"/>
  <c r="G157" i="105" a="1"/>
  <c r="G157" i="105" s="1"/>
  <c r="G21" i="105" a="1"/>
  <c r="G21" i="105" s="1"/>
  <c r="T33" i="108"/>
  <c r="O25" i="109"/>
  <c r="J33" i="108"/>
  <c r="E25" i="109"/>
  <c r="E393" i="117"/>
  <c r="E394" i="117"/>
  <c r="E35" i="117"/>
  <c r="E94" i="117" s="1"/>
  <c r="E298" i="117"/>
  <c r="E58" i="101"/>
  <c r="E55" i="101"/>
  <c r="E56" i="101"/>
  <c r="E57" i="101"/>
  <c r="E44" i="101"/>
  <c r="I144" i="105" l="1"/>
  <c r="K144" i="105" s="1"/>
  <c r="I179" i="105"/>
  <c r="K179" i="105" s="1"/>
  <c r="I127" i="105"/>
  <c r="K127" i="105" s="1"/>
  <c r="I168" i="105"/>
  <c r="K168" i="105" s="1"/>
  <c r="I59" i="105"/>
  <c r="H157" i="105" s="1"/>
  <c r="I157" i="105" s="1"/>
  <c r="K157" i="105" s="1"/>
  <c r="I21" i="105"/>
  <c r="H116" i="105" s="1"/>
  <c r="I116" i="105" s="1"/>
  <c r="K116" i="105" s="1"/>
  <c r="E45" i="102"/>
  <c r="E49" i="102"/>
  <c r="E55" i="102" s="1"/>
  <c r="E52" i="102"/>
  <c r="E58" i="102" s="1"/>
  <c r="I531" i="117" s="1"/>
  <c r="E51" i="102"/>
  <c r="E50" i="102"/>
  <c r="E56" i="102" s="1"/>
  <c r="F240" i="117"/>
  <c r="F245" i="117"/>
  <c r="F241" i="117"/>
  <c r="F236" i="117"/>
  <c r="F239" i="117"/>
  <c r="F238" i="117"/>
  <c r="F237" i="117"/>
  <c r="F243" i="117"/>
  <c r="F244" i="117"/>
  <c r="F242" i="117"/>
  <c r="J26" i="117"/>
  <c r="J27" i="117"/>
  <c r="J30" i="117"/>
  <c r="J28" i="117"/>
  <c r="J31" i="117"/>
  <c r="J32" i="117"/>
  <c r="H23" i="117"/>
  <c r="J23" i="117" s="1"/>
  <c r="J24" i="117"/>
  <c r="J29" i="117"/>
  <c r="I185" i="105"/>
  <c r="I138" i="105"/>
  <c r="K138" i="105" s="1"/>
  <c r="O11" i="90"/>
  <c r="E131" i="117"/>
  <c r="E159" i="117" s="1"/>
  <c r="E41" i="13" s="1" a="1"/>
  <c r="E41" i="13" s="1"/>
  <c r="H41" i="13" s="1"/>
  <c r="E132" i="117"/>
  <c r="E160" i="117" s="1"/>
  <c r="F41" i="13" s="1" a="1"/>
  <c r="F41" i="13" s="1"/>
  <c r="I41" i="13" s="1"/>
  <c r="E70" i="101"/>
  <c r="I530" i="117" s="1"/>
  <c r="E68" i="101"/>
  <c r="E69" i="101"/>
  <c r="E67" i="101"/>
  <c r="F55" i="13" a="1"/>
  <c r="F55" i="13" s="1"/>
  <c r="I55" i="13" s="1"/>
  <c r="E55" i="13" a="1"/>
  <c r="E55" i="13" s="1"/>
  <c r="H55" i="13" s="1"/>
  <c r="F53" i="13" a="1"/>
  <c r="F53" i="13" s="1"/>
  <c r="I53" i="13" s="1"/>
  <c r="E53" i="13" a="1"/>
  <c r="E53" i="13" s="1"/>
  <c r="H53" i="13" s="1"/>
  <c r="F52" i="13"/>
  <c r="I52" i="13" s="1"/>
  <c r="F50" i="13" a="1"/>
  <c r="F50" i="13" s="1"/>
  <c r="I50" i="13" s="1"/>
  <c r="E50" i="13" a="1"/>
  <c r="E50" i="13" s="1"/>
  <c r="H50" i="13" s="1"/>
  <c r="F49" i="13" a="1"/>
  <c r="F49" i="13" s="1"/>
  <c r="I49" i="13" s="1"/>
  <c r="E49" i="13" a="1"/>
  <c r="E49" i="13" s="1"/>
  <c r="H49" i="13" s="1"/>
  <c r="F48" i="13" a="1"/>
  <c r="F48" i="13" s="1"/>
  <c r="I48" i="13" s="1"/>
  <c r="E48" i="13" a="1"/>
  <c r="E48" i="13" s="1"/>
  <c r="H48" i="13" s="1"/>
  <c r="F47" i="13" a="1"/>
  <c r="F47" i="13" s="1"/>
  <c r="I47" i="13" s="1"/>
  <c r="E47" i="13" a="1"/>
  <c r="E47" i="13" s="1"/>
  <c r="H47" i="13" s="1"/>
  <c r="F46" i="13" a="1"/>
  <c r="F46" i="13" s="1"/>
  <c r="I46" i="13" s="1"/>
  <c r="E46" i="13" a="1"/>
  <c r="E46" i="13" s="1"/>
  <c r="H46" i="13" s="1"/>
  <c r="F44" i="13" a="1"/>
  <c r="F44" i="13" s="1"/>
  <c r="I44" i="13" s="1"/>
  <c r="E44" i="13" a="1"/>
  <c r="E44" i="13" s="1"/>
  <c r="H44" i="13" s="1"/>
  <c r="F42" i="13" a="1"/>
  <c r="F42" i="13" s="1"/>
  <c r="I42" i="13" s="1"/>
  <c r="E42" i="13" a="1"/>
  <c r="E42" i="13" s="1"/>
  <c r="H42" i="13" s="1"/>
  <c r="F40" i="13" a="1"/>
  <c r="F40" i="13" s="1"/>
  <c r="K185" i="105" l="1"/>
  <c r="E192" i="105" s="1"/>
  <c r="E57" i="102"/>
  <c r="E533" i="117"/>
  <c r="E51" i="13" s="1" a="1"/>
  <c r="E51" i="13" s="1"/>
  <c r="F51" i="13" s="1"/>
  <c r="I51" i="13" s="1"/>
  <c r="E34" i="117"/>
  <c r="E93" i="117" s="1"/>
  <c r="E40" i="13" s="1" a="1"/>
  <c r="E40" i="13" s="1"/>
  <c r="H40" i="13" s="1"/>
  <c r="E151" i="105"/>
  <c r="I40" i="13"/>
  <c r="H52" i="13"/>
  <c r="D32" i="81"/>
  <c r="D40" i="81"/>
  <c r="H55" i="81"/>
  <c r="H53" i="81"/>
  <c r="E72" i="72"/>
  <c r="E71" i="72"/>
  <c r="G43" i="72"/>
  <c r="D49" i="72"/>
  <c r="D65" i="72"/>
  <c r="D68" i="72" a="1"/>
  <c r="E70" i="72" s="1"/>
  <c r="D51" i="72" a="1"/>
  <c r="D51" i="72" s="1"/>
  <c r="D55" i="72" a="1"/>
  <c r="E58" i="72"/>
  <c r="F58" i="72"/>
  <c r="E59" i="72"/>
  <c r="F59" i="72"/>
  <c r="J80" i="78"/>
  <c r="J78" i="78"/>
  <c r="J77" i="78"/>
  <c r="J76" i="78"/>
  <c r="J69" i="78"/>
  <c r="J68" i="78"/>
  <c r="J67" i="78"/>
  <c r="J66" i="78"/>
  <c r="E54" i="13" l="1" a="1"/>
  <c r="E54" i="13" s="1"/>
  <c r="F54" i="13" s="1"/>
  <c r="I54" i="13" s="1"/>
  <c r="E603" i="117"/>
  <c r="J71" i="78"/>
  <c r="H51" i="13"/>
  <c r="E69" i="72"/>
  <c r="J82" i="78"/>
  <c r="E61" i="13"/>
  <c r="D68" i="72"/>
  <c r="F57" i="72"/>
  <c r="E57" i="72"/>
  <c r="D55" i="72"/>
  <c r="J8" i="78"/>
  <c r="J60" i="78"/>
  <c r="J59" i="78"/>
  <c r="J58" i="78"/>
  <c r="J62" i="78" s="1"/>
  <c r="J57" i="78"/>
  <c r="J47" i="78"/>
  <c r="J51" i="78"/>
  <c r="J50" i="78"/>
  <c r="J49" i="78"/>
  <c r="J48" i="78"/>
  <c r="J31" i="78"/>
  <c r="J41" i="78"/>
  <c r="J40" i="78"/>
  <c r="J39" i="78"/>
  <c r="J38" i="78"/>
  <c r="J37" i="78"/>
  <c r="J36" i="78"/>
  <c r="J35" i="78"/>
  <c r="J34" i="78"/>
  <c r="J33" i="78"/>
  <c r="J32" i="78"/>
  <c r="J30" i="78"/>
  <c r="J19" i="78"/>
  <c r="J24" i="78"/>
  <c r="J23" i="78"/>
  <c r="J22" i="78"/>
  <c r="J21" i="78"/>
  <c r="J20" i="78"/>
  <c r="J9" i="78"/>
  <c r="J13" i="78"/>
  <c r="J12" i="78"/>
  <c r="J11" i="78"/>
  <c r="J10" i="78"/>
  <c r="D9" i="87"/>
  <c r="I158" i="83"/>
  <c r="D117" i="79" a="1"/>
  <c r="D117" i="79" s="1"/>
  <c r="D107" i="79" a="1"/>
  <c r="D107" i="79" s="1"/>
  <c r="D83" i="79" a="1"/>
  <c r="D83" i="79" s="1"/>
  <c r="D59" i="79" a="1"/>
  <c r="D59" i="79" s="1"/>
  <c r="H54" i="13" l="1"/>
  <c r="I33" i="86"/>
  <c r="J37" i="109"/>
  <c r="J53" i="78"/>
  <c r="J15" i="109"/>
  <c r="Q38" i="85"/>
  <c r="X165" i="88"/>
  <c r="G38" i="85"/>
  <c r="G131" i="88"/>
  <c r="G82" i="94"/>
  <c r="Q51" i="109"/>
  <c r="X270" i="84"/>
  <c r="G51" i="109"/>
  <c r="G149" i="94"/>
  <c r="G232" i="84"/>
  <c r="G247" i="83"/>
  <c r="Q43" i="108"/>
  <c r="P113" i="90"/>
  <c r="Z279" i="83"/>
  <c r="O591" i="117"/>
  <c r="G43" i="108"/>
  <c r="G53" i="92"/>
  <c r="P39" i="86"/>
  <c r="G591" i="117"/>
  <c r="G83" i="90"/>
  <c r="G39" i="86"/>
  <c r="G97" i="95"/>
  <c r="J15" i="78"/>
  <c r="J26" i="78"/>
  <c r="E64" i="82"/>
  <c r="G106" i="82"/>
  <c r="F86" i="82"/>
  <c r="J61" i="82"/>
  <c r="E130" i="82"/>
  <c r="H127" i="82"/>
  <c r="K106" i="82"/>
  <c r="G63" i="82"/>
  <c r="I142" i="82"/>
  <c r="E129" i="82"/>
  <c r="M116" i="82"/>
  <c r="E107" i="82"/>
  <c r="I95" i="82"/>
  <c r="G89" i="82"/>
  <c r="F138" i="82"/>
  <c r="G78" i="82"/>
  <c r="N90" i="82"/>
  <c r="M85" i="82"/>
  <c r="J28" i="84"/>
  <c r="J75" i="82"/>
  <c r="J115" i="82"/>
  <c r="I75" i="82"/>
  <c r="K95" i="82"/>
  <c r="K135" i="82"/>
  <c r="N72" i="82"/>
  <c r="N112" i="82"/>
  <c r="L142" i="82"/>
  <c r="E93" i="82"/>
  <c r="M122" i="82"/>
  <c r="L71" i="82"/>
  <c r="L111" i="82"/>
  <c r="F140" i="82"/>
  <c r="E76" i="82"/>
  <c r="K114" i="82"/>
  <c r="I144" i="82"/>
  <c r="L94" i="82"/>
  <c r="L134" i="82"/>
  <c r="I133" i="82"/>
  <c r="H76" i="82"/>
  <c r="F119" i="82"/>
  <c r="L73" i="82"/>
  <c r="J116" i="82"/>
  <c r="G68" i="82"/>
  <c r="E98" i="82"/>
  <c r="K136" i="82"/>
  <c r="I136" i="82"/>
  <c r="J72" i="82"/>
  <c r="K107" i="82"/>
  <c r="E92" i="82"/>
  <c r="N62" i="82"/>
  <c r="K140" i="82"/>
  <c r="L128" i="82"/>
  <c r="E108" i="82"/>
  <c r="K64" i="82"/>
  <c r="N61" i="82"/>
  <c r="I130" i="82"/>
  <c r="L127" i="82"/>
  <c r="I108" i="82"/>
  <c r="L105" i="82"/>
  <c r="G96" i="82"/>
  <c r="N67" i="82"/>
  <c r="H84" i="82"/>
  <c r="F91" i="82"/>
  <c r="M89" i="82"/>
  <c r="K28" i="84"/>
  <c r="N76" i="82"/>
  <c r="N116" i="82"/>
  <c r="G67" i="82"/>
  <c r="I69" i="82"/>
  <c r="L96" i="82"/>
  <c r="E112" i="82"/>
  <c r="I100" i="82"/>
  <c r="H64" i="82"/>
  <c r="K61" i="82"/>
  <c r="F130" i="82"/>
  <c r="K113" i="82"/>
  <c r="G72" i="82"/>
  <c r="H63" i="82"/>
  <c r="M143" i="82"/>
  <c r="F129" i="82"/>
  <c r="M117" i="82"/>
  <c r="F107" i="82"/>
  <c r="M105" i="82"/>
  <c r="H115" i="82"/>
  <c r="L85" i="82"/>
  <c r="H68" i="82"/>
  <c r="M96" i="82"/>
  <c r="L28" i="84"/>
  <c r="H78" i="82"/>
  <c r="H118" i="82"/>
  <c r="K68" i="82"/>
  <c r="I98" i="82"/>
  <c r="I138" i="82"/>
  <c r="L75" i="82"/>
  <c r="L115" i="82"/>
  <c r="G111" i="82"/>
  <c r="M95" i="82"/>
  <c r="I134" i="82"/>
  <c r="J74" i="82"/>
  <c r="J114" i="82"/>
  <c r="N142" i="82"/>
  <c r="M78" i="82"/>
  <c r="I117" i="82"/>
  <c r="F69" i="82"/>
  <c r="J97" i="82"/>
  <c r="J137" i="82"/>
  <c r="G136" i="82"/>
  <c r="H89" i="82"/>
  <c r="H128" i="82"/>
  <c r="K62" i="82"/>
  <c r="M28" i="84"/>
  <c r="N144" i="82"/>
  <c r="I128" i="82"/>
  <c r="L107" i="82"/>
  <c r="I83" i="82"/>
  <c r="I64" i="82"/>
  <c r="N100" i="82"/>
  <c r="M128" i="82"/>
  <c r="F85" i="82"/>
  <c r="K72" i="82"/>
  <c r="I63" i="82"/>
  <c r="E152" i="82"/>
  <c r="E165" i="83" s="1"/>
  <c r="G129" i="82"/>
  <c r="G118" i="82"/>
  <c r="K108" i="82"/>
  <c r="J92" i="82"/>
  <c r="I96" i="82"/>
  <c r="N70" i="82"/>
  <c r="I107" i="82"/>
  <c r="E99" i="82"/>
  <c r="H91" i="82"/>
  <c r="F121" i="82"/>
  <c r="I71" i="82"/>
  <c r="I111" i="82"/>
  <c r="G141" i="82"/>
  <c r="J78" i="82"/>
  <c r="J118" i="82"/>
  <c r="M68" i="82"/>
  <c r="K98" i="82"/>
  <c r="G137" i="82"/>
  <c r="H77" i="82"/>
  <c r="H117" i="82"/>
  <c r="G98" i="82"/>
  <c r="I90" i="82"/>
  <c r="G120" i="82"/>
  <c r="N71" i="82"/>
  <c r="H100" i="82"/>
  <c r="H140" i="82"/>
  <c r="E139" i="82"/>
  <c r="F92" i="82"/>
  <c r="L137" i="82"/>
  <c r="J89" i="82"/>
  <c r="L133" i="82"/>
  <c r="M73" i="82"/>
  <c r="I112" i="82"/>
  <c r="G142" i="82"/>
  <c r="K97" i="82"/>
  <c r="M136" i="82"/>
  <c r="H75" i="82"/>
  <c r="N108" i="82"/>
  <c r="H61" i="82"/>
  <c r="M129" i="82"/>
  <c r="G112" i="82"/>
  <c r="M84" i="82"/>
  <c r="G71" i="82"/>
  <c r="L61" i="82"/>
  <c r="G130" i="82"/>
  <c r="J86" i="82"/>
  <c r="M83" i="82"/>
  <c r="M64" i="82"/>
  <c r="F62" i="82"/>
  <c r="K130" i="82"/>
  <c r="N127" i="82"/>
  <c r="G119" i="82"/>
  <c r="N140" i="82"/>
  <c r="N105" i="82"/>
  <c r="N94" i="82"/>
  <c r="M108" i="82"/>
  <c r="E67" i="82"/>
  <c r="L92" i="82"/>
  <c r="J122" i="82"/>
  <c r="M72" i="82"/>
  <c r="M112" i="82"/>
  <c r="K142" i="82"/>
  <c r="F90" i="82"/>
  <c r="N119" i="82"/>
  <c r="G70" i="82"/>
  <c r="E100" i="82"/>
  <c r="K138" i="82"/>
  <c r="L78" i="82"/>
  <c r="L118" i="82"/>
  <c r="E134" i="82"/>
  <c r="M91" i="82"/>
  <c r="K121" i="82"/>
  <c r="H73" i="82"/>
  <c r="N111" i="82"/>
  <c r="L141" i="82"/>
  <c r="I140" i="82"/>
  <c r="J93" i="82"/>
  <c r="F139" i="82"/>
  <c r="H92" i="82"/>
  <c r="F135" i="82"/>
  <c r="G75" i="82"/>
  <c r="M113" i="82"/>
  <c r="K143" i="82"/>
  <c r="F71" i="82"/>
  <c r="K90" i="82"/>
  <c r="F106" i="82"/>
  <c r="J99" i="82"/>
  <c r="L62" i="82"/>
  <c r="M137" i="82"/>
  <c r="F127" i="82"/>
  <c r="G86" i="82"/>
  <c r="J83" i="82"/>
  <c r="F63" i="82"/>
  <c r="E142" i="82"/>
  <c r="K93" i="82"/>
  <c r="G85" i="82"/>
  <c r="I73" i="82"/>
  <c r="J63" i="82"/>
  <c r="E153" i="82"/>
  <c r="E166" i="83" s="1"/>
  <c r="H129" i="82"/>
  <c r="E128" i="82"/>
  <c r="L69" i="82"/>
  <c r="H107" i="82"/>
  <c r="F118" i="82"/>
  <c r="K120" i="82"/>
  <c r="G91" i="82"/>
  <c r="F94" i="82"/>
  <c r="F134" i="82"/>
  <c r="G74" i="82"/>
  <c r="H95" i="82"/>
  <c r="E121" i="82"/>
  <c r="F64" i="82"/>
  <c r="N121" i="82"/>
  <c r="J128" i="82"/>
  <c r="G92" i="82"/>
  <c r="N84" i="82"/>
  <c r="J64" i="82"/>
  <c r="N133" i="82"/>
  <c r="H105" i="82"/>
  <c r="K86" i="82"/>
  <c r="N83" i="82"/>
  <c r="N64" i="82"/>
  <c r="G62" i="82"/>
  <c r="L130" i="82"/>
  <c r="I129" i="82"/>
  <c r="N93" i="82"/>
  <c r="L108" i="82"/>
  <c r="J119" i="82"/>
  <c r="L143" i="82"/>
  <c r="D28" i="84"/>
  <c r="J107" i="82"/>
  <c r="G83" i="82"/>
  <c r="M62" i="82"/>
  <c r="G138" i="82"/>
  <c r="I106" i="82"/>
  <c r="K92" i="82"/>
  <c r="K83" i="82"/>
  <c r="N134" i="82"/>
  <c r="L129" i="82"/>
  <c r="E86" i="82"/>
  <c r="K70" i="82"/>
  <c r="M74" i="82"/>
  <c r="K112" i="82"/>
  <c r="J106" i="82"/>
  <c r="I86" i="82"/>
  <c r="F111" i="82"/>
  <c r="J127" i="82"/>
  <c r="G108" i="82"/>
  <c r="J105" i="82"/>
  <c r="M86" i="82"/>
  <c r="F84" i="82"/>
  <c r="K77" i="82"/>
  <c r="L89" i="82"/>
  <c r="I62" i="82"/>
  <c r="N130" i="82"/>
  <c r="G69" i="82"/>
  <c r="G28" i="84"/>
  <c r="H71" i="82"/>
  <c r="H111" i="82"/>
  <c r="F141" i="82"/>
  <c r="I91" i="82"/>
  <c r="G121" i="82"/>
  <c r="L68" i="82"/>
  <c r="J98" i="82"/>
  <c r="J138" i="82"/>
  <c r="K78" i="82"/>
  <c r="K118" i="82"/>
  <c r="J67" i="82"/>
  <c r="H97" i="82"/>
  <c r="N135" i="82"/>
  <c r="M71" i="82"/>
  <c r="G100" i="82"/>
  <c r="G140" i="82"/>
  <c r="N73" i="82"/>
  <c r="M90" i="82"/>
  <c r="H83" i="82"/>
  <c r="F98" i="82"/>
  <c r="G127" i="82"/>
  <c r="N107" i="82"/>
  <c r="I93" i="82"/>
  <c r="H135" i="82"/>
  <c r="N128" i="82"/>
  <c r="I116" i="82"/>
  <c r="N106" i="82"/>
  <c r="E95" i="82"/>
  <c r="J85" i="82"/>
  <c r="G84" i="82"/>
  <c r="N137" i="82"/>
  <c r="M63" i="82"/>
  <c r="J112" i="82"/>
  <c r="E83" i="82"/>
  <c r="H28" i="84"/>
  <c r="L72" i="82"/>
  <c r="L112" i="82"/>
  <c r="J142" i="82"/>
  <c r="M92" i="82"/>
  <c r="K122" i="82"/>
  <c r="F70" i="82"/>
  <c r="N99" i="82"/>
  <c r="N139" i="82"/>
  <c r="G90" i="82"/>
  <c r="E120" i="82"/>
  <c r="N68" i="82"/>
  <c r="L98" i="82"/>
  <c r="H137" i="82"/>
  <c r="G73" i="82"/>
  <c r="M111" i="82"/>
  <c r="K141" i="82"/>
  <c r="N91" i="82"/>
  <c r="L121" i="82"/>
  <c r="I120" i="82"/>
  <c r="J73" i="82"/>
  <c r="H116" i="82"/>
  <c r="J69" i="82"/>
  <c r="M97" i="82"/>
  <c r="L84" i="82"/>
  <c r="H122" i="82"/>
  <c r="K128" i="82"/>
  <c r="I113" i="82"/>
  <c r="G105" i="82"/>
  <c r="M61" i="82"/>
  <c r="H130" i="82"/>
  <c r="K127" i="82"/>
  <c r="H108" i="82"/>
  <c r="K105" i="82"/>
  <c r="N86" i="82"/>
  <c r="K85" i="82"/>
  <c r="N114" i="82"/>
  <c r="I68" i="82"/>
  <c r="N113" i="82"/>
  <c r="I84" i="82"/>
  <c r="I28" i="84"/>
  <c r="F74" i="82"/>
  <c r="F114" i="82"/>
  <c r="N143" i="82"/>
  <c r="G94" i="82"/>
  <c r="G134" i="82"/>
  <c r="J71" i="82"/>
  <c r="M69" i="82"/>
  <c r="E141" i="82"/>
  <c r="E62" i="82"/>
  <c r="L63" i="82"/>
  <c r="L116" i="82"/>
  <c r="N69" i="82"/>
  <c r="I78" i="82"/>
  <c r="K99" i="82"/>
  <c r="H134" i="82"/>
  <c r="K111" i="82"/>
  <c r="F73" i="82"/>
  <c r="J134" i="82"/>
  <c r="E96" i="82"/>
  <c r="L74" i="82"/>
  <c r="H120" i="82"/>
  <c r="G143" i="82"/>
  <c r="L117" i="82"/>
  <c r="L93" i="82"/>
  <c r="F142" i="82"/>
  <c r="G95" i="82"/>
  <c r="I139" i="82"/>
  <c r="K84" i="82"/>
  <c r="E72" i="82"/>
  <c r="H85" i="82"/>
  <c r="E68" i="82"/>
  <c r="H142" i="82"/>
  <c r="N89" i="82"/>
  <c r="E90" i="82"/>
  <c r="H67" i="82"/>
  <c r="L135" i="82"/>
  <c r="E113" i="82"/>
  <c r="N75" i="82"/>
  <c r="L138" i="82"/>
  <c r="I97" i="82"/>
  <c r="F76" i="82"/>
  <c r="H133" i="82"/>
  <c r="K144" i="82"/>
  <c r="J120" i="82"/>
  <c r="F95" i="82"/>
  <c r="J143" i="82"/>
  <c r="K96" i="82"/>
  <c r="M140" i="82"/>
  <c r="G61" i="82"/>
  <c r="E127" i="82"/>
  <c r="E85" i="82"/>
  <c r="L86" i="82"/>
  <c r="G107" i="82"/>
  <c r="F61" i="82"/>
  <c r="J95" i="82"/>
  <c r="E97" i="82"/>
  <c r="H74" i="82"/>
  <c r="F137" i="82"/>
  <c r="I114" i="82"/>
  <c r="H90" i="82"/>
  <c r="J141" i="82"/>
  <c r="M98" i="82"/>
  <c r="J77" i="82"/>
  <c r="F136" i="82"/>
  <c r="H69" i="82"/>
  <c r="J133" i="82"/>
  <c r="J96" i="82"/>
  <c r="G99" i="82"/>
  <c r="I99" i="82"/>
  <c r="E75" i="82"/>
  <c r="I61" i="82"/>
  <c r="I127" i="82"/>
  <c r="M94" i="82"/>
  <c r="M130" i="82"/>
  <c r="J62" i="82"/>
  <c r="N96" i="82"/>
  <c r="M99" i="82"/>
  <c r="F77" i="82"/>
  <c r="H141" i="82"/>
  <c r="M115" i="82"/>
  <c r="L91" i="82"/>
  <c r="H144" i="82"/>
  <c r="G113" i="82"/>
  <c r="N78" i="82"/>
  <c r="N138" i="82"/>
  <c r="L70" i="82"/>
  <c r="H136" i="82"/>
  <c r="H99" i="82"/>
  <c r="K100" i="82"/>
  <c r="M100" i="82"/>
  <c r="I76" i="82"/>
  <c r="G64" i="82"/>
  <c r="L76" i="82"/>
  <c r="J130" i="82"/>
  <c r="F78" i="82"/>
  <c r="N63" i="82"/>
  <c r="H98" i="82"/>
  <c r="G114" i="82"/>
  <c r="J91" i="82"/>
  <c r="F144" i="82"/>
  <c r="G117" i="82"/>
  <c r="F93" i="82"/>
  <c r="I135" i="82"/>
  <c r="E116" i="82"/>
  <c r="F89" i="82"/>
  <c r="F143" i="82"/>
  <c r="F72" i="82"/>
  <c r="J140" i="82"/>
  <c r="L100" i="82"/>
  <c r="E122" i="82"/>
  <c r="E111" i="82"/>
  <c r="E115" i="82"/>
  <c r="H106" i="82"/>
  <c r="M77" i="82"/>
  <c r="K73" i="82"/>
  <c r="L136" i="82"/>
  <c r="E106" i="82"/>
  <c r="L99" i="82"/>
  <c r="K115" i="82"/>
  <c r="N92" i="82"/>
  <c r="I67" i="82"/>
  <c r="I121" i="82"/>
  <c r="J94" i="82"/>
  <c r="K139" i="82"/>
  <c r="M118" i="82"/>
  <c r="J90" i="82"/>
  <c r="J144" i="82"/>
  <c r="N74" i="82"/>
  <c r="H143" i="82"/>
  <c r="H112" i="82"/>
  <c r="K69" i="82"/>
  <c r="G115" i="82"/>
  <c r="K133" i="82"/>
  <c r="N129" i="82"/>
  <c r="L83" i="82"/>
  <c r="E84" i="82"/>
  <c r="J139" i="82"/>
  <c r="G128" i="82"/>
  <c r="L119" i="82"/>
  <c r="E117" i="82"/>
  <c r="H94" i="82"/>
  <c r="K71" i="82"/>
  <c r="E133" i="82"/>
  <c r="N95" i="82"/>
  <c r="K67" i="82"/>
  <c r="G133" i="82"/>
  <c r="H93" i="82"/>
  <c r="M114" i="82"/>
  <c r="L77" i="82"/>
  <c r="L144" i="82"/>
  <c r="L113" i="82"/>
  <c r="E71" i="82"/>
  <c r="K116" i="82"/>
  <c r="E135" i="82"/>
  <c r="N97" i="82"/>
  <c r="L106" i="82"/>
  <c r="I85" i="82"/>
  <c r="N117" i="82"/>
  <c r="K129" i="82"/>
  <c r="J135" i="82"/>
  <c r="I118" i="82"/>
  <c r="L95" i="82"/>
  <c r="E73" i="82"/>
  <c r="M135" i="82"/>
  <c r="F100" i="82"/>
  <c r="E69" i="82"/>
  <c r="K134" i="82"/>
  <c r="F96" i="82"/>
  <c r="G116" i="82"/>
  <c r="L90" i="82"/>
  <c r="I143" i="82"/>
  <c r="F115" i="82"/>
  <c r="I72" i="82"/>
  <c r="E118" i="82"/>
  <c r="G139" i="82"/>
  <c r="M70" i="82"/>
  <c r="F108" i="82"/>
  <c r="M127" i="82"/>
  <c r="N141" i="82"/>
  <c r="E28" i="84"/>
  <c r="N136" i="82"/>
  <c r="M119" i="82"/>
  <c r="F97" i="82"/>
  <c r="I74" i="82"/>
  <c r="E140" i="82"/>
  <c r="F113" i="82"/>
  <c r="I70" i="82"/>
  <c r="E136" i="82"/>
  <c r="N98" i="82"/>
  <c r="K117" i="82"/>
  <c r="H96" i="82"/>
  <c r="M144" i="82"/>
  <c r="H119" i="82"/>
  <c r="K76" i="82"/>
  <c r="I119" i="82"/>
  <c r="M120" i="82"/>
  <c r="N85" i="82"/>
  <c r="E105" i="82"/>
  <c r="E114" i="82"/>
  <c r="K63" i="82"/>
  <c r="E61" i="82"/>
  <c r="F28" i="84"/>
  <c r="H138" i="82"/>
  <c r="E137" i="82"/>
  <c r="J111" i="82"/>
  <c r="M75" i="82"/>
  <c r="I141" i="82"/>
  <c r="N115" i="82"/>
  <c r="K74" i="82"/>
  <c r="I137" i="82"/>
  <c r="H113" i="82"/>
  <c r="E119" i="82"/>
  <c r="L97" i="82"/>
  <c r="F68" i="82"/>
  <c r="L120" i="82"/>
  <c r="E78" i="82"/>
  <c r="E171" i="83"/>
  <c r="F83" i="82"/>
  <c r="J84" i="82"/>
  <c r="M107" i="82"/>
  <c r="L64" i="82"/>
  <c r="M67" i="82"/>
  <c r="I89" i="82"/>
  <c r="E172" i="83"/>
  <c r="L139" i="82"/>
  <c r="M139" i="82"/>
  <c r="H114" i="82"/>
  <c r="G77" i="82"/>
  <c r="M142" i="82"/>
  <c r="F120" i="82"/>
  <c r="I77" i="82"/>
  <c r="M138" i="82"/>
  <c r="L114" i="82"/>
  <c r="M121" i="82"/>
  <c r="F99" i="82"/>
  <c r="H72" i="82"/>
  <c r="F122" i="82"/>
  <c r="K89" i="82"/>
  <c r="G122" i="82"/>
  <c r="E63" i="82"/>
  <c r="E94" i="82"/>
  <c r="G76" i="82"/>
  <c r="K119" i="82"/>
  <c r="I115" i="82"/>
  <c r="E70" i="82"/>
  <c r="E144" i="82"/>
  <c r="F117" i="82"/>
  <c r="K91" i="82"/>
  <c r="G144" i="82"/>
  <c r="J121" i="82"/>
  <c r="E89" i="82"/>
  <c r="E143" i="82"/>
  <c r="F116" i="82"/>
  <c r="M134" i="82"/>
  <c r="J100" i="82"/>
  <c r="F75" i="82"/>
  <c r="J136" i="82"/>
  <c r="E91" i="82"/>
  <c r="M133" i="82"/>
  <c r="H86" i="82"/>
  <c r="I105" i="82"/>
  <c r="J108" i="82"/>
  <c r="F128" i="82"/>
  <c r="F67" i="82"/>
  <c r="K75" i="82"/>
  <c r="E74" i="82"/>
  <c r="H121" i="82"/>
  <c r="I94" i="82"/>
  <c r="I122" i="82"/>
  <c r="N122" i="82"/>
  <c r="G93" i="82"/>
  <c r="L67" i="82"/>
  <c r="J117" i="82"/>
  <c r="K137" i="82"/>
  <c r="F112" i="82"/>
  <c r="J76" i="82"/>
  <c r="H139" i="82"/>
  <c r="I92" i="82"/>
  <c r="G135" i="82"/>
  <c r="N120" i="82"/>
  <c r="F105" i="82"/>
  <c r="M106" i="82"/>
  <c r="H62" i="82"/>
  <c r="J129" i="82"/>
  <c r="J68" i="82"/>
  <c r="E77" i="82"/>
  <c r="M76" i="82"/>
  <c r="L122" i="82"/>
  <c r="G97" i="82"/>
  <c r="H70" i="82"/>
  <c r="F133" i="82"/>
  <c r="K94" i="82"/>
  <c r="J70" i="82"/>
  <c r="N118" i="82"/>
  <c r="M141" i="82"/>
  <c r="J113" i="82"/>
  <c r="N77" i="82"/>
  <c r="L140" i="82"/>
  <c r="M93" i="82"/>
  <c r="E138" i="82"/>
  <c r="I14" i="86"/>
  <c r="H25" i="109"/>
  <c r="I68" i="118"/>
  <c r="D8" i="87"/>
  <c r="I29" i="85"/>
  <c r="I49" i="118"/>
  <c r="X172" i="83"/>
  <c r="X171" i="83"/>
  <c r="J43" i="78"/>
  <c r="E84" i="78" s="1"/>
  <c r="E68" i="72"/>
  <c r="E73" i="72" s="1"/>
  <c r="E55" i="72"/>
  <c r="F55" i="72"/>
  <c r="H48" i="79"/>
  <c r="I51" i="91" s="1"/>
  <c r="H52" i="79"/>
  <c r="E22" i="75"/>
  <c r="E19" i="75"/>
  <c r="H50" i="79"/>
  <c r="J92" i="95" s="1"/>
  <c r="H54" i="79"/>
  <c r="H49" i="79"/>
  <c r="H53" i="79"/>
  <c r="H51" i="79"/>
  <c r="O74" i="118" l="1"/>
  <c r="E74" i="118"/>
  <c r="I25" i="109"/>
  <c r="S25" i="109"/>
  <c r="J35" i="108"/>
  <c r="E20" i="84" a="1"/>
  <c r="N36" i="84" s="1"/>
  <c r="E48" i="88" a="1"/>
  <c r="E52" i="83" a="1"/>
  <c r="S94" i="90"/>
  <c r="I126" i="94"/>
  <c r="H226" i="84"/>
  <c r="J54" i="94"/>
  <c r="S99" i="90"/>
  <c r="I55" i="90"/>
  <c r="I53" i="118"/>
  <c r="I129" i="94"/>
  <c r="I33" i="85"/>
  <c r="E115" i="83" a="1"/>
  <c r="E115" i="83" s="1"/>
  <c r="I20" i="93"/>
  <c r="E68" i="83" a="1"/>
  <c r="E68" i="83" s="1"/>
  <c r="E56" i="88" a="1"/>
  <c r="E56" i="88" s="1"/>
  <c r="E119" i="84" a="1"/>
  <c r="E119" i="84" s="1"/>
  <c r="E23" i="72"/>
  <c r="F60" i="81" s="1"/>
  <c r="J38" i="109"/>
  <c r="J51" i="94"/>
  <c r="J15" i="118"/>
  <c r="V164" i="84" a="1"/>
  <c r="V164" i="84" s="1"/>
  <c r="I30" i="85"/>
  <c r="T86" i="118"/>
  <c r="J86" i="118"/>
  <c r="X115" i="83" a="1"/>
  <c r="X115" i="83" s="1"/>
  <c r="D46" i="109"/>
  <c r="N46" i="109"/>
  <c r="I50" i="118"/>
  <c r="V60" i="88" a="1"/>
  <c r="V60" i="88" s="1"/>
  <c r="X60" i="83" a="1"/>
  <c r="X60" i="83" s="1"/>
  <c r="V120" i="84" a="1"/>
  <c r="V120" i="84" s="1"/>
  <c r="E24" i="72"/>
  <c r="G60" i="81" s="1"/>
  <c r="J88" i="118"/>
  <c r="E153" i="84" a="1"/>
  <c r="E153" i="84" s="1"/>
  <c r="I34" i="86"/>
  <c r="I51" i="90"/>
  <c r="V20" i="84" a="1"/>
  <c r="AE47" i="84" s="1"/>
  <c r="V44" i="88" a="1"/>
  <c r="X44" i="83" a="1"/>
  <c r="K46" i="92"/>
  <c r="I16" i="77"/>
  <c r="I15" i="77"/>
  <c r="I14" i="77"/>
  <c r="I13" i="77"/>
  <c r="I12" i="77"/>
  <c r="I11" i="77"/>
  <c r="I10" i="77"/>
  <c r="I9" i="77"/>
  <c r="I8" i="77"/>
  <c r="I7" i="77"/>
  <c r="E10" i="76" a="1"/>
  <c r="E10" i="76" s="1"/>
  <c r="E9" i="76" a="1"/>
  <c r="E9" i="76" s="1"/>
  <c r="E46" i="109" l="1"/>
  <c r="E90" i="118"/>
  <c r="O90" i="118"/>
  <c r="R586" i="117" s="1"/>
  <c r="E55" i="118"/>
  <c r="O55" i="118"/>
  <c r="R585" i="117" s="1"/>
  <c r="H27" i="93"/>
  <c r="H28" i="93"/>
  <c r="H26" i="93"/>
  <c r="H29" i="93"/>
  <c r="H25" i="93"/>
  <c r="O46" i="109"/>
  <c r="O48" i="109" s="1"/>
  <c r="Q50" i="109" s="1"/>
  <c r="O53" i="109" s="1" a="1"/>
  <c r="O53" i="109" s="1"/>
  <c r="AC47" i="84"/>
  <c r="AD47" i="84"/>
  <c r="AA47" i="84"/>
  <c r="AB47" i="84"/>
  <c r="Y47" i="84"/>
  <c r="Z47" i="84"/>
  <c r="W47" i="84"/>
  <c r="X47" i="84"/>
  <c r="AE46" i="84"/>
  <c r="V47" i="84"/>
  <c r="AC46" i="84"/>
  <c r="AD46" i="84"/>
  <c r="AA46" i="84"/>
  <c r="AB46" i="84"/>
  <c r="Y46" i="84"/>
  <c r="Z46" i="84"/>
  <c r="W46" i="84"/>
  <c r="X46" i="84"/>
  <c r="AE45" i="84"/>
  <c r="V46" i="84"/>
  <c r="AC45" i="84"/>
  <c r="AD45" i="84"/>
  <c r="AA45" i="84"/>
  <c r="AB45" i="84"/>
  <c r="Y45" i="84"/>
  <c r="Z45" i="84"/>
  <c r="W45" i="84"/>
  <c r="X45" i="84"/>
  <c r="AE44" i="84"/>
  <c r="V45" i="84"/>
  <c r="AC44" i="84"/>
  <c r="AD44" i="84"/>
  <c r="AA44" i="84"/>
  <c r="AB44" i="84"/>
  <c r="Y44" i="84"/>
  <c r="Z44" i="84"/>
  <c r="W44" i="84"/>
  <c r="X44" i="84"/>
  <c r="AE43" i="84"/>
  <c r="V44" i="84"/>
  <c r="AC43" i="84"/>
  <c r="AD43" i="84"/>
  <c r="AA43" i="84"/>
  <c r="AB43" i="84"/>
  <c r="Y43" i="84"/>
  <c r="Z43" i="84"/>
  <c r="W43" i="84"/>
  <c r="X43" i="84"/>
  <c r="AE42" i="84"/>
  <c r="V43" i="84"/>
  <c r="AC42" i="84"/>
  <c r="AD42" i="84"/>
  <c r="AA42" i="84"/>
  <c r="AB42" i="84"/>
  <c r="Y42" i="84"/>
  <c r="Z42" i="84"/>
  <c r="W42" i="84"/>
  <c r="X42" i="84"/>
  <c r="AE41" i="84"/>
  <c r="V42" i="84"/>
  <c r="AC41" i="84"/>
  <c r="AD41" i="84"/>
  <c r="AA41" i="84"/>
  <c r="AB41" i="84"/>
  <c r="Y41" i="84"/>
  <c r="Z41" i="84"/>
  <c r="W41" i="84"/>
  <c r="X41" i="84"/>
  <c r="AE40" i="84"/>
  <c r="V41" i="84"/>
  <c r="AC40" i="84"/>
  <c r="AD40" i="84"/>
  <c r="AA40" i="84"/>
  <c r="AB40" i="84"/>
  <c r="Y40" i="84"/>
  <c r="Z40" i="84"/>
  <c r="W40" i="84"/>
  <c r="X40" i="84"/>
  <c r="AE39" i="84"/>
  <c r="V40" i="84"/>
  <c r="AC39" i="84"/>
  <c r="AD39" i="84"/>
  <c r="AA39" i="84"/>
  <c r="AB39" i="84"/>
  <c r="Y39" i="84"/>
  <c r="Z39" i="84"/>
  <c r="W39" i="84"/>
  <c r="X39" i="84"/>
  <c r="AE38" i="84"/>
  <c r="V39" i="84"/>
  <c r="AC38" i="84"/>
  <c r="AD38" i="84"/>
  <c r="AA38" i="84"/>
  <c r="AB38" i="84"/>
  <c r="Y38" i="84"/>
  <c r="Z38" i="84"/>
  <c r="W38" i="84"/>
  <c r="X38" i="84"/>
  <c r="AE37" i="84"/>
  <c r="V38" i="84"/>
  <c r="AC37" i="84"/>
  <c r="AD37" i="84"/>
  <c r="AA37" i="84"/>
  <c r="AB37" i="84"/>
  <c r="Y37" i="84"/>
  <c r="Z37" i="84"/>
  <c r="W37" i="84"/>
  <c r="X37" i="84"/>
  <c r="AE36" i="84"/>
  <c r="V37" i="84"/>
  <c r="AC36" i="84"/>
  <c r="AD36" i="84"/>
  <c r="AA36" i="84"/>
  <c r="AB36" i="84"/>
  <c r="Y36" i="84"/>
  <c r="Z36" i="84"/>
  <c r="W36" i="84"/>
  <c r="X36" i="84"/>
  <c r="L36" i="84"/>
  <c r="M36" i="84"/>
  <c r="J36" i="84"/>
  <c r="K36" i="84"/>
  <c r="H36" i="84"/>
  <c r="I36" i="84"/>
  <c r="F36" i="84"/>
  <c r="G36" i="84"/>
  <c r="N35" i="84"/>
  <c r="E36" i="84"/>
  <c r="L35" i="84"/>
  <c r="M35" i="84"/>
  <c r="J35" i="84"/>
  <c r="K35" i="84"/>
  <c r="H35" i="84"/>
  <c r="I35" i="84"/>
  <c r="F35" i="84"/>
  <c r="G35" i="84"/>
  <c r="N34" i="84"/>
  <c r="E35" i="84"/>
  <c r="L34" i="84"/>
  <c r="M34" i="84"/>
  <c r="J34" i="84"/>
  <c r="K34" i="84"/>
  <c r="H34" i="84"/>
  <c r="I34" i="84"/>
  <c r="F34" i="84"/>
  <c r="G34" i="84"/>
  <c r="N33" i="84"/>
  <c r="E34" i="84"/>
  <c r="L33" i="84"/>
  <c r="M33" i="84"/>
  <c r="J33" i="84"/>
  <c r="K33" i="84"/>
  <c r="H33" i="84"/>
  <c r="I33" i="84"/>
  <c r="F33" i="84"/>
  <c r="G33" i="84"/>
  <c r="M87" i="83"/>
  <c r="M134" i="83" s="1"/>
  <c r="N87" i="83"/>
  <c r="N134" i="83" s="1"/>
  <c r="K87" i="83"/>
  <c r="K134" i="83" s="1"/>
  <c r="L87" i="83"/>
  <c r="L134" i="83" s="1"/>
  <c r="I87" i="83"/>
  <c r="I134" i="83" s="1"/>
  <c r="J87" i="83"/>
  <c r="J134" i="83" s="1"/>
  <c r="G87" i="83"/>
  <c r="G134" i="83" s="1"/>
  <c r="H87" i="83"/>
  <c r="H134" i="83" s="1"/>
  <c r="E87" i="83"/>
  <c r="E134" i="83" s="1"/>
  <c r="F87" i="83"/>
  <c r="F134" i="83" s="1"/>
  <c r="M86" i="83"/>
  <c r="M133" i="83" s="1"/>
  <c r="N86" i="83"/>
  <c r="N133" i="83" s="1"/>
  <c r="K86" i="83"/>
  <c r="K133" i="83" s="1"/>
  <c r="L86" i="83"/>
  <c r="L133" i="83" s="1"/>
  <c r="I86" i="83"/>
  <c r="I133" i="83" s="1"/>
  <c r="J86" i="83"/>
  <c r="J133" i="83" s="1"/>
  <c r="H86" i="83"/>
  <c r="H133" i="83" s="1"/>
  <c r="F86" i="83"/>
  <c r="F133" i="83" s="1"/>
  <c r="G86" i="83"/>
  <c r="G133" i="83" s="1"/>
  <c r="E86" i="83"/>
  <c r="E133" i="83" s="1"/>
  <c r="M85" i="83"/>
  <c r="M132" i="83" s="1"/>
  <c r="N85" i="83"/>
  <c r="N132" i="83" s="1"/>
  <c r="L85" i="83"/>
  <c r="L132" i="83" s="1"/>
  <c r="J85" i="83"/>
  <c r="J132" i="83" s="1"/>
  <c r="K85" i="83"/>
  <c r="K132" i="83" s="1"/>
  <c r="H85" i="83"/>
  <c r="H132" i="83" s="1"/>
  <c r="I85" i="83"/>
  <c r="I132" i="83" s="1"/>
  <c r="F85" i="83"/>
  <c r="F132" i="83" s="1"/>
  <c r="G85" i="83"/>
  <c r="G132" i="83" s="1"/>
  <c r="N84" i="83"/>
  <c r="N131" i="83" s="1"/>
  <c r="E85" i="83"/>
  <c r="E132" i="83" s="1"/>
  <c r="L84" i="83"/>
  <c r="L131" i="83" s="1"/>
  <c r="M84" i="83"/>
  <c r="M131" i="83" s="1"/>
  <c r="J84" i="83"/>
  <c r="J131" i="83" s="1"/>
  <c r="K84" i="83"/>
  <c r="K131" i="83" s="1"/>
  <c r="H84" i="83"/>
  <c r="H131" i="83" s="1"/>
  <c r="I84" i="83"/>
  <c r="I131" i="83" s="1"/>
  <c r="F84" i="83"/>
  <c r="F131" i="83" s="1"/>
  <c r="G84" i="83"/>
  <c r="G131" i="83" s="1"/>
  <c r="AG87" i="83"/>
  <c r="AG142" i="83" s="1"/>
  <c r="AE87" i="83"/>
  <c r="AE142" i="83" s="1"/>
  <c r="AF87" i="83"/>
  <c r="AF142" i="83" s="1"/>
  <c r="AD87" i="83"/>
  <c r="AD142" i="83" s="1"/>
  <c r="AC87" i="83"/>
  <c r="AC142" i="83" s="1"/>
  <c r="AA87" i="83"/>
  <c r="AA142" i="83" s="1"/>
  <c r="AB87" i="83"/>
  <c r="AB142" i="83" s="1"/>
  <c r="Z87" i="83"/>
  <c r="Z142" i="83" s="1"/>
  <c r="X87" i="83"/>
  <c r="X142" i="83" s="1"/>
  <c r="Y87" i="83"/>
  <c r="Y142" i="83" s="1"/>
  <c r="AG86" i="83"/>
  <c r="AG141" i="83" s="1"/>
  <c r="AE86" i="83"/>
  <c r="AE141" i="83" s="1"/>
  <c r="AF86" i="83"/>
  <c r="AF141" i="83" s="1"/>
  <c r="AC86" i="83"/>
  <c r="AC141" i="83" s="1"/>
  <c r="AD86" i="83"/>
  <c r="AD141" i="83" s="1"/>
  <c r="AA86" i="83"/>
  <c r="AA141" i="83" s="1"/>
  <c r="AB86" i="83"/>
  <c r="AB141" i="83" s="1"/>
  <c r="Z86" i="83"/>
  <c r="Z141" i="83" s="1"/>
  <c r="Y86" i="83"/>
  <c r="Y141" i="83" s="1"/>
  <c r="X86" i="83"/>
  <c r="X141" i="83" s="1"/>
  <c r="AF85" i="83"/>
  <c r="AF140" i="83" s="1"/>
  <c r="AG85" i="83"/>
  <c r="AG140" i="83" s="1"/>
  <c r="AD85" i="83"/>
  <c r="AD140" i="83" s="1"/>
  <c r="AE85" i="83"/>
  <c r="AE140" i="83" s="1"/>
  <c r="AB85" i="83"/>
  <c r="AB140" i="83" s="1"/>
  <c r="AC85" i="83"/>
  <c r="AC140" i="83" s="1"/>
  <c r="AA85" i="83"/>
  <c r="AA140" i="83" s="1"/>
  <c r="Z85" i="83"/>
  <c r="Z140" i="83" s="1"/>
  <c r="X85" i="83"/>
  <c r="X140" i="83" s="1"/>
  <c r="Y85" i="83"/>
  <c r="Y140" i="83" s="1"/>
  <c r="AF84" i="83"/>
  <c r="AF139" i="83" s="1"/>
  <c r="AG84" i="83"/>
  <c r="AG139" i="83" s="1"/>
  <c r="AD84" i="83"/>
  <c r="AD139" i="83" s="1"/>
  <c r="AE84" i="83"/>
  <c r="AE139" i="83" s="1"/>
  <c r="AC84" i="83"/>
  <c r="AC139" i="83" s="1"/>
  <c r="AA84" i="83"/>
  <c r="AA139" i="83" s="1"/>
  <c r="AB84" i="83"/>
  <c r="AB139" i="83" s="1"/>
  <c r="Y84" i="83"/>
  <c r="Y139" i="83" s="1"/>
  <c r="Z84" i="83"/>
  <c r="Z139" i="83" s="1"/>
  <c r="AG83" i="83"/>
  <c r="AG138" i="83" s="1"/>
  <c r="X84" i="83"/>
  <c r="X139" i="83" s="1"/>
  <c r="AE83" i="83"/>
  <c r="AE138" i="83" s="1"/>
  <c r="AF83" i="83"/>
  <c r="AF138" i="83" s="1"/>
  <c r="AC83" i="83"/>
  <c r="AC138" i="83" s="1"/>
  <c r="AD83" i="83"/>
  <c r="AD138" i="83" s="1"/>
  <c r="AA83" i="83"/>
  <c r="AA138" i="83" s="1"/>
  <c r="AB83" i="83"/>
  <c r="AB138" i="83" s="1"/>
  <c r="Y83" i="83"/>
  <c r="Y138" i="83" s="1"/>
  <c r="Z83" i="83"/>
  <c r="Z138" i="83" s="1"/>
  <c r="AG82" i="83"/>
  <c r="AG137" i="83" s="1"/>
  <c r="X83" i="83"/>
  <c r="X138" i="83" s="1"/>
  <c r="AE82" i="83"/>
  <c r="AE137" i="83" s="1"/>
  <c r="AF82" i="83"/>
  <c r="AF137" i="83" s="1"/>
  <c r="AD82" i="83"/>
  <c r="AD137" i="83" s="1"/>
  <c r="AC82" i="83"/>
  <c r="AC137" i="83" s="1"/>
  <c r="AB82" i="83"/>
  <c r="AB137" i="83" s="1"/>
  <c r="Z82" i="83"/>
  <c r="Z137" i="83" s="1"/>
  <c r="AA82" i="83"/>
  <c r="AA137" i="83" s="1"/>
  <c r="X82" i="83"/>
  <c r="X137" i="83" s="1"/>
  <c r="Y82" i="83"/>
  <c r="Y137" i="83" s="1"/>
  <c r="AF81" i="83"/>
  <c r="AF136" i="83" s="1"/>
  <c r="AG81" i="83"/>
  <c r="AG136" i="83" s="1"/>
  <c r="AE81" i="83"/>
  <c r="AE136" i="83" s="1"/>
  <c r="AD81" i="83"/>
  <c r="AD136" i="83" s="1"/>
  <c r="AB81" i="83"/>
  <c r="AB136" i="83" s="1"/>
  <c r="AC81" i="83"/>
  <c r="AC136" i="83" s="1"/>
  <c r="Z81" i="83"/>
  <c r="Z136" i="83" s="1"/>
  <c r="AA81" i="83"/>
  <c r="AA136" i="83" s="1"/>
  <c r="X81" i="83"/>
  <c r="X136" i="83" s="1"/>
  <c r="Y81" i="83"/>
  <c r="Y136" i="83" s="1"/>
  <c r="AF80" i="83"/>
  <c r="AF135" i="83" s="1"/>
  <c r="AG80" i="83"/>
  <c r="AG135" i="83" s="1"/>
  <c r="AD80" i="83"/>
  <c r="AD135" i="83" s="1"/>
  <c r="AE80" i="83"/>
  <c r="AE135" i="83" s="1"/>
  <c r="AB80" i="83"/>
  <c r="AB135" i="83" s="1"/>
  <c r="AC80" i="83"/>
  <c r="AC135" i="83" s="1"/>
  <c r="Z80" i="83"/>
  <c r="Z135" i="83" s="1"/>
  <c r="AA80" i="83"/>
  <c r="AA135" i="83" s="1"/>
  <c r="X80" i="83"/>
  <c r="X135" i="83" s="1"/>
  <c r="Y80" i="83"/>
  <c r="Y135" i="83" s="1"/>
  <c r="AF79" i="83"/>
  <c r="AF134" i="83" s="1"/>
  <c r="AG79" i="83"/>
  <c r="AG134" i="83" s="1"/>
  <c r="AD79" i="83"/>
  <c r="AD134" i="83" s="1"/>
  <c r="AE79" i="83"/>
  <c r="AE134" i="83" s="1"/>
  <c r="AB79" i="83"/>
  <c r="AB134" i="83" s="1"/>
  <c r="AC79" i="83"/>
  <c r="AC134" i="83" s="1"/>
  <c r="Z79" i="83"/>
  <c r="Z134" i="83" s="1"/>
  <c r="AA79" i="83"/>
  <c r="AA134" i="83" s="1"/>
  <c r="X79" i="83"/>
  <c r="X134" i="83" s="1"/>
  <c r="Y79" i="83"/>
  <c r="Y134" i="83" s="1"/>
  <c r="AF78" i="83"/>
  <c r="AF133" i="83" s="1"/>
  <c r="AG78" i="83"/>
  <c r="AG133" i="83" s="1"/>
  <c r="AD78" i="83"/>
  <c r="AD133" i="83" s="1"/>
  <c r="AE78" i="83"/>
  <c r="AE133" i="83" s="1"/>
  <c r="AB78" i="83"/>
  <c r="AB133" i="83" s="1"/>
  <c r="AC78" i="83"/>
  <c r="AC133" i="83" s="1"/>
  <c r="Z78" i="83"/>
  <c r="Z133" i="83" s="1"/>
  <c r="AA78" i="83"/>
  <c r="AA133" i="83" s="1"/>
  <c r="X78" i="83"/>
  <c r="X133" i="83" s="1"/>
  <c r="Y78" i="83"/>
  <c r="Y133" i="83" s="1"/>
  <c r="AF77" i="83"/>
  <c r="AF132" i="83" s="1"/>
  <c r="AG77" i="83"/>
  <c r="AG132" i="83" s="1"/>
  <c r="AD77" i="83"/>
  <c r="AD132" i="83" s="1"/>
  <c r="AE77" i="83"/>
  <c r="AE132" i="83" s="1"/>
  <c r="AC77" i="83"/>
  <c r="AC132" i="83" s="1"/>
  <c r="AB77" i="83"/>
  <c r="AB132" i="83" s="1"/>
  <c r="AA77" i="83"/>
  <c r="AA132" i="83" s="1"/>
  <c r="Y77" i="83"/>
  <c r="Y132" i="83" s="1"/>
  <c r="Z77" i="83"/>
  <c r="Z132" i="83" s="1"/>
  <c r="AG76" i="83"/>
  <c r="AG131" i="83" s="1"/>
  <c r="X77" i="83"/>
  <c r="X132" i="83" s="1"/>
  <c r="AF76" i="83"/>
  <c r="AF131" i="83" s="1"/>
  <c r="AD76" i="83"/>
  <c r="AD131" i="83" s="1"/>
  <c r="AE76" i="83"/>
  <c r="AE131" i="83" s="1"/>
  <c r="AC76" i="83"/>
  <c r="AC131" i="83" s="1"/>
  <c r="AA76" i="83"/>
  <c r="AA131" i="83" s="1"/>
  <c r="AB76" i="83"/>
  <c r="AB131" i="83" s="1"/>
  <c r="Y76" i="83"/>
  <c r="Y131" i="83" s="1"/>
  <c r="Z76" i="83"/>
  <c r="Z131" i="83" s="1"/>
  <c r="AE87" i="88"/>
  <c r="AE108" i="88" s="1"/>
  <c r="AE160" i="88" s="1"/>
  <c r="AC87" i="88"/>
  <c r="AD87" i="88"/>
  <c r="AD108" i="88" s="1"/>
  <c r="AD160" i="88" s="1"/>
  <c r="AA87" i="88"/>
  <c r="AA108" i="88" s="1"/>
  <c r="AA160" i="88" s="1"/>
  <c r="AB87" i="88"/>
  <c r="Y87" i="88"/>
  <c r="Y108" i="88" s="1"/>
  <c r="Y160" i="88" s="1"/>
  <c r="Z87" i="88"/>
  <c r="Z108" i="88" s="1"/>
  <c r="Z160" i="88" s="1"/>
  <c r="W87" i="88"/>
  <c r="X87" i="88"/>
  <c r="AE86" i="88"/>
  <c r="V87" i="88"/>
  <c r="AC86" i="88"/>
  <c r="AD86" i="88"/>
  <c r="AA86" i="88"/>
  <c r="AB86" i="88"/>
  <c r="Z86" i="88"/>
  <c r="Y86" i="88"/>
  <c r="X86" i="88"/>
  <c r="X107" i="88" s="1"/>
  <c r="X159" i="88" s="1"/>
  <c r="V86" i="88"/>
  <c r="W86" i="88"/>
  <c r="W107" i="88" s="1"/>
  <c r="W159" i="88" s="1"/>
  <c r="AE85" i="88"/>
  <c r="AC85" i="88"/>
  <c r="AD85" i="88"/>
  <c r="AA85" i="88"/>
  <c r="AB85" i="88"/>
  <c r="Z85" i="88"/>
  <c r="X85" i="88"/>
  <c r="Y85" i="88"/>
  <c r="W85" i="88"/>
  <c r="AE84" i="88"/>
  <c r="V85" i="88"/>
  <c r="AD84" i="88"/>
  <c r="AB84" i="88"/>
  <c r="AC84" i="88"/>
  <c r="AC105" i="88" s="1"/>
  <c r="AC157" i="88" s="1"/>
  <c r="AA84" i="88"/>
  <c r="Z84" i="88"/>
  <c r="X84" i="88"/>
  <c r="Y84" i="88"/>
  <c r="V84" i="88"/>
  <c r="W84" i="88"/>
  <c r="AE83" i="88"/>
  <c r="AC83" i="88"/>
  <c r="AD83" i="88"/>
  <c r="AA83" i="88"/>
  <c r="AB83" i="88"/>
  <c r="Y83" i="88"/>
  <c r="Z83" i="88"/>
  <c r="W83" i="88"/>
  <c r="W104" i="88" s="1"/>
  <c r="W156" i="88" s="1"/>
  <c r="X83" i="88"/>
  <c r="AE82" i="88"/>
  <c r="V83" i="88"/>
  <c r="AD82" i="88"/>
  <c r="AB82" i="88"/>
  <c r="AC82" i="88"/>
  <c r="Z82" i="88"/>
  <c r="AA82" i="88"/>
  <c r="X82" i="88"/>
  <c r="Y82" i="88"/>
  <c r="V82" i="88"/>
  <c r="W82" i="88"/>
  <c r="AD81" i="88"/>
  <c r="AE81" i="88"/>
  <c r="AB81" i="88"/>
  <c r="AC81" i="88"/>
  <c r="Z81" i="88"/>
  <c r="AA81" i="88"/>
  <c r="X81" i="88"/>
  <c r="Y81" i="88"/>
  <c r="V81" i="88"/>
  <c r="W81" i="88"/>
  <c r="AD80" i="88"/>
  <c r="AE80" i="88"/>
  <c r="AB80" i="88"/>
  <c r="AC80" i="88"/>
  <c r="Z80" i="88"/>
  <c r="AA80" i="88"/>
  <c r="Y80" i="88"/>
  <c r="W80" i="88"/>
  <c r="X80" i="88"/>
  <c r="AE79" i="88"/>
  <c r="V80" i="88"/>
  <c r="AC79" i="88"/>
  <c r="AD79" i="88"/>
  <c r="AA79" i="88"/>
  <c r="AB79" i="88"/>
  <c r="Y79" i="88"/>
  <c r="Z79" i="88"/>
  <c r="W79" i="88"/>
  <c r="X79" i="88"/>
  <c r="AE78" i="88"/>
  <c r="V79" i="88"/>
  <c r="AC78" i="88"/>
  <c r="AD78" i="88"/>
  <c r="AA78" i="88"/>
  <c r="AB78" i="88"/>
  <c r="Y78" i="88"/>
  <c r="Z78" i="88"/>
  <c r="W78" i="88"/>
  <c r="X78" i="88"/>
  <c r="AE77" i="88"/>
  <c r="V78" i="88"/>
  <c r="AD77" i="88"/>
  <c r="AC77" i="88"/>
  <c r="AA77" i="88"/>
  <c r="AB77" i="88"/>
  <c r="Z77" i="88"/>
  <c r="Y77" i="88"/>
  <c r="W77" i="88"/>
  <c r="X77" i="88"/>
  <c r="AE76" i="88"/>
  <c r="V77" i="88"/>
  <c r="AC76" i="88"/>
  <c r="AD76" i="88"/>
  <c r="AA76" i="88"/>
  <c r="AB76" i="88"/>
  <c r="Y76" i="88"/>
  <c r="Z76" i="88"/>
  <c r="W76" i="88"/>
  <c r="X76" i="88"/>
  <c r="N67" i="88"/>
  <c r="L67" i="88"/>
  <c r="M67" i="88"/>
  <c r="K67" i="88"/>
  <c r="J67" i="88"/>
  <c r="H67" i="88"/>
  <c r="I67" i="88"/>
  <c r="G67" i="88"/>
  <c r="E67" i="88"/>
  <c r="F67" i="88"/>
  <c r="M66" i="88"/>
  <c r="N66" i="88"/>
  <c r="K66" i="88"/>
  <c r="L66" i="88"/>
  <c r="I66" i="88"/>
  <c r="J66" i="88"/>
  <c r="H66" i="88"/>
  <c r="G66" i="88"/>
  <c r="F66" i="88"/>
  <c r="E66" i="88"/>
  <c r="M65" i="88"/>
  <c r="N65" i="88"/>
  <c r="K65" i="88"/>
  <c r="L65" i="88"/>
  <c r="I65" i="88"/>
  <c r="J65" i="88"/>
  <c r="H65" i="88"/>
  <c r="F65" i="88"/>
  <c r="G65" i="88"/>
  <c r="E65" i="88"/>
  <c r="N64" i="88"/>
  <c r="L64" i="88"/>
  <c r="M64" i="88"/>
  <c r="J64" i="88"/>
  <c r="K64" i="88"/>
  <c r="I64" i="88"/>
  <c r="H64" i="88"/>
  <c r="F64" i="88"/>
  <c r="G64" i="88"/>
  <c r="X44" i="83"/>
  <c r="V44" i="88"/>
  <c r="F29" i="89"/>
  <c r="G29" i="89" s="1"/>
  <c r="G12" i="89"/>
  <c r="H54" i="89"/>
  <c r="F28" i="89"/>
  <c r="G28" i="89" s="1"/>
  <c r="F27" i="89"/>
  <c r="G27" i="89" s="1"/>
  <c r="F44" i="89"/>
  <c r="G44" i="89" s="1"/>
  <c r="F25" i="89"/>
  <c r="G21" i="89"/>
  <c r="I21" i="89" s="1"/>
  <c r="H56" i="89"/>
  <c r="F32" i="89"/>
  <c r="G32" i="89" s="1"/>
  <c r="G15" i="89"/>
  <c r="I15" i="89" s="1"/>
  <c r="F31" i="89"/>
  <c r="G31" i="89" s="1"/>
  <c r="G14" i="89"/>
  <c r="I14" i="89" s="1"/>
  <c r="H55" i="89"/>
  <c r="F30" i="89"/>
  <c r="G30" i="89" s="1"/>
  <c r="G13" i="89"/>
  <c r="I13" i="89" s="1"/>
  <c r="G17" i="89"/>
  <c r="I17" i="89" s="1"/>
  <c r="F43" i="89"/>
  <c r="G43" i="89" s="1"/>
  <c r="F34" i="89"/>
  <c r="G34" i="89" s="1"/>
  <c r="G16" i="89"/>
  <c r="I16" i="89" s="1"/>
  <c r="F33" i="89"/>
  <c r="G33" i="89" s="1"/>
  <c r="F26" i="89"/>
  <c r="G26" i="89" s="1"/>
  <c r="F42" i="89"/>
  <c r="G42" i="89" s="1"/>
  <c r="G20" i="89"/>
  <c r="I20" i="89" s="1"/>
  <c r="G19" i="89"/>
  <c r="I19" i="89" s="1"/>
  <c r="G18" i="89"/>
  <c r="I18" i="89" s="1"/>
  <c r="V20" i="84"/>
  <c r="V36" i="84" s="1"/>
  <c r="I54" i="90"/>
  <c r="I50" i="90" s="1"/>
  <c r="I60" i="95"/>
  <c r="I56" i="95" s="1"/>
  <c r="J53" i="94"/>
  <c r="J50" i="94" s="1"/>
  <c r="S98" i="90"/>
  <c r="I128" i="94"/>
  <c r="I125" i="94" s="1"/>
  <c r="F137" i="94" s="1"/>
  <c r="I18" i="95"/>
  <c r="I14" i="95" s="1"/>
  <c r="E22" i="72"/>
  <c r="E52" i="83"/>
  <c r="E48" i="88"/>
  <c r="E20" i="84"/>
  <c r="E33" i="84" s="1"/>
  <c r="E48" i="109"/>
  <c r="G50" i="109" s="1"/>
  <c r="E53" i="109" s="1" a="1"/>
  <c r="E53" i="109" s="1"/>
  <c r="E29" i="72"/>
  <c r="F69" i="95" l="1"/>
  <c r="F74" i="95"/>
  <c r="F67" i="95"/>
  <c r="F65" i="95"/>
  <c r="F73" i="95"/>
  <c r="F75" i="95"/>
  <c r="F72" i="95"/>
  <c r="F68" i="95"/>
  <c r="F66" i="95"/>
  <c r="F71" i="95"/>
  <c r="F70" i="95"/>
  <c r="F144" i="94"/>
  <c r="F140" i="94"/>
  <c r="F143" i="94"/>
  <c r="F141" i="94"/>
  <c r="F139" i="94"/>
  <c r="F138" i="94"/>
  <c r="F142" i="94"/>
  <c r="AH188" i="83"/>
  <c r="AH262" i="83" s="1"/>
  <c r="AH200" i="83"/>
  <c r="AH274" i="83" s="1"/>
  <c r="AG188" i="83"/>
  <c r="AG262" i="83" s="1"/>
  <c r="AG200" i="83"/>
  <c r="AG274" i="83" s="1"/>
  <c r="AF188" i="83"/>
  <c r="AF262" i="83" s="1"/>
  <c r="AF200" i="83"/>
  <c r="AF274" i="83" s="1"/>
  <c r="AE188" i="83"/>
  <c r="AE262" i="83" s="1"/>
  <c r="AE200" i="83"/>
  <c r="AE274" i="83" s="1"/>
  <c r="AD188" i="83"/>
  <c r="AD262" i="83" s="1"/>
  <c r="AD200" i="83"/>
  <c r="AD274" i="83" s="1"/>
  <c r="AC188" i="83"/>
  <c r="AC262" i="83" s="1"/>
  <c r="AC200" i="83"/>
  <c r="AC274" i="83" s="1"/>
  <c r="AB188" i="83"/>
  <c r="AB262" i="83" s="1"/>
  <c r="AB200" i="83"/>
  <c r="AB274" i="83" s="1"/>
  <c r="AA188" i="83"/>
  <c r="AA262" i="83" s="1"/>
  <c r="AA200" i="83"/>
  <c r="AA274" i="83" s="1"/>
  <c r="Z188" i="83"/>
  <c r="Z262" i="83" s="1"/>
  <c r="Z200" i="83"/>
  <c r="Z274" i="83" s="1"/>
  <c r="Y188" i="83"/>
  <c r="Y262" i="83" s="1"/>
  <c r="Y200" i="83"/>
  <c r="Y274" i="83" s="1"/>
  <c r="AH187" i="83"/>
  <c r="AH261" i="83" s="1"/>
  <c r="AH199" i="83"/>
  <c r="AH273" i="83" s="1"/>
  <c r="AG187" i="83"/>
  <c r="AG261" i="83" s="1"/>
  <c r="AG199" i="83"/>
  <c r="AG273" i="83" s="1"/>
  <c r="AF187" i="83"/>
  <c r="AF261" i="83" s="1"/>
  <c r="AF199" i="83"/>
  <c r="AF273" i="83" s="1"/>
  <c r="AE187" i="83"/>
  <c r="AE261" i="83" s="1"/>
  <c r="AE199" i="83"/>
  <c r="AE273" i="83" s="1"/>
  <c r="AD187" i="83"/>
  <c r="AD261" i="83" s="1"/>
  <c r="AD199" i="83"/>
  <c r="AD273" i="83" s="1"/>
  <c r="AC187" i="83"/>
  <c r="AC261" i="83" s="1"/>
  <c r="AC199" i="83"/>
  <c r="AC273" i="83" s="1"/>
  <c r="AB187" i="83"/>
  <c r="AB261" i="83" s="1"/>
  <c r="AB199" i="83"/>
  <c r="AB273" i="83" s="1"/>
  <c r="AA187" i="83"/>
  <c r="AA261" i="83" s="1"/>
  <c r="AA199" i="83"/>
  <c r="AA273" i="83" s="1"/>
  <c r="Z187" i="83"/>
  <c r="Z261" i="83" s="1"/>
  <c r="Z199" i="83"/>
  <c r="Z273" i="83" s="1"/>
  <c r="Y187" i="83"/>
  <c r="Y261" i="83" s="1"/>
  <c r="Y199" i="83"/>
  <c r="Y273" i="83" s="1"/>
  <c r="AH186" i="83"/>
  <c r="AH260" i="83" s="1"/>
  <c r="AH198" i="83"/>
  <c r="AH272" i="83" s="1"/>
  <c r="AG186" i="83"/>
  <c r="AG260" i="83" s="1"/>
  <c r="AG198" i="83"/>
  <c r="AG272" i="83" s="1"/>
  <c r="AF186" i="83"/>
  <c r="AF260" i="83" s="1"/>
  <c r="AF198" i="83"/>
  <c r="AF272" i="83" s="1"/>
  <c r="AE186" i="83"/>
  <c r="AE260" i="83" s="1"/>
  <c r="AE198" i="83"/>
  <c r="AE272" i="83" s="1"/>
  <c r="AD186" i="83"/>
  <c r="AD260" i="83" s="1"/>
  <c r="AD198" i="83"/>
  <c r="AD272" i="83" s="1"/>
  <c r="AC186" i="83"/>
  <c r="AC260" i="83" s="1"/>
  <c r="AC198" i="83"/>
  <c r="AC272" i="83" s="1"/>
  <c r="AB186" i="83"/>
  <c r="AB260" i="83" s="1"/>
  <c r="AB198" i="83"/>
  <c r="AB272" i="83" s="1"/>
  <c r="AA186" i="83"/>
  <c r="AA260" i="83" s="1"/>
  <c r="AA198" i="83"/>
  <c r="AA272" i="83" s="1"/>
  <c r="Z186" i="83"/>
  <c r="Z260" i="83" s="1"/>
  <c r="Z198" i="83"/>
  <c r="Z272" i="83" s="1"/>
  <c r="Y186" i="83"/>
  <c r="Y260" i="83" s="1"/>
  <c r="Y198" i="83"/>
  <c r="Y272" i="83" s="1"/>
  <c r="AH185" i="83"/>
  <c r="AH259" i="83" s="1"/>
  <c r="AH197" i="83"/>
  <c r="AH271" i="83" s="1"/>
  <c r="AG185" i="83"/>
  <c r="AG259" i="83" s="1"/>
  <c r="AG197" i="83"/>
  <c r="AG271" i="83" s="1"/>
  <c r="AF185" i="83"/>
  <c r="AF259" i="83" s="1"/>
  <c r="AF197" i="83"/>
  <c r="AF271" i="83" s="1"/>
  <c r="AE185" i="83"/>
  <c r="AE259" i="83" s="1"/>
  <c r="AE197" i="83"/>
  <c r="AE271" i="83" s="1"/>
  <c r="AD185" i="83"/>
  <c r="AD259" i="83" s="1"/>
  <c r="AD197" i="83"/>
  <c r="AD271" i="83" s="1"/>
  <c r="AC185" i="83"/>
  <c r="AC259" i="83" s="1"/>
  <c r="AC197" i="83"/>
  <c r="AC271" i="83" s="1"/>
  <c r="AB185" i="83"/>
  <c r="AB259" i="83" s="1"/>
  <c r="AB197" i="83"/>
  <c r="AB271" i="83" s="1"/>
  <c r="AA185" i="83"/>
  <c r="AA259" i="83" s="1"/>
  <c r="AA197" i="83"/>
  <c r="AA271" i="83" s="1"/>
  <c r="Z185" i="83"/>
  <c r="Z259" i="83" s="1"/>
  <c r="Z197" i="83"/>
  <c r="Z271" i="83" s="1"/>
  <c r="Y185" i="83"/>
  <c r="Y259" i="83" s="1"/>
  <c r="Y197" i="83"/>
  <c r="Y271" i="83" s="1"/>
  <c r="AH184" i="83"/>
  <c r="AH258" i="83" s="1"/>
  <c r="AH196" i="83"/>
  <c r="AH270" i="83" s="1"/>
  <c r="AG184" i="83"/>
  <c r="AG258" i="83" s="1"/>
  <c r="AG196" i="83"/>
  <c r="AG270" i="83" s="1"/>
  <c r="AF184" i="83"/>
  <c r="AF258" i="83" s="1"/>
  <c r="AF196" i="83"/>
  <c r="AF270" i="83" s="1"/>
  <c r="AE184" i="83"/>
  <c r="AE258" i="83" s="1"/>
  <c r="AE196" i="83"/>
  <c r="AE270" i="83" s="1"/>
  <c r="AD184" i="83"/>
  <c r="AD258" i="83" s="1"/>
  <c r="AD196" i="83"/>
  <c r="AD270" i="83" s="1"/>
  <c r="AC184" i="83"/>
  <c r="AC258" i="83" s="1"/>
  <c r="AC196" i="83"/>
  <c r="AC270" i="83" s="1"/>
  <c r="AB184" i="83"/>
  <c r="AB258" i="83" s="1"/>
  <c r="AB196" i="83"/>
  <c r="AB270" i="83" s="1"/>
  <c r="AA184" i="83"/>
  <c r="AA258" i="83" s="1"/>
  <c r="AA196" i="83"/>
  <c r="AA270" i="83" s="1"/>
  <c r="Z184" i="83"/>
  <c r="Z258" i="83" s="1"/>
  <c r="Z196" i="83"/>
  <c r="Z270" i="83" s="1"/>
  <c r="Y184" i="83"/>
  <c r="Y258" i="83" s="1"/>
  <c r="Y196" i="83"/>
  <c r="Y270" i="83" s="1"/>
  <c r="AH183" i="83"/>
  <c r="AH257" i="83" s="1"/>
  <c r="AH195" i="83"/>
  <c r="AH269" i="83" s="1"/>
  <c r="AG183" i="83"/>
  <c r="AG257" i="83" s="1"/>
  <c r="AG195" i="83"/>
  <c r="AG269" i="83" s="1"/>
  <c r="AF183" i="83"/>
  <c r="AF257" i="83" s="1"/>
  <c r="AF195" i="83"/>
  <c r="AF269" i="83" s="1"/>
  <c r="AE183" i="83"/>
  <c r="AE257" i="83" s="1"/>
  <c r="AE195" i="83"/>
  <c r="AE269" i="83" s="1"/>
  <c r="AD183" i="83"/>
  <c r="AD257" i="83" s="1"/>
  <c r="AD195" i="83"/>
  <c r="AD269" i="83" s="1"/>
  <c r="AC183" i="83"/>
  <c r="AC257" i="83" s="1"/>
  <c r="AC195" i="83"/>
  <c r="AC269" i="83" s="1"/>
  <c r="AB183" i="83"/>
  <c r="AB257" i="83" s="1"/>
  <c r="AB195" i="83"/>
  <c r="AB269" i="83" s="1"/>
  <c r="AA183" i="83"/>
  <c r="AA257" i="83" s="1"/>
  <c r="AA195" i="83"/>
  <c r="AA269" i="83" s="1"/>
  <c r="Z183" i="83"/>
  <c r="Z257" i="83" s="1"/>
  <c r="Z195" i="83"/>
  <c r="Z269" i="83" s="1"/>
  <c r="Y183" i="83"/>
  <c r="Y257" i="83" s="1"/>
  <c r="Y195" i="83"/>
  <c r="Y269" i="83" s="1"/>
  <c r="AH182" i="83"/>
  <c r="AH256" i="83" s="1"/>
  <c r="AH194" i="83"/>
  <c r="AH268" i="83" s="1"/>
  <c r="AG182" i="83"/>
  <c r="AG256" i="83" s="1"/>
  <c r="AG194" i="83"/>
  <c r="AG268" i="83" s="1"/>
  <c r="AF182" i="83"/>
  <c r="AF256" i="83" s="1"/>
  <c r="AF194" i="83"/>
  <c r="AF268" i="83" s="1"/>
  <c r="AE182" i="83"/>
  <c r="AE256" i="83" s="1"/>
  <c r="AE194" i="83"/>
  <c r="AE268" i="83" s="1"/>
  <c r="AD182" i="83"/>
  <c r="AD256" i="83" s="1"/>
  <c r="AD194" i="83"/>
  <c r="AD268" i="83" s="1"/>
  <c r="AC182" i="83"/>
  <c r="AC256" i="83" s="1"/>
  <c r="AC194" i="83"/>
  <c r="AC268" i="83" s="1"/>
  <c r="AB182" i="83"/>
  <c r="AB256" i="83" s="1"/>
  <c r="AB194" i="83"/>
  <c r="AB268" i="83" s="1"/>
  <c r="AA182" i="83"/>
  <c r="AA256" i="83" s="1"/>
  <c r="AA194" i="83"/>
  <c r="AA268" i="83" s="1"/>
  <c r="Z182" i="83"/>
  <c r="Z256" i="83" s="1"/>
  <c r="Z194" i="83"/>
  <c r="Z268" i="83" s="1"/>
  <c r="Y182" i="83"/>
  <c r="Y256" i="83" s="1"/>
  <c r="Y194" i="83"/>
  <c r="Y268" i="83" s="1"/>
  <c r="AH181" i="83"/>
  <c r="AH255" i="83" s="1"/>
  <c r="AH193" i="83"/>
  <c r="AH267" i="83" s="1"/>
  <c r="AG181" i="83"/>
  <c r="AG255" i="83" s="1"/>
  <c r="AG193" i="83"/>
  <c r="AG267" i="83" s="1"/>
  <c r="AF181" i="83"/>
  <c r="AF255" i="83" s="1"/>
  <c r="AF193" i="83"/>
  <c r="AF267" i="83" s="1"/>
  <c r="AE181" i="83"/>
  <c r="AE255" i="83" s="1"/>
  <c r="AE193" i="83"/>
  <c r="AE267" i="83" s="1"/>
  <c r="AD181" i="83"/>
  <c r="AD255" i="83" s="1"/>
  <c r="AD193" i="83"/>
  <c r="AD267" i="83" s="1"/>
  <c r="AC181" i="83"/>
  <c r="AC255" i="83" s="1"/>
  <c r="AC193" i="83"/>
  <c r="AC267" i="83" s="1"/>
  <c r="AB181" i="83"/>
  <c r="AB255" i="83" s="1"/>
  <c r="AB193" i="83"/>
  <c r="AB267" i="83" s="1"/>
  <c r="AA181" i="83"/>
  <c r="AA255" i="83" s="1"/>
  <c r="AA193" i="83"/>
  <c r="AA267" i="83" s="1"/>
  <c r="Z181" i="83"/>
  <c r="Z255" i="83" s="1"/>
  <c r="Z193" i="83"/>
  <c r="Z267" i="83" s="1"/>
  <c r="Y181" i="83"/>
  <c r="Y255" i="83" s="1"/>
  <c r="Y193" i="83"/>
  <c r="Y267" i="83" s="1"/>
  <c r="AH180" i="83"/>
  <c r="AH254" i="83" s="1"/>
  <c r="AH192" i="83"/>
  <c r="AH266" i="83" s="1"/>
  <c r="AG180" i="83"/>
  <c r="AG254" i="83" s="1"/>
  <c r="AG192" i="83"/>
  <c r="AG266" i="83" s="1"/>
  <c r="AF180" i="83"/>
  <c r="AF254" i="83" s="1"/>
  <c r="AF192" i="83"/>
  <c r="AF266" i="83" s="1"/>
  <c r="AE180" i="83"/>
  <c r="AE254" i="83" s="1"/>
  <c r="AE192" i="83"/>
  <c r="AE266" i="83" s="1"/>
  <c r="AD180" i="83"/>
  <c r="AD254" i="83" s="1"/>
  <c r="AD192" i="83"/>
  <c r="AD266" i="83" s="1"/>
  <c r="AC180" i="83"/>
  <c r="AC254" i="83" s="1"/>
  <c r="AC192" i="83"/>
  <c r="AC266" i="83" s="1"/>
  <c r="AB180" i="83"/>
  <c r="AB254" i="83" s="1"/>
  <c r="AB192" i="83"/>
  <c r="AB266" i="83" s="1"/>
  <c r="AA180" i="83"/>
  <c r="AA254" i="83" s="1"/>
  <c r="AA192" i="83"/>
  <c r="AA266" i="83" s="1"/>
  <c r="Z180" i="83"/>
  <c r="Z254" i="83" s="1"/>
  <c r="Z192" i="83"/>
  <c r="Z266" i="83" s="1"/>
  <c r="Y180" i="83"/>
  <c r="Y254" i="83" s="1"/>
  <c r="Y192" i="83"/>
  <c r="Y266" i="83" s="1"/>
  <c r="AH179" i="83"/>
  <c r="AH253" i="83" s="1"/>
  <c r="AH191" i="83"/>
  <c r="AH265" i="83" s="1"/>
  <c r="AG179" i="83"/>
  <c r="AG253" i="83" s="1"/>
  <c r="AG191" i="83"/>
  <c r="AG265" i="83" s="1"/>
  <c r="AF179" i="83"/>
  <c r="AF253" i="83" s="1"/>
  <c r="AF191" i="83"/>
  <c r="AF265" i="83" s="1"/>
  <c r="AE179" i="83"/>
  <c r="AE253" i="83" s="1"/>
  <c r="AE191" i="83"/>
  <c r="AE265" i="83" s="1"/>
  <c r="AD179" i="83"/>
  <c r="AD253" i="83" s="1"/>
  <c r="AD191" i="83"/>
  <c r="AD265" i="83" s="1"/>
  <c r="AC179" i="83"/>
  <c r="AC253" i="83" s="1"/>
  <c r="AC191" i="83"/>
  <c r="AC265" i="83" s="1"/>
  <c r="AB179" i="83"/>
  <c r="AB253" i="83" s="1"/>
  <c r="AB191" i="83"/>
  <c r="AB265" i="83" s="1"/>
  <c r="AA179" i="83"/>
  <c r="AA253" i="83" s="1"/>
  <c r="AA191" i="83"/>
  <c r="AA265" i="83" s="1"/>
  <c r="Z179" i="83"/>
  <c r="Z253" i="83" s="1"/>
  <c r="Z191" i="83"/>
  <c r="Z265" i="83" s="1"/>
  <c r="Y179" i="83"/>
  <c r="Y253" i="83" s="1"/>
  <c r="Y191" i="83"/>
  <c r="Y265" i="83" s="1"/>
  <c r="AH178" i="83"/>
  <c r="AH252" i="83" s="1"/>
  <c r="AH190" i="83"/>
  <c r="AH264" i="83" s="1"/>
  <c r="AG178" i="83"/>
  <c r="AG252" i="83" s="1"/>
  <c r="AG190" i="83"/>
  <c r="AG264" i="83" s="1"/>
  <c r="AF178" i="83"/>
  <c r="AF252" i="83" s="1"/>
  <c r="AF190" i="83"/>
  <c r="AF264" i="83" s="1"/>
  <c r="AE178" i="83"/>
  <c r="AE252" i="83" s="1"/>
  <c r="AE190" i="83"/>
  <c r="AE264" i="83" s="1"/>
  <c r="AD178" i="83"/>
  <c r="AD252" i="83" s="1"/>
  <c r="AD190" i="83"/>
  <c r="AD264" i="83" s="1"/>
  <c r="AC178" i="83"/>
  <c r="AC252" i="83" s="1"/>
  <c r="AC190" i="83"/>
  <c r="AC264" i="83" s="1"/>
  <c r="AB178" i="83"/>
  <c r="AB252" i="83" s="1"/>
  <c r="AB190" i="83"/>
  <c r="AB264" i="83" s="1"/>
  <c r="AA178" i="83"/>
  <c r="AA252" i="83" s="1"/>
  <c r="AA190" i="83"/>
  <c r="AA264" i="83" s="1"/>
  <c r="Z178" i="83"/>
  <c r="Z252" i="83" s="1"/>
  <c r="Z190" i="83"/>
  <c r="Z264" i="83" s="1"/>
  <c r="Y178" i="83"/>
  <c r="Y252" i="83" s="1"/>
  <c r="Y190" i="83"/>
  <c r="Y264" i="83" s="1"/>
  <c r="AH177" i="83"/>
  <c r="AH251" i="83" s="1"/>
  <c r="AH189" i="83"/>
  <c r="AH263" i="83" s="1"/>
  <c r="AG177" i="83"/>
  <c r="AG251" i="83" s="1"/>
  <c r="AG189" i="83"/>
  <c r="AG263" i="83" s="1"/>
  <c r="AF177" i="83"/>
  <c r="AF251" i="83" s="1"/>
  <c r="AF189" i="83"/>
  <c r="AF263" i="83" s="1"/>
  <c r="AE177" i="83"/>
  <c r="AE251" i="83" s="1"/>
  <c r="AE189" i="83"/>
  <c r="AE263" i="83" s="1"/>
  <c r="AD177" i="83"/>
  <c r="AD251" i="83" s="1"/>
  <c r="AD189" i="83"/>
  <c r="AD263" i="83" s="1"/>
  <c r="AC177" i="83"/>
  <c r="AC251" i="83" s="1"/>
  <c r="AC189" i="83"/>
  <c r="AC263" i="83" s="1"/>
  <c r="AB177" i="83"/>
  <c r="AB251" i="83" s="1"/>
  <c r="AB189" i="83"/>
  <c r="AB263" i="83" s="1"/>
  <c r="AA177" i="83"/>
  <c r="AA251" i="83" s="1"/>
  <c r="AA189" i="83"/>
  <c r="AA263" i="83" s="1"/>
  <c r="Z177" i="83"/>
  <c r="Z251" i="83" s="1"/>
  <c r="Z189" i="83"/>
  <c r="Z263" i="83" s="1"/>
  <c r="O180" i="83"/>
  <c r="O238" i="83" s="1"/>
  <c r="O184" i="83"/>
  <c r="O242" i="83" s="1"/>
  <c r="N180" i="83"/>
  <c r="N238" i="83" s="1"/>
  <c r="N184" i="83"/>
  <c r="N242" i="83" s="1"/>
  <c r="M180" i="83"/>
  <c r="M238" i="83" s="1"/>
  <c r="M184" i="83"/>
  <c r="M242" i="83" s="1"/>
  <c r="L180" i="83"/>
  <c r="L238" i="83" s="1"/>
  <c r="L184" i="83"/>
  <c r="L242" i="83" s="1"/>
  <c r="K180" i="83"/>
  <c r="K238" i="83" s="1"/>
  <c r="K184" i="83"/>
  <c r="K242" i="83" s="1"/>
  <c r="J180" i="83"/>
  <c r="J238" i="83" s="1"/>
  <c r="J184" i="83"/>
  <c r="J242" i="83" s="1"/>
  <c r="I180" i="83"/>
  <c r="I238" i="83" s="1"/>
  <c r="I184" i="83"/>
  <c r="I242" i="83" s="1"/>
  <c r="H180" i="83"/>
  <c r="H238" i="83" s="1"/>
  <c r="H184" i="83"/>
  <c r="H242" i="83" s="1"/>
  <c r="G180" i="83"/>
  <c r="G238" i="83" s="1"/>
  <c r="G184" i="83"/>
  <c r="G242" i="83" s="1"/>
  <c r="F180" i="83"/>
  <c r="F238" i="83" s="1"/>
  <c r="F184" i="83"/>
  <c r="F242" i="83" s="1"/>
  <c r="O179" i="83"/>
  <c r="O237" i="83" s="1"/>
  <c r="O183" i="83"/>
  <c r="O241" i="83" s="1"/>
  <c r="N179" i="83"/>
  <c r="N237" i="83" s="1"/>
  <c r="N183" i="83"/>
  <c r="N241" i="83" s="1"/>
  <c r="M179" i="83"/>
  <c r="M237" i="83" s="1"/>
  <c r="M183" i="83"/>
  <c r="M241" i="83" s="1"/>
  <c r="L179" i="83"/>
  <c r="L237" i="83" s="1"/>
  <c r="L183" i="83"/>
  <c r="L241" i="83" s="1"/>
  <c r="K179" i="83"/>
  <c r="K237" i="83" s="1"/>
  <c r="K183" i="83"/>
  <c r="K241" i="83" s="1"/>
  <c r="J179" i="83"/>
  <c r="J237" i="83" s="1"/>
  <c r="J183" i="83"/>
  <c r="J241" i="83" s="1"/>
  <c r="I179" i="83"/>
  <c r="I237" i="83" s="1"/>
  <c r="I183" i="83"/>
  <c r="I241" i="83" s="1"/>
  <c r="H179" i="83"/>
  <c r="H237" i="83" s="1"/>
  <c r="H183" i="83"/>
  <c r="H241" i="83" s="1"/>
  <c r="G179" i="83"/>
  <c r="G237" i="83" s="1"/>
  <c r="G183" i="83"/>
  <c r="G241" i="83" s="1"/>
  <c r="F179" i="83"/>
  <c r="F237" i="83" s="1"/>
  <c r="F183" i="83"/>
  <c r="F241" i="83" s="1"/>
  <c r="O178" i="83"/>
  <c r="O236" i="83" s="1"/>
  <c r="O182" i="83"/>
  <c r="O240" i="83" s="1"/>
  <c r="N178" i="83"/>
  <c r="N236" i="83" s="1"/>
  <c r="N182" i="83"/>
  <c r="N240" i="83" s="1"/>
  <c r="M178" i="83"/>
  <c r="M236" i="83" s="1"/>
  <c r="M182" i="83"/>
  <c r="M240" i="83" s="1"/>
  <c r="L178" i="83"/>
  <c r="L236" i="83" s="1"/>
  <c r="L182" i="83"/>
  <c r="L240" i="83" s="1"/>
  <c r="K178" i="83"/>
  <c r="K236" i="83" s="1"/>
  <c r="K182" i="83"/>
  <c r="K240" i="83" s="1"/>
  <c r="J178" i="83"/>
  <c r="J236" i="83" s="1"/>
  <c r="J182" i="83"/>
  <c r="J240" i="83" s="1"/>
  <c r="I178" i="83"/>
  <c r="I236" i="83" s="1"/>
  <c r="I182" i="83"/>
  <c r="I240" i="83" s="1"/>
  <c r="H178" i="83"/>
  <c r="H236" i="83" s="1"/>
  <c r="H182" i="83"/>
  <c r="H240" i="83" s="1"/>
  <c r="G178" i="83"/>
  <c r="G236" i="83" s="1"/>
  <c r="G182" i="83"/>
  <c r="G240" i="83" s="1"/>
  <c r="F178" i="83"/>
  <c r="F236" i="83" s="1"/>
  <c r="F182" i="83"/>
  <c r="F240" i="83" s="1"/>
  <c r="O177" i="83"/>
  <c r="O235" i="83" s="1"/>
  <c r="O181" i="83"/>
  <c r="O239" i="83" s="1"/>
  <c r="N177" i="83"/>
  <c r="N235" i="83" s="1"/>
  <c r="N181" i="83"/>
  <c r="N239" i="83" s="1"/>
  <c r="M177" i="83"/>
  <c r="M235" i="83" s="1"/>
  <c r="M181" i="83"/>
  <c r="M239" i="83" s="1"/>
  <c r="L177" i="83"/>
  <c r="L235" i="83" s="1"/>
  <c r="L181" i="83"/>
  <c r="L239" i="83" s="1"/>
  <c r="K177" i="83"/>
  <c r="K235" i="83" s="1"/>
  <c r="K181" i="83"/>
  <c r="K239" i="83" s="1"/>
  <c r="J177" i="83"/>
  <c r="J235" i="83" s="1"/>
  <c r="J181" i="83"/>
  <c r="J239" i="83" s="1"/>
  <c r="I177" i="83"/>
  <c r="I235" i="83" s="1"/>
  <c r="I181" i="83"/>
  <c r="I239" i="83" s="1"/>
  <c r="H177" i="83"/>
  <c r="H235" i="83" s="1"/>
  <c r="H181" i="83"/>
  <c r="H239" i="83" s="1"/>
  <c r="G177" i="83"/>
  <c r="G235" i="83" s="1"/>
  <c r="G181" i="83"/>
  <c r="G239" i="83" s="1"/>
  <c r="E84" i="83"/>
  <c r="E131" i="83" s="1"/>
  <c r="X76" i="83"/>
  <c r="X131" i="83" s="1"/>
  <c r="AC108" i="88"/>
  <c r="AC160" i="88" s="1"/>
  <c r="AB108" i="88"/>
  <c r="AB160" i="88" s="1"/>
  <c r="X108" i="88"/>
  <c r="X160" i="88" s="1"/>
  <c r="W108" i="88"/>
  <c r="W160" i="88" s="1"/>
  <c r="V108" i="88"/>
  <c r="V160" i="88" s="1"/>
  <c r="AE107" i="88"/>
  <c r="AE159" i="88" s="1"/>
  <c r="AD107" i="88"/>
  <c r="AD159" i="88" s="1"/>
  <c r="AC107" i="88"/>
  <c r="AC159" i="88" s="1"/>
  <c r="AB107" i="88"/>
  <c r="AB159" i="88" s="1"/>
  <c r="AA107" i="88"/>
  <c r="AA159" i="88" s="1"/>
  <c r="Z107" i="88"/>
  <c r="Z159" i="88" s="1"/>
  <c r="Y107" i="88"/>
  <c r="Y159" i="88" s="1"/>
  <c r="V107" i="88"/>
  <c r="V159" i="88" s="1"/>
  <c r="AE106" i="88"/>
  <c r="AE158" i="88" s="1"/>
  <c r="AD106" i="88"/>
  <c r="AD158" i="88" s="1"/>
  <c r="AC106" i="88"/>
  <c r="AC158" i="88" s="1"/>
  <c r="AB106" i="88"/>
  <c r="AB158" i="88" s="1"/>
  <c r="AA106" i="88"/>
  <c r="AA158" i="88" s="1"/>
  <c r="Z106" i="88"/>
  <c r="Z158" i="88" s="1"/>
  <c r="Y106" i="88"/>
  <c r="Y158" i="88" s="1"/>
  <c r="X106" i="88"/>
  <c r="X158" i="88" s="1"/>
  <c r="W106" i="88"/>
  <c r="W158" i="88" s="1"/>
  <c r="V106" i="88"/>
  <c r="V158" i="88" s="1"/>
  <c r="AE105" i="88"/>
  <c r="AE157" i="88" s="1"/>
  <c r="AD105" i="88"/>
  <c r="AD157" i="88" s="1"/>
  <c r="AB105" i="88"/>
  <c r="AB157" i="88" s="1"/>
  <c r="AA105" i="88"/>
  <c r="AA157" i="88" s="1"/>
  <c r="Z105" i="88"/>
  <c r="Z157" i="88" s="1"/>
  <c r="Y105" i="88"/>
  <c r="Y157" i="88" s="1"/>
  <c r="X105" i="88"/>
  <c r="X157" i="88" s="1"/>
  <c r="W105" i="88"/>
  <c r="W157" i="88" s="1"/>
  <c r="V105" i="88"/>
  <c r="V157" i="88" s="1"/>
  <c r="AE104" i="88"/>
  <c r="AE156" i="88" s="1"/>
  <c r="AD104" i="88"/>
  <c r="AD156" i="88" s="1"/>
  <c r="AC104" i="88"/>
  <c r="AC156" i="88" s="1"/>
  <c r="AB104" i="88"/>
  <c r="AB156" i="88" s="1"/>
  <c r="AA104" i="88"/>
  <c r="AA156" i="88" s="1"/>
  <c r="Z104" i="88"/>
  <c r="Z156" i="88" s="1"/>
  <c r="Y104" i="88"/>
  <c r="Y156" i="88" s="1"/>
  <c r="X104" i="88"/>
  <c r="X156" i="88" s="1"/>
  <c r="V104" i="88"/>
  <c r="V156" i="88" s="1"/>
  <c r="AE103" i="88"/>
  <c r="AE155" i="88" s="1"/>
  <c r="AD103" i="88"/>
  <c r="AD155" i="88" s="1"/>
  <c r="AC103" i="88"/>
  <c r="AC155" i="88" s="1"/>
  <c r="AB103" i="88"/>
  <c r="AB155" i="88" s="1"/>
  <c r="AA103" i="88"/>
  <c r="AA155" i="88" s="1"/>
  <c r="Z103" i="88"/>
  <c r="Z155" i="88" s="1"/>
  <c r="Y103" i="88"/>
  <c r="Y155" i="88" s="1"/>
  <c r="X103" i="88"/>
  <c r="X155" i="88" s="1"/>
  <c r="W103" i="88"/>
  <c r="W155" i="88" s="1"/>
  <c r="V103" i="88"/>
  <c r="V155" i="88" s="1"/>
  <c r="AE102" i="88"/>
  <c r="AE154" i="88" s="1"/>
  <c r="AD102" i="88"/>
  <c r="AD154" i="88" s="1"/>
  <c r="AC102" i="88"/>
  <c r="AC154" i="88" s="1"/>
  <c r="AB102" i="88"/>
  <c r="AB154" i="88" s="1"/>
  <c r="AA102" i="88"/>
  <c r="AA154" i="88" s="1"/>
  <c r="Z102" i="88"/>
  <c r="Z154" i="88" s="1"/>
  <c r="Y102" i="88"/>
  <c r="Y154" i="88" s="1"/>
  <c r="X102" i="88"/>
  <c r="X154" i="88" s="1"/>
  <c r="W102" i="88"/>
  <c r="W154" i="88" s="1"/>
  <c r="V102" i="88"/>
  <c r="V154" i="88" s="1"/>
  <c r="AE101" i="88"/>
  <c r="AE153" i="88" s="1"/>
  <c r="AD101" i="88"/>
  <c r="AD153" i="88" s="1"/>
  <c r="AC101" i="88"/>
  <c r="AC153" i="88" s="1"/>
  <c r="AB101" i="88"/>
  <c r="AB153" i="88" s="1"/>
  <c r="AA101" i="88"/>
  <c r="AA153" i="88" s="1"/>
  <c r="Z101" i="88"/>
  <c r="Z153" i="88" s="1"/>
  <c r="Y101" i="88"/>
  <c r="Y153" i="88" s="1"/>
  <c r="X101" i="88"/>
  <c r="X153" i="88" s="1"/>
  <c r="W101" i="88"/>
  <c r="W153" i="88" s="1"/>
  <c r="V101" i="88"/>
  <c r="V153" i="88" s="1"/>
  <c r="AE100" i="88"/>
  <c r="AE152" i="88" s="1"/>
  <c r="AD100" i="88"/>
  <c r="AD152" i="88" s="1"/>
  <c r="AC100" i="88"/>
  <c r="AC152" i="88" s="1"/>
  <c r="AB100" i="88"/>
  <c r="AB152" i="88" s="1"/>
  <c r="AA100" i="88"/>
  <c r="AA152" i="88" s="1"/>
  <c r="Z100" i="88"/>
  <c r="Z152" i="88" s="1"/>
  <c r="Y100" i="88"/>
  <c r="Y152" i="88" s="1"/>
  <c r="X100" i="88"/>
  <c r="X152" i="88" s="1"/>
  <c r="W100" i="88"/>
  <c r="W152" i="88" s="1"/>
  <c r="V100" i="88"/>
  <c r="V152" i="88" s="1"/>
  <c r="AE99" i="88"/>
  <c r="AE151" i="88" s="1"/>
  <c r="AD99" i="88"/>
  <c r="AD151" i="88" s="1"/>
  <c r="AC99" i="88"/>
  <c r="AC151" i="88" s="1"/>
  <c r="AB99" i="88"/>
  <c r="AB151" i="88" s="1"/>
  <c r="AA99" i="88"/>
  <c r="AA151" i="88" s="1"/>
  <c r="Z99" i="88"/>
  <c r="Z151" i="88" s="1"/>
  <c r="Y99" i="88"/>
  <c r="Y151" i="88" s="1"/>
  <c r="X99" i="88"/>
  <c r="X151" i="88" s="1"/>
  <c r="W99" i="88"/>
  <c r="W151" i="88" s="1"/>
  <c r="V99" i="88"/>
  <c r="V151" i="88" s="1"/>
  <c r="AE98" i="88"/>
  <c r="AE150" i="88" s="1"/>
  <c r="AD98" i="88"/>
  <c r="AD150" i="88" s="1"/>
  <c r="AC98" i="88"/>
  <c r="AC150" i="88" s="1"/>
  <c r="AB98" i="88"/>
  <c r="AB150" i="88" s="1"/>
  <c r="AA98" i="88"/>
  <c r="AA150" i="88" s="1"/>
  <c r="Z98" i="88"/>
  <c r="Z150" i="88" s="1"/>
  <c r="Y98" i="88"/>
  <c r="Y150" i="88" s="1"/>
  <c r="X98" i="88"/>
  <c r="X150" i="88" s="1"/>
  <c r="W98" i="88"/>
  <c r="W150" i="88" s="1"/>
  <c r="V98" i="88"/>
  <c r="V150" i="88" s="1"/>
  <c r="AE97" i="88"/>
  <c r="AE149" i="88" s="1"/>
  <c r="AD97" i="88"/>
  <c r="AD149" i="88" s="1"/>
  <c r="AC97" i="88"/>
  <c r="AC149" i="88" s="1"/>
  <c r="AB97" i="88"/>
  <c r="AB149" i="88" s="1"/>
  <c r="AA97" i="88"/>
  <c r="AA149" i="88" s="1"/>
  <c r="Z97" i="88"/>
  <c r="Z149" i="88" s="1"/>
  <c r="Y97" i="88"/>
  <c r="Y149" i="88" s="1"/>
  <c r="X97" i="88"/>
  <c r="X149" i="88" s="1"/>
  <c r="W97" i="88"/>
  <c r="W149" i="88" s="1"/>
  <c r="N88" i="88"/>
  <c r="N126" i="88" s="1"/>
  <c r="M88" i="88"/>
  <c r="M126" i="88" s="1"/>
  <c r="L88" i="88"/>
  <c r="L126" i="88" s="1"/>
  <c r="K88" i="88"/>
  <c r="K126" i="88" s="1"/>
  <c r="J88" i="88"/>
  <c r="J126" i="88" s="1"/>
  <c r="I88" i="88"/>
  <c r="I126" i="88" s="1"/>
  <c r="H88" i="88"/>
  <c r="H126" i="88" s="1"/>
  <c r="G88" i="88"/>
  <c r="G126" i="88" s="1"/>
  <c r="F88" i="88"/>
  <c r="F126" i="88" s="1"/>
  <c r="E88" i="88"/>
  <c r="E126" i="88" s="1"/>
  <c r="N87" i="88"/>
  <c r="N125" i="88" s="1"/>
  <c r="M87" i="88"/>
  <c r="M125" i="88" s="1"/>
  <c r="L87" i="88"/>
  <c r="L125" i="88" s="1"/>
  <c r="K87" i="88"/>
  <c r="K125" i="88" s="1"/>
  <c r="J87" i="88"/>
  <c r="J125" i="88" s="1"/>
  <c r="I87" i="88"/>
  <c r="I125" i="88" s="1"/>
  <c r="H87" i="88"/>
  <c r="H125" i="88" s="1"/>
  <c r="G87" i="88"/>
  <c r="G125" i="88" s="1"/>
  <c r="F87" i="88"/>
  <c r="F125" i="88" s="1"/>
  <c r="E87" i="88"/>
  <c r="E125" i="88" s="1"/>
  <c r="N86" i="88"/>
  <c r="N124" i="88" s="1"/>
  <c r="M86" i="88"/>
  <c r="M124" i="88" s="1"/>
  <c r="L86" i="88"/>
  <c r="L124" i="88" s="1"/>
  <c r="K86" i="88"/>
  <c r="K124" i="88" s="1"/>
  <c r="J86" i="88"/>
  <c r="J124" i="88" s="1"/>
  <c r="I86" i="88"/>
  <c r="I124" i="88" s="1"/>
  <c r="H86" i="88"/>
  <c r="H124" i="88" s="1"/>
  <c r="G86" i="88"/>
  <c r="G124" i="88" s="1"/>
  <c r="F86" i="88"/>
  <c r="F124" i="88" s="1"/>
  <c r="E86" i="88"/>
  <c r="E124" i="88" s="1"/>
  <c r="N85" i="88"/>
  <c r="N123" i="88" s="1"/>
  <c r="M85" i="88"/>
  <c r="M123" i="88" s="1"/>
  <c r="L85" i="88"/>
  <c r="L123" i="88" s="1"/>
  <c r="K85" i="88"/>
  <c r="K123" i="88" s="1"/>
  <c r="J85" i="88"/>
  <c r="J123" i="88" s="1"/>
  <c r="I85" i="88"/>
  <c r="I123" i="88" s="1"/>
  <c r="H85" i="88"/>
  <c r="H123" i="88" s="1"/>
  <c r="G85" i="88"/>
  <c r="G123" i="88" s="1"/>
  <c r="F85" i="88"/>
  <c r="F123" i="88" s="1"/>
  <c r="V76" i="88"/>
  <c r="E64" i="88"/>
  <c r="E320" i="117" a="1"/>
  <c r="E320" i="117" s="1"/>
  <c r="E25" i="93" a="1"/>
  <c r="J56" i="89"/>
  <c r="I56" i="89"/>
  <c r="G25" i="89"/>
  <c r="P21" i="90" a="1"/>
  <c r="I54" i="89"/>
  <c r="J54" i="89"/>
  <c r="F20" i="92" a="1"/>
  <c r="F20" i="92" s="1"/>
  <c r="G20" i="92" a="1"/>
  <c r="P11" i="90" a="1"/>
  <c r="I12" i="89"/>
  <c r="I55" i="89"/>
  <c r="J55" i="89"/>
  <c r="G44" i="81"/>
  <c r="F44" i="81"/>
  <c r="N106" i="90"/>
  <c r="N105" i="90"/>
  <c r="O108" i="90" a="1"/>
  <c r="O108" i="90" s="1"/>
  <c r="E252" i="117" a="1"/>
  <c r="H34" i="13"/>
  <c r="H35" i="13" s="1"/>
  <c r="E27" i="13" a="1"/>
  <c r="E27" i="13" s="1"/>
  <c r="H27" i="13" s="1" a="1"/>
  <c r="H27" i="13" s="1"/>
  <c r="E26" i="13" a="1"/>
  <c r="E26" i="13" s="1"/>
  <c r="E25" i="13" a="1"/>
  <c r="E25" i="13" s="1"/>
  <c r="H25" i="13" s="1"/>
  <c r="E24" i="13" a="1"/>
  <c r="E24" i="13" s="1"/>
  <c r="E23" i="13" a="1"/>
  <c r="E23" i="13" s="1"/>
  <c r="H23" i="13" s="1" a="1"/>
  <c r="H23" i="13" s="1"/>
  <c r="E22" i="13" a="1"/>
  <c r="E22" i="13" s="1"/>
  <c r="H22" i="13" s="1"/>
  <c r="F21" i="13" a="1"/>
  <c r="F21" i="13" s="1"/>
  <c r="I21" i="13" s="1" a="1"/>
  <c r="I21" i="13" s="1"/>
  <c r="E21" i="13" a="1"/>
  <c r="E21" i="13" s="1"/>
  <c r="H21" i="13" s="1" a="1"/>
  <c r="H21" i="13" s="1"/>
  <c r="E13" i="72"/>
  <c r="E18" i="75"/>
  <c r="E20" i="75" s="1"/>
  <c r="E21" i="75" s="1"/>
  <c r="E20" i="72"/>
  <c r="N108" i="90" l="1"/>
  <c r="Y177" i="83"/>
  <c r="Y251" i="83" s="1"/>
  <c r="Y189" i="83"/>
  <c r="Y263" i="83" s="1"/>
  <c r="F177" i="83"/>
  <c r="F235" i="83" s="1"/>
  <c r="F181" i="83"/>
  <c r="F239" i="83" s="1"/>
  <c r="E25" i="72"/>
  <c r="F46" i="81" s="1"/>
  <c r="H44" i="81" s="1"/>
  <c r="H45" i="81" s="1"/>
  <c r="E26" i="72"/>
  <c r="G48" i="81" s="1"/>
  <c r="G56" i="81" s="1"/>
  <c r="V97" i="88"/>
  <c r="E85" i="88"/>
  <c r="E25" i="93"/>
  <c r="E30" i="91" a="1"/>
  <c r="E30" i="91" s="1"/>
  <c r="G30" i="91" s="1"/>
  <c r="E69" i="91" s="1"/>
  <c r="E30" i="90" a="1"/>
  <c r="E30" i="90" s="1"/>
  <c r="G30" i="90" s="1"/>
  <c r="E71" i="90" s="1"/>
  <c r="E23" i="91" a="1"/>
  <c r="E23" i="91" s="1"/>
  <c r="G23" i="91" s="1"/>
  <c r="E62" i="91" s="1"/>
  <c r="E23" i="90" a="1"/>
  <c r="E23" i="90" s="1"/>
  <c r="G23" i="90" s="1"/>
  <c r="E64" i="90" s="1"/>
  <c r="E37" i="90" a="1"/>
  <c r="E37" i="90" s="1"/>
  <c r="G37" i="90" s="1"/>
  <c r="E78" i="90" s="1"/>
  <c r="E32" i="91" a="1"/>
  <c r="E32" i="91" s="1"/>
  <c r="G32" i="91" s="1"/>
  <c r="E71" i="91" s="1"/>
  <c r="E32" i="90" a="1"/>
  <c r="E32" i="90" s="1"/>
  <c r="G32" i="90" s="1"/>
  <c r="E73" i="90" s="1"/>
  <c r="E19" i="91" a="1"/>
  <c r="E19" i="91" s="1"/>
  <c r="G19" i="91" s="1"/>
  <c r="E58" i="91" s="1"/>
  <c r="E25" i="91" a="1"/>
  <c r="E25" i="91" s="1"/>
  <c r="G25" i="91" s="1"/>
  <c r="E64" i="91" s="1"/>
  <c r="E25" i="90" a="1"/>
  <c r="E25" i="90" s="1"/>
  <c r="G25" i="90" s="1"/>
  <c r="E66" i="90" s="1"/>
  <c r="E35" i="90" a="1"/>
  <c r="E35" i="90" s="1"/>
  <c r="G35" i="90" s="1"/>
  <c r="E76" i="90" s="1"/>
  <c r="E34" i="90" a="1"/>
  <c r="E34" i="90" s="1"/>
  <c r="G34" i="90" s="1"/>
  <c r="E75" i="90" s="1"/>
  <c r="E19" i="90" a="1"/>
  <c r="E19" i="90" s="1"/>
  <c r="G19" i="90" s="1"/>
  <c r="E60" i="90" s="1"/>
  <c r="E34" i="91" a="1"/>
  <c r="E34" i="91" s="1"/>
  <c r="G34" i="91" s="1"/>
  <c r="E73" i="91" s="1"/>
  <c r="E27" i="90" a="1"/>
  <c r="E27" i="90" s="1"/>
  <c r="G27" i="90" s="1"/>
  <c r="E68" i="90" s="1"/>
  <c r="E36" i="91" a="1"/>
  <c r="E36" i="91" s="1"/>
  <c r="G36" i="91" s="1"/>
  <c r="E75" i="91" s="1"/>
  <c r="E27" i="91" a="1"/>
  <c r="E27" i="91" s="1"/>
  <c r="G27" i="91" s="1"/>
  <c r="E66" i="91" s="1"/>
  <c r="E22" i="91" a="1"/>
  <c r="E22" i="91" s="1"/>
  <c r="G22" i="91" s="1"/>
  <c r="E61" i="91" s="1"/>
  <c r="E236" i="117" a="1"/>
  <c r="E29" i="91" a="1"/>
  <c r="E29" i="91" s="1"/>
  <c r="G29" i="91" s="1"/>
  <c r="E68" i="91" s="1"/>
  <c r="E20" i="91" a="1"/>
  <c r="E20" i="91" s="1"/>
  <c r="G20" i="91" s="1"/>
  <c r="E59" i="91" s="1"/>
  <c r="E36" i="90" a="1"/>
  <c r="E36" i="90" s="1"/>
  <c r="G36" i="90" s="1"/>
  <c r="E77" i="90" s="1"/>
  <c r="E37" i="91" a="1"/>
  <c r="E37" i="91" s="1"/>
  <c r="G37" i="91" s="1"/>
  <c r="E76" i="91" s="1"/>
  <c r="E21" i="90" a="1"/>
  <c r="E21" i="90" s="1"/>
  <c r="G21" i="90" s="1"/>
  <c r="E62" i="90" s="1"/>
  <c r="E31" i="91" a="1"/>
  <c r="E31" i="91" s="1"/>
  <c r="G31" i="91" s="1"/>
  <c r="E70" i="91" s="1"/>
  <c r="E31" i="90" a="1"/>
  <c r="E31" i="90" s="1"/>
  <c r="G31" i="90" s="1"/>
  <c r="E72" i="90" s="1"/>
  <c r="E29" i="90" a="1"/>
  <c r="E29" i="90" s="1"/>
  <c r="G29" i="90" s="1"/>
  <c r="E70" i="90" s="1"/>
  <c r="E24" i="91" a="1"/>
  <c r="E24" i="91" s="1"/>
  <c r="G24" i="91" s="1"/>
  <c r="E63" i="91" s="1"/>
  <c r="E24" i="90" a="1"/>
  <c r="E24" i="90" s="1"/>
  <c r="G24" i="90" s="1"/>
  <c r="E65" i="90" s="1"/>
  <c r="E22" i="90" a="1"/>
  <c r="E22" i="90" s="1"/>
  <c r="G22" i="90" s="1"/>
  <c r="E63" i="90" s="1"/>
  <c r="E33" i="90" a="1"/>
  <c r="E33" i="90" s="1"/>
  <c r="G33" i="90" s="1"/>
  <c r="E74" i="90" s="1"/>
  <c r="E28" i="91" a="1"/>
  <c r="E28" i="91" s="1"/>
  <c r="G28" i="91" s="1"/>
  <c r="E67" i="91" s="1"/>
  <c r="E33" i="91" a="1"/>
  <c r="E33" i="91" s="1"/>
  <c r="G33" i="91" s="1"/>
  <c r="E72" i="91" s="1"/>
  <c r="E26" i="90" a="1"/>
  <c r="E26" i="90" s="1"/>
  <c r="G26" i="90" s="1"/>
  <c r="E67" i="90" s="1"/>
  <c r="E35" i="91" a="1"/>
  <c r="E35" i="91" s="1"/>
  <c r="G35" i="91" s="1"/>
  <c r="E74" i="91" s="1"/>
  <c r="E26" i="91" a="1"/>
  <c r="E26" i="91" s="1"/>
  <c r="G26" i="91" s="1"/>
  <c r="E65" i="91" s="1"/>
  <c r="E20" i="90" a="1"/>
  <c r="E20" i="90" s="1"/>
  <c r="G20" i="90" s="1"/>
  <c r="E61" i="90" s="1"/>
  <c r="E21" i="91" a="1"/>
  <c r="E21" i="91" s="1"/>
  <c r="G21" i="91" s="1"/>
  <c r="E60" i="91" s="1"/>
  <c r="E28" i="90" a="1"/>
  <c r="E28" i="90" s="1"/>
  <c r="G28" i="90" s="1"/>
  <c r="E69" i="90" s="1"/>
  <c r="H320" i="117" a="1"/>
  <c r="H320" i="117" s="1"/>
  <c r="G320" i="117" a="1"/>
  <c r="G320" i="117" s="1"/>
  <c r="F320" i="117" a="1"/>
  <c r="P11" i="90"/>
  <c r="Q12" i="90"/>
  <c r="Q14" i="90"/>
  <c r="Q17" i="90"/>
  <c r="Q16" i="90"/>
  <c r="Q19" i="90"/>
  <c r="Q18" i="90"/>
  <c r="Q15" i="90"/>
  <c r="Q13" i="90"/>
  <c r="Q20" i="90"/>
  <c r="G20" i="92"/>
  <c r="E252" i="117"/>
  <c r="S93" i="90"/>
  <c r="F45" i="81"/>
  <c r="F53" i="81" s="1"/>
  <c r="F52" i="81"/>
  <c r="J17" i="118"/>
  <c r="J14" i="118" s="1"/>
  <c r="K48" i="92"/>
  <c r="K45" i="92" s="1"/>
  <c r="E50" i="92" s="1"/>
  <c r="J37" i="108"/>
  <c r="J34" i="108" s="1" a="1"/>
  <c r="J34" i="108" s="1"/>
  <c r="H227" i="84"/>
  <c r="H225" i="84" s="1"/>
  <c r="G52" i="81"/>
  <c r="G45" i="81"/>
  <c r="G53" i="81" s="1"/>
  <c r="E30" i="97"/>
  <c r="D4" i="13"/>
  <c r="D59" i="13"/>
  <c r="D64" i="13"/>
  <c r="Q23" i="90"/>
  <c r="Q24" i="90"/>
  <c r="Q28" i="90"/>
  <c r="Q25" i="90"/>
  <c r="Q26" i="90"/>
  <c r="Q30" i="90"/>
  <c r="P21" i="90"/>
  <c r="Q21" i="90" s="1"/>
  <c r="Q27" i="90"/>
  <c r="Q22" i="90"/>
  <c r="Q29" i="90"/>
  <c r="D40" i="72"/>
  <c r="F23" i="13"/>
  <c r="I23" i="13" s="1" a="1"/>
  <c r="I23" i="13" s="1"/>
  <c r="F24" i="13"/>
  <c r="I24" i="13" s="1" a="1"/>
  <c r="I24" i="13" s="1"/>
  <c r="H24" i="13" a="1"/>
  <c r="H24" i="13" s="1"/>
  <c r="F26" i="13"/>
  <c r="I26" i="13" s="1" a="1"/>
  <c r="I26" i="13" s="1"/>
  <c r="H26" i="13" a="1"/>
  <c r="H26" i="13" s="1"/>
  <c r="I34" i="13"/>
  <c r="I35" i="13" s="1"/>
  <c r="F22" i="13"/>
  <c r="I22" i="13" s="1"/>
  <c r="F25" i="13"/>
  <c r="I25" i="13" s="1"/>
  <c r="F27" i="13"/>
  <c r="I27" i="13" s="1" a="1"/>
  <c r="I27" i="13" s="1"/>
  <c r="O19" i="118" l="1"/>
  <c r="R584" i="117" s="1"/>
  <c r="E19" i="118"/>
  <c r="J584" i="117" s="1"/>
  <c r="J238" i="117"/>
  <c r="J244" i="117"/>
  <c r="J240" i="117"/>
  <c r="J237" i="117"/>
  <c r="J239" i="117"/>
  <c r="J243" i="117"/>
  <c r="J242" i="117"/>
  <c r="J245" i="117"/>
  <c r="J241" i="117"/>
  <c r="H240" i="117"/>
  <c r="K238" i="117"/>
  <c r="H238" i="117"/>
  <c r="K237" i="117"/>
  <c r="H237" i="117"/>
  <c r="H241" i="117"/>
  <c r="K243" i="117"/>
  <c r="H243" i="117"/>
  <c r="H244" i="117"/>
  <c r="K239" i="117"/>
  <c r="H242" i="117"/>
  <c r="K242" i="117"/>
  <c r="K240" i="117"/>
  <c r="H245" i="117"/>
  <c r="K244" i="117"/>
  <c r="K245" i="117"/>
  <c r="K241" i="117"/>
  <c r="H239" i="117"/>
  <c r="G244" i="117"/>
  <c r="G245" i="117"/>
  <c r="G243" i="117"/>
  <c r="G237" i="117"/>
  <c r="G238" i="117"/>
  <c r="G240" i="117"/>
  <c r="G241" i="117"/>
  <c r="G242" i="117"/>
  <c r="G239" i="117"/>
  <c r="E40" i="108"/>
  <c r="O40" i="108"/>
  <c r="E244" i="83"/>
  <c r="F48" i="81"/>
  <c r="F56" i="81" s="1"/>
  <c r="X276" i="83"/>
  <c r="G46" i="81"/>
  <c r="I44" i="81" s="1"/>
  <c r="I45" i="81" s="1"/>
  <c r="V149" i="88"/>
  <c r="V162" i="88" s="1"/>
  <c r="E123" i="88"/>
  <c r="E128" i="88" s="1"/>
  <c r="E32" i="94"/>
  <c r="E36" i="95"/>
  <c r="F36" i="95" s="1"/>
  <c r="E40" i="95"/>
  <c r="F40" i="95" s="1"/>
  <c r="E36" i="94"/>
  <c r="E26" i="94"/>
  <c r="E30" i="95"/>
  <c r="F30" i="95" s="1"/>
  <c r="E236" i="117"/>
  <c r="E37" i="94"/>
  <c r="E41" i="95"/>
  <c r="F41" i="95" s="1"/>
  <c r="E78" i="91"/>
  <c r="E15" i="13" s="1" a="1"/>
  <c r="E15" i="13" s="1"/>
  <c r="E23" i="94"/>
  <c r="E27" i="95"/>
  <c r="F27" i="95" s="1"/>
  <c r="E37" i="95"/>
  <c r="F37" i="95" s="1"/>
  <c r="E33" i="94"/>
  <c r="E20" i="94"/>
  <c r="E24" i="95"/>
  <c r="F24" i="95" s="1"/>
  <c r="E22" i="94"/>
  <c r="E26" i="95"/>
  <c r="F26" i="95" s="1"/>
  <c r="E30" i="94"/>
  <c r="E34" i="95"/>
  <c r="F34" i="95" s="1"/>
  <c r="E27" i="94"/>
  <c r="E31" i="95"/>
  <c r="F31" i="95" s="1"/>
  <c r="E28" i="95"/>
  <c r="F28" i="95" s="1"/>
  <c r="E24" i="94"/>
  <c r="E32" i="92"/>
  <c r="K44" i="92" s="1"/>
  <c r="E65" i="95"/>
  <c r="E102" i="94"/>
  <c r="E134" i="94" s="1"/>
  <c r="F134" i="94" s="1"/>
  <c r="F320" i="117"/>
  <c r="N34" i="90"/>
  <c r="Q11" i="90"/>
  <c r="N33" i="90" s="1"/>
  <c r="S92" i="90" s="1"/>
  <c r="N110" i="90" s="1"/>
  <c r="E67" i="95"/>
  <c r="E104" i="94"/>
  <c r="E136" i="94" s="1"/>
  <c r="F136" i="94" s="1"/>
  <c r="E33" i="95"/>
  <c r="F33" i="95" s="1"/>
  <c r="E29" i="94"/>
  <c r="E23" i="95"/>
  <c r="F23" i="95" s="1"/>
  <c r="E19" i="94"/>
  <c r="E103" i="94"/>
  <c r="E135" i="94" s="1"/>
  <c r="F135" i="94" s="1"/>
  <c r="E66" i="95"/>
  <c r="E35" i="95"/>
  <c r="F35" i="95" s="1"/>
  <c r="E31" i="94"/>
  <c r="E38" i="95"/>
  <c r="F38" i="95" s="1"/>
  <c r="E34" i="94"/>
  <c r="E31" i="93"/>
  <c r="E17" i="13" s="1" a="1"/>
  <c r="E17" i="13" s="1"/>
  <c r="E32" i="95"/>
  <c r="F32" i="95" s="1"/>
  <c r="E28" i="94"/>
  <c r="E39" i="95"/>
  <c r="F39" i="95" s="1"/>
  <c r="E35" i="94"/>
  <c r="F47" i="81"/>
  <c r="F55" i="81" s="1"/>
  <c r="H46" i="81"/>
  <c r="H47" i="81" s="1"/>
  <c r="F54" i="81"/>
  <c r="I37" i="97"/>
  <c r="I47" i="97"/>
  <c r="I39" i="97"/>
  <c r="I38" i="97"/>
  <c r="I46" i="97"/>
  <c r="E50" i="97" s="1"/>
  <c r="I48" i="97"/>
  <c r="E21" i="94"/>
  <c r="E25" i="95"/>
  <c r="F25" i="95" s="1"/>
  <c r="E25" i="94"/>
  <c r="E29" i="95"/>
  <c r="F29" i="95" s="1"/>
  <c r="V63" i="84"/>
  <c r="AC59" i="84"/>
  <c r="V57" i="84"/>
  <c r="AC64" i="84"/>
  <c r="Y60" i="84"/>
  <c r="X67" i="84"/>
  <c r="Z63" i="84"/>
  <c r="AE65" i="84"/>
  <c r="AC58" i="84"/>
  <c r="Y58" i="84"/>
  <c r="Z57" i="84"/>
  <c r="Z58" i="84"/>
  <c r="AB58" i="84"/>
  <c r="AA66" i="84"/>
  <c r="AE59" i="84"/>
  <c r="Y56" i="84"/>
  <c r="Z66" i="84"/>
  <c r="AE60" i="84"/>
  <c r="AC67" i="84"/>
  <c r="W58" i="84"/>
  <c r="AB66" i="84"/>
  <c r="AA63" i="84"/>
  <c r="X66" i="84"/>
  <c r="AE63" i="84"/>
  <c r="Z65" i="84"/>
  <c r="AD66" i="84"/>
  <c r="AD64" i="84"/>
  <c r="W56" i="84"/>
  <c r="X63" i="84"/>
  <c r="AB67" i="84"/>
  <c r="AD60" i="84"/>
  <c r="V58" i="84"/>
  <c r="Y61" i="84"/>
  <c r="X62" i="84"/>
  <c r="AA56" i="84"/>
  <c r="Y67" i="84"/>
  <c r="AB64" i="84"/>
  <c r="W61" i="84"/>
  <c r="V66" i="84"/>
  <c r="AE58" i="84"/>
  <c r="X59" i="84"/>
  <c r="AE67" i="84"/>
  <c r="AA61" i="84"/>
  <c r="AC60" i="84"/>
  <c r="AB57" i="84"/>
  <c r="X58" i="84"/>
  <c r="X65" i="84"/>
  <c r="Y66" i="84"/>
  <c r="AE62" i="84"/>
  <c r="AC57" i="84"/>
  <c r="W62" i="84"/>
  <c r="AE64" i="84"/>
  <c r="AB65" i="84"/>
  <c r="V65" i="84"/>
  <c r="X61" i="84"/>
  <c r="X57" i="84"/>
  <c r="V67" i="84"/>
  <c r="AE61" i="84"/>
  <c r="AB63" i="84"/>
  <c r="W60" i="84"/>
  <c r="W64" i="84"/>
  <c r="AD56" i="84"/>
  <c r="AC62" i="84"/>
  <c r="X64" i="84"/>
  <c r="Y65" i="84"/>
  <c r="W65" i="84"/>
  <c r="AA64" i="84"/>
  <c r="AC66" i="84"/>
  <c r="V62" i="84"/>
  <c r="AD61" i="84"/>
  <c r="Z59" i="84"/>
  <c r="Z61" i="84"/>
  <c r="AA62" i="84"/>
  <c r="X56" i="84"/>
  <c r="V60" i="84"/>
  <c r="W63" i="84"/>
  <c r="AC56" i="84"/>
  <c r="H54" i="84"/>
  <c r="G54" i="84"/>
  <c r="J57" i="84"/>
  <c r="N54" i="84"/>
  <c r="I56" i="84"/>
  <c r="I55" i="84"/>
  <c r="L57" i="84"/>
  <c r="E55" i="84"/>
  <c r="E56" i="84"/>
  <c r="E57" i="84"/>
  <c r="M55" i="84"/>
  <c r="F55" i="84"/>
  <c r="H56" i="84"/>
  <c r="M54" i="84"/>
  <c r="N57" i="84"/>
  <c r="N55" i="84"/>
  <c r="L54" i="84"/>
  <c r="I54" i="84"/>
  <c r="M56" i="84"/>
  <c r="H57" i="84"/>
  <c r="F54" i="84"/>
  <c r="L55" i="84"/>
  <c r="J54" i="84"/>
  <c r="J55" i="84"/>
  <c r="G55" i="84"/>
  <c r="L56" i="84"/>
  <c r="N56" i="84"/>
  <c r="I57" i="84"/>
  <c r="F57" i="84"/>
  <c r="H55" i="84"/>
  <c r="M57" i="84"/>
  <c r="K54" i="84"/>
  <c r="K56" i="84"/>
  <c r="F56" i="84"/>
  <c r="J236" i="117" l="1"/>
  <c r="E264" i="117" s="1"/>
  <c r="H236" i="117"/>
  <c r="E266" i="117" s="1"/>
  <c r="E43" i="13" s="1" a="1"/>
  <c r="E43" i="13" s="1"/>
  <c r="H43" i="13" s="1"/>
  <c r="K236" i="117"/>
  <c r="E267" i="117" s="1"/>
  <c r="F43" i="13" s="1" a="1"/>
  <c r="F43" i="13" s="1"/>
  <c r="I43" i="13" s="1"/>
  <c r="G236" i="117"/>
  <c r="E263" i="117" s="1"/>
  <c r="H25" i="94"/>
  <c r="E65" i="94" s="1"/>
  <c r="F65" i="94" s="1"/>
  <c r="H28" i="94"/>
  <c r="E68" i="94" s="1"/>
  <c r="F68" i="94" s="1"/>
  <c r="H30" i="94"/>
  <c r="E70" i="94" s="1"/>
  <c r="F70" i="94" s="1"/>
  <c r="H26" i="94"/>
  <c r="E66" i="94" s="1"/>
  <c r="F66" i="94" s="1"/>
  <c r="H36" i="94"/>
  <c r="E76" i="94" s="1"/>
  <c r="F76" i="94" s="1"/>
  <c r="H34" i="94"/>
  <c r="E74" i="94" s="1"/>
  <c r="F74" i="94" s="1"/>
  <c r="H20" i="94"/>
  <c r="E60" i="94" s="1"/>
  <c r="F60" i="94" s="1"/>
  <c r="H32" i="94"/>
  <c r="E72" i="94" s="1"/>
  <c r="F72" i="94" s="1"/>
  <c r="H31" i="94"/>
  <c r="E71" i="94" s="1"/>
  <c r="F71" i="94" s="1"/>
  <c r="H33" i="94"/>
  <c r="E73" i="94" s="1"/>
  <c r="F73" i="94" s="1"/>
  <c r="H23" i="94"/>
  <c r="E63" i="94" s="1"/>
  <c r="F63" i="94" s="1"/>
  <c r="H22" i="94"/>
  <c r="E62" i="94" s="1"/>
  <c r="F62" i="94" s="1"/>
  <c r="H24" i="94"/>
  <c r="E64" i="94" s="1"/>
  <c r="F64" i="94" s="1"/>
  <c r="H19" i="94"/>
  <c r="E59" i="94" s="1"/>
  <c r="F59" i="94" s="1"/>
  <c r="H29" i="94"/>
  <c r="E69" i="94" s="1"/>
  <c r="F69" i="94" s="1"/>
  <c r="H37" i="94"/>
  <c r="E77" i="94" s="1"/>
  <c r="F77" i="94" s="1"/>
  <c r="H21" i="94"/>
  <c r="E61" i="94" s="1"/>
  <c r="F61" i="94" s="1"/>
  <c r="H35" i="94"/>
  <c r="E75" i="94" s="1"/>
  <c r="F75" i="94" s="1"/>
  <c r="H27" i="94"/>
  <c r="E67" i="94" s="1"/>
  <c r="F67" i="94" s="1"/>
  <c r="M588" i="117"/>
  <c r="O590" i="117" s="1"/>
  <c r="M593" i="117" s="1" a="1"/>
  <c r="M593" i="117" s="1"/>
  <c r="AE83" i="84"/>
  <c r="AE147" i="84" s="1"/>
  <c r="AE207" i="84" s="1"/>
  <c r="AE259" i="84" s="1"/>
  <c r="AC83" i="84"/>
  <c r="AC147" i="84" s="1"/>
  <c r="AC207" i="84" s="1"/>
  <c r="AC259" i="84" s="1"/>
  <c r="AB83" i="84"/>
  <c r="AB147" i="84" s="1"/>
  <c r="AB207" i="84" s="1"/>
  <c r="AB259" i="84" s="1"/>
  <c r="Y83" i="84"/>
  <c r="Y147" i="84" s="1"/>
  <c r="Y207" i="84" s="1"/>
  <c r="Y259" i="84" s="1"/>
  <c r="X83" i="84"/>
  <c r="X147" i="84" s="1"/>
  <c r="X207" i="84" s="1"/>
  <c r="X259" i="84" s="1"/>
  <c r="V83" i="84"/>
  <c r="V147" i="84" s="1"/>
  <c r="V207" i="84" s="1"/>
  <c r="V259" i="84" s="1"/>
  <c r="AD82" i="84"/>
  <c r="AD146" i="84" s="1"/>
  <c r="AD206" i="84" s="1"/>
  <c r="AD258" i="84" s="1"/>
  <c r="AC82" i="84"/>
  <c r="AC146" i="84" s="1"/>
  <c r="AC206" i="84" s="1"/>
  <c r="AC258" i="84" s="1"/>
  <c r="AB82" i="84"/>
  <c r="AB146" i="84" s="1"/>
  <c r="AB206" i="84" s="1"/>
  <c r="AB258" i="84" s="1"/>
  <c r="AA82" i="84"/>
  <c r="AA146" i="84" s="1"/>
  <c r="AA206" i="84" s="1"/>
  <c r="AA258" i="84" s="1"/>
  <c r="Z82" i="84"/>
  <c r="Z146" i="84" s="1"/>
  <c r="Z206" i="84" s="1"/>
  <c r="Z258" i="84" s="1"/>
  <c r="Y82" i="84"/>
  <c r="Y146" i="84" s="1"/>
  <c r="Y206" i="84" s="1"/>
  <c r="Y258" i="84" s="1"/>
  <c r="X82" i="84"/>
  <c r="X146" i="84" s="1"/>
  <c r="X206" i="84" s="1"/>
  <c r="X258" i="84" s="1"/>
  <c r="V82" i="84"/>
  <c r="V146" i="84" s="1"/>
  <c r="V206" i="84" s="1"/>
  <c r="V258" i="84" s="1"/>
  <c r="AE81" i="84"/>
  <c r="AE145" i="84" s="1"/>
  <c r="AE205" i="84" s="1"/>
  <c r="AE257" i="84" s="1"/>
  <c r="AB81" i="84"/>
  <c r="AB145" i="84" s="1"/>
  <c r="AB205" i="84" s="1"/>
  <c r="AB257" i="84" s="1"/>
  <c r="Z81" i="84"/>
  <c r="Z145" i="84" s="1"/>
  <c r="Z205" i="84" s="1"/>
  <c r="Z257" i="84" s="1"/>
  <c r="Y81" i="84"/>
  <c r="Y145" i="84" s="1"/>
  <c r="Y205" i="84" s="1"/>
  <c r="Y257" i="84" s="1"/>
  <c r="X81" i="84"/>
  <c r="X145" i="84" s="1"/>
  <c r="X205" i="84" s="1"/>
  <c r="X257" i="84" s="1"/>
  <c r="W81" i="84"/>
  <c r="W145" i="84" s="1"/>
  <c r="W205" i="84" s="1"/>
  <c r="W257" i="84" s="1"/>
  <c r="V81" i="84"/>
  <c r="V145" i="84" s="1"/>
  <c r="V205" i="84" s="1"/>
  <c r="V257" i="84" s="1"/>
  <c r="AE80" i="84"/>
  <c r="AE144" i="84" s="1"/>
  <c r="AE204" i="84" s="1"/>
  <c r="AE256" i="84" s="1"/>
  <c r="AD80" i="84"/>
  <c r="AD144" i="84" s="1"/>
  <c r="AD204" i="84" s="1"/>
  <c r="AD256" i="84" s="1"/>
  <c r="AC80" i="84"/>
  <c r="AC144" i="84" s="1"/>
  <c r="AC204" i="84" s="1"/>
  <c r="AC256" i="84" s="1"/>
  <c r="AB80" i="84"/>
  <c r="AB144" i="84" s="1"/>
  <c r="AB204" i="84" s="1"/>
  <c r="AB256" i="84" s="1"/>
  <c r="AA80" i="84"/>
  <c r="AA144" i="84" s="1"/>
  <c r="AA204" i="84" s="1"/>
  <c r="AA256" i="84" s="1"/>
  <c r="X80" i="84"/>
  <c r="X144" i="84" s="1"/>
  <c r="X204" i="84" s="1"/>
  <c r="X256" i="84" s="1"/>
  <c r="W80" i="84"/>
  <c r="W144" i="84" s="1"/>
  <c r="W204" i="84" s="1"/>
  <c r="W256" i="84" s="1"/>
  <c r="AE79" i="84"/>
  <c r="AE143" i="84" s="1"/>
  <c r="AE203" i="84" s="1"/>
  <c r="AE255" i="84" s="1"/>
  <c r="AB79" i="84"/>
  <c r="AB143" i="84" s="1"/>
  <c r="AB203" i="84" s="1"/>
  <c r="AB255" i="84" s="1"/>
  <c r="AA79" i="84"/>
  <c r="AA143" i="84" s="1"/>
  <c r="AA203" i="84" s="1"/>
  <c r="AA255" i="84" s="1"/>
  <c r="Z79" i="84"/>
  <c r="Z143" i="84" s="1"/>
  <c r="Z203" i="84" s="1"/>
  <c r="Z255" i="84" s="1"/>
  <c r="X79" i="84"/>
  <c r="X143" i="84" s="1"/>
  <c r="X203" i="84" s="1"/>
  <c r="X255" i="84" s="1"/>
  <c r="W79" i="84"/>
  <c r="W143" i="84" s="1"/>
  <c r="W203" i="84" s="1"/>
  <c r="W255" i="84" s="1"/>
  <c r="V79" i="84"/>
  <c r="V143" i="84" s="1"/>
  <c r="V203" i="84" s="1"/>
  <c r="V255" i="84" s="1"/>
  <c r="AE78" i="84"/>
  <c r="AE142" i="84" s="1"/>
  <c r="AE202" i="84" s="1"/>
  <c r="AE254" i="84" s="1"/>
  <c r="AC78" i="84"/>
  <c r="AC142" i="84" s="1"/>
  <c r="AC202" i="84" s="1"/>
  <c r="AC254" i="84" s="1"/>
  <c r="AA78" i="84"/>
  <c r="AA142" i="84" s="1"/>
  <c r="AA202" i="84" s="1"/>
  <c r="AA254" i="84" s="1"/>
  <c r="X78" i="84"/>
  <c r="X142" i="84" s="1"/>
  <c r="X202" i="84" s="1"/>
  <c r="X254" i="84" s="1"/>
  <c r="W78" i="84"/>
  <c r="W142" i="84" s="1"/>
  <c r="W202" i="84" s="1"/>
  <c r="W254" i="84" s="1"/>
  <c r="V78" i="84"/>
  <c r="V142" i="84" s="1"/>
  <c r="V202" i="84" s="1"/>
  <c r="V254" i="84" s="1"/>
  <c r="AE77" i="84"/>
  <c r="AE141" i="84" s="1"/>
  <c r="AE201" i="84" s="1"/>
  <c r="AE253" i="84" s="1"/>
  <c r="AD77" i="84"/>
  <c r="AD141" i="84" s="1"/>
  <c r="AD201" i="84" s="1"/>
  <c r="AD253" i="84" s="1"/>
  <c r="AA77" i="84"/>
  <c r="AA141" i="84" s="1"/>
  <c r="AA201" i="84" s="1"/>
  <c r="AA253" i="84" s="1"/>
  <c r="Z77" i="84"/>
  <c r="Z141" i="84" s="1"/>
  <c r="Z201" i="84" s="1"/>
  <c r="Z253" i="84" s="1"/>
  <c r="Y77" i="84"/>
  <c r="Y141" i="84" s="1"/>
  <c r="Y201" i="84" s="1"/>
  <c r="Y253" i="84" s="1"/>
  <c r="X77" i="84"/>
  <c r="X141" i="84" s="1"/>
  <c r="X201" i="84" s="1"/>
  <c r="X253" i="84" s="1"/>
  <c r="W77" i="84"/>
  <c r="W141" i="84" s="1"/>
  <c r="W201" i="84" s="1"/>
  <c r="W253" i="84" s="1"/>
  <c r="AE76" i="84"/>
  <c r="AE140" i="84" s="1"/>
  <c r="AE200" i="84" s="1"/>
  <c r="AE252" i="84" s="1"/>
  <c r="AD76" i="84"/>
  <c r="AD140" i="84" s="1"/>
  <c r="AD200" i="84" s="1"/>
  <c r="AD252" i="84" s="1"/>
  <c r="AC76" i="84"/>
  <c r="AC140" i="84" s="1"/>
  <c r="AC200" i="84" s="1"/>
  <c r="AC252" i="84" s="1"/>
  <c r="Y76" i="84"/>
  <c r="Y140" i="84" s="1"/>
  <c r="Y200" i="84" s="1"/>
  <c r="Y252" i="84" s="1"/>
  <c r="W76" i="84"/>
  <c r="W140" i="84" s="1"/>
  <c r="W200" i="84" s="1"/>
  <c r="W252" i="84" s="1"/>
  <c r="V76" i="84"/>
  <c r="V140" i="84" s="1"/>
  <c r="V200" i="84" s="1"/>
  <c r="V252" i="84" s="1"/>
  <c r="AE75" i="84"/>
  <c r="AE139" i="84" s="1"/>
  <c r="AE199" i="84" s="1"/>
  <c r="AE251" i="84" s="1"/>
  <c r="AC75" i="84"/>
  <c r="AC139" i="84" s="1"/>
  <c r="AC199" i="84" s="1"/>
  <c r="AC251" i="84" s="1"/>
  <c r="Z75" i="84"/>
  <c r="Z139" i="84" s="1"/>
  <c r="Z199" i="84" s="1"/>
  <c r="Z251" i="84" s="1"/>
  <c r="X75" i="84"/>
  <c r="X139" i="84" s="1"/>
  <c r="X199" i="84" s="1"/>
  <c r="X251" i="84" s="1"/>
  <c r="AE74" i="84"/>
  <c r="AE138" i="84" s="1"/>
  <c r="AE198" i="84" s="1"/>
  <c r="AE250" i="84" s="1"/>
  <c r="AC74" i="84"/>
  <c r="AC138" i="84" s="1"/>
  <c r="AC198" i="84" s="1"/>
  <c r="AC250" i="84" s="1"/>
  <c r="AB74" i="84"/>
  <c r="AB138" i="84" s="1"/>
  <c r="AB198" i="84" s="1"/>
  <c r="AB250" i="84" s="1"/>
  <c r="Z74" i="84"/>
  <c r="Z138" i="84" s="1"/>
  <c r="Z198" i="84" s="1"/>
  <c r="Z250" i="84" s="1"/>
  <c r="Y74" i="84"/>
  <c r="Y138" i="84" s="1"/>
  <c r="Y198" i="84" s="1"/>
  <c r="Y250" i="84" s="1"/>
  <c r="X74" i="84"/>
  <c r="X138" i="84" s="1"/>
  <c r="X198" i="84" s="1"/>
  <c r="X250" i="84" s="1"/>
  <c r="W74" i="84"/>
  <c r="W138" i="84" s="1"/>
  <c r="W198" i="84" s="1"/>
  <c r="W250" i="84" s="1"/>
  <c r="V74" i="84"/>
  <c r="V138" i="84" s="1"/>
  <c r="V198" i="84" s="1"/>
  <c r="V250" i="84" s="1"/>
  <c r="AC73" i="84"/>
  <c r="AC137" i="84" s="1"/>
  <c r="AC197" i="84" s="1"/>
  <c r="AC249" i="84" s="1"/>
  <c r="AB73" i="84"/>
  <c r="AB137" i="84" s="1"/>
  <c r="AB197" i="84" s="1"/>
  <c r="AB249" i="84" s="1"/>
  <c r="Z73" i="84"/>
  <c r="Z137" i="84" s="1"/>
  <c r="Z197" i="84" s="1"/>
  <c r="Z249" i="84" s="1"/>
  <c r="X73" i="84"/>
  <c r="X137" i="84" s="1"/>
  <c r="X197" i="84" s="1"/>
  <c r="X249" i="84" s="1"/>
  <c r="V73" i="84"/>
  <c r="V137" i="84" s="1"/>
  <c r="V197" i="84" s="1"/>
  <c r="V249" i="84" s="1"/>
  <c r="AD72" i="84"/>
  <c r="AD136" i="84" s="1"/>
  <c r="AD196" i="84" s="1"/>
  <c r="AD248" i="84" s="1"/>
  <c r="AC72" i="84"/>
  <c r="AC136" i="84" s="1"/>
  <c r="AC196" i="84" s="1"/>
  <c r="AC248" i="84" s="1"/>
  <c r="AA72" i="84"/>
  <c r="AA136" i="84" s="1"/>
  <c r="AA196" i="84" s="1"/>
  <c r="AA248" i="84" s="1"/>
  <c r="Y72" i="84"/>
  <c r="Y136" i="84" s="1"/>
  <c r="Y196" i="84" s="1"/>
  <c r="Y248" i="84" s="1"/>
  <c r="X72" i="84"/>
  <c r="X136" i="84" s="1"/>
  <c r="X196" i="84" s="1"/>
  <c r="X248" i="84" s="1"/>
  <c r="W72" i="84"/>
  <c r="W136" i="84" s="1"/>
  <c r="W196" i="84" s="1"/>
  <c r="W248" i="84" s="1"/>
  <c r="N65" i="84"/>
  <c r="N130" i="84" s="1"/>
  <c r="N172" i="84" s="1"/>
  <c r="N210" i="84" s="1"/>
  <c r="M65" i="84"/>
  <c r="M130" i="84" s="1"/>
  <c r="M172" i="84" s="1"/>
  <c r="M210" i="84" s="1"/>
  <c r="L65" i="84"/>
  <c r="L130" i="84" s="1"/>
  <c r="L172" i="84" s="1"/>
  <c r="L210" i="84" s="1"/>
  <c r="J65" i="84"/>
  <c r="J130" i="84" s="1"/>
  <c r="J172" i="84" s="1"/>
  <c r="J210" i="84" s="1"/>
  <c r="I65" i="84"/>
  <c r="I130" i="84" s="1"/>
  <c r="I172" i="84" s="1"/>
  <c r="I210" i="84" s="1"/>
  <c r="H65" i="84"/>
  <c r="H130" i="84" s="1"/>
  <c r="H172" i="84" s="1"/>
  <c r="H210" i="84" s="1"/>
  <c r="F65" i="84"/>
  <c r="F130" i="84" s="1"/>
  <c r="F172" i="84" s="1"/>
  <c r="F210" i="84" s="1"/>
  <c r="E65" i="84"/>
  <c r="E130" i="84" s="1"/>
  <c r="E172" i="84" s="1"/>
  <c r="E210" i="84" s="1"/>
  <c r="N64" i="84"/>
  <c r="N129" i="84" s="1"/>
  <c r="N171" i="84" s="1"/>
  <c r="N209" i="84" s="1"/>
  <c r="M64" i="84"/>
  <c r="M129" i="84" s="1"/>
  <c r="M171" i="84" s="1"/>
  <c r="M209" i="84" s="1"/>
  <c r="L64" i="84"/>
  <c r="L129" i="84" s="1"/>
  <c r="L171" i="84" s="1"/>
  <c r="L209" i="84" s="1"/>
  <c r="K64" i="84"/>
  <c r="K129" i="84" s="1"/>
  <c r="K171" i="84" s="1"/>
  <c r="K209" i="84" s="1"/>
  <c r="I64" i="84"/>
  <c r="I129" i="84" s="1"/>
  <c r="I171" i="84" s="1"/>
  <c r="I209" i="84" s="1"/>
  <c r="H64" i="84"/>
  <c r="H129" i="84" s="1"/>
  <c r="H171" i="84" s="1"/>
  <c r="H209" i="84" s="1"/>
  <c r="F64" i="84"/>
  <c r="F129" i="84" s="1"/>
  <c r="F171" i="84" s="1"/>
  <c r="F209" i="84" s="1"/>
  <c r="E64" i="84"/>
  <c r="E129" i="84" s="1"/>
  <c r="E171" i="84" s="1"/>
  <c r="E209" i="84" s="1"/>
  <c r="N63" i="84"/>
  <c r="N128" i="84" s="1"/>
  <c r="N170" i="84" s="1"/>
  <c r="N208" i="84" s="1"/>
  <c r="M63" i="84"/>
  <c r="M128" i="84" s="1"/>
  <c r="M170" i="84" s="1"/>
  <c r="M208" i="84" s="1"/>
  <c r="L63" i="84"/>
  <c r="L128" i="84" s="1"/>
  <c r="L170" i="84" s="1"/>
  <c r="L208" i="84" s="1"/>
  <c r="J63" i="84"/>
  <c r="J128" i="84" s="1"/>
  <c r="J170" i="84" s="1"/>
  <c r="J208" i="84" s="1"/>
  <c r="I63" i="84"/>
  <c r="I128" i="84" s="1"/>
  <c r="I170" i="84" s="1"/>
  <c r="I208" i="84" s="1"/>
  <c r="H63" i="84"/>
  <c r="H128" i="84" s="1"/>
  <c r="H170" i="84" s="1"/>
  <c r="H208" i="84" s="1"/>
  <c r="G63" i="84"/>
  <c r="G128" i="84" s="1"/>
  <c r="G170" i="84" s="1"/>
  <c r="G208" i="84" s="1"/>
  <c r="F63" i="84"/>
  <c r="F128" i="84" s="1"/>
  <c r="F170" i="84" s="1"/>
  <c r="F208" i="84" s="1"/>
  <c r="E63" i="84"/>
  <c r="E128" i="84" s="1"/>
  <c r="E170" i="84" s="1"/>
  <c r="E208" i="84" s="1"/>
  <c r="N62" i="84"/>
  <c r="N127" i="84" s="1"/>
  <c r="N169" i="84" s="1"/>
  <c r="N207" i="84" s="1"/>
  <c r="M62" i="84"/>
  <c r="M127" i="84" s="1"/>
  <c r="M169" i="84" s="1"/>
  <c r="M207" i="84" s="1"/>
  <c r="L62" i="84"/>
  <c r="L127" i="84" s="1"/>
  <c r="L169" i="84" s="1"/>
  <c r="L207" i="84" s="1"/>
  <c r="K62" i="84"/>
  <c r="K127" i="84" s="1"/>
  <c r="K169" i="84" s="1"/>
  <c r="K207" i="84" s="1"/>
  <c r="J62" i="84"/>
  <c r="J127" i="84" s="1"/>
  <c r="J169" i="84" s="1"/>
  <c r="J207" i="84" s="1"/>
  <c r="I62" i="84"/>
  <c r="I127" i="84" s="1"/>
  <c r="I169" i="84" s="1"/>
  <c r="I207" i="84" s="1"/>
  <c r="H62" i="84"/>
  <c r="H127" i="84" s="1"/>
  <c r="H169" i="84" s="1"/>
  <c r="H207" i="84" s="1"/>
  <c r="G62" i="84"/>
  <c r="G127" i="84" s="1"/>
  <c r="G169" i="84" s="1"/>
  <c r="G207" i="84" s="1"/>
  <c r="F62" i="84"/>
  <c r="F127" i="84" s="1"/>
  <c r="F169" i="84" s="1"/>
  <c r="F207" i="84" s="1"/>
  <c r="G47" i="81"/>
  <c r="G55" i="81" s="1"/>
  <c r="I46" i="81"/>
  <c r="I47" i="81" s="1"/>
  <c r="G54" i="81"/>
  <c r="X164" i="88"/>
  <c r="V167" i="88" s="1" a="1"/>
  <c r="V167" i="88" s="1"/>
  <c r="F9" i="13" a="1"/>
  <c r="F9" i="13" s="1"/>
  <c r="I9" i="13" s="1" a="1"/>
  <c r="I9" i="13" s="1"/>
  <c r="G130" i="88"/>
  <c r="E133" i="88" s="1" a="1"/>
  <c r="E133" i="88" s="1"/>
  <c r="E9" i="13" a="1"/>
  <c r="E9" i="13" s="1"/>
  <c r="H9" i="13" s="1" a="1"/>
  <c r="H9" i="13" s="1"/>
  <c r="E80" i="90"/>
  <c r="I566" i="117"/>
  <c r="J35" i="98"/>
  <c r="Q42" i="108"/>
  <c r="O45" i="108" s="1" a="1"/>
  <c r="O45" i="108" s="1"/>
  <c r="F20" i="13" a="1"/>
  <c r="F20" i="13" s="1"/>
  <c r="I20" i="13" s="1" a="1"/>
  <c r="I20" i="13" s="1"/>
  <c r="P112" i="90"/>
  <c r="N115" i="90" s="1" a="1"/>
  <c r="N115" i="90" s="1"/>
  <c r="F14" i="13" a="1"/>
  <c r="F14" i="13" s="1"/>
  <c r="I14" i="13" s="1" a="1"/>
  <c r="I14" i="13" s="1"/>
  <c r="N35" i="90"/>
  <c r="E43" i="95"/>
  <c r="J89" i="95" s="1"/>
  <c r="E94" i="95" s="1"/>
  <c r="H17" i="13"/>
  <c r="F17" i="13"/>
  <c r="I17" i="13" s="1"/>
  <c r="E332" i="117"/>
  <c r="F45" i="13" s="1" a="1"/>
  <c r="F45" i="13" s="1"/>
  <c r="I45" i="13" s="1"/>
  <c r="E331" i="117"/>
  <c r="E45" i="13" s="1" a="1"/>
  <c r="E45" i="13" s="1"/>
  <c r="H45" i="13" s="1"/>
  <c r="F15" i="13"/>
  <c r="I15" i="13" s="1"/>
  <c r="H15" i="13"/>
  <c r="E41" i="97"/>
  <c r="E146" i="94"/>
  <c r="G52" i="92"/>
  <c r="E55" i="92" s="1" a="1"/>
  <c r="E55" i="92" s="1"/>
  <c r="E16" i="13" a="1"/>
  <c r="E16" i="13" s="1"/>
  <c r="E77" i="95"/>
  <c r="J90" i="95" s="1"/>
  <c r="G42" i="108"/>
  <c r="E45" i="108" s="1" a="1"/>
  <c r="E45" i="108" s="1"/>
  <c r="E20" i="13" a="1"/>
  <c r="E20" i="13" s="1"/>
  <c r="H20" i="13" s="1" a="1"/>
  <c r="H20" i="13" s="1"/>
  <c r="W57" i="84"/>
  <c r="V61" i="84"/>
  <c r="AA57" i="84"/>
  <c r="AD63" i="84"/>
  <c r="Y62" i="84"/>
  <c r="AA58" i="84"/>
  <c r="AD57" i="84"/>
  <c r="AC61" i="84"/>
  <c r="AE56" i="84"/>
  <c r="AA60" i="84"/>
  <c r="J56" i="84"/>
  <c r="V64" i="84"/>
  <c r="AB62" i="84"/>
  <c r="AB61" i="84"/>
  <c r="K55" i="84"/>
  <c r="AE57" i="84"/>
  <c r="AB60" i="84"/>
  <c r="X60" i="84"/>
  <c r="W66" i="84"/>
  <c r="E54" i="84"/>
  <c r="AD58" i="84"/>
  <c r="Y57" i="84"/>
  <c r="AB56" i="84"/>
  <c r="AD59" i="84"/>
  <c r="Y64" i="84"/>
  <c r="Y59" i="84"/>
  <c r="V59" i="84"/>
  <c r="W59" i="84"/>
  <c r="AB59" i="84"/>
  <c r="AA67" i="84"/>
  <c r="AD65" i="84"/>
  <c r="Z64" i="84"/>
  <c r="AE66" i="84"/>
  <c r="Z60" i="84"/>
  <c r="AD67" i="84"/>
  <c r="AA59" i="84"/>
  <c r="Z67" i="84"/>
  <c r="G56" i="84"/>
  <c r="AC65" i="84"/>
  <c r="AD62" i="84"/>
  <c r="Y63" i="84"/>
  <c r="V56" i="84"/>
  <c r="K57" i="84"/>
  <c r="AC63" i="84"/>
  <c r="G57" i="84"/>
  <c r="Z56" i="84"/>
  <c r="AA65" i="84"/>
  <c r="Z62" i="84"/>
  <c r="W67" i="84"/>
  <c r="I56" i="13" l="1"/>
  <c r="H56" i="13"/>
  <c r="E79" i="94"/>
  <c r="G81" i="94" s="1"/>
  <c r="E84" i="94" s="1" a="1"/>
  <c r="E84" i="94" s="1"/>
  <c r="AD83" i="84"/>
  <c r="AD147" i="84" s="1"/>
  <c r="AD207" i="84" s="1"/>
  <c r="AD259" i="84" s="1"/>
  <c r="AA83" i="84"/>
  <c r="AA147" i="84" s="1"/>
  <c r="AA207" i="84" s="1"/>
  <c r="AA259" i="84" s="1"/>
  <c r="Z83" i="84"/>
  <c r="Z147" i="84" s="1"/>
  <c r="Z207" i="84" s="1"/>
  <c r="Z259" i="84" s="1"/>
  <c r="W83" i="84"/>
  <c r="W147" i="84" s="1"/>
  <c r="W207" i="84" s="1"/>
  <c r="W259" i="84" s="1"/>
  <c r="AE82" i="84"/>
  <c r="AE146" i="84" s="1"/>
  <c r="AE206" i="84" s="1"/>
  <c r="AE258" i="84" s="1"/>
  <c r="W82" i="84"/>
  <c r="W146" i="84" s="1"/>
  <c r="W206" i="84" s="1"/>
  <c r="W258" i="84" s="1"/>
  <c r="AD81" i="84"/>
  <c r="AD145" i="84" s="1"/>
  <c r="AD205" i="84" s="1"/>
  <c r="AD257" i="84" s="1"/>
  <c r="AC81" i="84"/>
  <c r="AC145" i="84" s="1"/>
  <c r="AC205" i="84" s="1"/>
  <c r="AC257" i="84" s="1"/>
  <c r="AA81" i="84"/>
  <c r="AA145" i="84" s="1"/>
  <c r="AA205" i="84" s="1"/>
  <c r="AA257" i="84" s="1"/>
  <c r="Z80" i="84"/>
  <c r="Z144" i="84" s="1"/>
  <c r="Z204" i="84" s="1"/>
  <c r="Z256" i="84" s="1"/>
  <c r="Y80" i="84"/>
  <c r="Y144" i="84" s="1"/>
  <c r="Y204" i="84" s="1"/>
  <c r="Y256" i="84" s="1"/>
  <c r="V80" i="84"/>
  <c r="V144" i="84" s="1"/>
  <c r="V204" i="84" s="1"/>
  <c r="V256" i="84" s="1"/>
  <c r="AD79" i="84"/>
  <c r="AD143" i="84" s="1"/>
  <c r="AD203" i="84" s="1"/>
  <c r="AD255" i="84" s="1"/>
  <c r="AC79" i="84"/>
  <c r="AC143" i="84" s="1"/>
  <c r="AC203" i="84" s="1"/>
  <c r="AC255" i="84" s="1"/>
  <c r="Y79" i="84"/>
  <c r="Y143" i="84" s="1"/>
  <c r="Y203" i="84" s="1"/>
  <c r="Y255" i="84" s="1"/>
  <c r="AD78" i="84"/>
  <c r="AD142" i="84" s="1"/>
  <c r="AD202" i="84" s="1"/>
  <c r="AD254" i="84" s="1"/>
  <c r="AB78" i="84"/>
  <c r="AB142" i="84" s="1"/>
  <c r="AB202" i="84" s="1"/>
  <c r="AB254" i="84" s="1"/>
  <c r="Z78" i="84"/>
  <c r="Z142" i="84" s="1"/>
  <c r="Z202" i="84" s="1"/>
  <c r="Z254" i="84" s="1"/>
  <c r="Y78" i="84"/>
  <c r="Y142" i="84" s="1"/>
  <c r="Y202" i="84" s="1"/>
  <c r="Y254" i="84" s="1"/>
  <c r="AC77" i="84"/>
  <c r="AC141" i="84" s="1"/>
  <c r="AC201" i="84" s="1"/>
  <c r="AC253" i="84" s="1"/>
  <c r="AB77" i="84"/>
  <c r="AB141" i="84" s="1"/>
  <c r="AB201" i="84" s="1"/>
  <c r="AB253" i="84" s="1"/>
  <c r="V77" i="84"/>
  <c r="V141" i="84" s="1"/>
  <c r="V201" i="84" s="1"/>
  <c r="V253" i="84" s="1"/>
  <c r="AB76" i="84"/>
  <c r="AB140" i="84" s="1"/>
  <c r="AB200" i="84" s="1"/>
  <c r="AB252" i="84" s="1"/>
  <c r="AA76" i="84"/>
  <c r="AA140" i="84" s="1"/>
  <c r="AA200" i="84" s="1"/>
  <c r="AA252" i="84" s="1"/>
  <c r="Z76" i="84"/>
  <c r="Z140" i="84" s="1"/>
  <c r="Z200" i="84" s="1"/>
  <c r="Z252" i="84" s="1"/>
  <c r="X76" i="84"/>
  <c r="X140" i="84" s="1"/>
  <c r="X200" i="84" s="1"/>
  <c r="X252" i="84" s="1"/>
  <c r="AD75" i="84"/>
  <c r="AD139" i="84" s="1"/>
  <c r="AD199" i="84" s="1"/>
  <c r="AD251" i="84" s="1"/>
  <c r="AB75" i="84"/>
  <c r="AB139" i="84" s="1"/>
  <c r="AB199" i="84" s="1"/>
  <c r="AB251" i="84" s="1"/>
  <c r="AA75" i="84"/>
  <c r="AA139" i="84" s="1"/>
  <c r="AA199" i="84" s="1"/>
  <c r="AA251" i="84" s="1"/>
  <c r="Y75" i="84"/>
  <c r="Y139" i="84" s="1"/>
  <c r="Y199" i="84" s="1"/>
  <c r="Y251" i="84" s="1"/>
  <c r="W75" i="84"/>
  <c r="W139" i="84" s="1"/>
  <c r="W199" i="84" s="1"/>
  <c r="W251" i="84" s="1"/>
  <c r="V75" i="84"/>
  <c r="V139" i="84" s="1"/>
  <c r="V199" i="84" s="1"/>
  <c r="V251" i="84" s="1"/>
  <c r="AD74" i="84"/>
  <c r="AD138" i="84" s="1"/>
  <c r="AD198" i="84" s="1"/>
  <c r="AD250" i="84" s="1"/>
  <c r="AA74" i="84"/>
  <c r="AA138" i="84" s="1"/>
  <c r="AA198" i="84" s="1"/>
  <c r="AA250" i="84" s="1"/>
  <c r="AE73" i="84"/>
  <c r="AE137" i="84" s="1"/>
  <c r="AE197" i="84" s="1"/>
  <c r="AE249" i="84" s="1"/>
  <c r="AD73" i="84"/>
  <c r="AD137" i="84" s="1"/>
  <c r="AD197" i="84" s="1"/>
  <c r="AD249" i="84" s="1"/>
  <c r="AA73" i="84"/>
  <c r="AA137" i="84" s="1"/>
  <c r="AA197" i="84" s="1"/>
  <c r="AA249" i="84" s="1"/>
  <c r="Y73" i="84"/>
  <c r="Y137" i="84" s="1"/>
  <c r="Y197" i="84" s="1"/>
  <c r="Y249" i="84" s="1"/>
  <c r="W73" i="84"/>
  <c r="W137" i="84" s="1"/>
  <c r="W197" i="84" s="1"/>
  <c r="W249" i="84" s="1"/>
  <c r="AE72" i="84"/>
  <c r="AE136" i="84" s="1"/>
  <c r="AE196" i="84" s="1"/>
  <c r="AE248" i="84" s="1"/>
  <c r="AB72" i="84"/>
  <c r="AB136" i="84" s="1"/>
  <c r="AB196" i="84" s="1"/>
  <c r="AB248" i="84" s="1"/>
  <c r="Z72" i="84"/>
  <c r="Z136" i="84" s="1"/>
  <c r="Z196" i="84" s="1"/>
  <c r="Z248" i="84" s="1"/>
  <c r="V72" i="84"/>
  <c r="V136" i="84" s="1"/>
  <c r="V196" i="84" s="1"/>
  <c r="V248" i="84" s="1"/>
  <c r="K65" i="84"/>
  <c r="K130" i="84" s="1"/>
  <c r="K172" i="84" s="1"/>
  <c r="K210" i="84" s="1"/>
  <c r="G65" i="84"/>
  <c r="G130" i="84" s="1"/>
  <c r="G172" i="84" s="1"/>
  <c r="G210" i="84" s="1"/>
  <c r="J64" i="84"/>
  <c r="J129" i="84" s="1"/>
  <c r="J171" i="84" s="1"/>
  <c r="J209" i="84" s="1"/>
  <c r="G64" i="84"/>
  <c r="G129" i="84" s="1"/>
  <c r="G171" i="84" s="1"/>
  <c r="G209" i="84" s="1"/>
  <c r="K63" i="84"/>
  <c r="K128" i="84" s="1"/>
  <c r="K170" i="84" s="1"/>
  <c r="K208" i="84" s="1"/>
  <c r="E62" i="84"/>
  <c r="E127" i="84" s="1"/>
  <c r="E169" i="84" s="1"/>
  <c r="E207" i="84" s="1"/>
  <c r="G96" i="95"/>
  <c r="E99" i="95" s="1" a="1"/>
  <c r="E99" i="95" s="1"/>
  <c r="H16" i="13" a="1"/>
  <c r="H16" i="13" s="1"/>
  <c r="F16" i="13"/>
  <c r="I16" i="13" s="1" a="1"/>
  <c r="I16" i="13" s="1"/>
  <c r="R46" i="90"/>
  <c r="R76" i="90"/>
  <c r="R60" i="90"/>
  <c r="G148" i="94"/>
  <c r="E151" i="94" s="1" a="1"/>
  <c r="E151" i="94" s="1"/>
  <c r="J585" i="117"/>
  <c r="E18" i="13" a="1"/>
  <c r="E18" i="13" s="1"/>
  <c r="I565" i="117"/>
  <c r="J34" i="98"/>
  <c r="G82" i="90"/>
  <c r="E85" i="90" s="1" a="1"/>
  <c r="E85" i="90" s="1"/>
  <c r="E14" i="13" a="1"/>
  <c r="E14" i="13" s="1"/>
  <c r="H14" i="13" s="1" a="1"/>
  <c r="H14" i="13" s="1"/>
  <c r="N49" i="90" l="1"/>
  <c r="O105" i="90" s="1"/>
  <c r="N63" i="90"/>
  <c r="O106" i="90" s="1"/>
  <c r="N79" i="90"/>
  <c r="O107" i="90" s="1"/>
  <c r="E19" i="13" a="1"/>
  <c r="E19" i="13" s="1"/>
  <c r="F19" i="13" s="1"/>
  <c r="I19" i="13" s="1" a="1"/>
  <c r="I19" i="13" s="1"/>
  <c r="J586" i="117"/>
  <c r="H18" i="13" a="1"/>
  <c r="H18" i="13" s="1"/>
  <c r="F18" i="13"/>
  <c r="I18" i="13" s="1" a="1"/>
  <c r="I18" i="13" s="1"/>
  <c r="E212" i="84"/>
  <c r="V261" i="84"/>
  <c r="V267" i="84" s="1"/>
  <c r="G246" i="83"/>
  <c r="E249" i="83" s="1" a="1"/>
  <c r="E249" i="83" s="1"/>
  <c r="H19" i="13" l="1" a="1"/>
  <c r="H19" i="13" s="1"/>
  <c r="E588" i="117"/>
  <c r="G590" i="117" s="1"/>
  <c r="E593" i="117" s="1" a="1"/>
  <c r="E593" i="117" s="1"/>
  <c r="J13" i="85"/>
  <c r="E229" i="84"/>
  <c r="G231" i="84" s="1"/>
  <c r="E234" i="84" s="1" a="1"/>
  <c r="E234" i="84" s="1"/>
  <c r="I13" i="86"/>
  <c r="E10" i="13" a="1"/>
  <c r="E10" i="13" s="1"/>
  <c r="H10" i="13" s="1" a="1"/>
  <c r="H10" i="13" s="1"/>
  <c r="Z278" i="83"/>
  <c r="X281" i="83" s="1" a="1"/>
  <c r="X281" i="83" s="1"/>
  <c r="E20" i="86" l="1"/>
  <c r="I32" i="86" s="1"/>
  <c r="E16" i="85"/>
  <c r="I28" i="85" s="1"/>
  <c r="E35" i="85" s="1"/>
  <c r="E11" i="13" a="1"/>
  <c r="E11" i="13" s="1"/>
  <c r="H11" i="13" s="1" a="1"/>
  <c r="H11" i="13" s="1"/>
  <c r="T13" i="85"/>
  <c r="R13" i="86"/>
  <c r="F10" i="13" a="1"/>
  <c r="F10" i="13" s="1"/>
  <c r="I10" i="13" s="1" a="1"/>
  <c r="I10" i="13" s="1"/>
  <c r="E36" i="86" l="1"/>
  <c r="E13" i="13" s="1" a="1"/>
  <c r="E13" i="13" s="1"/>
  <c r="H13" i="13" s="1" a="1"/>
  <c r="H13" i="13" s="1"/>
  <c r="N20" i="86"/>
  <c r="R32" i="86" s="1"/>
  <c r="O16" i="85"/>
  <c r="S28" i="85" s="1"/>
  <c r="O35" i="85" s="1"/>
  <c r="G37" i="85"/>
  <c r="E40" i="85" s="1" a="1"/>
  <c r="E40" i="85" s="1"/>
  <c r="E12" i="13" a="1"/>
  <c r="E12" i="13" s="1"/>
  <c r="H12" i="13" s="1" a="1"/>
  <c r="H12" i="13" s="1"/>
  <c r="X269" i="84"/>
  <c r="V272" i="84" s="1" a="1"/>
  <c r="V272" i="84" s="1"/>
  <c r="F11" i="13" a="1"/>
  <c r="F11" i="13" s="1"/>
  <c r="I11" i="13" s="1" a="1"/>
  <c r="I11" i="13" s="1"/>
  <c r="N36" i="86" l="1"/>
  <c r="F13" i="13" s="1" a="1"/>
  <c r="F13" i="13" s="1"/>
  <c r="I13" i="13" s="1" a="1"/>
  <c r="I13" i="13" s="1"/>
  <c r="H28" i="13"/>
  <c r="E67" i="13" s="1"/>
  <c r="E68" i="13" s="1"/>
  <c r="G38" i="86"/>
  <c r="E41" i="86" s="1" a="1"/>
  <c r="E41" i="86" s="1"/>
  <c r="F12" i="13" a="1"/>
  <c r="F12" i="13" s="1"/>
  <c r="I12" i="13" s="1" a="1"/>
  <c r="I12" i="13" s="1"/>
  <c r="Q37" i="85"/>
  <c r="O40" i="85" s="1" a="1"/>
  <c r="O40" i="85" s="1"/>
  <c r="E56" i="72" l="1"/>
  <c r="E60" i="72" s="1"/>
  <c r="E36" i="81" s="1"/>
  <c r="P38" i="86"/>
  <c r="N41" i="86" s="1" a="1"/>
  <c r="N41" i="86" s="1"/>
  <c r="I28" i="13"/>
  <c r="F67" i="13" s="1"/>
  <c r="F68" i="13" s="1"/>
  <c r="F56" i="72" l="1"/>
  <c r="F60" i="72" s="1"/>
  <c r="K54" i="81" s="1"/>
  <c r="J52" i="81"/>
  <c r="J46" i="81"/>
  <c r="J44" i="81"/>
  <c r="E80" i="72"/>
  <c r="E84" i="72" s="1"/>
  <c r="E37" i="81" s="1"/>
  <c r="K60" i="81" s="1"/>
  <c r="J54" i="81"/>
  <c r="F80" i="72" l="1"/>
  <c r="F84" i="72" s="1"/>
  <c r="F37" i="81" s="1"/>
  <c r="K53" i="81" s="1"/>
  <c r="F36" i="81"/>
  <c r="K44" i="81"/>
  <c r="K46" i="81"/>
  <c r="K52" i="81"/>
  <c r="J60" i="81"/>
  <c r="J45" i="81"/>
  <c r="J47" i="81"/>
  <c r="J55" i="81"/>
  <c r="J53" i="81"/>
  <c r="K55" i="81" l="1"/>
  <c r="K45" i="81"/>
  <c r="K47" i="8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<sst xmlns="http://schemas.openxmlformats.org/spreadsheetml/2006/main" count="10536" uniqueCount="2599">
  <si>
    <t>INPUTS</t>
  </si>
  <si>
    <t>APPENDICES</t>
  </si>
  <si>
    <t>CALCULATIONS</t>
  </si>
  <si>
    <t>Scope 1 source</t>
  </si>
  <si>
    <t>GHG Unit</t>
  </si>
  <si>
    <t>t CH4</t>
  </si>
  <si>
    <t>t CO2e</t>
  </si>
  <si>
    <t>GHG emissions method 1</t>
  </si>
  <si>
    <t>GHG emissions method 2</t>
  </si>
  <si>
    <t>CO2-e emissions method 1</t>
  </si>
  <si>
    <t>CO2-e emissions method 2</t>
  </si>
  <si>
    <t>4.2.1.1-2 Manure methane</t>
  </si>
  <si>
    <t>t N2O</t>
  </si>
  <si>
    <t>4.2.1.3-4 Soil direct N2O</t>
  </si>
  <si>
    <t>4.2.1.5-6 Soil atmospheric deposition</t>
  </si>
  <si>
    <t>4.2.1.7-8 Soil leaching and runoff</t>
  </si>
  <si>
    <t>Production timeframe start</t>
  </si>
  <si>
    <t>Production timeframe end</t>
  </si>
  <si>
    <t>Production timeframe length</t>
  </si>
  <si>
    <t>Emissions calculation period start date</t>
  </si>
  <si>
    <t>Emissions calculation period end date</t>
  </si>
  <si>
    <t>Production</t>
  </si>
  <si>
    <t>Liveweight sold</t>
  </si>
  <si>
    <t>Liveweight grown - method 1</t>
  </si>
  <si>
    <t>Liveweight grown - method 2</t>
  </si>
  <si>
    <t>Percent manure sold</t>
  </si>
  <si>
    <t>Percent manure applied as fertiliser on own farm</t>
  </si>
  <si>
    <t>Percent manure applied to soil with no purpose (as waste)</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</si>
  <si>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</si>
  <si>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</si>
  <si>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</si>
  <si>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</si>
  <si>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</si>
  <si>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</si>
  <si>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</si>
  <si>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</si>
  <si>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</si>
  <si>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</si>
  <si>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</si>
  <si>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</si>
  <si>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</si>
  <si>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</si>
  <si>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</si>
  <si>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</si>
  <si>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</si>
  <si>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</si>
  <si>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</si>
  <si>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</si>
  <si>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</si>
  <si>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</si>
  <si>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</si>
  <si>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</si>
  <si>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</si>
  <si>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</si>
  <si>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</si>
  <si>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</si>
  <si>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</si>
  <si>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</si>
  <si>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</si>
  <si>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</si>
  <si>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</si>
  <si>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</si>
  <si>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</si>
  <si>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</si>
  <si>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</si>
  <si>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</si>
  <si>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</si>
  <si>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</si>
  <si>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</si>
  <si>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</si>
  <si>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</si>
  <si>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</si>
  <si>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</si>
  <si>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</si>
  <si>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</si>
  <si>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</si>
  <si>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</si>
  <si>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</si>
  <si>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</si>
  <si>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</si>
  <si>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</si>
  <si>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</si>
  <si>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</si>
  <si>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</si>
  <si>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</si>
  <si>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</si>
  <si>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</si>
  <si>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</si>
  <si>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</si>
  <si>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</si>
  <si>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</si>
  <si>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</si>
  <si>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</si>
  <si>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</si>
  <si>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</si>
  <si>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</si>
  <si>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</si>
  <si>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</si>
  <si>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</si>
  <si>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</si>
  <si>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</si>
  <si>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</si>
  <si>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0"/>
        <color theme="1" tint="0.34998626667073579"/>
        <rFont val="Arial"/>
        <family val="1"/>
      </rPr>
      <t xml:space="preserve">← </t>
    </r>
    <r>
      <rPr>
        <i/>
        <sz val="10"/>
        <color theme="1" tint="0.34998626667073579"/>
        <rFont val="Arial"/>
        <family val="1"/>
      </rPr>
      <t>DD/MM/YYYY or DD Month YYYY</t>
    </r>
  </si>
  <si>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</si>
  <si>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</si>
  <si>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</si>
  <si>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</si>
  <si>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</si>
  <si>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</si>
  <si>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0"/>
        <color theme="1" tint="0.34998626667073579"/>
        <rFont val="Arial"/>
        <family val="1"/>
      </rPr>
      <t xml:space="preserve">← </t>
    </r>
    <r>
      <rPr>
        <i/>
        <sz val="10"/>
        <color theme="1" tint="0.34998626667073579"/>
        <rFont val="Arial"/>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</si>
  <si>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</si>
  <si>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</si>
  <si>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</si>
  <si>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</si>
  <si>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</si>
  <si>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</si>
  <si>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</si>
  <si>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</si>
  <si>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</si>
  <si>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</si>
  <si>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</si>
  <si>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</si>
  <si>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</si>
  <si>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</si>
  <si>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</si>
  <si>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</si>
  <si>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Unit</t>
  </si>
  <si>
    <t>t co2e/t liveweight sold</t>
  </si>
  <si>
    <t>t co2e/t manure</t>
  </si>
  <si>
    <t>Emissions intensity (Method 1)</t>
  </si>
  <si>
    <t>Emissions intensity (Method 2)</t>
  </si>
  <si>
    <t>Product type</t>
  </si>
  <si>
    <t>Main product</t>
  </si>
  <si>
    <t>Co-product</t>
  </si>
  <si>
    <t>Manure used as fertiliser on own farm</t>
  </si>
  <si>
    <t>N/A</t>
  </si>
  <si>
    <t>Residual product</t>
  </si>
  <si>
    <t>CO2 removed attributed to this enterprise</t>
  </si>
  <si>
    <t>t CO2</t>
  </si>
  <si>
    <t>Total emissions for production cycle</t>
  </si>
  <si>
    <t>Total carbon removals for production cycle</t>
  </si>
  <si>
    <t>Method 1</t>
  </si>
  <si>
    <t>Method 2</t>
  </si>
  <si>
    <t>Liveweight grown - Method 1</t>
  </si>
  <si>
    <t>Product</t>
  </si>
  <si>
    <t>t co2e/t liveweight grown</t>
  </si>
  <si>
    <t>3.2.1.1-2 Enteric methane</t>
  </si>
  <si>
    <t>5.1.1.1-2 Inorganic fert N2O</t>
  </si>
  <si>
    <t>5.1.1.3-4 Inorganic fert CO2</t>
  </si>
  <si>
    <t>5.2.1.1-2 Organic fert N2O</t>
  </si>
  <si>
    <t>5.3.1.1-2 Lime CO2</t>
  </si>
  <si>
    <t>5.4.1.1-4 Atmos. deposition</t>
  </si>
  <si>
    <t>5.5.1.1-2 Leaching &amp; runoff</t>
  </si>
  <si>
    <t>6.2.1.1-2 Pasture residue N2O</t>
  </si>
  <si>
    <t>6.3.1.1-2 Leach &amp; runoff (pasture)</t>
  </si>
  <si>
    <t>8.1.1.1-2 Transport fuel CO2</t>
  </si>
  <si>
    <t>8.1.1.1-2 Transport fuel N2O</t>
  </si>
  <si>
    <t>8.1.1.1-2 Transport fuel CH4</t>
  </si>
  <si>
    <t>8.2.1.1-2 Stationary fuel CO2</t>
  </si>
  <si>
    <t>8.2.1.1-2 Stationary fuel CH4</t>
  </si>
  <si>
    <t>8.2.1.1-2 Stationary fuel N2O</t>
  </si>
  <si>
    <t>Input - Enterprise</t>
  </si>
  <si>
    <t>percent</t>
  </si>
  <si>
    <t>Manure produced - method 1</t>
  </si>
  <si>
    <t>Manure produced - method 2</t>
  </si>
  <si>
    <t>Percentage of income from liveweight sold</t>
  </si>
  <si>
    <t>Percentage of income from manure sold</t>
  </si>
  <si>
    <t>Product emissions - Mass</t>
  </si>
  <si>
    <t>Product emissions - Economic</t>
  </si>
  <si>
    <t>Economic emissions assignment</t>
  </si>
  <si>
    <t>Emissions per tonne liveweight grown</t>
  </si>
  <si>
    <t>Liveweight sold - excluding removals</t>
  </si>
  <si>
    <t>Liveweight sold - net emissions</t>
  </si>
  <si>
    <t>Manure sold - excluding removals</t>
  </si>
  <si>
    <t>Manure sold - net emissions</t>
  </si>
  <si>
    <t>Input - Fertiliser Production System</t>
  </si>
  <si>
    <t>Production system</t>
  </si>
  <si>
    <t>Crop type</t>
  </si>
  <si>
    <t>Area under cropping</t>
  </si>
  <si>
    <t>Pasture</t>
  </si>
  <si>
    <t>These inputs are used for fertiliser calculations, and they take their values from the "Input - Pasture" sheet. Do not edit these cells.</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</si>
  <si>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</si>
  <si>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</si>
  <si>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</si>
  <si>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</si>
  <si>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</si>
  <si>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</si>
  <si>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</si>
  <si>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</si>
  <si>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Bulls &gt; 1 year</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</si>
  <si>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</si>
  <si>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</si>
  <si>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</si>
  <si>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</si>
  <si>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</si>
  <si>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</si>
  <si>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</si>
  <si>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</si>
  <si>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</si>
  <si>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</si>
  <si>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</si>
  <si>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</si>
  <si>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</si>
  <si>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</si>
  <si>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</si>
  <si>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</si>
  <si>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</si>
  <si>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</si>
  <si>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</si>
  <si>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</si>
  <si>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</si>
  <si>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</si>
  <si>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</si>
  <si>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</si>
  <si>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</si>
  <si>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</si>
  <si>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</si>
  <si>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</si>
  <si>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</si>
  <si>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</si>
  <si>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</si>
  <si>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</si>
  <si>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</si>
  <si>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</si>
  <si>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</si>
  <si>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</si>
  <si>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</si>
  <si>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</si>
  <si>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</si>
  <si>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</si>
  <si>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</si>
  <si>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</si>
  <si>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</si>
  <si>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</si>
  <si>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</si>
  <si>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</si>
  <si>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</si>
  <si>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</si>
  <si>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</si>
  <si>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</si>
  <si>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</si>
  <si>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Enterprise</t>
  </si>
  <si>
    <t>When was the data sourced?</t>
  </si>
  <si>
    <t>Where is the data sourced from?</t>
  </si>
  <si>
    <t>How much of the data was from direct samples?</t>
  </si>
  <si>
    <t>During this emissions calculation period</t>
  </si>
  <si>
    <t>This location without spatial partitioning</t>
  </si>
  <si>
    <t>Over 90%</t>
  </si>
  <si>
    <t>Between 21% and 50%</t>
  </si>
  <si>
    <t>Regional-level data from a government or industry database/survey</t>
  </si>
  <si>
    <t>Between 51% and 90%</t>
  </si>
  <si>
    <t>Site</t>
  </si>
  <si>
    <t>Within 2 years of this emissions calculation period</t>
  </si>
  <si>
    <t>Within 3 years of this emissions calculation period</t>
  </si>
  <si>
    <t>Pasture Beef</t>
  </si>
  <si>
    <t>Less than 20%</t>
  </si>
  <si>
    <t>Unknown</t>
  </si>
  <si>
    <t>Pasture management</t>
  </si>
  <si>
    <t>State-level data from a government or industry database/survey</t>
  </si>
  <si>
    <t>Fertiliser applications</t>
  </si>
  <si>
    <t>This location with spatial partitioning</t>
  </si>
  <si>
    <t>National-level data from a government or industry database/survey</t>
  </si>
  <si>
    <t>Within 4 years of this emissions calculation period</t>
  </si>
  <si>
    <t>Unknown, or more than 4 years of this emissions calculation period</t>
  </si>
  <si>
    <t>User friendly description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</si>
  <si>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</si>
  <si>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</si>
  <si>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</si>
  <si>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</si>
  <si>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</si>
  <si>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Data type</t>
  </si>
  <si>
    <t>Fuel and electricity</t>
  </si>
  <si>
    <t>Farm input purchases, freight and waste outputs</t>
  </si>
  <si>
    <t>Total data quality score</t>
  </si>
  <si>
    <t>Results - Product emissions intensity</t>
  </si>
  <si>
    <t>Results - Activity period</t>
  </si>
  <si>
    <t>Net emissions for production cycle</t>
  </si>
  <si>
    <t>Planting name</t>
  </si>
  <si>
    <t>Total removed CO2</t>
  </si>
  <si>
    <t>Percent allocated to this enterprise</t>
  </si>
  <si>
    <t>Enter the method 1 and 2 CO2e emissions (excluding removals) from previous emissions calculation periods if applicable.</t>
  </si>
  <si>
    <t>Removal allocated to this enterprise</t>
  </si>
  <si>
    <t>Carbon removals</t>
  </si>
  <si>
    <t>Production cycle emissions and removals</t>
  </si>
  <si>
    <t>Emissions for production cycle excluding removals</t>
  </si>
  <si>
    <t>Total removals</t>
  </si>
  <si>
    <t>Total net emissions</t>
  </si>
  <si>
    <t>t CO2-e</t>
  </si>
  <si>
    <t>Total scope 1</t>
  </si>
  <si>
    <t>Scope 2</t>
  </si>
  <si>
    <t>Scope 2 source</t>
  </si>
  <si>
    <t>Total scope 2</t>
  </si>
  <si>
    <t>Scope 1</t>
  </si>
  <si>
    <t>Scope 3</t>
  </si>
  <si>
    <t>Scope 3 source</t>
  </si>
  <si>
    <t>15.1.1.1 Purchased livestock</t>
  </si>
  <si>
    <t>15.2.1.1 Purchased feed</t>
  </si>
  <si>
    <t>15.3.1.1 Mineral supplements</t>
  </si>
  <si>
    <t>15.4.1.1 Fertiliser</t>
  </si>
  <si>
    <t>15.5.1.1 Agrichemicals</t>
  </si>
  <si>
    <t>15.6.1.1 Lime</t>
  </si>
  <si>
    <t>15.7.1.1 Services and contractor operations</t>
  </si>
  <si>
    <t>15.10.1.1 Other: Cleaning chemicals</t>
  </si>
  <si>
    <t>15.10.1.1 Other: Pharmacy chemicals</t>
  </si>
  <si>
    <t>15.10.1.1 Other: Miscellaneous</t>
  </si>
  <si>
    <t>15.10.1.1 Other: Uncategorised</t>
  </si>
  <si>
    <t>15.11.1.1 Fuel</t>
  </si>
  <si>
    <t>15.14.1.1 Incoming freight</t>
  </si>
  <si>
    <t>15.13.1.1 Waste sent to treatment facility</t>
  </si>
  <si>
    <t>15.14.1.1 Outgoing freight</t>
  </si>
  <si>
    <t>Total scope 3</t>
  </si>
  <si>
    <t>Amount in tonnes (Method 1)</t>
  </si>
  <si>
    <t>Amount in tonnes (Method 2)</t>
  </si>
  <si>
    <t>Mass emissions assignment (Method 1)</t>
  </si>
  <si>
    <t>Mass emissions assignment (Method 2)</t>
  </si>
  <si>
    <t>Total emissions excluding removals</t>
  </si>
  <si>
    <t>Input -Pasture Beef</t>
  </si>
  <si>
    <t>Herd movement</t>
  </si>
  <si>
    <t>Livestock production region</t>
  </si>
  <si>
    <t>South West</t>
  </si>
  <si>
    <t>Cattle breed</t>
  </si>
  <si>
    <t>Hereford or Shorthorn breeds</t>
  </si>
  <si>
    <r>
      <rPr>
        <b/>
        <sz val="10"/>
        <color rgb="FF0070C0"/>
        <rFont val="Arial"/>
        <family val="1"/>
      </rPr>
      <t>NOTE:</t>
    </r>
    <r>
      <rPr>
        <sz val="10"/>
        <color rgb="FF0070C0"/>
        <rFont val="Arial"/>
        <family val="1"/>
      </rPr>
      <t xml:space="preserve"> VEERG states that under method 2, time periods may be seasons, months or a custom time period. In this example, method 2 time periods are months.</t>
    </r>
  </si>
  <si>
    <t>Duration on farm</t>
  </si>
  <si>
    <t>Method 1 default values (do not edit)</t>
  </si>
  <si>
    <t>Bulls &lt; 1 year</t>
  </si>
  <si>
    <t>Cows &lt; 1 year</t>
  </si>
  <si>
    <t>Cows 1-2 years</t>
  </si>
  <si>
    <t>Cows 2-3 years</t>
  </si>
  <si>
    <t>Cows &gt; 3 years</t>
  </si>
  <si>
    <t>Steers &lt; 1 year</t>
  </si>
  <si>
    <t>Steers 1-2 years</t>
  </si>
  <si>
    <t>Steers 2-3 years</t>
  </si>
  <si>
    <t>Steers &gt;3 years</t>
  </si>
  <si>
    <t>Spring</t>
  </si>
  <si>
    <t>Summer</t>
  </si>
  <si>
    <t>Autumn</t>
  </si>
  <si>
    <t>Winter</t>
  </si>
  <si>
    <t>Method 2 custom values (edit if known)</t>
  </si>
  <si>
    <t>Head</t>
  </si>
  <si>
    <t>Method 1 values</t>
  </si>
  <si>
    <t>Method 2 values</t>
  </si>
  <si>
    <t>Liveweight</t>
  </si>
  <si>
    <t>kg/head</t>
  </si>
  <si>
    <t>Liveweight gain</t>
  </si>
  <si>
    <t>kg/head/day</t>
  </si>
  <si>
    <t>Dry matter digestibility</t>
  </si>
  <si>
    <t>fraction</t>
  </si>
  <si>
    <t>Crude protein</t>
  </si>
  <si>
    <t>Manure management</t>
  </si>
  <si>
    <t>Are all dams and natural water sources fenced off so cattle cannot access them?</t>
  </si>
  <si>
    <t>No</t>
  </si>
  <si>
    <t>Manure management system</t>
  </si>
  <si>
    <t>Percent in MMS</t>
  </si>
  <si>
    <t>Percent</t>
  </si>
  <si>
    <t>Where did the livestock spend most of their time grazing?</t>
  </si>
  <si>
    <t>Sprinkler irrigation</t>
  </si>
  <si>
    <t>Proportion of cows &gt; 1 years in calf in the season of calving</t>
  </si>
  <si>
    <t>Calving season</t>
  </si>
  <si>
    <t>Calves born</t>
  </si>
  <si>
    <t>Calving season (select)</t>
  </si>
  <si>
    <t>Yes</t>
  </si>
  <si>
    <t>Proportion born this season</t>
  </si>
  <si>
    <r>
      <t>MC = (PB</t>
    </r>
    <r>
      <rPr>
        <b/>
        <vertAlign val="subscript"/>
        <sz val="12"/>
        <color theme="1" tint="0.24994659260841701"/>
        <rFont val="Arial"/>
        <family val="1"/>
      </rPr>
      <t>calv</t>
    </r>
    <r>
      <rPr>
        <b/>
        <sz val="12"/>
        <color theme="1" tint="0.24994659260841701"/>
        <rFont val="Arial"/>
        <family val="1"/>
      </rPr>
      <t>*6) + (PB</t>
    </r>
    <r>
      <rPr>
        <b/>
        <vertAlign val="subscript"/>
        <sz val="12"/>
        <color theme="1" tint="0.24994659260841701"/>
        <rFont val="Arial"/>
        <family val="1"/>
      </rPr>
      <t>prev</t>
    </r>
    <r>
      <rPr>
        <b/>
        <sz val="12"/>
        <color theme="1" tint="0.24994659260841701"/>
        <rFont val="Arial"/>
        <family val="1"/>
      </rPr>
      <t>*4) + (PB</t>
    </r>
    <r>
      <rPr>
        <b/>
        <vertAlign val="subscript"/>
        <sz val="12"/>
        <color theme="1" tint="0.24994659260841701"/>
        <rFont val="Arial"/>
        <family val="1"/>
      </rPr>
      <t>earlier</t>
    </r>
    <r>
      <rPr>
        <b/>
        <sz val="12"/>
        <color theme="1" tint="0.24994659260841701"/>
        <rFont val="Arial"/>
        <family val="1"/>
      </rPr>
      <t>*0)</t>
    </r>
  </si>
  <si>
    <t>First calving month</t>
  </si>
  <si>
    <t>August 2024</t>
  </si>
  <si>
    <t>Calving month 2</t>
  </si>
  <si>
    <t>Births</t>
  </si>
  <si>
    <t>Proportion born last season</t>
  </si>
  <si>
    <t>Proportion born earlier than last season</t>
  </si>
  <si>
    <t>MC</t>
  </si>
  <si>
    <t>Calving month 3</t>
  </si>
  <si>
    <t>4.2.1.1-2 Manure Methane</t>
  </si>
  <si>
    <t>EntericMethane_PastureBeef_Equations.VEERG_3_2_1_1__4_AdditionalIntakeForMilkProduction</t>
  </si>
  <si>
    <t>Variable</t>
  </si>
  <si>
    <t>M1_Table_LC_j_k-4-5</t>
  </si>
  <si>
    <t>M2_Table_LC_j_k-4-5</t>
  </si>
  <si>
    <t>Proportion of cows in calf during season (Method 1)</t>
  </si>
  <si>
    <t>Proportion of cows in calf during season (Method 2)</t>
  </si>
  <si>
    <t>Fraction</t>
  </si>
  <si>
    <t>M2_Table_MA_j_k-4-5</t>
  </si>
  <si>
    <t>Additional intake for milk production in calving and post-calving seasons (Method 2)</t>
  </si>
  <si>
    <t>M1_Table_MA_j_k-4-5</t>
  </si>
  <si>
    <r>
      <t>FA</t>
    </r>
    <r>
      <rPr>
        <b/>
        <vertAlign val="subscript"/>
        <sz val="10"/>
        <color rgb="FF183C1B"/>
        <rFont val="Arial"/>
        <family val="1"/>
      </rPr>
      <t>jk=4,5</t>
    </r>
  </si>
  <si>
    <t>Additional intake for milk production in calving and post-calving seasons (Method 1)</t>
  </si>
  <si>
    <t>Season after calving</t>
  </si>
  <si>
    <t>Cows &lt; 3 months</t>
  </si>
  <si>
    <t>Cows 3-6 months</t>
  </si>
  <si>
    <t>Cows 6 months-1 year</t>
  </si>
  <si>
    <t>M2_Table_W_j_k_l</t>
  </si>
  <si>
    <t>Liveweight (Method 2)</t>
  </si>
  <si>
    <t>M1_Table_W_j_k_l</t>
  </si>
  <si>
    <t>Liveweight (Method 1)</t>
  </si>
  <si>
    <t>M2_Table_LWG_j_k_l</t>
  </si>
  <si>
    <t>Liveweight gain (Method 2)</t>
  </si>
  <si>
    <t>M1_Table_LWG_j_k_l</t>
  </si>
  <si>
    <t>Liveweight gain (Method 1)</t>
  </si>
  <si>
    <t>M2_Table_I_j_k_l</t>
  </si>
  <si>
    <t>Feed intake (Method 2)</t>
  </si>
  <si>
    <t>M1_Table_I_j_k_l</t>
  </si>
  <si>
    <t>Feed intake (Method 1)</t>
  </si>
  <si>
    <t>M1_Table_DMD_j_k_l</t>
  </si>
  <si>
    <t>M2_Table_DMD_j_k_l</t>
  </si>
  <si>
    <t>Dry matter digestibility (Method 1)</t>
  </si>
  <si>
    <t>Dry matter digestibility (Method 2)</t>
  </si>
  <si>
    <t>M1_Table_VS_j_k_l</t>
  </si>
  <si>
    <t>M2_Table_VS_j_k_l</t>
  </si>
  <si>
    <t>Volatile solid production (Method 1)</t>
  </si>
  <si>
    <t>Volatile solid production (Method 2)</t>
  </si>
  <si>
    <t>Table_MMS_m</t>
  </si>
  <si>
    <t>Fraction of waste in each MMS</t>
  </si>
  <si>
    <t>MMS</t>
  </si>
  <si>
    <t>MMSm</t>
  </si>
  <si>
    <t>M1_Table_MCF_i_m</t>
  </si>
  <si>
    <t>M2_Table_MCF_i_m</t>
  </si>
  <si>
    <t>Methane conversion factor (Method 1)</t>
  </si>
  <si>
    <t>Methane conversion factor (Method 2)</t>
  </si>
  <si>
    <r>
      <t>MCF</t>
    </r>
    <r>
      <rPr>
        <b/>
        <vertAlign val="subscript"/>
        <sz val="10"/>
        <color rgb="FF183C1B"/>
        <rFont val="Arial"/>
        <family val="1"/>
      </rPr>
      <t>im</t>
    </r>
  </si>
  <si>
    <t>M1_Table_M_j_k_l_m</t>
  </si>
  <si>
    <t>M2_Table_M_j_k_l_m</t>
  </si>
  <si>
    <t>Methane production from manure (Method 1)</t>
  </si>
  <si>
    <t>Methane production from manure (Method 2)</t>
  </si>
  <si>
    <t>M1_Table_N_j_k_l</t>
  </si>
  <si>
    <t>M2_Table_N_j_k_l</t>
  </si>
  <si>
    <t>Number of beef cattle (Method 1)</t>
  </si>
  <si>
    <t>Number of beef cattle (Method 2)</t>
  </si>
  <si>
    <t>head</t>
  </si>
  <si>
    <t>M1_Table_D_j</t>
  </si>
  <si>
    <t>Duration of stay in each time period (Method 1)</t>
  </si>
  <si>
    <t>days</t>
  </si>
  <si>
    <t>M1_Table_E_CH4</t>
  </si>
  <si>
    <t>M2_Table_D_j</t>
  </si>
  <si>
    <t>Total methane production (Method 1)</t>
  </si>
  <si>
    <t>Duration of stay in each time period (Method 2)</t>
  </si>
  <si>
    <r>
      <t>E</t>
    </r>
    <r>
      <rPr>
        <b/>
        <vertAlign val="subscript"/>
        <sz val="14"/>
        <color theme="1" tint="0.24994659260841701"/>
        <rFont val="Arial"/>
        <family val="1"/>
      </rPr>
      <t>CH4</t>
    </r>
  </si>
  <si>
    <t>M2_Table_E_CH4</t>
  </si>
  <si>
    <r>
      <t>E</t>
    </r>
    <r>
      <rPr>
        <vertAlign val="subscript"/>
        <sz val="10"/>
        <color theme="1" tint="0.24994659260841701"/>
        <rFont val="Arial"/>
        <family val="1"/>
      </rPr>
      <t>CO2e</t>
    </r>
  </si>
  <si>
    <t>Total methane production (Method 2)</t>
  </si>
  <si>
    <t>4.2.1.3-4 Manure Direct N2O</t>
  </si>
  <si>
    <t>M2_Table_LW_j_k_l</t>
  </si>
  <si>
    <t>Table_SRW_k</t>
  </si>
  <si>
    <t>Standard reference weight</t>
  </si>
  <si>
    <t>M1_Table_Z_j_k_l</t>
  </si>
  <si>
    <t>Relative size (Method 1)</t>
  </si>
  <si>
    <t>M2_Table_Z_j_k_l</t>
  </si>
  <si>
    <t>Relative size (Method 2)</t>
  </si>
  <si>
    <t>M1_Table_L_j_k_l</t>
  </si>
  <si>
    <t>Intake relative to maintenance (Method 1)</t>
  </si>
  <si>
    <t>M2_Table_L_j_k_l</t>
  </si>
  <si>
    <t>Intake relative to maintenance (Method 2)</t>
  </si>
  <si>
    <t>MMS_PastureBeef_Soil_N2ODirect_Equations.VEERG_4_2_1_3__5_MilkProductionForCalvingSeason</t>
  </si>
  <si>
    <t>M1_Table_MP_j_k-4-5</t>
  </si>
  <si>
    <t>Milk production</t>
  </si>
  <si>
    <r>
      <t>DMP</t>
    </r>
    <r>
      <rPr>
        <b/>
        <vertAlign val="subscript"/>
        <sz val="10"/>
        <color rgb="FF183C1B"/>
        <rFont val="Arial"/>
        <family val="1"/>
      </rPr>
      <t>jk=4,5</t>
    </r>
  </si>
  <si>
    <t>M2_Table_MP_j_k-4-5</t>
  </si>
  <si>
    <t>M1_Table_NR_j_k_l</t>
  </si>
  <si>
    <t>Nitrogen retained in the body (Method 1)</t>
  </si>
  <si>
    <t>M2_Table_NR_j_k_l</t>
  </si>
  <si>
    <t>Nitrogen retained in the body (Method 2)</t>
  </si>
  <si>
    <t>M1_Table_CP_j</t>
  </si>
  <si>
    <t>Crude protein (Method 1)</t>
  </si>
  <si>
    <t>M1_Table_MC_j_k_1-3-6</t>
  </si>
  <si>
    <t>Milk consumption (Method 1)</t>
  </si>
  <si>
    <t>M2_Table_CP_j</t>
  </si>
  <si>
    <t>Crude protein (Method 2)</t>
  </si>
  <si>
    <t>M1_Table_NE_j_k_l</t>
  </si>
  <si>
    <t>Nitrogen excreted (Method 1)</t>
  </si>
  <si>
    <t>M2_Table_MC_j_k_1-3-6</t>
  </si>
  <si>
    <t>Milk consumption (Method 2)</t>
  </si>
  <si>
    <t>M2_Table_NE_j_k_l</t>
  </si>
  <si>
    <t>Nitrogen excreted (Method 2)</t>
  </si>
  <si>
    <t>M1_Table_AE</t>
  </si>
  <si>
    <t>Total nitrogen excreted to pasture, range and paddock (Method 1)</t>
  </si>
  <si>
    <t>AE</t>
  </si>
  <si>
    <r>
      <t>E</t>
    </r>
    <r>
      <rPr>
        <b/>
        <vertAlign val="subscript"/>
        <sz val="14"/>
        <color theme="1" tint="0.24994659260841701"/>
        <rFont val="Arial"/>
        <family val="1"/>
      </rPr>
      <t>N2O,dir</t>
    </r>
  </si>
  <si>
    <t>M2_Table_AE</t>
  </si>
  <si>
    <t>Total nitrogen excreted to pasture, range and paddock (Method 2)</t>
  </si>
  <si>
    <t>4.2.1.5-6 Soil atmospheric deposition N2O</t>
  </si>
  <si>
    <r>
      <t>M</t>
    </r>
    <r>
      <rPr>
        <b/>
        <vertAlign val="subscript"/>
        <sz val="10"/>
        <color theme="1" tint="0.24994659260841701"/>
        <rFont val="Arial"/>
        <family val="1"/>
      </rPr>
      <t>vol</t>
    </r>
  </si>
  <si>
    <r>
      <t>E</t>
    </r>
    <r>
      <rPr>
        <b/>
        <vertAlign val="subscript"/>
        <sz val="10"/>
        <color theme="1" tint="0.24994659260841701"/>
        <rFont val="Arial"/>
        <family val="1"/>
      </rPr>
      <t>N2O,ad</t>
    </r>
  </si>
  <si>
    <t>4.3.1.12-13 Soil leaching and runoff N2O</t>
  </si>
  <si>
    <r>
      <t>M</t>
    </r>
    <r>
      <rPr>
        <b/>
        <vertAlign val="subscript"/>
        <sz val="10"/>
        <color theme="1" tint="0.24994659260841701"/>
        <rFont val="Arial"/>
        <family val="1"/>
      </rPr>
      <t>leach</t>
    </r>
  </si>
  <si>
    <r>
      <t>E</t>
    </r>
    <r>
      <rPr>
        <b/>
        <vertAlign val="subscript"/>
        <sz val="10"/>
        <color theme="1" tint="0.24994659260841701"/>
        <rFont val="Arial"/>
        <family val="1"/>
      </rPr>
      <t>N2O,leach</t>
    </r>
  </si>
  <si>
    <t>Constants - Pasture Beef</t>
  </si>
  <si>
    <t>Pasture beefcrop or pasture production systems</t>
  </si>
  <si>
    <t>Irrigation methods</t>
  </si>
  <si>
    <t>Table_SourceData_PastureBeef_Region_WesternAustralia</t>
  </si>
  <si>
    <t>Table_SourceData_PastureBeef_Region_Queensland</t>
  </si>
  <si>
    <t>Table_SourceData_PastureBeef_Region_NorthernTerritory</t>
  </si>
  <si>
    <t>Table_SourceData_PastureBeef_Region_Victoria</t>
  </si>
  <si>
    <t>Region</t>
  </si>
  <si>
    <t>Not irrigated</t>
  </si>
  <si>
    <t>Alice Springs</t>
  </si>
  <si>
    <t>High</t>
  </si>
  <si>
    <t>n/a</t>
  </si>
  <si>
    <t>Drip irrigation</t>
  </si>
  <si>
    <t>Pilbara</t>
  </si>
  <si>
    <t>Barkly</t>
  </si>
  <si>
    <t>Moderate/High</t>
  </si>
  <si>
    <t>Kimberley</t>
  </si>
  <si>
    <t>Northern</t>
  </si>
  <si>
    <t>Moderate/Low</t>
  </si>
  <si>
    <t>Table_SourceData_PastureBeef_Region_NewSouthWales</t>
  </si>
  <si>
    <t>Surface irrigation</t>
  </si>
  <si>
    <t>Low</t>
  </si>
  <si>
    <t>Other irrigation</t>
  </si>
  <si>
    <t>Table_SourceData_PastureBeef_Region_SouthAustralia</t>
  </si>
  <si>
    <t>Table_LivestockClasses_Beefcattle</t>
  </si>
  <si>
    <t>Bull &lt; 1</t>
  </si>
  <si>
    <t>Bull &gt; 1</t>
  </si>
  <si>
    <t>Cow &lt; 1</t>
  </si>
  <si>
    <t>Cow 1-2</t>
  </si>
  <si>
    <t>Cow &gt; 2</t>
  </si>
  <si>
    <t>Steer &lt; 1</t>
  </si>
  <si>
    <t>Steer &gt; 1</t>
  </si>
  <si>
    <t>Livestock class</t>
  </si>
  <si>
    <t>Table_SourceData_PastureBeef_Region_Tasmania</t>
  </si>
  <si>
    <t>Table_SourceData_PastureBeef_Region_ACT</t>
  </si>
  <si>
    <t>Table_ProductRegions_Beefcattle</t>
  </si>
  <si>
    <t>Scope3 region</t>
  </si>
  <si>
    <t>ACT</t>
  </si>
  <si>
    <t>NSW</t>
  </si>
  <si>
    <t>SA</t>
  </si>
  <si>
    <t>TAS</t>
  </si>
  <si>
    <t>VIC</t>
  </si>
  <si>
    <t>WA - South west</t>
  </si>
  <si>
    <t>WA</t>
  </si>
  <si>
    <t>WA - Pilbara</t>
  </si>
  <si>
    <t>WA - Kimberley</t>
  </si>
  <si>
    <t>NT - Alice Springs</t>
  </si>
  <si>
    <t>NT</t>
  </si>
  <si>
    <t>NT - Barkly</t>
  </si>
  <si>
    <t>NT - Northern</t>
  </si>
  <si>
    <t>QLD - High</t>
  </si>
  <si>
    <t>QLD</t>
  </si>
  <si>
    <t>QLD - Moderate/High</t>
  </si>
  <si>
    <t>QLD - Moderate/Low</t>
  </si>
  <si>
    <t>QLD - Low</t>
  </si>
  <si>
    <t>Australia</t>
  </si>
  <si>
    <t>Bull &lt;1</t>
  </si>
  <si>
    <t>Bull &gt;1</t>
  </si>
  <si>
    <t>Cows &lt;1</t>
  </si>
  <si>
    <t>Cows 1-2</t>
  </si>
  <si>
    <t>Cows 2-3</t>
  </si>
  <si>
    <t>Cows &gt;3</t>
  </si>
  <si>
    <t>Steer &lt;1</t>
  </si>
  <si>
    <t>Steer 1-2</t>
  </si>
  <si>
    <t>Steer 2-3</t>
  </si>
  <si>
    <t>Steer &gt;3</t>
  </si>
  <si>
    <t>Beef pasture cattle - Liveweight (kg) (Wjkl) all states</t>
  </si>
  <si>
    <t>Cow &lt;1</t>
  </si>
  <si>
    <t>Cow &gt;2</t>
  </si>
  <si>
    <t>Steer &gt;1</t>
  </si>
  <si>
    <t>Cow 2-3</t>
  </si>
  <si>
    <t>Cow &gt;3</t>
  </si>
  <si>
    <t>VARIATION ON SOURCE: Changed 'Season' values from season names to 'Calving season' and 'Season after calving' to acommodate cases where calving happens outside spring or summer</t>
  </si>
  <si>
    <t>Breed</t>
  </si>
  <si>
    <t>Feed adjustment</t>
  </si>
  <si>
    <t>Milk intake/production</t>
  </si>
  <si>
    <t>Bulls &lt;1</t>
  </si>
  <si>
    <t>Bulls &gt;1</t>
  </si>
  <si>
    <t>Cows &gt;2</t>
  </si>
  <si>
    <t>State abbreviation</t>
  </si>
  <si>
    <t>Typo in VEERG declares unit as fraction when values are percent</t>
  </si>
  <si>
    <t>Uncovered Anaerobic lagoon</t>
  </si>
  <si>
    <t>Category</t>
  </si>
  <si>
    <t>Region of origin</t>
  </si>
  <si>
    <t>Quantity Unit</t>
  </si>
  <si>
    <t>AusLCI Emissions intensity</t>
  </si>
  <si>
    <t>System boundary</t>
  </si>
  <si>
    <t>3.2.1.1-2 Enteric Beef Grazing</t>
  </si>
  <si>
    <t>M1_Table_M_j_k_l</t>
  </si>
  <si>
    <t>Daily production of enteric methane (Method 1)</t>
  </si>
  <si>
    <t>M2_Table_M_j_k_l</t>
  </si>
  <si>
    <t>Daily production of enteric methane (Method 2)</t>
  </si>
  <si>
    <t>M1_Table_E_enteric</t>
  </si>
  <si>
    <t>Total enteric methane production (Method 1)</t>
  </si>
  <si>
    <t>M2_Table_E_enteric</t>
  </si>
  <si>
    <t>Total enteric methane production (Method 2)</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</si>
  <si>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</si>
  <si>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</si>
  <si>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</si>
  <si>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</si>
  <si>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</si>
  <si>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</si>
  <si>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0"/>
        <color theme="1"/>
        <rFont val="Arial"/>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</si>
  <si>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</si>
  <si>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</si>
  <si>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</si>
  <si>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</si>
  <si>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</si>
  <si>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</si>
  <si>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</si>
  <si>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</si>
  <si>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</si>
  <si>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</si>
  <si>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</si>
  <si>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</si>
  <si>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</si>
  <si>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</si>
  <si>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</si>
  <si>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</si>
  <si>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</si>
  <si>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</si>
  <si>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</si>
  <si>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</si>
  <si>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</si>
  <si>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Urea</t>
  </si>
  <si>
    <t>Boost-It</t>
  </si>
  <si>
    <t>Cal-Gran 50/50</t>
  </si>
  <si>
    <t>Custom fertiliser blends</t>
  </si>
  <si>
    <t>Custom blend name</t>
  </si>
  <si>
    <r>
      <t xml:space="preserve">Amount applied </t>
    </r>
    <r>
      <rPr>
        <sz val="10"/>
        <color theme="1"/>
        <rFont val="Arial"/>
        <family val="1"/>
      </rPr>
      <t>(kg / ha)</t>
    </r>
  </si>
  <si>
    <t>Ingredient 1 (select)</t>
  </si>
  <si>
    <t>Urea source (Select)</t>
  </si>
  <si>
    <t>Ammonia source (select)</t>
  </si>
  <si>
    <t>My first custom blend</t>
  </si>
  <si>
    <t>Calcium nitrate</t>
  </si>
  <si>
    <t>Zinc - Generic</t>
  </si>
  <si>
    <t>Potassium - Generic</t>
  </si>
  <si>
    <t>Sulfur - Generic</t>
  </si>
  <si>
    <t>My second custom blend</t>
  </si>
  <si>
    <t>My third custom blend</t>
  </si>
  <si>
    <t>Ammonia</t>
  </si>
  <si>
    <t>Lime applications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</si>
  <si>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</si>
  <si>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</si>
  <si>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</si>
  <si>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</si>
  <si>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0"/>
        <color rgb="FF533001"/>
        <rFont val="Arial"/>
        <family val="1"/>
      </rPr>
      <t>3</t>
    </r>
  </si>
  <si>
    <r>
      <t>Percent Dolomite CaMg(CO</t>
    </r>
    <r>
      <rPr>
        <b/>
        <vertAlign val="subscript"/>
        <sz val="10"/>
        <color rgb="FF533001"/>
        <rFont val="Arial"/>
        <family val="1"/>
      </rPr>
      <t>3</t>
    </r>
    <r>
      <rPr>
        <b/>
        <sz val="10"/>
        <color rgb="FF533001"/>
        <rFont val="Arial"/>
        <family val="1"/>
      </rPr>
      <t>)</t>
    </r>
    <r>
      <rPr>
        <b/>
        <vertAlign val="subscript"/>
        <sz val="10"/>
        <color rgb="FF533001"/>
        <rFont val="Arial"/>
        <family val="1"/>
      </rPr>
      <t>2</t>
    </r>
  </si>
  <si>
    <t>Percent Gypsum</t>
  </si>
  <si>
    <t>Total</t>
  </si>
  <si>
    <t>Lime product 1</t>
  </si>
  <si>
    <t>Lime product 2</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</si>
  <si>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</si>
  <si>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</si>
  <si>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</si>
  <si>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</si>
  <si>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</si>
  <si>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</si>
  <si>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</si>
  <si>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</si>
  <si>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</si>
  <si>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</si>
  <si>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</si>
  <si>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</si>
  <si>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0"/>
        <color rgb="FFCC6600"/>
        <rFont val="Arial"/>
        <family val="1"/>
      </rPr>
      <t xml:space="preserve"> fertiliser application instance</t>
    </r>
    <r>
      <rPr>
        <b/>
        <sz val="10"/>
        <color rgb="FFCC6600"/>
        <rFont val="Arial"/>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</si>
  <si>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</si>
  <si>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</si>
  <si>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</si>
  <si>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</si>
  <si>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hectares</t>
  </si>
  <si>
    <t>kg</t>
  </si>
  <si>
    <t>Product applied</t>
  </si>
  <si>
    <t>N Application rate</t>
  </si>
  <si>
    <t>Application area</t>
  </si>
  <si>
    <t>MN</t>
  </si>
  <si>
    <t>Branded product</t>
  </si>
  <si>
    <t>Table_MN_j_f</t>
  </si>
  <si>
    <t>Mass of nitrogen applied</t>
  </si>
  <si>
    <t>Fertiliser type f</t>
  </si>
  <si>
    <r>
      <t>TM</t>
    </r>
    <r>
      <rPr>
        <b/>
        <vertAlign val="subscript"/>
        <sz val="10"/>
        <color rgb="FF533001"/>
        <rFont val="Arial"/>
        <family val="1"/>
      </rPr>
      <t>jf</t>
    </r>
  </si>
  <si>
    <r>
      <t>FN</t>
    </r>
    <r>
      <rPr>
        <b/>
        <vertAlign val="subscript"/>
        <sz val="10"/>
        <color rgb="FF183C1B"/>
        <rFont val="Arial"/>
        <family val="1"/>
      </rPr>
      <t>inorganic,f</t>
    </r>
  </si>
  <si>
    <r>
      <t>MN</t>
    </r>
    <r>
      <rPr>
        <b/>
        <vertAlign val="subscript"/>
        <sz val="10"/>
        <color rgb="FF533001"/>
        <rFont val="Arial"/>
        <family val="1"/>
      </rPr>
      <t>jf</t>
    </r>
  </si>
  <si>
    <t>Custom blend</t>
  </si>
  <si>
    <t>MN total</t>
  </si>
  <si>
    <t>Application area total</t>
  </si>
  <si>
    <t>N application rate</t>
  </si>
  <si>
    <t>Not used - application rate calculated per product blend application</t>
  </si>
  <si>
    <r>
      <t>EF</t>
    </r>
    <r>
      <rPr>
        <b/>
        <vertAlign val="subscript"/>
        <sz val="10"/>
        <color theme="1" tint="0.24994659260841701"/>
        <rFont val="Arial"/>
        <family val="1"/>
      </rPr>
      <t>fj=irrigatedmaizeN2O</t>
    </r>
  </si>
  <si>
    <t>M1_Table_E_N2O</t>
  </si>
  <si>
    <t>Nitrous oxide emissions from inorganic fertiliser application (Method 1)</t>
  </si>
  <si>
    <r>
      <t>E</t>
    </r>
    <r>
      <rPr>
        <b/>
        <vertAlign val="subscript"/>
        <sz val="10"/>
        <color rgb="FF183C1B"/>
        <rFont val="Arial"/>
        <family val="1"/>
      </rPr>
      <t>N2O</t>
    </r>
  </si>
  <si>
    <r>
      <t>EF</t>
    </r>
    <r>
      <rPr>
        <b/>
        <vertAlign val="subscript"/>
        <sz val="10"/>
        <color theme="1" tint="0.24994659260841701"/>
        <rFont val="Arial"/>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</si>
  <si>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</si>
  <si>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4"/>
        <color theme="1" tint="0.24994659260841701"/>
        <rFont val="Arial"/>
        <family val="1"/>
      </rPr>
      <t>N2O</t>
    </r>
  </si>
  <si>
    <t>Not used</t>
  </si>
  <si>
    <t>M2_Table_EF</t>
  </si>
  <si>
    <t>Emission factor for nitrous oxide for inorganic fertilisers (Method 2)</t>
  </si>
  <si>
    <t>Is used</t>
  </si>
  <si>
    <t>EF</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</si>
  <si>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</si>
  <si>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</si>
  <si>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</si>
  <si>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</si>
  <si>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</si>
  <si>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</si>
  <si>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</si>
  <si>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0"/>
        <color rgb="FF183C1B"/>
        <rFont val="Arial"/>
        <family val="1"/>
      </rPr>
      <t>f</t>
    </r>
  </si>
  <si>
    <r>
      <t>MU</t>
    </r>
    <r>
      <rPr>
        <b/>
        <vertAlign val="subscript"/>
        <sz val="10"/>
        <color rgb="FF533001"/>
        <rFont val="Arial"/>
        <family val="1"/>
      </rPr>
      <t>jf</t>
    </r>
  </si>
  <si>
    <t>M1_Table_E_CO2</t>
  </si>
  <si>
    <t>Carbon dioxide oxide emissions from inorganic fertiliser application (Method 1)</t>
  </si>
  <si>
    <r>
      <t>E</t>
    </r>
    <r>
      <rPr>
        <b/>
        <vertAlign val="subscript"/>
        <sz val="14"/>
        <color theme="1" tint="0.24994659260841701"/>
        <rFont val="Arial"/>
        <family val="1"/>
      </rPr>
      <t>CO2</t>
    </r>
  </si>
  <si>
    <t>5.2.1.1 1-2 Organic fertiliser application N2O emissions</t>
  </si>
  <si>
    <t>Table_MNSoil_j_f</t>
  </si>
  <si>
    <t>Mass of nitrogen in organic fertilisers</t>
  </si>
  <si>
    <t>Organic fertiliser type (f)</t>
  </si>
  <si>
    <t>Amount applied (kg/ha)</t>
  </si>
  <si>
    <r>
      <t>M</t>
    </r>
    <r>
      <rPr>
        <b/>
        <vertAlign val="subscript"/>
        <sz val="10"/>
        <color rgb="FF183C1B"/>
        <rFont val="Arial"/>
        <family val="1"/>
      </rPr>
      <t>organicjf</t>
    </r>
  </si>
  <si>
    <t>FNorganicf</t>
  </si>
  <si>
    <r>
      <t>MNSoil</t>
    </r>
    <r>
      <rPr>
        <b/>
        <vertAlign val="subscript"/>
        <sz val="10"/>
        <color rgb="FF183C1B"/>
        <rFont val="Arial"/>
        <family val="1"/>
      </rPr>
      <t>jf</t>
    </r>
  </si>
  <si>
    <r>
      <t>MNSoil</t>
    </r>
    <r>
      <rPr>
        <b/>
        <vertAlign val="subscript"/>
        <sz val="10"/>
        <color theme="1" tint="0.24994659260841701"/>
        <rFont val="Arial"/>
        <family val="1"/>
      </rPr>
      <t>jf</t>
    </r>
  </si>
  <si>
    <t>5.3.1.1 1-2 Lime application CO2</t>
  </si>
  <si>
    <t>Table_E_lime</t>
  </si>
  <si>
    <t>Element</t>
  </si>
  <si>
    <t>M</t>
  </si>
  <si>
    <t>FracLime</t>
  </si>
  <si>
    <t>FracDol</t>
  </si>
  <si>
    <t>Elime</t>
  </si>
  <si>
    <r>
      <t>E</t>
    </r>
    <r>
      <rPr>
        <b/>
        <vertAlign val="subscript"/>
        <sz val="14"/>
        <color theme="1" tint="0.24994659260841701"/>
        <rFont val="Arial"/>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</si>
  <si>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</si>
  <si>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</si>
  <si>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</si>
  <si>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</si>
  <si>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0"/>
        <color rgb="FF183C1B"/>
        <rFont val="Arial"/>
        <family val="1"/>
      </rPr>
      <t>jf</t>
    </r>
  </si>
  <si>
    <t>Basis</t>
  </si>
  <si>
    <r>
      <t>FracGASF</t>
    </r>
    <r>
      <rPr>
        <b/>
        <vertAlign val="subscript"/>
        <sz val="10"/>
        <color rgb="FF183C1B"/>
        <rFont val="Arial"/>
        <family val="1"/>
      </rPr>
      <t>f</t>
    </r>
  </si>
  <si>
    <r>
      <t>M</t>
    </r>
    <r>
      <rPr>
        <b/>
        <vertAlign val="subscript"/>
        <sz val="10"/>
        <color rgb="FF183C1B"/>
        <rFont val="Arial"/>
        <family val="1"/>
      </rPr>
      <t>volinorganicjf</t>
    </r>
  </si>
  <si>
    <t>Table_E_ad_inorganic</t>
  </si>
  <si>
    <t>Atmospheric deposition emissions from inorganic fertiliser</t>
  </si>
  <si>
    <r>
      <t>E</t>
    </r>
    <r>
      <rPr>
        <b/>
        <vertAlign val="subscript"/>
        <sz val="10"/>
        <color rgb="FF183C1B"/>
        <rFont val="Arial"/>
        <family val="1"/>
      </rPr>
      <t>ad,inorganic</t>
    </r>
  </si>
  <si>
    <r>
      <t>E</t>
    </r>
    <r>
      <rPr>
        <b/>
        <vertAlign val="subscript"/>
        <sz val="14"/>
        <color theme="1" tint="0.24994659260841701"/>
        <rFont val="Arial"/>
        <family val="1"/>
      </rPr>
      <t>ad,inorganic</t>
    </r>
  </si>
  <si>
    <t>Table_M_vol_organic_j_f</t>
  </si>
  <si>
    <t>Mass of nitrogen volatilised from organic fertiliser applied</t>
  </si>
  <si>
    <r>
      <t>M</t>
    </r>
    <r>
      <rPr>
        <b/>
        <vertAlign val="subscript"/>
        <sz val="10"/>
        <color rgb="FF183C1B"/>
        <rFont val="Arial"/>
        <family val="1"/>
      </rPr>
      <t>vol,organic,jf</t>
    </r>
  </si>
  <si>
    <t>Table_E_ad_organic</t>
  </si>
  <si>
    <t>Atmospheric deposition emissions from organic fertiliser</t>
  </si>
  <si>
    <r>
      <t>E</t>
    </r>
    <r>
      <rPr>
        <b/>
        <vertAlign val="subscript"/>
        <sz val="10"/>
        <color rgb="FF183C1B"/>
        <rFont val="Arial"/>
        <family val="1"/>
      </rPr>
      <t>ad,organic</t>
    </r>
  </si>
  <si>
    <r>
      <t>E</t>
    </r>
    <r>
      <rPr>
        <b/>
        <vertAlign val="subscript"/>
        <sz val="14"/>
        <color theme="1" tint="0.24994659260841701"/>
        <rFont val="Arial"/>
        <family val="1"/>
      </rPr>
      <t>ad,organic</t>
    </r>
  </si>
  <si>
    <t>5.5.1.1-2  Leaching and runoff</t>
  </si>
  <si>
    <t>Table_M_leach_inorganic_j</t>
  </si>
  <si>
    <t>Mass of nitrogen from inorganic fertiliser lost through leaching and runoff</t>
  </si>
  <si>
    <r>
      <t>M</t>
    </r>
    <r>
      <rPr>
        <b/>
        <vertAlign val="subscript"/>
        <sz val="10"/>
        <color rgb="FF183C1B"/>
        <rFont val="Arial"/>
        <family val="1"/>
      </rPr>
      <t>leach,inorganic,j</t>
    </r>
  </si>
  <si>
    <r>
      <t>M</t>
    </r>
    <r>
      <rPr>
        <b/>
        <vertAlign val="subscript"/>
        <sz val="10"/>
        <color theme="1" tint="0.24994659260841701"/>
        <rFont val="Arial"/>
        <family val="1"/>
      </rPr>
      <t>leach,inorganic,j</t>
    </r>
  </si>
  <si>
    <t>Table_M_leach_organic_j</t>
  </si>
  <si>
    <t>Mass of nitrogen from organic fertiliser lost through leaching and runoff</t>
  </si>
  <si>
    <r>
      <t>M</t>
    </r>
    <r>
      <rPr>
        <b/>
        <vertAlign val="subscript"/>
        <sz val="10"/>
        <color rgb="FF183C1B"/>
        <rFont val="Arial"/>
        <family val="1"/>
      </rPr>
      <t>leach,organic,j</t>
    </r>
  </si>
  <si>
    <r>
      <t>M</t>
    </r>
    <r>
      <rPr>
        <b/>
        <vertAlign val="subscript"/>
        <sz val="10"/>
        <color theme="1" tint="0.24994659260841701"/>
        <rFont val="Arial"/>
        <family val="1"/>
      </rPr>
      <t>leach,organic,j</t>
    </r>
  </si>
  <si>
    <r>
      <t>E</t>
    </r>
    <r>
      <rPr>
        <b/>
        <vertAlign val="subscript"/>
        <sz val="14"/>
        <color theme="1" tint="0.24994659260841701"/>
        <rFont val="Arial"/>
        <family val="1"/>
      </rPr>
      <t>fert,leach</t>
    </r>
  </si>
  <si>
    <t>Constants - Fertiliser</t>
  </si>
  <si>
    <t>FNinorganic f</t>
  </si>
  <si>
    <t>FU f</t>
  </si>
  <si>
    <t>Lifecycles Scope 3 definition</t>
  </si>
  <si>
    <t>Source</t>
  </si>
  <si>
    <t>Production systems</t>
  </si>
  <si>
    <t>Crop types</t>
  </si>
  <si>
    <t>Organic fertiliser types</t>
  </si>
  <si>
    <t>Organic fertiliser type</t>
  </si>
  <si>
    <t>Manure - Cattle</t>
  </si>
  <si>
    <t>Crop</t>
  </si>
  <si>
    <t>Grains</t>
  </si>
  <si>
    <t>Maize</t>
  </si>
  <si>
    <t>Manure - Swine</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</si>
  <si>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</si>
  <si>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</si>
  <si>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</si>
  <si>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</si>
  <si>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</si>
  <si>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</si>
  <si>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</si>
  <si>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</si>
  <si>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</si>
  <si>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</si>
  <si>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</si>
  <si>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</si>
  <si>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</si>
  <si>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</si>
  <si>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</si>
  <si>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</si>
  <si>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</si>
  <si>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</si>
  <si>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</si>
  <si>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</si>
  <si>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</si>
  <si>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</si>
  <si>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</si>
  <si>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</si>
  <si>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</si>
  <si>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</si>
  <si>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</si>
  <si>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</si>
  <si>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</si>
  <si>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</si>
  <si>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</si>
  <si>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</si>
  <si>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</si>
  <si>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</si>
  <si>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</si>
  <si>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</si>
  <si>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</si>
  <si>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</si>
  <si>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</si>
  <si>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</si>
  <si>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</si>
  <si>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</si>
  <si>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</si>
  <si>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</si>
  <si>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</si>
  <si>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</si>
  <si>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</si>
  <si>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</si>
  <si>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 xml:space="preserve"> </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</si>
  <si>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</si>
  <si>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</si>
  <si>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</si>
  <si>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</si>
  <si>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</si>
  <si>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4"/>
        <color theme="1" tint="0.24994659260841701"/>
        <rFont val="Arial"/>
        <family val="1"/>
      </rPr>
      <t>E</t>
    </r>
    <r>
      <rPr>
        <b/>
        <vertAlign val="subscript"/>
        <sz val="14"/>
        <color theme="1" tint="0.24994659260841701"/>
        <rFont val="Arial"/>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</si>
  <si>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</si>
  <si>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</si>
  <si>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</si>
  <si>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</si>
  <si>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</si>
  <si>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</si>
  <si>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</si>
  <si>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</si>
  <si>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</si>
  <si>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</si>
  <si>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</si>
  <si>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</si>
  <si>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</si>
  <si>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</si>
  <si>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</si>
  <si>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</si>
  <si>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</si>
  <si>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</si>
  <si>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</si>
  <si>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</si>
  <si>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</si>
  <si>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</si>
  <si>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</si>
  <si>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</si>
  <si>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</si>
  <si>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</si>
  <si>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</si>
  <si>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</si>
  <si>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</si>
  <si>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</si>
  <si>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</si>
  <si>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</si>
  <si>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</si>
  <si>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</si>
  <si>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</si>
  <si>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</si>
  <si>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</si>
  <si>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0"/>
        <color rgb="FF183C1B"/>
        <rFont val="Arial"/>
        <family val="1"/>
      </rPr>
      <t>Trans,q</t>
    </r>
  </si>
  <si>
    <r>
      <t>EF</t>
    </r>
    <r>
      <rPr>
        <b/>
        <vertAlign val="subscript"/>
        <sz val="10"/>
        <color rgb="FF183C1B"/>
        <rFont val="Arial"/>
        <family val="1"/>
      </rPr>
      <t>Trans,1,q,g=CO2</t>
    </r>
  </si>
  <si>
    <r>
      <t>EF</t>
    </r>
    <r>
      <rPr>
        <b/>
        <vertAlign val="subscript"/>
        <sz val="10"/>
        <color rgb="FF183C1B"/>
        <rFont val="Arial"/>
        <family val="1"/>
      </rPr>
      <t>Trans,1,q,g=CH4</t>
    </r>
  </si>
  <si>
    <r>
      <t>EF</t>
    </r>
    <r>
      <rPr>
        <b/>
        <vertAlign val="subscript"/>
        <sz val="10"/>
        <color rgb="FF183C1B"/>
        <rFont val="Arial"/>
        <family val="1"/>
      </rPr>
      <t>Trans,1,q,g=N20</t>
    </r>
  </si>
  <si>
    <r>
      <t>EF</t>
    </r>
    <r>
      <rPr>
        <b/>
        <vertAlign val="subscript"/>
        <sz val="10"/>
        <color rgb="FF183C1B"/>
        <rFont val="Arial"/>
        <family val="1"/>
      </rPr>
      <t>Trans,3,q</t>
    </r>
  </si>
  <si>
    <r>
      <t>Q</t>
    </r>
    <r>
      <rPr>
        <b/>
        <vertAlign val="subscript"/>
        <sz val="10"/>
        <color rgb="FF533001"/>
        <rFont val="Arial"/>
        <family val="1"/>
      </rPr>
      <t>Trans,q</t>
    </r>
  </si>
  <si>
    <t>Q unit</t>
  </si>
  <si>
    <r>
      <t>E</t>
    </r>
    <r>
      <rPr>
        <b/>
        <vertAlign val="subscript"/>
        <sz val="10"/>
        <color rgb="FF183C1B"/>
        <rFont val="Arial"/>
        <family val="1"/>
      </rPr>
      <t>g=CO2</t>
    </r>
  </si>
  <si>
    <r>
      <t>E</t>
    </r>
    <r>
      <rPr>
        <b/>
        <vertAlign val="subscript"/>
        <sz val="10"/>
        <color rgb="FF183C1B"/>
        <rFont val="Arial"/>
        <family val="1"/>
      </rPr>
      <t>g=CH4</t>
    </r>
  </si>
  <si>
    <r>
      <t>E</t>
    </r>
    <r>
      <rPr>
        <b/>
        <vertAlign val="subscript"/>
        <sz val="10"/>
        <color rgb="FF183C1B"/>
        <rFont val="Arial"/>
        <family val="1"/>
      </rPr>
      <t>g=N20</t>
    </r>
  </si>
  <si>
    <r>
      <t>E</t>
    </r>
    <r>
      <rPr>
        <b/>
        <vertAlign val="subscript"/>
        <sz val="10"/>
        <color rgb="FF183C1B"/>
        <rFont val="Arial"/>
        <family val="1"/>
      </rPr>
      <t>3WTT,trans,q</t>
    </r>
  </si>
  <si>
    <t>CO2</t>
  </si>
  <si>
    <t>CH4</t>
  </si>
  <si>
    <t>N2O</t>
  </si>
  <si>
    <t>Total sope 1 - All transport fuel combustion</t>
  </si>
  <si>
    <t>8.2.1.1-2 Stationary fuel combustion</t>
  </si>
  <si>
    <t>Emissions for stationary fuel combustion</t>
  </si>
  <si>
    <r>
      <t>EC</t>
    </r>
    <r>
      <rPr>
        <b/>
        <vertAlign val="subscript"/>
        <sz val="10"/>
        <color rgb="FF183C1B"/>
        <rFont val="Arial"/>
        <family val="1"/>
      </rPr>
      <t>SC,q</t>
    </r>
  </si>
  <si>
    <r>
      <t>EF</t>
    </r>
    <r>
      <rPr>
        <b/>
        <vertAlign val="subscript"/>
        <sz val="10"/>
        <color rgb="FF183C1B"/>
        <rFont val="Arial"/>
        <family val="1"/>
      </rPr>
      <t>SC,1,q,g=CO2</t>
    </r>
  </si>
  <si>
    <r>
      <t>EF</t>
    </r>
    <r>
      <rPr>
        <b/>
        <vertAlign val="subscript"/>
        <sz val="10"/>
        <color rgb="FF183C1B"/>
        <rFont val="Arial"/>
        <family val="1"/>
      </rPr>
      <t>SC,1,q,g=CH4</t>
    </r>
  </si>
  <si>
    <r>
      <t>EF</t>
    </r>
    <r>
      <rPr>
        <b/>
        <vertAlign val="subscript"/>
        <sz val="10"/>
        <color rgb="FF183C1B"/>
        <rFont val="Arial"/>
        <family val="1"/>
      </rPr>
      <t>SC,1,q,g=N20</t>
    </r>
  </si>
  <si>
    <r>
      <t>EF</t>
    </r>
    <r>
      <rPr>
        <b/>
        <vertAlign val="subscript"/>
        <sz val="10"/>
        <color rgb="FF183C1B"/>
        <rFont val="Arial"/>
        <family val="1"/>
      </rPr>
      <t>SC,3,q</t>
    </r>
  </si>
  <si>
    <r>
      <t>Q</t>
    </r>
    <r>
      <rPr>
        <b/>
        <vertAlign val="subscript"/>
        <sz val="10"/>
        <color rgb="FF533001"/>
        <rFont val="Arial"/>
        <family val="1"/>
      </rPr>
      <t>SC,q</t>
    </r>
  </si>
  <si>
    <r>
      <t>E</t>
    </r>
    <r>
      <rPr>
        <b/>
        <vertAlign val="subscript"/>
        <sz val="10"/>
        <color rgb="FF183C1B"/>
        <rFont val="Arial"/>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</si>
  <si>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</si>
  <si>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</si>
  <si>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</si>
  <si>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</si>
  <si>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</si>
  <si>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</si>
  <si>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</si>
  <si>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</si>
  <si>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</si>
  <si>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</si>
  <si>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</si>
  <si>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</si>
  <si>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</si>
  <si>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</si>
  <si>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</si>
  <si>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</si>
  <si>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</si>
  <si>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</si>
  <si>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</si>
  <si>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</si>
  <si>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</si>
  <si>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</si>
  <si>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</si>
  <si>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</si>
  <si>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</si>
  <si>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</si>
  <si>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</si>
  <si>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</si>
  <si>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</si>
  <si>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</si>
  <si>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</si>
  <si>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</si>
  <si>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</si>
  <si>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</si>
  <si>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</si>
  <si>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</si>
  <si>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</si>
  <si>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</si>
  <si>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</si>
  <si>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</si>
  <si>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</si>
  <si>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</si>
  <si>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</si>
  <si>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</si>
  <si>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Solid waste</t>
  </si>
  <si>
    <t>Solid waste treatment</t>
  </si>
  <si>
    <t>Treatment type (select)</t>
  </si>
  <si>
    <t>Waste type (select)</t>
  </si>
  <si>
    <t>Treatment location (select)</t>
  </si>
  <si>
    <t>Amount</t>
  </si>
  <si>
    <t>Amount unit (select)</t>
  </si>
  <si>
    <t>Compost paper and cardboard on site (tonnes)</t>
  </si>
  <si>
    <t>Composting</t>
  </si>
  <si>
    <t>Paper and cardboard</t>
  </si>
  <si>
    <t>Removed and treated off-site</t>
  </si>
  <si>
    <t>Compost paper and cardboard on site (m3)</t>
  </si>
  <si>
    <t>Treated on-site</t>
  </si>
  <si>
    <t>cubic metres m3</t>
  </si>
  <si>
    <t>Compost food waste on site (tonnes)</t>
  </si>
  <si>
    <t>Food waste (including animal carcasses, spoiled animal feed or crop)</t>
  </si>
  <si>
    <t>Compost food waste on site (m3)</t>
  </si>
  <si>
    <t>Landfill food waste offsite (tonnes)</t>
  </si>
  <si>
    <t>Landfill</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</si>
  <si>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</si>
  <si>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</si>
  <si>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</si>
  <si>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</si>
  <si>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</si>
  <si>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</si>
  <si>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</si>
  <si>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</si>
  <si>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</si>
  <si>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</si>
  <si>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</si>
  <si>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</si>
  <si>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</si>
  <si>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t>
  </si>
  <si>
    <t>Incineration paper and cardboard on site (m3)</t>
  </si>
  <si>
    <t>Incineration green waste on site (tonnes)</t>
  </si>
  <si>
    <t>Incineration green waste on site (m3)</t>
  </si>
  <si>
    <t>Incineration green waste offsite (tonnes)</t>
  </si>
  <si>
    <t>Incineration green waste offsite (m3)</t>
  </si>
  <si>
    <t>10.1.1-2 Solid waste treatment</t>
  </si>
  <si>
    <t>Table_V_w_t_onsite</t>
  </si>
  <si>
    <t>Volume of solid waste treated on-site (scope 1)</t>
  </si>
  <si>
    <t>Treatment</t>
  </si>
  <si>
    <t>Waste type</t>
  </si>
  <si>
    <t>Vwt</t>
  </si>
  <si>
    <r>
      <t>VTM</t>
    </r>
    <r>
      <rPr>
        <b/>
        <vertAlign val="subscript"/>
        <sz val="10"/>
        <color rgb="FF183C1B"/>
        <rFont val="Arial"/>
        <family val="1"/>
      </rPr>
      <t>w</t>
    </r>
  </si>
  <si>
    <r>
      <t>Q</t>
    </r>
    <r>
      <rPr>
        <b/>
        <vertAlign val="subscript"/>
        <sz val="10"/>
        <color rgb="FF183C1B"/>
        <rFont val="Arial"/>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</si>
  <si>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</si>
  <si>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</si>
  <si>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</si>
  <si>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</si>
  <si>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0"/>
        <color rgb="FF533001"/>
        <rFont val="Arial"/>
        <family val="1"/>
      </rPr>
      <t>masswt</t>
    </r>
  </si>
  <si>
    <r>
      <t>Q</t>
    </r>
    <r>
      <rPr>
        <b/>
        <vertAlign val="subscript"/>
        <sz val="10"/>
        <color rgb="FF183C1B"/>
        <rFont val="Arial"/>
        <family val="1"/>
      </rPr>
      <t>volwt</t>
    </r>
  </si>
  <si>
    <r>
      <t>EF</t>
    </r>
    <r>
      <rPr>
        <b/>
        <vertAlign val="subscript"/>
        <sz val="10"/>
        <color rgb="FF183C1B"/>
        <rFont val="Arial"/>
        <family val="1"/>
      </rPr>
      <t>wtg</t>
    </r>
  </si>
  <si>
    <r>
      <t>E</t>
    </r>
    <r>
      <rPr>
        <b/>
        <vertAlign val="subscript"/>
        <sz val="10"/>
        <color rgb="FF183C1B"/>
        <rFont val="Arial"/>
        <family val="1"/>
      </rPr>
      <t>g</t>
    </r>
  </si>
  <si>
    <t>Summed above</t>
  </si>
  <si>
    <r>
      <rPr>
        <b/>
        <sz val="14"/>
        <color theme="1" tint="0.24994659260841701"/>
        <rFont val="Arial"/>
        <family val="1"/>
      </rPr>
      <t>E</t>
    </r>
    <r>
      <rPr>
        <b/>
        <vertAlign val="subscript"/>
        <sz val="14"/>
        <color theme="1" tint="0.24994659260841701"/>
        <rFont val="Arial"/>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</si>
  <si>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</si>
  <si>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</si>
  <si>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</si>
  <si>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</si>
  <si>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</si>
  <si>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</si>
  <si>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</si>
  <si>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</si>
  <si>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</si>
  <si>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</si>
  <si>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</si>
  <si>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</si>
  <si>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Pasture</t>
  </si>
  <si>
    <t>Area</t>
  </si>
  <si>
    <t>If multiple paddocks were managed in the same way at the same time, you can enter information for them all together.</t>
  </si>
  <si>
    <t>Pasture type</t>
  </si>
  <si>
    <t>Grass clover mixture</t>
  </si>
  <si>
    <t>← Please select</t>
  </si>
  <si>
    <t>Area under pasture</t>
  </si>
  <si>
    <t>Hectares</t>
  </si>
  <si>
    <t>Yield</t>
  </si>
  <si>
    <t>💡 'Pasture yield' is the average amount of dry matter that is grazed.</t>
  </si>
  <si>
    <t xml:space="preserve">       A default value is provided based on pasture type. You can edit this if known.</t>
  </si>
  <si>
    <t>Pasture yield</t>
  </si>
  <si>
    <t>Tonnes dry matter / hectare</t>
  </si>
  <si>
    <t>Total pasture yield</t>
  </si>
  <si>
    <t>Tonnes</t>
  </si>
  <si>
    <t>Residue management</t>
  </si>
  <si>
    <t>Area of pasture renewed or removed</t>
  </si>
  <si>
    <t>6.2.1.1-2 Return of pasture residue to soils</t>
  </si>
  <si>
    <r>
      <t>M</t>
    </r>
    <r>
      <rPr>
        <b/>
        <vertAlign val="subscript"/>
        <sz val="10"/>
        <color theme="1" tint="0.24994659260841701"/>
        <rFont val="Arial"/>
        <family val="1"/>
      </rPr>
      <t>p</t>
    </r>
  </si>
  <si>
    <r>
      <t>E</t>
    </r>
    <r>
      <rPr>
        <vertAlign val="subscript"/>
        <sz val="10"/>
        <color theme="1" tint="0.24994659260841701"/>
        <rFont val="Arial"/>
        <family val="1"/>
      </rPr>
      <t>N2O</t>
    </r>
    <r>
      <rPr>
        <sz val="10"/>
        <color theme="1" tint="0.24994659260841701"/>
        <rFont val="Arial"/>
        <family val="1"/>
      </rPr>
      <t xml:space="preserve"> GWP</t>
    </r>
  </si>
  <si>
    <t>6.3.1.1-2 Leaching and run-off from pasture residues only</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</si>
  <si>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</si>
  <si>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</si>
  <si>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</si>
  <si>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</si>
  <si>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</si>
  <si>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</si>
  <si>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</si>
  <si>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</si>
  <si>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</si>
  <si>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</si>
  <si>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</si>
  <si>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4"/>
        <color theme="1"/>
        <rFont val="Arial"/>
        <family val="1"/>
      </rPr>
      <t>N2O</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</si>
  <si>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</si>
  <si>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</si>
  <si>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</si>
  <si>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</si>
  <si>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</si>
  <si>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</si>
  <si>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</si>
  <si>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</si>
  <si>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</si>
  <si>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</si>
  <si>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</si>
  <si>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</si>
  <si>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</si>
  <si>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</si>
  <si>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</si>
  <si>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</si>
  <si>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</si>
  <si>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</si>
  <si>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</si>
  <si>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</si>
  <si>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</si>
  <si>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</si>
  <si>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</si>
  <si>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</si>
  <si>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</si>
  <si>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</si>
  <si>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</si>
  <si>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</si>
  <si>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</si>
  <si>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Input - Beef Cattle Purchases</t>
  </si>
  <si>
    <t>⚠️ Livestock sales and purchases are not automatically reflected in the duration and head count tables - you will need to manually adjust head count, duration and average liveweight</t>
  </si>
  <si>
    <t>Purchase date</t>
  </si>
  <si>
    <t>Purchase class (select)</t>
  </si>
  <si>
    <t>Source region (Select)</t>
  </si>
  <si>
    <t>Quantity (head)</t>
  </si>
  <si>
    <t>Liveweight (kg/head) Method 1</t>
  </si>
  <si>
    <t>Liveweight (kg/head) Method 2</t>
  </si>
  <si>
    <t>Cows from Barry</t>
  </si>
  <si>
    <t>Cattle, for prime beef</t>
  </si>
  <si>
    <t>Cattle, for manufacturing beef</t>
  </si>
  <si>
    <t>Input - Common farm inputs</t>
  </si>
  <si>
    <t>Cleaning chemicals</t>
  </si>
  <si>
    <t>Product name</t>
  </si>
  <si>
    <t>Type (select)</t>
  </si>
  <si>
    <t>Quantity purchased (kg)</t>
  </si>
  <si>
    <t>Acid kleen</t>
  </si>
  <si>
    <t>Phosphoric acid</t>
  </si>
  <si>
    <t>Kleen alk</t>
  </si>
  <si>
    <t>Alkaline cleaner</t>
  </si>
  <si>
    <t>White king</t>
  </si>
  <si>
    <t>Bleach</t>
  </si>
  <si>
    <t>Services and contractors</t>
  </si>
  <si>
    <t>Service provider / contractor</t>
  </si>
  <si>
    <t>Activity</t>
  </si>
  <si>
    <t>Total amount</t>
  </si>
  <si>
    <t>Pete's Pickers</t>
  </si>
  <si>
    <t>Fruit picking</t>
  </si>
  <si>
    <t>Hour</t>
  </si>
  <si>
    <t>Harini's Harvesting Services Pty Ltd</t>
  </si>
  <si>
    <t>Wheat harvesting</t>
  </si>
  <si>
    <t>Hectare</t>
  </si>
  <si>
    <t>Uncategorised products</t>
  </si>
  <si>
    <t>Product / service name</t>
  </si>
  <si>
    <t>Something</t>
  </si>
  <si>
    <t>Input - Crop and pasture farm inputs</t>
  </si>
  <si>
    <t>Pesticides</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</si>
  <si>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</si>
  <si>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</si>
  <si>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</si>
  <si>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</si>
  <si>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</si>
  <si>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Constituent unit (select)</t>
  </si>
  <si>
    <t>Active ingredient 1 (select)</t>
  </si>
  <si>
    <t>Active ingredient 1 amount</t>
  </si>
  <si>
    <t>Total active ingredient 1 (kg)</t>
  </si>
  <si>
    <t>Active ingredient 2 (select)</t>
  </si>
  <si>
    <t>Active ingredient 2 amount</t>
  </si>
  <si>
    <t>Total active ingredient 2 (kg)</t>
  </si>
  <si>
    <t>Active ingredient 3 (select)</t>
  </si>
  <si>
    <t>Active ingredient 3 amount</t>
  </si>
  <si>
    <t>Total active ingredient 3 (kg)</t>
  </si>
  <si>
    <t>QA MCPA + Picloram SL Herbicide</t>
  </si>
  <si>
    <t>grams/litre or grams/kg</t>
  </si>
  <si>
    <t>Pesticides (generic)</t>
  </si>
  <si>
    <t>Glyphosate</t>
  </si>
  <si>
    <t>Heben Propiconazole 550EC Fungicide</t>
  </si>
  <si>
    <t>litre / hectare</t>
  </si>
  <si>
    <t>2,4-D</t>
  </si>
  <si>
    <t>Tribenuron methyl</t>
  </si>
  <si>
    <t>NovaGuard Boscalid 500 WG Fungicide</t>
  </si>
  <si>
    <t>Metolachlor</t>
  </si>
  <si>
    <t>Trifluralin</t>
  </si>
  <si>
    <t>Seed</t>
  </si>
  <si>
    <t>Input - Livestock farm inputs</t>
  </si>
  <si>
    <t>Feed</t>
  </si>
  <si>
    <t>Lick blocks</t>
  </si>
  <si>
    <t>Feed rations</t>
  </si>
  <si>
    <t>Purchased feed blends for livestock</t>
  </si>
  <si>
    <t>Feed blend name</t>
  </si>
  <si>
    <t>Amount fed (kg)</t>
  </si>
  <si>
    <t>Ingredient 1 source region</t>
  </si>
  <si>
    <t>Ingredient 2 (select)</t>
  </si>
  <si>
    <t>Ingredient 2 source region</t>
  </si>
  <si>
    <t>Ingredient 3 (select)</t>
  </si>
  <si>
    <t>Ingredient 3 source region</t>
  </si>
  <si>
    <t>Ingredient 4 (select)</t>
  </si>
  <si>
    <t>Ingredient 4 source region</t>
  </si>
  <si>
    <t>Cereal silage</t>
  </si>
  <si>
    <t>Cereal hay</t>
  </si>
  <si>
    <t>Canola oil</t>
  </si>
  <si>
    <t>Molasses</t>
  </si>
  <si>
    <t>Lucerne hay</t>
  </si>
  <si>
    <t>Hay bales in paddock</t>
  </si>
  <si>
    <t>Wheat grain</t>
  </si>
  <si>
    <t>Soybean meal</t>
  </si>
  <si>
    <t>Brazil</t>
  </si>
  <si>
    <t>Pasture hay</t>
  </si>
  <si>
    <t>Livestock pharmacy chemicals</t>
  </si>
  <si>
    <t>Number of head treated</t>
  </si>
  <si>
    <t>Cow bug off</t>
  </si>
  <si>
    <t>Parasite control for cattle (external), dipping</t>
  </si>
  <si>
    <t>Cow worm-away</t>
  </si>
  <si>
    <t>Parasite control for cattle (internal)</t>
  </si>
  <si>
    <t>Sheep bug off</t>
  </si>
  <si>
    <t>Parasite control for sheep (external)</t>
  </si>
  <si>
    <t>Sheep worm-away</t>
  </si>
  <si>
    <t>Parasite control for sheep (internal)</t>
  </si>
  <si>
    <t>Miscellaneous inputs</t>
  </si>
  <si>
    <t>tags</t>
  </si>
  <si>
    <t>Input - Freight</t>
  </si>
  <si>
    <t>Incoming freight</t>
  </si>
  <si>
    <t>Route name</t>
  </si>
  <si>
    <t>Freight type (select)</t>
  </si>
  <si>
    <t>Route distance (km)</t>
  </si>
  <si>
    <t>Average weight of freight per trip (t)</t>
  </si>
  <si>
    <t>Number of trips taken</t>
  </si>
  <si>
    <t>Melbourne depot to farm depot weekly</t>
  </si>
  <si>
    <t>Transport in truck</t>
  </si>
  <si>
    <t>Fertiliser supplier to farm</t>
  </si>
  <si>
    <t>Rail</t>
  </si>
  <si>
    <t>Outgoing freight</t>
  </si>
  <si>
    <t>Farm to bulk handler</t>
  </si>
  <si>
    <t>Input - Manure sent off-site</t>
  </si>
  <si>
    <t>Manure sent off-site</t>
  </si>
  <si>
    <t>For each relevant livestock type:</t>
  </si>
  <si>
    <r>
      <t>Use the 'Mass of nitrogen applied to soil for scope 3 emissions (MNSoil</t>
    </r>
    <r>
      <rPr>
        <vertAlign val="subscript"/>
        <sz val="10"/>
        <color theme="1" tint="0.24994659260841701"/>
        <rFont val="Arial"/>
        <family val="1"/>
      </rPr>
      <t>scope3</t>
    </r>
    <r>
      <rPr>
        <sz val="10"/>
        <color theme="1" tint="0.24994659260841701"/>
        <rFont val="Arial"/>
        <family val="1"/>
      </rPr>
      <t>)' value calculated in the 'Manure applied to soils' equations (Chapter 4 of VEERG)</t>
    </r>
  </si>
  <si>
    <t>Mass of Nitrogen from manure sent offsite (MNSoil) - Method 1</t>
  </si>
  <si>
    <t>kg N</t>
  </si>
  <si>
    <t>Mass of Nitrogen from manure sent offsite (MNSoil) - Method 2</t>
  </si>
  <si>
    <t>Production system where manure is anticipated to be deposited</t>
  </si>
  <si>
    <t>Irrigation method where manure is anticipated to be deposited</t>
  </si>
  <si>
    <t>15 Scope 3 emissions</t>
  </si>
  <si>
    <t>Scope 3 emissions are calculated on a maximum of 10 livestock purchases for each category</t>
  </si>
  <si>
    <t>Beef cattle</t>
  </si>
  <si>
    <t>Transaction description</t>
  </si>
  <si>
    <t>Livestock type c</t>
  </si>
  <si>
    <t>Origin o</t>
  </si>
  <si>
    <r>
      <t>N</t>
    </r>
    <r>
      <rPr>
        <b/>
        <vertAlign val="subscript"/>
        <sz val="10"/>
        <color theme="1"/>
        <rFont val="Arial"/>
        <family val="1"/>
      </rPr>
      <t>co</t>
    </r>
  </si>
  <si>
    <r>
      <t>W</t>
    </r>
    <r>
      <rPr>
        <b/>
        <vertAlign val="subscript"/>
        <sz val="10"/>
        <color theme="1"/>
        <rFont val="Arial"/>
        <family val="1"/>
      </rPr>
      <t>co</t>
    </r>
    <r>
      <rPr>
        <b/>
        <sz val="10"/>
        <color theme="1"/>
        <rFont val="Arial"/>
        <family val="2"/>
      </rPr>
      <t xml:space="preserve"> - Method 1 (kg/head)</t>
    </r>
  </si>
  <si>
    <r>
      <t>EF</t>
    </r>
    <r>
      <rPr>
        <b/>
        <vertAlign val="subscript"/>
        <sz val="10"/>
        <color rgb="FF183C1B"/>
        <rFont val="Arial"/>
        <family val="1"/>
      </rPr>
      <t>co</t>
    </r>
    <r>
      <rPr>
        <b/>
        <sz val="10"/>
        <color rgb="FF183C1B"/>
        <rFont val="Arial"/>
        <family val="1"/>
      </rPr>
      <t xml:space="preserve"> (Method 1)</t>
    </r>
  </si>
  <si>
    <t>E (Method 1)</t>
  </si>
  <si>
    <r>
      <t>W</t>
    </r>
    <r>
      <rPr>
        <b/>
        <vertAlign val="subscript"/>
        <sz val="10"/>
        <color theme="1"/>
        <rFont val="Arial"/>
        <family val="1"/>
      </rPr>
      <t>co</t>
    </r>
    <r>
      <rPr>
        <b/>
        <sz val="10"/>
        <color theme="1"/>
        <rFont val="Arial"/>
        <family val="2"/>
      </rPr>
      <t xml:space="preserve"> - Method 2 (kg/head)</t>
    </r>
  </si>
  <si>
    <r>
      <t>EF</t>
    </r>
    <r>
      <rPr>
        <b/>
        <vertAlign val="subscript"/>
        <sz val="10"/>
        <color rgb="FF533001"/>
        <rFont val="Arial"/>
        <family val="1"/>
      </rPr>
      <t>co</t>
    </r>
    <r>
      <rPr>
        <b/>
        <sz val="10"/>
        <color rgb="FF533001"/>
        <rFont val="Arial"/>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</si>
  <si>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</si>
  <si>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</si>
  <si>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</si>
  <si>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</si>
  <si>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</si>
  <si>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</si>
  <si>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</si>
  <si>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</si>
  <si>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</si>
  <si>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</si>
  <si>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9"/>
        <color theme="1" tint="0.34998626667073579"/>
        <rFont val="Arial"/>
        <family val="1"/>
      </rPr>
      <t>co</t>
    </r>
    <r>
      <rPr>
        <sz val="9"/>
        <color theme="1" tint="0.34998626667073579"/>
        <rFont val="Arial"/>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</si>
  <si>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</si>
  <si>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</si>
  <si>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</si>
  <si>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</si>
  <si>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</si>
  <si>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</si>
  <si>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</si>
  <si>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</si>
  <si>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</si>
  <si>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</si>
  <si>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</si>
  <si>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</si>
  <si>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</si>
  <si>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</si>
  <si>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0"/>
        <color rgb="FF533001"/>
        <rFont val="Arial"/>
        <family val="1"/>
      </rPr>
      <t>j</t>
    </r>
  </si>
  <si>
    <r>
      <t>EF</t>
    </r>
    <r>
      <rPr>
        <b/>
        <vertAlign val="subscript"/>
        <sz val="10"/>
        <color rgb="FF183C1B"/>
        <rFont val="Arial"/>
        <family val="1"/>
      </rPr>
      <t>j</t>
    </r>
    <r>
      <rPr>
        <b/>
        <sz val="10"/>
        <color rgb="FF183C1B"/>
        <rFont val="Arial"/>
        <family val="1"/>
      </rPr>
      <t xml:space="preserve"> (Method 1)</t>
    </r>
  </si>
  <si>
    <r>
      <t>EF</t>
    </r>
    <r>
      <rPr>
        <b/>
        <vertAlign val="subscript"/>
        <sz val="10"/>
        <color rgb="FF533001"/>
        <rFont val="Arial"/>
        <family val="1"/>
      </rPr>
      <t>j</t>
    </r>
    <r>
      <rPr>
        <b/>
        <sz val="10"/>
        <color rgb="FF533001"/>
        <rFont val="Arial"/>
        <family val="1"/>
      </rPr>
      <t xml:space="preserve"> (Method 2)</t>
    </r>
  </si>
  <si>
    <t>Ingredient 1 source</t>
  </si>
  <si>
    <t>Ingredient 1 EF</t>
  </si>
  <si>
    <t>Ingredient 2 source</t>
  </si>
  <si>
    <t>Ingredient 2 EF</t>
  </si>
  <si>
    <t>Ingredient 3 source</t>
  </si>
  <si>
    <t>Ingredient 3 EF</t>
  </si>
  <si>
    <t>Ingredient 4 source</t>
  </si>
  <si>
    <t>Ingredient 4 EF</t>
  </si>
  <si>
    <t>Aquaculture and wild catch fieshery feed and bait</t>
  </si>
  <si>
    <r>
      <t>Q</t>
    </r>
    <r>
      <rPr>
        <b/>
        <vertAlign val="subscript"/>
        <sz val="10"/>
        <color rgb="FF533001"/>
        <rFont val="Arial"/>
        <family val="1"/>
      </rPr>
      <t>m</t>
    </r>
  </si>
  <si>
    <r>
      <t>EF</t>
    </r>
    <r>
      <rPr>
        <b/>
        <vertAlign val="subscript"/>
        <sz val="10"/>
        <color rgb="FF183C1B"/>
        <rFont val="Arial"/>
        <family val="1"/>
      </rPr>
      <t>m</t>
    </r>
    <r>
      <rPr>
        <b/>
        <sz val="10"/>
        <color rgb="FF183C1B"/>
        <rFont val="Arial"/>
        <family val="1"/>
      </rPr>
      <t xml:space="preserve"> (Method 1)</t>
    </r>
  </si>
  <si>
    <r>
      <t>EF</t>
    </r>
    <r>
      <rPr>
        <b/>
        <vertAlign val="subscript"/>
        <sz val="10"/>
        <color rgb="FF533001"/>
        <rFont val="Arial"/>
        <family val="1"/>
      </rPr>
      <t>m</t>
    </r>
    <r>
      <rPr>
        <b/>
        <sz val="10"/>
        <color rgb="FF533001"/>
        <rFont val="Arial"/>
        <family val="1"/>
      </rPr>
      <t xml:space="preserve"> (Method 2)</t>
    </r>
  </si>
  <si>
    <t>Branded fertiliser product purchases</t>
  </si>
  <si>
    <t>Scope 3 emissions are calculated on a maximum of 20 branded fertiliser product purchases</t>
  </si>
  <si>
    <t>Total amount (kg)</t>
  </si>
  <si>
    <r>
      <t>EF</t>
    </r>
    <r>
      <rPr>
        <b/>
        <vertAlign val="subscript"/>
        <sz val="10"/>
        <color rgb="FF183C1B"/>
        <rFont val="Arial"/>
        <family val="1"/>
      </rPr>
      <t>f</t>
    </r>
    <r>
      <rPr>
        <b/>
        <sz val="10"/>
        <color rgb="FF183C1B"/>
        <rFont val="Arial"/>
        <family val="1"/>
      </rPr>
      <t xml:space="preserve"> (Method 1)</t>
    </r>
  </si>
  <si>
    <t>E- Product (Method 1)</t>
  </si>
  <si>
    <t>E - Fertiliser components (Method 1)</t>
  </si>
  <si>
    <r>
      <t>EF</t>
    </r>
    <r>
      <rPr>
        <b/>
        <vertAlign val="subscript"/>
        <sz val="10"/>
        <color rgb="FF533001"/>
        <rFont val="Arial"/>
        <family val="1"/>
      </rPr>
      <t>f</t>
    </r>
    <r>
      <rPr>
        <b/>
        <sz val="10"/>
        <color rgb="FF533001"/>
        <rFont val="Arial"/>
        <family val="1"/>
      </rPr>
      <t xml:space="preserve"> (Method 2)</t>
    </r>
  </si>
  <si>
    <t>E- Product (Method 2)</t>
  </si>
  <si>
    <t>E - Fertiliser components (Method 2)</t>
  </si>
  <si>
    <r>
      <t>EF</t>
    </r>
    <r>
      <rPr>
        <b/>
        <vertAlign val="subscript"/>
        <sz val="10"/>
        <color rgb="FF183C1B"/>
        <rFont val="Arial"/>
        <family val="1"/>
      </rPr>
      <t xml:space="preserve">c - </t>
    </r>
    <r>
      <rPr>
        <b/>
        <sz val="10"/>
        <color rgb="FF183C1B"/>
        <rFont val="Arial"/>
        <family val="1"/>
      </rPr>
      <t>Ingredient 1 (Method 1)</t>
    </r>
  </si>
  <si>
    <r>
      <t>EF</t>
    </r>
    <r>
      <rPr>
        <b/>
        <vertAlign val="subscript"/>
        <sz val="10"/>
        <color rgb="FF533001"/>
        <rFont val="Arial"/>
        <family val="1"/>
      </rPr>
      <t>c</t>
    </r>
    <r>
      <rPr>
        <b/>
        <sz val="10"/>
        <color rgb="FF533001"/>
        <rFont val="Arial"/>
        <family val="1"/>
      </rPr>
      <t xml:space="preserve"> - Ingredient 1 (Method 2)</t>
    </r>
  </si>
  <si>
    <r>
      <t>EF</t>
    </r>
    <r>
      <rPr>
        <b/>
        <vertAlign val="subscript"/>
        <sz val="10"/>
        <color rgb="FF183C1B"/>
        <rFont val="Arial"/>
        <family val="1"/>
      </rPr>
      <t xml:space="preserve">c - </t>
    </r>
    <r>
      <rPr>
        <b/>
        <sz val="10"/>
        <color rgb="FF183C1B"/>
        <rFont val="Arial"/>
        <family val="1"/>
      </rPr>
      <t>Ingredient 2 (Method 1)</t>
    </r>
  </si>
  <si>
    <r>
      <t>EF</t>
    </r>
    <r>
      <rPr>
        <b/>
        <vertAlign val="subscript"/>
        <sz val="10"/>
        <color rgb="FF533001"/>
        <rFont val="Arial"/>
        <family val="1"/>
      </rPr>
      <t>c</t>
    </r>
    <r>
      <rPr>
        <b/>
        <sz val="10"/>
        <color rgb="FF533001"/>
        <rFont val="Arial"/>
        <family val="1"/>
      </rPr>
      <t xml:space="preserve"> - Ingredient 2 (Method 2)</t>
    </r>
  </si>
  <si>
    <r>
      <t>EF</t>
    </r>
    <r>
      <rPr>
        <b/>
        <vertAlign val="subscript"/>
        <sz val="10"/>
        <color rgb="FF183C1B"/>
        <rFont val="Arial"/>
        <family val="1"/>
      </rPr>
      <t xml:space="preserve">c - </t>
    </r>
    <r>
      <rPr>
        <b/>
        <sz val="10"/>
        <color rgb="FF183C1B"/>
        <rFont val="Arial"/>
        <family val="1"/>
      </rPr>
      <t>Ingredient 3 (Method 1)</t>
    </r>
  </si>
  <si>
    <r>
      <t>EF</t>
    </r>
    <r>
      <rPr>
        <b/>
        <vertAlign val="subscript"/>
        <sz val="10"/>
        <color rgb="FF533001"/>
        <rFont val="Arial"/>
        <family val="1"/>
      </rPr>
      <t>c</t>
    </r>
    <r>
      <rPr>
        <b/>
        <sz val="10"/>
        <color rgb="FF533001"/>
        <rFont val="Arial"/>
        <family val="1"/>
      </rPr>
      <t xml:space="preserve"> - Ingredient 3 (Method 2)</t>
    </r>
  </si>
  <si>
    <r>
      <t>EF</t>
    </r>
    <r>
      <rPr>
        <b/>
        <vertAlign val="subscript"/>
        <sz val="10"/>
        <color rgb="FF183C1B"/>
        <rFont val="Arial"/>
        <family val="1"/>
      </rPr>
      <t xml:space="preserve">c - </t>
    </r>
    <r>
      <rPr>
        <b/>
        <sz val="10"/>
        <color rgb="FF183C1B"/>
        <rFont val="Arial"/>
        <family val="1"/>
      </rPr>
      <t>Ingredient 4 (Method 1)</t>
    </r>
  </si>
  <si>
    <r>
      <t>EF</t>
    </r>
    <r>
      <rPr>
        <b/>
        <vertAlign val="subscript"/>
        <sz val="10"/>
        <color rgb="FF533001"/>
        <rFont val="Arial"/>
        <family val="1"/>
      </rPr>
      <t>c</t>
    </r>
    <r>
      <rPr>
        <b/>
        <sz val="10"/>
        <color rgb="FF533001"/>
        <rFont val="Arial"/>
        <family val="1"/>
      </rPr>
      <t xml:space="preserve"> - Ingredient 4 (Method 2)</t>
    </r>
  </si>
  <si>
    <r>
      <t>EF</t>
    </r>
    <r>
      <rPr>
        <b/>
        <vertAlign val="subscript"/>
        <sz val="10"/>
        <color rgb="FF183C1B"/>
        <rFont val="Arial"/>
        <family val="1"/>
      </rPr>
      <t xml:space="preserve">c - </t>
    </r>
    <r>
      <rPr>
        <b/>
        <sz val="10"/>
        <color rgb="FF183C1B"/>
        <rFont val="Arial"/>
        <family val="1"/>
      </rPr>
      <t>Ingredient 5 (Method 1)</t>
    </r>
  </si>
  <si>
    <r>
      <t>EF</t>
    </r>
    <r>
      <rPr>
        <b/>
        <vertAlign val="subscript"/>
        <sz val="10"/>
        <color rgb="FF533001"/>
        <rFont val="Arial"/>
        <family val="1"/>
      </rPr>
      <t>c</t>
    </r>
    <r>
      <rPr>
        <b/>
        <sz val="10"/>
        <color rgb="FF533001"/>
        <rFont val="Arial"/>
        <family val="1"/>
      </rPr>
      <t xml:space="preserve"> - Ingredient 5 (Method 2)</t>
    </r>
  </si>
  <si>
    <r>
      <t>EF</t>
    </r>
    <r>
      <rPr>
        <b/>
        <vertAlign val="subscript"/>
        <sz val="10"/>
        <color rgb="FF183C1B"/>
        <rFont val="Arial"/>
        <family val="1"/>
      </rPr>
      <t xml:space="preserve">c - </t>
    </r>
    <r>
      <rPr>
        <b/>
        <sz val="10"/>
        <color rgb="FF183C1B"/>
        <rFont val="Arial"/>
        <family val="1"/>
      </rPr>
      <t>Ingredient 6 (Method 1)</t>
    </r>
  </si>
  <si>
    <r>
      <t>EF</t>
    </r>
    <r>
      <rPr>
        <b/>
        <vertAlign val="subscript"/>
        <sz val="10"/>
        <color rgb="FF533001"/>
        <rFont val="Arial"/>
        <family val="1"/>
      </rPr>
      <t>c</t>
    </r>
    <r>
      <rPr>
        <b/>
        <sz val="10"/>
        <color rgb="FF533001"/>
        <rFont val="Arial"/>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</si>
  <si>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</si>
  <si>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</si>
  <si>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</si>
  <si>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</si>
  <si>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</si>
  <si>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</si>
  <si>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</si>
  <si>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0"/>
        <color rgb="FF183C1B"/>
        <rFont val="Arial"/>
        <family val="1"/>
      </rPr>
      <t>h</t>
    </r>
    <r>
      <rPr>
        <b/>
        <sz val="10"/>
        <color rgb="FF183C1B"/>
        <rFont val="Arial"/>
        <family val="1"/>
      </rPr>
      <t xml:space="preserve"> (Method 1)</t>
    </r>
  </si>
  <si>
    <r>
      <t>EF</t>
    </r>
    <r>
      <rPr>
        <b/>
        <vertAlign val="subscript"/>
        <sz val="10"/>
        <color rgb="FF533001"/>
        <rFont val="Arial"/>
        <family val="1"/>
      </rPr>
      <t>h</t>
    </r>
    <r>
      <rPr>
        <b/>
        <sz val="10"/>
        <color rgb="FF533001"/>
        <rFont val="Arial"/>
        <family val="1"/>
      </rPr>
      <t xml:space="preserve"> (Method 2)</t>
    </r>
  </si>
  <si>
    <r>
      <t>EF</t>
    </r>
    <r>
      <rPr>
        <vertAlign val="subscript"/>
        <sz val="10"/>
        <color theme="1" tint="0.24994659260841701"/>
        <rFont val="Arial"/>
        <family val="1"/>
      </rPr>
      <t>l</t>
    </r>
    <r>
      <rPr>
        <sz val="10"/>
        <color theme="1" tint="0.24994659260841701"/>
        <rFont val="Arial"/>
        <family val="1"/>
      </rPr>
      <t xml:space="preserve"> - Lime</t>
    </r>
  </si>
  <si>
    <r>
      <t>EF</t>
    </r>
    <r>
      <rPr>
        <vertAlign val="subscript"/>
        <sz val="10"/>
        <color theme="1" tint="0.24994659260841701"/>
        <rFont val="Arial"/>
        <family val="1"/>
      </rPr>
      <t>l</t>
    </r>
    <r>
      <rPr>
        <sz val="10"/>
        <color theme="1" tint="0.24994659260841701"/>
        <rFont val="Arial"/>
        <family val="1"/>
      </rPr>
      <t xml:space="preserve"> - Dolomite</t>
    </r>
  </si>
  <si>
    <r>
      <t>EF</t>
    </r>
    <r>
      <rPr>
        <vertAlign val="subscript"/>
        <sz val="10"/>
        <color theme="1" tint="0.24994659260841701"/>
        <rFont val="Arial"/>
        <family val="1"/>
      </rPr>
      <t>l</t>
    </r>
    <r>
      <rPr>
        <sz val="10"/>
        <color theme="1" tint="0.24994659260841701"/>
        <rFont val="Arial"/>
        <family val="1"/>
      </rPr>
      <t xml:space="preserve"> - Gypsum</t>
    </r>
  </si>
  <si>
    <t>Total amount (t)</t>
  </si>
  <si>
    <r>
      <t>M</t>
    </r>
    <r>
      <rPr>
        <b/>
        <vertAlign val="subscript"/>
        <sz val="10"/>
        <color rgb="FF533001"/>
        <rFont val="Arial"/>
        <family val="1"/>
      </rPr>
      <t>lime</t>
    </r>
    <r>
      <rPr>
        <b/>
        <sz val="10"/>
        <color rgb="FF533001"/>
        <rFont val="Arial"/>
        <family val="1"/>
      </rPr>
      <t xml:space="preserve"> - Lime</t>
    </r>
  </si>
  <si>
    <r>
      <t>M</t>
    </r>
    <r>
      <rPr>
        <b/>
        <vertAlign val="subscript"/>
        <sz val="10"/>
        <color rgb="FF533001"/>
        <rFont val="Arial"/>
        <family val="1"/>
      </rPr>
      <t>lime</t>
    </r>
    <r>
      <rPr>
        <b/>
        <sz val="10"/>
        <color rgb="FF533001"/>
        <rFont val="Arial"/>
        <family val="1"/>
      </rPr>
      <t xml:space="preserve"> - Dolomite</t>
    </r>
  </si>
  <si>
    <r>
      <t>M</t>
    </r>
    <r>
      <rPr>
        <b/>
        <vertAlign val="subscript"/>
        <sz val="10"/>
        <color rgb="FF533001"/>
        <rFont val="Arial"/>
        <family val="1"/>
      </rPr>
      <t>lime</t>
    </r>
    <r>
      <rPr>
        <b/>
        <sz val="10"/>
        <color rgb="FF533001"/>
        <rFont val="Arial"/>
        <family val="1"/>
      </rPr>
      <t xml:space="preserve"> - Gypsum</t>
    </r>
  </si>
  <si>
    <t>E(Method 2)</t>
  </si>
  <si>
    <t>VEERG_15_7_1_1__1_EmissionsFromPurchasedServices_Result_Method1</t>
  </si>
  <si>
    <r>
      <t xml:space="preserve">⚠️ </t>
    </r>
    <r>
      <rPr>
        <b/>
        <sz val="10"/>
        <color rgb="FFC44340"/>
        <rFont val="Arial"/>
        <family val="1"/>
      </rPr>
      <t>ALERT:</t>
    </r>
    <r>
      <rPr>
        <sz val="10"/>
        <color rgb="FFC44340"/>
        <rFont val="Arial"/>
        <family val="1"/>
      </rPr>
      <t xml:space="preserve"> No Method 1 EF data for purchased services and contractor operations is in </t>
    </r>
    <r>
      <rPr>
        <i/>
        <sz val="10"/>
        <color rgb="FFC44340"/>
        <rFont val="Arial"/>
        <family val="1"/>
      </rPr>
      <t>Greenhouse Gas Emission Intensities for Material Inputs to Australian Agriculture, Fisheries and Forestry</t>
    </r>
    <r>
      <rPr>
        <sz val="10"/>
        <color rgb="FFC44340"/>
        <rFont val="Arial"/>
        <family val="1"/>
      </rPr>
      <t>. Use method 2 EF values from your chosen data source.</t>
    </r>
  </si>
  <si>
    <t>Product EF (Method 1)</t>
  </si>
  <si>
    <t>Scope 3 (Method 1)</t>
  </si>
  <si>
    <t>Product EF (Method 2)</t>
  </si>
  <si>
    <t>Scope 3 (Method 2)</t>
  </si>
  <si>
    <t>Scope 3 unit</t>
  </si>
  <si>
    <t>No data</t>
  </si>
  <si>
    <t>Primary material</t>
  </si>
  <si>
    <r>
      <t>Q</t>
    </r>
    <r>
      <rPr>
        <b/>
        <vertAlign val="subscript"/>
        <sz val="10"/>
        <color theme="1"/>
        <rFont val="Arial"/>
        <family val="1"/>
      </rPr>
      <t>p</t>
    </r>
    <r>
      <rPr>
        <b/>
        <sz val="10"/>
        <color theme="1"/>
        <rFont val="Arial"/>
        <family val="2"/>
      </rPr>
      <t xml:space="preserve"> (kg)</t>
    </r>
  </si>
  <si>
    <r>
      <t>EF</t>
    </r>
    <r>
      <rPr>
        <b/>
        <vertAlign val="subscript"/>
        <sz val="10"/>
        <color rgb="FF183C1B"/>
        <rFont val="Arial"/>
        <family val="1"/>
      </rPr>
      <t xml:space="preserve">p </t>
    </r>
    <r>
      <rPr>
        <b/>
        <sz val="10"/>
        <color rgb="FF183C1B"/>
        <rFont val="Arial"/>
        <family val="1"/>
      </rPr>
      <t>(Method 1)</t>
    </r>
  </si>
  <si>
    <r>
      <t>EF</t>
    </r>
    <r>
      <rPr>
        <b/>
        <vertAlign val="subscript"/>
        <sz val="10"/>
        <color rgb="FF533001"/>
        <rFont val="Arial"/>
        <family val="1"/>
      </rPr>
      <t>p</t>
    </r>
    <r>
      <rPr>
        <b/>
        <sz val="10"/>
        <color rgb="FF533001"/>
        <rFont val="Arial"/>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</si>
  <si>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</si>
  <si>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</si>
  <si>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</si>
  <si>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</si>
  <si>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</si>
  <si>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</si>
  <si>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EF (Method 1)</t>
  </si>
  <si>
    <t>EF (Method 2)</t>
  </si>
  <si>
    <t>Amount (kg)</t>
  </si>
  <si>
    <t>Miscellaneous Inputs</t>
  </si>
  <si>
    <t>Uncategorised products with no Method 1 EF data</t>
  </si>
  <si>
    <t>EF (Method 2) Unit</t>
  </si>
  <si>
    <t>t / amount unit</t>
  </si>
  <si>
    <t>E</t>
  </si>
  <si>
    <r>
      <t>E</t>
    </r>
    <r>
      <rPr>
        <b/>
        <vertAlign val="subscript"/>
        <sz val="12"/>
        <color theme="1" tint="0.24994659260841701"/>
        <rFont val="Arial"/>
        <family val="1"/>
      </rPr>
      <t>3,elec</t>
    </r>
  </si>
  <si>
    <t>Route</t>
  </si>
  <si>
    <r>
      <t>W</t>
    </r>
    <r>
      <rPr>
        <b/>
        <vertAlign val="subscript"/>
        <sz val="10"/>
        <color rgb="FF533001"/>
        <rFont val="Arial"/>
        <family val="1"/>
      </rPr>
      <t>f</t>
    </r>
    <r>
      <rPr>
        <b/>
        <sz val="10"/>
        <color rgb="FF533001"/>
        <rFont val="Arial"/>
        <family val="1"/>
      </rPr>
      <t xml:space="preserve"> (t)</t>
    </r>
  </si>
  <si>
    <r>
      <t>D</t>
    </r>
    <r>
      <rPr>
        <b/>
        <vertAlign val="subscript"/>
        <sz val="10"/>
        <color rgb="FF533001"/>
        <rFont val="Arial"/>
        <family val="1"/>
      </rPr>
      <t>f</t>
    </r>
    <r>
      <rPr>
        <b/>
        <sz val="10"/>
        <color rgb="FF533001"/>
        <rFont val="Arial"/>
        <family val="1"/>
      </rPr>
      <t xml:space="preserve"> (km)</t>
    </r>
  </si>
  <si>
    <r>
      <t>EF</t>
    </r>
    <r>
      <rPr>
        <b/>
        <vertAlign val="superscript"/>
        <sz val="10"/>
        <color rgb="FF183C1B"/>
        <rFont val="Arial"/>
        <family val="1"/>
      </rPr>
      <t>f</t>
    </r>
    <r>
      <rPr>
        <b/>
        <sz val="10"/>
        <color rgb="FF183C1B"/>
        <rFont val="Arial"/>
        <family val="1"/>
      </rPr>
      <t xml:space="preserve"> (Method 1)</t>
    </r>
  </si>
  <si>
    <t>E - Incoming freight (Method 1)</t>
  </si>
  <si>
    <t>E - Incoming freight (Method 2)</t>
  </si>
  <si>
    <t>E - Outgoing freight (Method 1)</t>
  </si>
  <si>
    <t>E - Outgoing freight (Method 2)</t>
  </si>
  <si>
    <t>Calcs - Manure sent off-site</t>
  </si>
  <si>
    <r>
      <t>M</t>
    </r>
    <r>
      <rPr>
        <b/>
        <vertAlign val="subscript"/>
        <sz val="10"/>
        <color theme="1" tint="0.24994659260841701"/>
        <rFont val="Arial"/>
        <family val="1"/>
      </rPr>
      <t>vol,inorganic,jf</t>
    </r>
  </si>
  <si>
    <r>
      <t>M</t>
    </r>
    <r>
      <rPr>
        <b/>
        <vertAlign val="subscript"/>
        <sz val="10"/>
        <color theme="1" tint="0.24994659260841701"/>
        <rFont val="Arial"/>
        <family val="1"/>
      </rPr>
      <t>leach,inorganic,jf</t>
    </r>
  </si>
  <si>
    <t>Animals</t>
  </si>
  <si>
    <t>Emissions intensity</t>
  </si>
  <si>
    <t>GHGEI-MIAFF</t>
  </si>
  <si>
    <t>Chemicals</t>
  </si>
  <si>
    <t>Inorganic fertilisers</t>
  </si>
  <si>
    <t>Quantity</t>
  </si>
  <si>
    <t>Other agricultural inputs</t>
  </si>
  <si>
    <t>Packaging</t>
  </si>
  <si>
    <t>Soil ameliorants</t>
  </si>
  <si>
    <t>Fish feed and bait</t>
  </si>
  <si>
    <t>VEERG</t>
  </si>
  <si>
    <t>Constants - Livestock</t>
  </si>
  <si>
    <t>Symbol</t>
  </si>
  <si>
    <t>Symbol and MMS</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</si>
  <si>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</si>
  <si>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</si>
  <si>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</si>
  <si>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</si>
  <si>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</si>
  <si>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</si>
  <si>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Additional intake for milk production in the season of calving and the season after calving</t>
  </si>
  <si>
    <t>VEERG 2026: 3.2.1.1, Equation (4)</t>
  </si>
  <si>
    <t>MA_jk45</t>
  </si>
  <si>
    <t>LC_jk45</t>
  </si>
  <si>
    <t>proportion of cows greater than 1 year in calf in the season of calving expressed as a fraction</t>
  </si>
  <si>
    <t>FA_jk45calv</t>
  </si>
  <si>
    <t>feed adjustment value for lactating cows in the season of calving expressed as a fraction</t>
  </si>
  <si>
    <t>FA_jk45after</t>
  </si>
  <si>
    <t>feed adjustment value for lactating cows in the season immediately after calving expressed as a fraction</t>
  </si>
  <si>
    <t>b</t>
  </si>
  <si>
    <t>breed of cattle</t>
  </si>
  <si>
    <t>Input</t>
  </si>
  <si>
    <t>Constant</t>
  </si>
  <si>
    <t>Feed intake for grazing beef cattle</t>
  </si>
  <si>
    <t>VEERG 2026: 3.2.1.1, Equation (3)</t>
  </si>
  <si>
    <t>I_{jkl}=(1.185+0.00454\times W_{jkl}-0.0000026\times W_{jkl}^{2}+0.315\times LWG_{jkl})^2\times MA_{jk=4,5}</t>
  </si>
  <si>
    <t>I_jkl</t>
  </si>
  <si>
    <t>kg DM/head/day</t>
  </si>
  <si>
    <t>W_jkl</t>
  </si>
  <si>
    <t>liveweight (kg)</t>
  </si>
  <si>
    <t>LWG_jkl</t>
  </si>
  <si>
    <t>live weight gain (kg/head/day)</t>
  </si>
  <si>
    <t>additional intake for milk production in cows greater than 2 years</t>
  </si>
  <si>
    <t>Calculated from 3.2.1.1, (4)</t>
  </si>
  <si>
    <t>Daily production of enteric methane</t>
  </si>
  <si>
    <t>VEERG 2026: 3.2.1.1, Equation (2)</t>
  </si>
  <si>
    <t>M_jkl</t>
  </si>
  <si>
    <t>kg CH4/head/day</t>
  </si>
  <si>
    <t>dry matter intake</t>
  </si>
  <si>
    <t>Calculated from 3.2.1.1, (3)</t>
  </si>
  <si>
    <t>Total annual methane production from enteric fermentation in grazing beef cattle</t>
  </si>
  <si>
    <t>VEERG 2026: 3.2.1.1, Equation (1)</t>
  </si>
  <si>
    <t>E_enteric</t>
  </si>
  <si>
    <t>D_j</t>
  </si>
  <si>
    <t>number of days the animal is on the farm in each time-period</t>
  </si>
  <si>
    <t>daily production of enteric methane in each time-period, class and subclass</t>
  </si>
  <si>
    <t>N_jkl</t>
  </si>
  <si>
    <t>number of beef cattle in each time-period, class and subclass</t>
  </si>
  <si>
    <t>Calculated from 3.2.1.1, (2)</t>
  </si>
  <si>
    <t>Volatile solid production from grazing beef</t>
  </si>
  <si>
    <t>VEERG 2026: 4.2.1.1, Equation (3)</t>
  </si>
  <si>
    <t>VS_jkl</t>
  </si>
  <si>
    <t>dry matter intake as calculated in Chapter 3 Section 3.2.1</t>
  </si>
  <si>
    <t>DMD_jkl</t>
  </si>
  <si>
    <t>dry matter digestibility expressed as a fraction</t>
  </si>
  <si>
    <t>A</t>
  </si>
  <si>
    <t>ash content of feed intake expressed as a fraction</t>
  </si>
  <si>
    <t>Methane production from the manure of grazing beef cattle</t>
  </si>
  <si>
    <t>VEERG 2026: 4.2.1.1, Equation (2)</t>
  </si>
  <si>
    <t>M_jklm</t>
  </si>
  <si>
    <t>volatile solid production</t>
  </si>
  <si>
    <t>B_o</t>
  </si>
  <si>
    <t>emissions potential</t>
  </si>
  <si>
    <t>MMS_m</t>
  </si>
  <si>
    <t>fraction of waste in each manure management system</t>
  </si>
  <si>
    <t>MCF_im</t>
  </si>
  <si>
    <t>methane conversion factor for temperature zone and MMS</t>
  </si>
  <si>
    <t>rho</t>
  </si>
  <si>
    <t>density of methane</t>
  </si>
  <si>
    <t>i</t>
  </si>
  <si>
    <t>state</t>
  </si>
  <si>
    <t>region</t>
  </si>
  <si>
    <t>kg/day</t>
  </si>
  <si>
    <t>Calculated from 4.2.1.1 (3)</t>
  </si>
  <si>
    <t>m3 CH4/kg VS</t>
  </si>
  <si>
    <t>kg/m3</t>
  </si>
  <si>
    <t>Mean annual temperature</t>
  </si>
  <si>
    <t>°C</t>
  </si>
  <si>
    <t>Total annual methane production from manure management for grazing beef cattle</t>
  </si>
  <si>
    <t>VEERG 2026: 4.2.1.1, Equation (1)</t>
  </si>
  <si>
    <t>E_CH4</t>
  </si>
  <si>
    <t>methane production from manure in each time-period, class, subclass and MMS</t>
  </si>
  <si>
    <t>number of days in each time-period for each input class</t>
  </si>
  <si>
    <t>Calculated from 4.2.1.1 (2)</t>
  </si>
  <si>
    <t>Relative size of the cattle</t>
  </si>
  <si>
    <t>VEERG 2026: 4.2.1.3, Equation (7)</t>
  </si>
  <si>
    <t>Z_jkl</t>
  </si>
  <si>
    <t>ratio</t>
  </si>
  <si>
    <t>SRW_k</t>
  </si>
  <si>
    <t>standard reference weight (kg)</t>
  </si>
  <si>
    <t>Intake relative to that needed for maintenance</t>
  </si>
  <si>
    <t>VEERG 2026: 4.2.1.3, Equation (6)</t>
  </si>
  <si>
    <t>L_jkl</t>
  </si>
  <si>
    <t>dry matter intake as calculated in Chapter 3 Section 3.2.1 (kg DM/head/day)</t>
  </si>
  <si>
    <t>liveweight (kg/head)</t>
  </si>
  <si>
    <t>Calculated from 3.2.1.1 (3)</t>
  </si>
  <si>
    <t>Milk production for the season of calving and season after calving</t>
  </si>
  <si>
    <t>VEERG 2026: 4.2.1.3, Equation (5)</t>
  </si>
  <si>
    <t>MP_jk5</t>
  </si>
  <si>
    <t>LC_jk5curr</t>
  </si>
  <si>
    <t>proportion of cows greater than 2 years lactating for the season of calving</t>
  </si>
  <si>
    <t>LC_jk5prev</t>
  </si>
  <si>
    <t>proportion of cows greater than 2 years lactating for the season after calving</t>
  </si>
  <si>
    <t>DMP_jk5calv</t>
  </si>
  <si>
    <t>daily milk production for the season of calving (kg/head/day)</t>
  </si>
  <si>
    <t>DMP_jk5after</t>
  </si>
  <si>
    <t>daily milk production for the season after calving (kg/head/day)</t>
  </si>
  <si>
    <t>Amount of nitrogen retained by the body</t>
  </si>
  <si>
    <t>VEERG 2026: 4.2.1.3, Equation (4)</t>
  </si>
  <si>
    <t>NR_jkl</t>
  </si>
  <si>
    <t>kg N/head/day</t>
  </si>
  <si>
    <t>milk production (kg/head/day)</t>
  </si>
  <si>
    <t>intake relative to that needed for maintenance</t>
  </si>
  <si>
    <t>relative size</t>
  </si>
  <si>
    <t>liveweight gain (kg/head/day)</t>
  </si>
  <si>
    <t>Calculated from 4.2.1.3 (5)</t>
  </si>
  <si>
    <t>Calculated from 4.2.1.3 (6)</t>
  </si>
  <si>
    <t>Calculated from 4.2.1.3 (7)</t>
  </si>
  <si>
    <t>Nitrogen excreted</t>
  </si>
  <si>
    <t>VEERG 2026: 4.2.1.3, Equation (3)</t>
  </si>
  <si>
    <t>NE_jkl</t>
  </si>
  <si>
    <t>CP_j</t>
  </si>
  <si>
    <t>crude protein content of dry matter intake</t>
  </si>
  <si>
    <t>MC_jk136</t>
  </si>
  <si>
    <t>milk intake (kg/head/day)</t>
  </si>
  <si>
    <t>the amount of nitrogen retained by the body (kg N/head/day)</t>
  </si>
  <si>
    <t>s</t>
  </si>
  <si>
    <t>Calculated from 4.2.1.3 (4)</t>
  </si>
  <si>
    <t>Total nitrogen excreted to pasture, range and paddock</t>
  </si>
  <si>
    <t>VEERG 2026: 4.2.1.3, Equation (2)</t>
  </si>
  <si>
    <t>number of beef cattle by time-period, class and subclass</t>
  </si>
  <si>
    <t>nitrogen excreted in each time-period, by each class and subclass</t>
  </si>
  <si>
    <t>number of days in each time-period (days)</t>
  </si>
  <si>
    <t>Calculated from 4.2.1.3 (3)</t>
  </si>
  <si>
    <t>Total annual direct nitrous oxide emissions from agricultural soils from deposition of urine and dung</t>
  </si>
  <si>
    <t>VEERG 2026: 4.2.1.3, Equation (1)</t>
  </si>
  <si>
    <t>E_N2Odir</t>
  </si>
  <si>
    <t>Mass of nitrogen volatilised</t>
  </si>
  <si>
    <t>VEERG 2026: 4.2.1.5, Equation (2)</t>
  </si>
  <si>
    <t>M_vol</t>
  </si>
  <si>
    <t>total mass of nitrogen excreted on PRP for beef cattle</t>
  </si>
  <si>
    <t>FracGASMsoil</t>
  </si>
  <si>
    <t>fraction of nitrogen volatilised from urine and faeces deposited on pasture ((kg NH3-N + NOx-N)/kg N)</t>
  </si>
  <si>
    <t>Calculated from 4.2.1.3 (2)</t>
  </si>
  <si>
    <t>Atmospheric deposition emissions from urine and dung deposited on pasture</t>
  </si>
  <si>
    <t>VEERG 2026: 4.2.1.5, Equation (1)</t>
  </si>
  <si>
    <t>E_N2Oad</t>
  </si>
  <si>
    <t>mass of nitrogen volatilised from urine and faeces deposited on pasture</t>
  </si>
  <si>
    <t>EF_N2O</t>
  </si>
  <si>
    <t>nitrous oxide emission factor for atmospheric deposition</t>
  </si>
  <si>
    <t>C_N2O</t>
  </si>
  <si>
    <t>factor to convert elemental mass of N2O to molecular mass</t>
  </si>
  <si>
    <t>j</t>
  </si>
  <si>
    <t>production system</t>
  </si>
  <si>
    <t>irrigation method</t>
  </si>
  <si>
    <t>r</t>
  </si>
  <si>
    <t>rainfall zone</t>
  </si>
  <si>
    <t>Calculated from 4.2.1.5 (2)</t>
  </si>
  <si>
    <t>kg N2O-N/kg N</t>
  </si>
  <si>
    <t>Mass of nitrogen lost to leaching and runoff</t>
  </si>
  <si>
    <t>VEERG 2026: 4.2.1.7, Equation (2)</t>
  </si>
  <si>
    <t>M_leach</t>
  </si>
  <si>
    <t>FracWet</t>
  </si>
  <si>
    <t>fraction of N available for leaching and runoff</t>
  </si>
  <si>
    <t>FracLEACH</t>
  </si>
  <si>
    <t>fraction of all N that is lost through leaching and runoff</t>
  </si>
  <si>
    <t>z</t>
  </si>
  <si>
    <t>location in leaching zone</t>
  </si>
  <si>
    <t>ir</t>
  </si>
  <si>
    <t>Leaching and runoff emissions from urine and dung deposited on pasture</t>
  </si>
  <si>
    <t>VEERG 2026: 4.2.1.7, Equation (1)</t>
  </si>
  <si>
    <t>E_N2Oleach</t>
  </si>
  <si>
    <t>mass of nitrogen lost to leaching and runoff</t>
  </si>
  <si>
    <t>EF_leach</t>
  </si>
  <si>
    <t>emission factor for leaching and runoff</t>
  </si>
  <si>
    <t>Calculated from 4.2.1.7 (2)</t>
  </si>
  <si>
    <t>Mass of nitrogen in inorganic fertiliser applied to production system</t>
  </si>
  <si>
    <t>VEERG 2026: 5.1.1.1, Equation (2)</t>
  </si>
  <si>
    <t>MN_jf</t>
  </si>
  <si>
    <t>TM_jf</t>
  </si>
  <si>
    <t>total mass of inorganic fertiliser type f applied to production system j</t>
  </si>
  <si>
    <t>FN_inorganicf</t>
  </si>
  <si>
    <t xml:space="preserve">fraction of nitrogen in inorganic fertiliser type f </t>
  </si>
  <si>
    <t>kg N/kg</t>
  </si>
  <si>
    <t>Emission factor for nitrous oxide for irrigated maize</t>
  </si>
  <si>
    <t>VEERG 2026: 5.1.1.2, Equation (1)</t>
  </si>
  <si>
    <t>Nitrous oxide emissions from the application of all inorganic fertiliser types f to all production systems j</t>
  </si>
  <si>
    <t>VEERG 2026: 5.1.1.1, Equation (1)</t>
  </si>
  <si>
    <t>EF_fjIrrigatedMaizeN2O</t>
  </si>
  <si>
    <t>kg N2O-N/kg N applied</t>
  </si>
  <si>
    <t>N_fjIrrigatedMaize</t>
  </si>
  <si>
    <t>application rate of inorganic fertiliser type f in the irrigated maize crop</t>
  </si>
  <si>
    <t>f</t>
  </si>
  <si>
    <t>Inorganic fertiliser type</t>
  </si>
  <si>
    <t>kg N/ha</t>
  </si>
  <si>
    <t>mass of nitrogen in inorganic fertiliser type f applied to production system j</t>
  </si>
  <si>
    <t>EF_jN2O</t>
  </si>
  <si>
    <t>emission factor for nitrous oxide for inorganic fertilisers</t>
  </si>
  <si>
    <t>factor to convert elemental mass of nitrous oxide to molecular mass</t>
  </si>
  <si>
    <t>Calculated from 5.1.1.1 (2)</t>
  </si>
  <si>
    <t>Emission factor for nitrous oxide for non-irrigated grains in high rainfall zone</t>
  </si>
  <si>
    <t>VEERG 2026: 5.1.1.2, Equation (2)</t>
  </si>
  <si>
    <t>EF_fjNonIrrigatedGrainsN2O</t>
  </si>
  <si>
    <t>N_fjNonIrrigatedGrains</t>
  </si>
  <si>
    <t>application rate of inorganic fertiliser type f in the grains crop</t>
  </si>
  <si>
    <t>Emission factor for nitrous oxide for cotton</t>
  </si>
  <si>
    <t>VEERG 2026: 5.1.1.2, Equation (3)</t>
  </si>
  <si>
    <t>EF_fjCottonN2O</t>
  </si>
  <si>
    <t>N_fjCotton</t>
  </si>
  <si>
    <t>application rate of inorganic fertiliser type f in the cotton crop</t>
  </si>
  <si>
    <t>c</t>
  </si>
  <si>
    <t>Calculated from 5.1.1.2 (1)(2)(3)</t>
  </si>
  <si>
    <t>Mass of urea applied to production system</t>
  </si>
  <si>
    <t>VEERG 2026: 5.1.1.3, Equation (2)</t>
  </si>
  <si>
    <t>MU_jf</t>
  </si>
  <si>
    <t>kg urea</t>
  </si>
  <si>
    <t>FU_f</t>
  </si>
  <si>
    <t>fraction of urea in fertiliser type f</t>
  </si>
  <si>
    <t>kg urea/kg</t>
  </si>
  <si>
    <t>Lookup</t>
  </si>
  <si>
    <t>Carbon dioxide emissions resulting from the use of all inorganic, urea-based fertilisers</t>
  </si>
  <si>
    <t>VEERG 2026: 5.1.1.3, Equation (1)</t>
  </si>
  <si>
    <t>E_CO2</t>
  </si>
  <si>
    <t>mass of urea of inorganic fertiliser type f applied to production system j</t>
  </si>
  <si>
    <t>EF_ureaCO2</t>
  </si>
  <si>
    <t>emission factor for carbon emissions from urea-based fertilisers</t>
  </si>
  <si>
    <t>C_CO2</t>
  </si>
  <si>
    <t>factor to convert elemental mass of carbon to molecular mass of carbon dioxide</t>
  </si>
  <si>
    <t>Calculated</t>
  </si>
  <si>
    <t>kg C/kg urea</t>
  </si>
  <si>
    <t>Mass of nitrogen in purchased organic fertilisers applied to production system</t>
  </si>
  <si>
    <t>VEERG 2026: 5.2.1.1, Equation (2)</t>
  </si>
  <si>
    <t>MNSoil_jf</t>
  </si>
  <si>
    <t>M_organicjf</t>
  </si>
  <si>
    <t>mass of organic fertiliser type f applied to production system j</t>
  </si>
  <si>
    <t>FN_organicf</t>
  </si>
  <si>
    <t>nitrogen fraction of organic fertiliser type f</t>
  </si>
  <si>
    <t>Nitrous oxide emissions from the application of all organic fertiliser types f to all production systems j</t>
  </si>
  <si>
    <t>VEERG 2026: 5.2.1.1, Equation (1)</t>
  </si>
  <si>
    <t>mass of nitrogen in organic fertiliser type f applied to production system j</t>
  </si>
  <si>
    <t>EF_N2Oi</t>
  </si>
  <si>
    <t>emission factor for direct nitrous oxide emissions from organic fertiliser applied to soils and aquatic systems in climate zone i</t>
  </si>
  <si>
    <t>Calculated from 5.2.1.1 (2)</t>
  </si>
  <si>
    <t>Emissions from the application of lime and dolomite to production systems</t>
  </si>
  <si>
    <t>VEERG 2026: 5.3.1.1, Equation (1)</t>
  </si>
  <si>
    <t>E_lime</t>
  </si>
  <si>
    <t>M_lime</t>
  </si>
  <si>
    <t>total mass of lime applied to production system</t>
  </si>
  <si>
    <t>fraction of lime as limestone (CaCO3)</t>
  </si>
  <si>
    <t>P_lime</t>
  </si>
  <si>
    <t>fractional purity of limestone</t>
  </si>
  <si>
    <t>EF_lime</t>
  </si>
  <si>
    <t>emission factor for limestone fraction of lime</t>
  </si>
  <si>
    <t>fraction of lime as dolomite</t>
  </si>
  <si>
    <t>P_dol</t>
  </si>
  <si>
    <t>fractional purity of dolomite</t>
  </si>
  <si>
    <t>EF_dol</t>
  </si>
  <si>
    <t>emission factor for dolomite fraction of lime</t>
  </si>
  <si>
    <t>factor to convert elemental mass of carbon dioxide to molecular mass</t>
  </si>
  <si>
    <t>kg C/kg</t>
  </si>
  <si>
    <t>Mass of nitrogen volatilised from inorganic fertiliser applied to production system</t>
  </si>
  <si>
    <t>VEERG 2026: 5.4.1.1, Equation (2)</t>
  </si>
  <si>
    <t>M_volinorganicjf</t>
  </si>
  <si>
    <t>mass of nitrogen in inorganic fertiliser applied</t>
  </si>
  <si>
    <t>FracGASF_f</t>
  </si>
  <si>
    <t>fraction of inorganic fertiliser that volatilises</t>
  </si>
  <si>
    <t>(kg NH3-N + NOx-N)/kg N</t>
  </si>
  <si>
    <t>Nitrous oxide emissions from atmospheric deposition from all inorganic fertiliser types f and all production systems j</t>
  </si>
  <si>
    <t>VEERG 2026: 5.4.1.1, Equation (1)</t>
  </si>
  <si>
    <t>E_adinorganic</t>
  </si>
  <si>
    <t>mass of nitrogen volatilised from inorganic fertiliser applied to production system</t>
  </si>
  <si>
    <t>EF_N2Oj</t>
  </si>
  <si>
    <t>emission factor for atmospheric deposition</t>
  </si>
  <si>
    <t>rainfall region</t>
  </si>
  <si>
    <t>Calculated from 5.4.1.1 (2)</t>
  </si>
  <si>
    <t>Mass of nitrogen volatilised from organic fertiliser applied to production system</t>
  </si>
  <si>
    <t>VEERG 2026: 5.4.1.3, Equation (2)</t>
  </si>
  <si>
    <t>M_volorganicjf</t>
  </si>
  <si>
    <t>FracGASM_soil</t>
  </si>
  <si>
    <t>fraction of organic fertiliser N that volatilises</t>
  </si>
  <si>
    <t>Nitrous oxide emissions from atmospheric deposition of all organic fertiliser types f and all production systems j</t>
  </si>
  <si>
    <t>VEERG 2026: 5.4.1.3, Equation (1)</t>
  </si>
  <si>
    <t>E_adorganic</t>
  </si>
  <si>
    <t>mass of nitrogen volatilised from organic fertiliser applied to production system</t>
  </si>
  <si>
    <t>emission factor for atmospheric deposition in production system j</t>
  </si>
  <si>
    <t>Calculated from 5.4.1.3 (2)</t>
  </si>
  <si>
    <t>Mass of nitrogen lost through leaching and runoff from inorganic fertiliser application in production system j</t>
  </si>
  <si>
    <t>VEERG 2026: 5.5, Equation (2)</t>
  </si>
  <si>
    <t>M_leachinorganicj</t>
  </si>
  <si>
    <t>mass of nitrogen in inorganic fertiliser</t>
  </si>
  <si>
    <t>FracWETj</t>
  </si>
  <si>
    <t>fraction of N that is lost through leaching and runoff</t>
  </si>
  <si>
    <t>Mass of nitrogen lost through leaching and runoff from organic fertiliser application in production system j</t>
  </si>
  <si>
    <t>VEERG 2026: 5.5, Equation (3)</t>
  </si>
  <si>
    <t>M_leachorganicj</t>
  </si>
  <si>
    <t>mass of nitrogen in organic fertiliser</t>
  </si>
  <si>
    <t>Nitrous oxide emissions from nitrogen leaching and runoff from the application of all fertilisers across all production systems j</t>
  </si>
  <si>
    <t>VEERG 2026: 5.5, Equation (1)</t>
  </si>
  <si>
    <t>E_fertleach</t>
  </si>
  <si>
    <t>mass of nitrogen lost through leaching and runoff from inorganic fertiliser application in production system j</t>
  </si>
  <si>
    <t>mass of nitrogen lost through leaching and runoff from organic fertiliser application</t>
  </si>
  <si>
    <t>emission factor for nitrogen leaching and runoff</t>
  </si>
  <si>
    <t>Calculated from 5.5.1.1 (2)</t>
  </si>
  <si>
    <t>Calculated from 5.5.1.1 (3)</t>
  </si>
  <si>
    <t>Mass of nitrogen in pasture residues returned to the soil</t>
  </si>
  <si>
    <t>VEERG 2026: 6.2.1.1, Equation (2)</t>
  </si>
  <si>
    <t>Mp</t>
  </si>
  <si>
    <t>A_p</t>
  </si>
  <si>
    <t>area of pasture renewed or removed</t>
  </si>
  <si>
    <t>Y_p</t>
  </si>
  <si>
    <t>average yield of pasture crop</t>
  </si>
  <si>
    <t>NC_AGp</t>
  </si>
  <si>
    <t>N content of above-ground pasture residue</t>
  </si>
  <si>
    <t>R_BGp</t>
  </si>
  <si>
    <t>below-ground residue to above-ground residue ratio for pasture crop</t>
  </si>
  <si>
    <t>NC_BGp</t>
  </si>
  <si>
    <t>N content of below-ground pasture crop residue</t>
  </si>
  <si>
    <t>FFOD_p</t>
  </si>
  <si>
    <t>fraction of pasture yield that is removed</t>
  </si>
  <si>
    <t>p</t>
  </si>
  <si>
    <t>ha</t>
  </si>
  <si>
    <t>t DM/ha</t>
  </si>
  <si>
    <t>kg N/kg DM</t>
  </si>
  <si>
    <t>Nitrous oxide emissions from the return of pasture residues from all pasture types to the soil</t>
  </si>
  <si>
    <t>VEERG 2026: 6.2.1.1, Equation (1)</t>
  </si>
  <si>
    <t>EN2O</t>
  </si>
  <si>
    <t>M_p</t>
  </si>
  <si>
    <t>mass of nitrogen in pasture p residues returned to the soil</t>
  </si>
  <si>
    <t>EF_Ni</t>
  </si>
  <si>
    <t>emission factor for crop residues returned to the soil in climate zone i</t>
  </si>
  <si>
    <t>Calculated from 6.2.1.1 (2)</t>
  </si>
  <si>
    <t>dimensionless</t>
  </si>
  <si>
    <t>Mass of nitrogen lost through leaching and runoff</t>
  </si>
  <si>
    <t>VEERG 2026: 6.3.1.1, Equation (2)</t>
  </si>
  <si>
    <t>mass of nitrogen in crop residues c or pasture residues p applied to soils</t>
  </si>
  <si>
    <t>fraction of N that is available for leaching and runoff from the leaching zone z and irrigation type ir</t>
  </si>
  <si>
    <t>Location in leaching zone</t>
  </si>
  <si>
    <t>Crop residue type</t>
  </si>
  <si>
    <t>Pasture residue type</t>
  </si>
  <si>
    <t>Irrigation type</t>
  </si>
  <si>
    <t>Calc from 6.1.1.1 (2) and 6.2.1.1 (2)</t>
  </si>
  <si>
    <t>Nitrous oxide leaching and runoff emissions from crop and pasture residues returned to the soil</t>
  </si>
  <si>
    <t>VEERG 2026: 6.3.1.1, Equation (1)</t>
  </si>
  <si>
    <t>mass of nitrogen lost through leaching and runoff from the crop residue c or pasture residue p</t>
  </si>
  <si>
    <t>Calculated from 6.3.1.1 (2)</t>
  </si>
  <si>
    <t>Emissions for each GHG from the combustion of fuels for transport energy purposes</t>
  </si>
  <si>
    <t>VEERG 2026: 8.1.1.1, Equation (1)</t>
  </si>
  <si>
    <t>Upstream emissions from scope 1 fuel use for transport purposes</t>
  </si>
  <si>
    <t>VEERG 2026: 15.11.1.1, Equation (2)</t>
  </si>
  <si>
    <t>E_g</t>
  </si>
  <si>
    <t>E_WTTtransq</t>
  </si>
  <si>
    <t>Q_Transtq</t>
  </si>
  <si>
    <t>Amount of fuel type q combusted for transport energy purposes</t>
  </si>
  <si>
    <t>EC_Transq</t>
  </si>
  <si>
    <t>Energy content factor for transport energy purposes</t>
  </si>
  <si>
    <t>EF_Trans1tqg</t>
  </si>
  <si>
    <t>Scope 1 emission factor for transport energy purposes for each greenhouse gas</t>
  </si>
  <si>
    <t>q</t>
  </si>
  <si>
    <t>Trans</t>
  </si>
  <si>
    <t>Transport combustion</t>
  </si>
  <si>
    <t>g</t>
  </si>
  <si>
    <t>Greenhouse gas</t>
  </si>
  <si>
    <t>Varies based on fuel type: kL, m3, GJ</t>
  </si>
  <si>
    <t>GJ / unit of fuel</t>
  </si>
  <si>
    <t>kg CO2e / GJ</t>
  </si>
  <si>
    <t>Q_Transq</t>
  </si>
  <si>
    <t>amount of fuel q combusted for transport energy purposes</t>
  </si>
  <si>
    <t>energy content factor for transport energy purposes</t>
  </si>
  <si>
    <t>EF_Trans3q</t>
  </si>
  <si>
    <t>scope 3 emission factor for transport energy purposes</t>
  </si>
  <si>
    <t>GJ/kL or GJ/m3</t>
  </si>
  <si>
    <t>kg CO2e/GJ</t>
  </si>
  <si>
    <t>Emissions for each GHG from the stationary combustion of fuels</t>
  </si>
  <si>
    <t>VEERG 2026: 8.2.1.1, Equation (1)</t>
  </si>
  <si>
    <t>Upstream emissions from scope 1 stationary combustion fuel use</t>
  </si>
  <si>
    <t>VEERG 2026: 15.11.1.1, Equation (3)</t>
  </si>
  <si>
    <t>VARIATION ON SOURCE: Added 'state' and 'metro/non-metro' arguments as gaseous scope 3 EFs are state and metro/non-metro location-based.</t>
  </si>
  <si>
    <t>E_WTTSCq</t>
  </si>
  <si>
    <t>Q_SCq</t>
  </si>
  <si>
    <t>Amount of fuel type q used for stationary combustion operations</t>
  </si>
  <si>
    <t>EC_SCq</t>
  </si>
  <si>
    <t>Energy content factor for stationary combustion operations</t>
  </si>
  <si>
    <t>EF_SC1qg</t>
  </si>
  <si>
    <t>Scope 1 emission factor for stationary combustion for each greenhouse gas</t>
  </si>
  <si>
    <t>SC</t>
  </si>
  <si>
    <t>Stationary combustion</t>
  </si>
  <si>
    <t>amount of fuel q used for stationary combustion operations</t>
  </si>
  <si>
    <t>energy content factor for stationary combustion operations</t>
  </si>
  <si>
    <t>EF_SC3q</t>
  </si>
  <si>
    <t>scope 3 emission factor for stationary combustion operations</t>
  </si>
  <si>
    <t>m</t>
  </si>
  <si>
    <t>metropolitan/non-metropolitan location</t>
  </si>
  <si>
    <t>GJ/kL</t>
  </si>
  <si>
    <t>Mass of waste from waste volume</t>
  </si>
  <si>
    <t>VEERG 2026: 10.1.1.1, Equation (2)</t>
  </si>
  <si>
    <t>Q_wt</t>
  </si>
  <si>
    <t>t</t>
  </si>
  <si>
    <t>V_wt</t>
  </si>
  <si>
    <t>volume of solid waste type w being sent to treatment facility t</t>
  </si>
  <si>
    <t>VTM_w</t>
  </si>
  <si>
    <t>conversion factor of volume to mass for waste type w</t>
  </si>
  <si>
    <t>w</t>
  </si>
  <si>
    <t>waste type</t>
  </si>
  <si>
    <t>treatment facility</t>
  </si>
  <si>
    <t>m3</t>
  </si>
  <si>
    <t>t/m3</t>
  </si>
  <si>
    <t>Emissions from waste management by greenhouse gas</t>
  </si>
  <si>
    <t>VEERG 2026: 10.1.1.1, Equation (1)</t>
  </si>
  <si>
    <t>VARIATION ON SOURCE: Added Q_volwt and Q_masswt variables to clearly track input or calculated Q values</t>
  </si>
  <si>
    <t>quantity of solid waste of type w being sent to treatment facility t, on a wet weight basis</t>
  </si>
  <si>
    <t>EF_wtg</t>
  </si>
  <si>
    <t>emission factor for greenhouse gas g for the management of waste at treatment facility t</t>
  </si>
  <si>
    <t>greenhouse gas</t>
  </si>
  <si>
    <t>Q_volwt</t>
  </si>
  <si>
    <t>quantity of sold waste input as volume and converted to tonnes</t>
  </si>
  <si>
    <t>Q_masswt</t>
  </si>
  <si>
    <t>quantity of solid waste input as mass</t>
  </si>
  <si>
    <t>Sum of Q_volwt and Q_masswt</t>
  </si>
  <si>
    <t>t CO2e/t</t>
  </si>
  <si>
    <t>Calculated from 10.1.1.1 (2)</t>
  </si>
  <si>
    <t>Location-based Scope 2 emissions from purchased electricity</t>
  </si>
  <si>
    <t>VEERG 2026: 14.1.1, Equation (1)</t>
  </si>
  <si>
    <t>Added g variable to capture which grid electricity was purchased from</t>
  </si>
  <si>
    <t>E_2elec</t>
  </si>
  <si>
    <t>Q_elec</t>
  </si>
  <si>
    <t>amount of electricity purchased from the grid</t>
  </si>
  <si>
    <t>EF_2elec</t>
  </si>
  <si>
    <t>location-based Scope 2 emission factor for electricity</t>
  </si>
  <si>
    <t>Grid electricity was purchased from</t>
  </si>
  <si>
    <t>kg CO2e/kWh</t>
  </si>
  <si>
    <t>Market-based Scope 2 emissions from purchased electricity</t>
  </si>
  <si>
    <t>VEERG 2026: 14.1.2, Equation (1)</t>
  </si>
  <si>
    <t>VARIATION ON SOURCE: In order to convert megawatt hours to kilowatt hours, the REC_surrendered and REC_onsite variables are multiplied by 10^3 instead of 10^-3.</t>
  </si>
  <si>
    <t>RPP</t>
  </si>
  <si>
    <t>Renewable Power Percentage under the Large-scale Renewable Energy Target (LRET)</t>
  </si>
  <si>
    <t>JRPP</t>
  </si>
  <si>
    <t>jurisdictional renewable power percentage for the applicable period (ACT only)</t>
  </si>
  <si>
    <t>REC_surrendered</t>
  </si>
  <si>
    <t>Renewable Energy Certificates voluntarily surrendered in the reporting year</t>
  </si>
  <si>
    <t>REC_onsite</t>
  </si>
  <si>
    <t>Renewable Energy Certificates issued for electricity produced on-site during the year and consumed by the entity</t>
  </si>
  <si>
    <t>EF_RMF2elec</t>
  </si>
  <si>
    <t>Scope 2 residual mix emission factor for electricity</t>
  </si>
  <si>
    <t>per cent</t>
  </si>
  <si>
    <t>Total emissions from purchased livestock</t>
  </si>
  <si>
    <t>VEERG 2026: 15.1.1.1, Equation (1)</t>
  </si>
  <si>
    <t>N_co</t>
  </si>
  <si>
    <t>number of animals purchased in livestock type c from origin o</t>
  </si>
  <si>
    <t>W_co</t>
  </si>
  <si>
    <t>average liveweight of purchased livestock at point of purchase</t>
  </si>
  <si>
    <t>EF_co</t>
  </si>
  <si>
    <t>emission factor per livestock type and origin</t>
  </si>
  <si>
    <t>livestock type</t>
  </si>
  <si>
    <t>o</t>
  </si>
  <si>
    <t>origin</t>
  </si>
  <si>
    <t>kg CO2e/kg</t>
  </si>
  <si>
    <t>Emissions from purchased feed</t>
  </si>
  <si>
    <t>VEERG 2026: 15.2.1.1, Equation (1)</t>
  </si>
  <si>
    <t>VARIATION ON SOURCE: Input Q_j in kg instead of t to match EF units. Multiply by 10^-3 to convert kg CO2e to t CO2e.</t>
  </si>
  <si>
    <t>Q_j</t>
  </si>
  <si>
    <t>quantity of feed type j purchased</t>
  </si>
  <si>
    <t>EF_j</t>
  </si>
  <si>
    <t>emission factor of purchased feed</t>
  </si>
  <si>
    <t>feed type</t>
  </si>
  <si>
    <t>Total emissions from purchased mineral supplements</t>
  </si>
  <si>
    <t>VEERG 2026: 15.3.1.1, Equation (1)</t>
  </si>
  <si>
    <t>Q_m</t>
  </si>
  <si>
    <t>total quantity of mineral supplement type m used</t>
  </si>
  <si>
    <t>EF_m</t>
  </si>
  <si>
    <t>emission factor of purchased mineral supplement</t>
  </si>
  <si>
    <t>mineral supplement type</t>
  </si>
  <si>
    <t>Emission factor for fertiliser product derived from components</t>
  </si>
  <si>
    <t>GAF</t>
  </si>
  <si>
    <t>VARIATION ON SOURCE: This equation is added to calculate an EF value from fertiliser components that can be used in 15.4.1.1 (1)</t>
  </si>
  <si>
    <t>EF_f</t>
  </si>
  <si>
    <t>kg CO2e/kg fertiliser</t>
  </si>
  <si>
    <t>F_cf</t>
  </si>
  <si>
    <t>fraction of component c contained within the inorganic fertiliser f</t>
  </si>
  <si>
    <t>EF_c</t>
  </si>
  <si>
    <t>emission factor for the production of component c</t>
  </si>
  <si>
    <t>fertiliser component</t>
  </si>
  <si>
    <t>inorganic fertiliser type</t>
  </si>
  <si>
    <t>wt%</t>
  </si>
  <si>
    <t>kg CO2e/kg component</t>
  </si>
  <si>
    <t>Emissions from purchased fertiliser</t>
  </si>
  <si>
    <t>VEERG 2026: 15.4.1.1, Equation (1)</t>
  </si>
  <si>
    <t>quantity of inorganic fertiliser type f purchased and applied to production system j</t>
  </si>
  <si>
    <t>emission factor of purchased inorganic fertiliser</t>
  </si>
  <si>
    <t>Emissions from purchased fertiliser components</t>
  </si>
  <si>
    <t>VEERG 2026: 15.4.1.1, Equation (2)</t>
  </si>
  <si>
    <t>VARIATION ON SOURCE: removes division by 100 for F_cf, treating F_cf as fraction instead of percent because it is a fraction in scope 1 equations. Convert kg to tonnes by mutiplying by 10^-3.</t>
  </si>
  <si>
    <t>Total emissions from purchased agrichemicals</t>
  </si>
  <si>
    <t>VEERG 2026: 15.5.1.1, Equation (1)</t>
  </si>
  <si>
    <t>Q_h</t>
  </si>
  <si>
    <t>quantity of active ingredients in agrichemical type h purchased and applied to soils</t>
  </si>
  <si>
    <t>EF_h</t>
  </si>
  <si>
    <t>emission factor for purchased agrichemical active ingredient</t>
  </si>
  <si>
    <t>h</t>
  </si>
  <si>
    <t>agrichemical type</t>
  </si>
  <si>
    <t>kg ai</t>
  </si>
  <si>
    <t>kg CO2e/kg ai</t>
  </si>
  <si>
    <t>Embedded emissions for purchased lime</t>
  </si>
  <si>
    <t>VEERG 2026: 15.6.1.1, Equation (1)</t>
  </si>
  <si>
    <t>total quantity of lime applied to soils</t>
  </si>
  <si>
    <t>EF_l</t>
  </si>
  <si>
    <t>emission factor for purchased lime</t>
  </si>
  <si>
    <t>Emissions of purchased services and contractor operations</t>
  </si>
  <si>
    <t>VEERG 2026: 15.7.1.1, Equation (1)</t>
  </si>
  <si>
    <t>activity data of the service that was purchased</t>
  </si>
  <si>
    <t>EF_p</t>
  </si>
  <si>
    <t>life cycle emission factor for the purchased service</t>
  </si>
  <si>
    <t>service type</t>
  </si>
  <si>
    <t>ha or h</t>
  </si>
  <si>
    <t>kg CO2e/ha or kg CO2e/h</t>
  </si>
  <si>
    <t>Embedded emissions from use of packaging materials</t>
  </si>
  <si>
    <t>VEERG 2026: 15.8.1.1, Equation (1)</t>
  </si>
  <si>
    <t>VARIATION ON SOURCE: Changed unit of Q from 'units' to 'kg' as EF data is in kg.</t>
  </si>
  <si>
    <t>Q_p</t>
  </si>
  <si>
    <t>units of packaging type p</t>
  </si>
  <si>
    <t>emission factor for packaging type p</t>
  </si>
  <si>
    <t>packaging type</t>
  </si>
  <si>
    <t>units</t>
  </si>
  <si>
    <t>kg CO2e/unit</t>
  </si>
  <si>
    <t>Embedded emissions from use of grow media products</t>
  </si>
  <si>
    <t>VEERG 2026: 15.9.1.1, Equation (1)</t>
  </si>
  <si>
    <t>Q_g</t>
  </si>
  <si>
    <t>total quantity of grow media type g</t>
  </si>
  <si>
    <t>EF_g</t>
  </si>
  <si>
    <t>emission factor for grow media type g</t>
  </si>
  <si>
    <t>grow media type</t>
  </si>
  <si>
    <t>kg or m3</t>
  </si>
  <si>
    <t>kg CO2e/kg or kg CO2e/m3</t>
  </si>
  <si>
    <t>Other purchased goods and services generic estimate</t>
  </si>
  <si>
    <t>VEERG 2026: 15.10, generic placeholder equation</t>
  </si>
  <si>
    <t>emissions</t>
  </si>
  <si>
    <t>activity_data</t>
  </si>
  <si>
    <t>measured activity for the purchased good or service</t>
  </si>
  <si>
    <t>emission_factor</t>
  </si>
  <si>
    <t>lifecycle emissions per unit of activity</t>
  </si>
  <si>
    <t>varies</t>
  </si>
  <si>
    <t>Total upstream emissions from scope 1 fuel consumption</t>
  </si>
  <si>
    <t>VEERG 2026: 15.11.1.1, Equation (1)</t>
  </si>
  <si>
    <t>upstream emissions from scope 1 transport fuel use</t>
  </si>
  <si>
    <t>upstream emissions from scope 1 stationary combustion fuel use</t>
  </si>
  <si>
    <t>Calculated by 15.11.1.1 (2)</t>
  </si>
  <si>
    <t>Calculated by 15.11.1.1 (3)</t>
  </si>
  <si>
    <t>Scope 3 emissions from purchased electricity location based</t>
  </si>
  <si>
    <t>VEERG 2026: 15.12.1.1, Equation (1)</t>
  </si>
  <si>
    <t>E_3elec</t>
  </si>
  <si>
    <t>EF_3elec</t>
  </si>
  <si>
    <t>scope 3 emission factor for purchased electricity</t>
  </si>
  <si>
    <t>grid electricity was purchased from</t>
  </si>
  <si>
    <t>Scope 3 emissions from purchased electricity market based</t>
  </si>
  <si>
    <t>VEERG 2026: 15.12.1.2, Equation (1)</t>
  </si>
  <si>
    <t>renewable power percentage under LRET for the applicable period</t>
  </si>
  <si>
    <t>jurisdictional renewable power percentage for the applicable period</t>
  </si>
  <si>
    <t>eligible renewable energy certificates voluntarily surrendered</t>
  </si>
  <si>
    <t>eligible renewable energy certificates issued for onsite generated electricity</t>
  </si>
  <si>
    <t>EF_RMF3elec</t>
  </si>
  <si>
    <t>scope 3 residual mix emission factor for electricity</t>
  </si>
  <si>
    <t>Emissions from manure sent off site applied to soils in another farming system or enterprise</t>
  </si>
  <si>
    <t>VEERG 2026: 15.13.1.1, Equation (1)</t>
  </si>
  <si>
    <t>direct nitrous oxide emissions from application of manure to soils outside of scope 1 boundary</t>
  </si>
  <si>
    <t>E_ad</t>
  </si>
  <si>
    <t>nitrous oxide emissions from atmospheric deposition of manure to soils</t>
  </si>
  <si>
    <t>E_leach</t>
  </si>
  <si>
    <t>nitrous oxide emissions from nitrogen leaching and runoff of manure to soils</t>
  </si>
  <si>
    <t>Emissions from solid waste sent to a treatment facility</t>
  </si>
  <si>
    <t>VEERG 2026: 15.13.1.3</t>
  </si>
  <si>
    <t>Embedded emissions from upstream freight</t>
  </si>
  <si>
    <t>VEERG 2026: 15.14.1.1, Equation (1)</t>
  </si>
  <si>
    <t>W_f</t>
  </si>
  <si>
    <t>total mass of goods transported per freight type f</t>
  </si>
  <si>
    <t>D_f</t>
  </si>
  <si>
    <t>total distance transported per freight type f</t>
  </si>
  <si>
    <t>emission factor for freight type f</t>
  </si>
  <si>
    <t>freight type</t>
  </si>
  <si>
    <t>km</t>
  </si>
  <si>
    <t>t CO2e/(t km)</t>
  </si>
  <si>
    <t>Beef pasture cattle - Liveweight (kg) (Wjkl)</t>
  </si>
  <si>
    <t>VEERG 2026: Table A.1.2.1</t>
  </si>
  <si>
    <t>Wjkl</t>
  </si>
  <si>
    <t>ACT/NSW</t>
  </si>
  <si>
    <t>South Australia</t>
  </si>
  <si>
    <t>Tasmania</t>
  </si>
  <si>
    <t>Victoria</t>
  </si>
  <si>
    <t>Beef pasture cattle - Liveweight (kg) (Wjkl) for NT and QLD</t>
  </si>
  <si>
    <t>VEERG 2026: Table A.1.2.2</t>
  </si>
  <si>
    <t>Northern Territory</t>
  </si>
  <si>
    <t>NO</t>
  </si>
  <si>
    <t>Queensland</t>
  </si>
  <si>
    <t>Beef pasture cattle - Liveweight gain (kg) (LWGjkl)</t>
  </si>
  <si>
    <t>VEERG 2026: Table A.1.2.3</t>
  </si>
  <si>
    <t>LWGjkl</t>
  </si>
  <si>
    <t>Beef pasture cattle - Liveweight gain (kg) (LWGjkl) for NT and QLD</t>
  </si>
  <si>
    <t>VEERG 2026: Table A.1.2.4</t>
  </si>
  <si>
    <t>Beef pasture cattle - Dry matter digestibility of feed intake (fraction) (DMDj)</t>
  </si>
  <si>
    <t>VEERG 2026: Table A.1.2.5</t>
  </si>
  <si>
    <t>DMDj</t>
  </si>
  <si>
    <t>VARIATION ON SOURCE: Split ACT and NSW into separate rows. Duplicated QLD and NT rows with regions from table A.1.2.2 to aid lookup</t>
  </si>
  <si>
    <t>Beef pasture cattle - Crude protein content of feed intake (fraction) (CPj)</t>
  </si>
  <si>
    <t>VEERG 2026: Table A.1.2.6</t>
  </si>
  <si>
    <t>CPj</t>
  </si>
  <si>
    <t>Beef pasture cattle - Feed intake adjustment and milk production (kg/head/day)</t>
  </si>
  <si>
    <t>VEERG 2026: Table A.1.2.7</t>
  </si>
  <si>
    <t>MCjk=1,3,6; DMPjk=5</t>
  </si>
  <si>
    <t>Northern Brahman cross breed</t>
  </si>
  <si>
    <t>Beef pasture cattle - Standard reference weights (kg) (SRWk)</t>
  </si>
  <si>
    <t>VEERG 2026: Table A.1.2.8</t>
  </si>
  <si>
    <t>SRWk</t>
  </si>
  <si>
    <t>VARIATION ON SOURCE: Split ACT and NSW into separate rows. Added 'State abbreviation' column to aid lookup.</t>
  </si>
  <si>
    <t>Beef pasture cattle - Fraction of manure to each manure management system (fraction) (MMSm)</t>
  </si>
  <si>
    <t>VEERG 2026: Table A.1.2.9</t>
  </si>
  <si>
    <t>VARIATION ON SOURCE: Removed comma from 'Pasture range and paddock' to aid lookup</t>
  </si>
  <si>
    <t>Beef pasture cattle - Methane conversion factor per region (fraction) (MCFim)</t>
  </si>
  <si>
    <t>VEERG 2026: Table A.1.2.10</t>
  </si>
  <si>
    <t>MCFim</t>
  </si>
  <si>
    <t>Ash content of feed intake</t>
  </si>
  <si>
    <t>VEERG 2026: 4.2.2.3 CONSTANTS</t>
  </si>
  <si>
    <t>Methane emissions potential</t>
  </si>
  <si>
    <t>B0</t>
  </si>
  <si>
    <t>m3 CH4 / kg VS</t>
  </si>
  <si>
    <t>Fraction of nitrogen volatilised from urine and faeces deposited on pasture</t>
  </si>
  <si>
    <t>FracGASMSoil</t>
  </si>
  <si>
    <t>Default fraction of N that is lost through leaching and runoff</t>
  </si>
  <si>
    <t>kg liveweight</t>
  </si>
  <si>
    <t>at market</t>
  </si>
  <si>
    <t>Cattle, weaners</t>
  </si>
  <si>
    <t>Chickens</t>
  </si>
  <si>
    <t>Dairy cows</t>
  </si>
  <si>
    <t>Sheep</t>
  </si>
  <si>
    <t>Sheep, for mutton</t>
  </si>
  <si>
    <t>Sheep, for prime lamb</t>
  </si>
  <si>
    <t>Crop purpose and yield</t>
  </si>
  <si>
    <t>Cash grain crop</t>
  </si>
  <si>
    <t>grain</t>
  </si>
  <si>
    <t>yield</t>
  </si>
  <si>
    <t>harvest</t>
  </si>
  <si>
    <t>Yield is the grain harvested from the plant</t>
  </si>
  <si>
    <t>Residue to crop ratio is provided from default values</t>
  </si>
  <si>
    <t>Total production is the total grain harvested</t>
  </si>
  <si>
    <t>Cash crop for hay/silage</t>
  </si>
  <si>
    <t>above ground biomass</t>
  </si>
  <si>
    <t>plant biomass</t>
  </si>
  <si>
    <t>Yield is the whole plant harvested for hay/silage</t>
  </si>
  <si>
    <t>Residue to crop ratio is 0 assuming the whole plant is harvested for hay/silage</t>
  </si>
  <si>
    <t>Total production is the total whole plant biomass harvested as hay/silage</t>
  </si>
  <si>
    <t>Cover crop</t>
  </si>
  <si>
    <t>mass</t>
  </si>
  <si>
    <t>end of crop cycle</t>
  </si>
  <si>
    <t>Yield is the whole plant kept as cover crop</t>
  </si>
  <si>
    <t>Residue to crop ratio is 1 assuming the whole plant is kept as cover crop</t>
  </si>
  <si>
    <t>Total production is the total whole plant biomass kept as cover crop</t>
  </si>
  <si>
    <t>Table A.2.1.1: Crop attributes</t>
  </si>
  <si>
    <t>VEERG 2026: Table A.2.1.1: Crop attributes</t>
  </si>
  <si>
    <t>Wheat</t>
  </si>
  <si>
    <t>Barley</t>
  </si>
  <si>
    <t>Oats</t>
  </si>
  <si>
    <t>Rice</t>
  </si>
  <si>
    <t>Sorghum</t>
  </si>
  <si>
    <t>Triticale</t>
  </si>
  <si>
    <t>Other cereals</t>
  </si>
  <si>
    <t>Pulses</t>
  </si>
  <si>
    <t>Tubers and roots</t>
  </si>
  <si>
    <t>Peanuts</t>
  </si>
  <si>
    <t>Sugar cane</t>
  </si>
  <si>
    <t>Hops</t>
  </si>
  <si>
    <t>Oilseeds</t>
  </si>
  <si>
    <t>Forage crops</t>
  </si>
  <si>
    <t>Other annual crops</t>
  </si>
  <si>
    <t>Other perennial crops</t>
  </si>
  <si>
    <t>Emission factor for organic fertiliser and crop residues returned to the soil</t>
  </si>
  <si>
    <t>VEERG 2026: Table A.2.1.4</t>
  </si>
  <si>
    <t>Wet climate zone</t>
  </si>
  <si>
    <t>Dry climate zone</t>
  </si>
  <si>
    <t>Table A.2.1.3 Pasture attributes</t>
  </si>
  <si>
    <t>VEERG 2026: Table A.2.1.3: Pasture attributes</t>
  </si>
  <si>
    <t>Annual grass</t>
  </si>
  <si>
    <t>Lucerne</t>
  </si>
  <si>
    <t>Other legume</t>
  </si>
  <si>
    <t>Perennial pasture</t>
  </si>
  <si>
    <t>Table 5.31 Burning of agricultural residues - EFs</t>
  </si>
  <si>
    <t>National Inventory Report 2023 volume 2: Table 5.31: Burning of agricultural residues - EFs</t>
  </si>
  <si>
    <t>16/12</t>
  </si>
  <si>
    <t>44/28</t>
  </si>
  <si>
    <t>NOx</t>
  </si>
  <si>
    <t>46/14</t>
  </si>
  <si>
    <t>CO</t>
  </si>
  <si>
    <t>28/12</t>
  </si>
  <si>
    <t>NMVOC</t>
  </si>
  <si>
    <t>14/12</t>
  </si>
  <si>
    <t>Table A.2.1.2: Crop attributes - Fraction removed (FFODc)</t>
  </si>
  <si>
    <t>VEERG 2026: Table A.2.1.2: Crop attributes - Fraction removed (FFODc)</t>
  </si>
  <si>
    <t>All states</t>
  </si>
  <si>
    <t>Sugar Cane</t>
  </si>
  <si>
    <t>All other crop types</t>
  </si>
  <si>
    <t>Table 5.12 Additional symbols used in algorithms for manure related emissions</t>
  </si>
  <si>
    <t>National Inventory Report 2023 Volume 1: Table 5.12</t>
  </si>
  <si>
    <t>Anaerobic lagoon (m=1)</t>
  </si>
  <si>
    <t>Liquid systems (m=2)</t>
  </si>
  <si>
    <t>Daily spread (m=3)</t>
  </si>
  <si>
    <t>3a</t>
  </si>
  <si>
    <t>Sump and dispersal system</t>
  </si>
  <si>
    <t>Sump and dispersal system (m=3a)</t>
  </si>
  <si>
    <t>3b</t>
  </si>
  <si>
    <t>Drains to paddock</t>
  </si>
  <si>
    <t>Drains to paddock (m=3b)</t>
  </si>
  <si>
    <t>Solid storage (m=4)</t>
  </si>
  <si>
    <t>Drylot (feed pad)</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</si>
  <si>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</si>
  <si>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</si>
  <si>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</si>
  <si>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</si>
  <si>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</si>
  <si>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</si>
  <si>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</si>
  <si>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</si>
  <si>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</si>
  <si>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</si>
  <si>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</si>
  <si>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</si>
  <si>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</si>
  <si>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</si>
  <si>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</si>
  <si>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</si>
  <si>
    <t>Beef cattle products for scope 3</t>
  </si>
  <si>
    <t>Lifecycles. (2026). Greenhouse Gas Emission Intensities for Material Inputs to Australian Agriculture, Fisheries and Forestry. Version 48. doi 10.5281/zenodo.19656580</t>
  </si>
  <si>
    <t>Sheep products for scope 3</t>
  </si>
  <si>
    <t>Chickens products for scope 3</t>
  </si>
  <si>
    <t>Dairy cattle products for scope 3</t>
  </si>
  <si>
    <t>Pigs products for scope 3</t>
  </si>
  <si>
    <t>Electricity scope 2 and scope 3 location-based emission factors</t>
  </si>
  <si>
    <t>Australian National Greenhouse Accounts Factors 2025 - Table 1</t>
  </si>
  <si>
    <t>New South Wales</t>
  </si>
  <si>
    <t>Western Australia - South West Interconnected System (SWIS)</t>
  </si>
  <si>
    <t>Northern Territory - Darwin Katherine Interconnected System (DKIS)</t>
  </si>
  <si>
    <t>National</t>
  </si>
  <si>
    <t>Electricity scope 2 and scope 3 market-based emission factors</t>
  </si>
  <si>
    <t>Australian National Greenhouse Accounts Factors 2025 - Table 2a</t>
  </si>
  <si>
    <t>Common inorganic fertilisers</t>
  </si>
  <si>
    <t>Table A.2.2.3: Fraction of nitrogen in common inorganic fertilisers (kgN/kg) (FNorganic,f) AND Table A.2.2.4: Fraction of urea in common inorganic fertilisers (kg urea/kg) (FUf)</t>
  </si>
  <si>
    <t>VARIATION ON SOURCE</t>
  </si>
  <si>
    <t>Added 'Basis' column to allow cross-referencing with table Table A.2.2.6: Fraction of inorganic fertiliser f that volatilises as NH3 and NOx ((kg NH3-N + NOx-N)/kg N) (FracGASFf)</t>
  </si>
  <si>
    <t>Added extra fertiliser types and generic chemical compounds to allow for custom NPKS blends</t>
  </si>
  <si>
    <t>Added extra 'Scope 3 definition' column to allow mapping with scope 3 data</t>
  </si>
  <si>
    <t>Added 'Source' column</t>
  </si>
  <si>
    <t>Combined data from Table A.2.2.3 and Table A.2.2.4 into one table to aid lookup.</t>
  </si>
  <si>
    <t>Excluded 'References' column</t>
  </si>
  <si>
    <t>Excluded 'Ammonium sulfate' as it is a duplicate of 'Sulphate of ammonia (SOA)'</t>
  </si>
  <si>
    <t>Excluded 'Calcium nitrate' as no scope 3 value available.</t>
  </si>
  <si>
    <t>Set 'Nitrogen - Generic' basis as 'Urea-based fertilisers, as urea is the most commonly used form of nitrogen in Australian fertilisers</t>
  </si>
  <si>
    <t>Set 'Urea-ammonium nitrate' basis as 'Urea-based fertiliser'</t>
  </si>
  <si>
    <t>Ammonia has an FN value of 0.8235 based on (14/17)x100, where 14 is the mass of nitrogen in ammonia and 17 is the molar mass of ammonia.</t>
  </si>
  <si>
    <t>Fraction of nitrogen in common inorganic fertilisers (kgN/kg) (FNorganic,f)</t>
  </si>
  <si>
    <t>VEERG 2026: Table A.2.2.3</t>
  </si>
  <si>
    <t>Fraction of urea in common inorganic fertilisers (kg urea/kg) (FUf)</t>
  </si>
  <si>
    <t>VEERG 2026: Table A.2.2.4</t>
  </si>
  <si>
    <t>Source regions for urea and ammonia</t>
  </si>
  <si>
    <t>Monoammonium phosphate (MAP)</t>
  </si>
  <si>
    <t>Ammonium-based fertilisers</t>
  </si>
  <si>
    <t>Diammonium phosphate (DAP)</t>
  </si>
  <si>
    <t>Urea-based fertilisers</t>
  </si>
  <si>
    <t>Sulphate of ammonia (SOA)</t>
  </si>
  <si>
    <t>Urea-ammonium nitrate (UAN)</t>
  </si>
  <si>
    <t>Ammonium nitrate (AN)</t>
  </si>
  <si>
    <t>Ammonium-nitrate based fertilisers</t>
  </si>
  <si>
    <t>Calcium ammonium nitrate (CAN)</t>
  </si>
  <si>
    <t>Nitrogen - Ammoniacal</t>
  </si>
  <si>
    <t>LifeCycles</t>
  </si>
  <si>
    <t>Nitrogen - Nitrate</t>
  </si>
  <si>
    <t>Nitrate-based fertilisers</t>
  </si>
  <si>
    <t>Nitrogen from Nitrate</t>
  </si>
  <si>
    <t>Nitrogen - Generic</t>
  </si>
  <si>
    <t>Nitrogen from fertiliser</t>
  </si>
  <si>
    <t>Phosphorus - Generic</t>
  </si>
  <si>
    <t>Other fertilisers</t>
  </si>
  <si>
    <t>Phosphorus from fertiliser</t>
  </si>
  <si>
    <t>Potassium from fertiliser</t>
  </si>
  <si>
    <t>Sulfur from fertiliser</t>
  </si>
  <si>
    <t>Zinc from fertiliser</t>
  </si>
  <si>
    <t>Muriate of potash (MOP)</t>
  </si>
  <si>
    <t>Double superphosphate</t>
  </si>
  <si>
    <t>Single superphosphate (SSP)</t>
  </si>
  <si>
    <t>Ammonium Sulfate</t>
  </si>
  <si>
    <t>Calcium Nitrate</t>
  </si>
  <si>
    <t>Global</t>
  </si>
  <si>
    <t>Canada</t>
  </si>
  <si>
    <t>China</t>
  </si>
  <si>
    <t>Yemen</t>
  </si>
  <si>
    <t>Fraction of inorganic fertiliser that volatilises as NH3 and NOx</t>
  </si>
  <si>
    <t>Table A.2.2.6: Fraction of inorganic fertiliser f that volatilises as NH3 and NOx ((kg NH3-N + NOx-N)/kg N) (FracGASFf)</t>
  </si>
  <si>
    <t>Emission factor for carbon emissions from urea application</t>
  </si>
  <si>
    <t>VEERG 2026: 5.1.2.2 Constant Parameters</t>
  </si>
  <si>
    <t>EFureaCO2</t>
  </si>
  <si>
    <t>Constants for lime, dolomite and gypsum</t>
  </si>
  <si>
    <t>VEERG 2026: 5.3.2.3 Constant Parameters</t>
  </si>
  <si>
    <t>Lime (Calcium carbonate)</t>
  </si>
  <si>
    <t>Dolomite (Magnesium carbonate)</t>
  </si>
  <si>
    <t>Gypsum</t>
  </si>
  <si>
    <t>Fraction of organic fertiliser that volatilises as NH3 and NOx</t>
  </si>
  <si>
    <t>VEERG 2026: 5.4.2.3 Constant Parameters</t>
  </si>
  <si>
    <t>Fraction of nitrogen that is lost through leaching and runoff</t>
  </si>
  <si>
    <t>VEERG 2026: 5.5.2.3 Constant Parameters</t>
  </si>
  <si>
    <t>Emission factor for nitrogen leaching and runoff</t>
  </si>
  <si>
    <t>EFLeach</t>
  </si>
  <si>
    <t>kg N2O-N / kg N</t>
  </si>
  <si>
    <t>Campbells fertilisers Australia</t>
  </si>
  <si>
    <t>Aqua Finish</t>
  </si>
  <si>
    <t>Aqua Grow</t>
  </si>
  <si>
    <t>Aqua Nitro AN</t>
  </si>
  <si>
    <t>Aqua NitroCal</t>
  </si>
  <si>
    <t>Calcium</t>
  </si>
  <si>
    <t>Aqua NitroCal (VI)</t>
  </si>
  <si>
    <t>Aqua NitroCal Ultimate</t>
  </si>
  <si>
    <t>Aqua Start</t>
  </si>
  <si>
    <t>Aqua Thio-Complete</t>
  </si>
  <si>
    <t>Aqua Thio-Emerge</t>
  </si>
  <si>
    <t>Aqua Thio-Flourish</t>
  </si>
  <si>
    <t>Magnesium</t>
  </si>
  <si>
    <t>Zinc</t>
  </si>
  <si>
    <t>Manganese</t>
  </si>
  <si>
    <t>Iron</t>
  </si>
  <si>
    <t>Copper</t>
  </si>
  <si>
    <t>Boron</t>
  </si>
  <si>
    <t>Bronze</t>
  </si>
  <si>
    <t>Calbit C</t>
  </si>
  <si>
    <t>Compass</t>
  </si>
  <si>
    <t>CoRoN 12-0-10</t>
  </si>
  <si>
    <t>Maximum Quick-N</t>
  </si>
  <si>
    <t>SL Tec</t>
  </si>
  <si>
    <t>Crop Booster PLUS</t>
  </si>
  <si>
    <t>Risso-Chemical</t>
  </si>
  <si>
    <t>Ammonium Bicarbonate</t>
  </si>
  <si>
    <t>Ravensdown</t>
  </si>
  <si>
    <t>Ammonium Sulphate - Granular</t>
  </si>
  <si>
    <t>Impact Fertilisers</t>
  </si>
  <si>
    <t>Di-Ammonium Phosphate (DAP)</t>
  </si>
  <si>
    <t>Incitec Pivot Fertilisers</t>
  </si>
  <si>
    <t>Basalt BooSSta</t>
  </si>
  <si>
    <t>Fluoride</t>
  </si>
  <si>
    <t>Summit Fertilizers</t>
  </si>
  <si>
    <t>DAPSZC</t>
  </si>
  <si>
    <t>Easy N</t>
  </si>
  <si>
    <t>Biuret</t>
  </si>
  <si>
    <t>Calcium Ammonium nitrate</t>
  </si>
  <si>
    <t>CellCAL Plus</t>
  </si>
  <si>
    <t>CK55</t>
  </si>
  <si>
    <t>Switch Ag</t>
  </si>
  <si>
    <t>Crop K</t>
  </si>
  <si>
    <t>Crop Starter</t>
  </si>
  <si>
    <t>Gran-Am</t>
  </si>
  <si>
    <t>Encal</t>
  </si>
  <si>
    <t>Granulock SS</t>
  </si>
  <si>
    <t>Granulock Z</t>
  </si>
  <si>
    <t>Farm Ag Leichhardt</t>
  </si>
  <si>
    <t>Flexi-N NBPT</t>
  </si>
  <si>
    <t>Gold Premium</t>
  </si>
  <si>
    <t>High NS</t>
  </si>
  <si>
    <t>Impact SSP</t>
  </si>
  <si>
    <t>In Crop</t>
  </si>
  <si>
    <t>K20</t>
  </si>
  <si>
    <t>Loveland Agriproducts</t>
  </si>
  <si>
    <t>Maximum N-Pact</t>
  </si>
  <si>
    <t>Nitro Combi TE</t>
  </si>
  <si>
    <t>Fulvic acid (organic)</t>
  </si>
  <si>
    <t>Molybdenum</t>
  </si>
  <si>
    <t>PastureMAXX</t>
  </si>
  <si>
    <t>Platinum Nergetic</t>
  </si>
  <si>
    <t>Potassium sulphate</t>
  </si>
  <si>
    <t>Glaze Extend G3 Flexi</t>
  </si>
  <si>
    <t>Mono-Ammonium Phosphate (MAP)</t>
  </si>
  <si>
    <t>Koch Fertiliser Australia</t>
  </si>
  <si>
    <t>Urea Ammonium nitrate (UAN 32-0-0)</t>
  </si>
  <si>
    <t>Polypeptide Urea</t>
  </si>
  <si>
    <t>Polypeptide (amino acids)</t>
  </si>
  <si>
    <t>Yara Australia</t>
  </si>
  <si>
    <t>YaraTera CALCINIT</t>
  </si>
  <si>
    <t>YaraLiva NITRABOR</t>
  </si>
  <si>
    <t>YaraMila COMPLEX</t>
  </si>
  <si>
    <t>YaraRega 9-0-30 (14)</t>
  </si>
  <si>
    <t>YaraRega 13-2-21</t>
  </si>
  <si>
    <t>YaraRega 15-7-13 (7S)</t>
  </si>
  <si>
    <t>YaraTera CALCINIT B</t>
  </si>
  <si>
    <t>YaraTera KRISTA MAP</t>
  </si>
  <si>
    <t>YaraTera KRISTALON RED</t>
  </si>
  <si>
    <t>YaraTera KRISTALON SPECIAL</t>
  </si>
  <si>
    <t>YaraMila 21-7-3(4)</t>
  </si>
  <si>
    <t>YaraTera KRISTALON SCARLET</t>
  </si>
  <si>
    <t>Solu-MAP</t>
  </si>
  <si>
    <t>Solu-Sam</t>
  </si>
  <si>
    <t>Rustica Plus</t>
  </si>
  <si>
    <t>Platinum Plus</t>
  </si>
  <si>
    <t>Tropika</t>
  </si>
  <si>
    <t>Rustica Nergetic</t>
  </si>
  <si>
    <t>Quick-N Nergetic</t>
  </si>
  <si>
    <t>FertPro Manufacturing Pty. Ltd.</t>
  </si>
  <si>
    <t>(SSP) Single Super Fertiliser</t>
  </si>
  <si>
    <t>ZincStar</t>
  </si>
  <si>
    <t>Baileys (Simplot) [listed as Impact]</t>
  </si>
  <si>
    <t>Apex GaIXe Low P 21-1-6</t>
  </si>
  <si>
    <t>SuPerfect</t>
  </si>
  <si>
    <t>Incitec Pivot Fertilisers [listed as Summit]</t>
  </si>
  <si>
    <t>Big N</t>
  </si>
  <si>
    <t>Entec Urea</t>
  </si>
  <si>
    <t>Incitec Pivot Fertilisers (or Ravensdown - see note)</t>
  </si>
  <si>
    <t>Flexi-N NI only</t>
  </si>
  <si>
    <t>Urease/nitrification inhibitor</t>
  </si>
  <si>
    <t>Nutri-Tech Solutions (NTS)</t>
  </si>
  <si>
    <t>Muriate Of Potash MOP</t>
  </si>
  <si>
    <t>Nuturf</t>
  </si>
  <si>
    <t>MAP NUTURF</t>
  </si>
  <si>
    <t>Quick-N</t>
  </si>
  <si>
    <t>SLTEC Fertilizers</t>
  </si>
  <si>
    <t>UAS</t>
  </si>
  <si>
    <t>Triazone Urea</t>
  </si>
  <si>
    <t>Marnco [listed as SLTEC]</t>
  </si>
  <si>
    <t>Ammo 36N</t>
  </si>
  <si>
    <t>Risso Liquid NPK (200-200-200)</t>
  </si>
  <si>
    <t>Turf Group Australia (Simplot)</t>
  </si>
  <si>
    <t>Super Cal 15-0-12</t>
  </si>
  <si>
    <t>CK 88</t>
  </si>
  <si>
    <t>CropLift 15</t>
  </si>
  <si>
    <t>NPKS 19-13-0-9</t>
  </si>
  <si>
    <t>PastureBoosta</t>
  </si>
  <si>
    <t>Greentop K</t>
  </si>
  <si>
    <t>HayBoosta</t>
  </si>
  <si>
    <t>Impact Super Potash 1&amp;1</t>
  </si>
  <si>
    <t>Impact Super Potash 2&amp;1</t>
  </si>
  <si>
    <t>Impact Super Potash 3&amp;1</t>
  </si>
  <si>
    <t>Impact Super Potash 4&amp;1</t>
  </si>
  <si>
    <t>Impact Super Potash 5&amp;1</t>
  </si>
  <si>
    <t>Pacific Fertiliser / Incitec Pivot Fertilisers</t>
  </si>
  <si>
    <t>Cal-Gran</t>
  </si>
  <si>
    <t>Cal-Gran 50/50 (S)</t>
  </si>
  <si>
    <t>Cal-Gran 130</t>
  </si>
  <si>
    <t>Cal-Gran 150</t>
  </si>
  <si>
    <t>Cal-Gran Extra K</t>
  </si>
  <si>
    <t>Dairy Pro</t>
  </si>
  <si>
    <t>YaraMila ACTYVA S</t>
  </si>
  <si>
    <t>CSBP</t>
  </si>
  <si>
    <t>Agflow Extra</t>
  </si>
  <si>
    <t>Super &amp; Potash 3:1</t>
  </si>
  <si>
    <t>Yara</t>
  </si>
  <si>
    <t>YaraBela CAN-27</t>
  </si>
  <si>
    <t>Cal-Gran Aftergraze</t>
  </si>
  <si>
    <t>Cal-Gran Prodress</t>
  </si>
  <si>
    <t>Wengfu Australia</t>
  </si>
  <si>
    <t>Wengfu PrimeZinc 10</t>
  </si>
  <si>
    <t>Wengfu Pasture King</t>
  </si>
  <si>
    <t>Wengfu SuStain</t>
  </si>
  <si>
    <t>Wengfu Slam</t>
  </si>
  <si>
    <t>Wengfu Prime MSZ</t>
  </si>
  <si>
    <t>Wengfu 9-20-0-10 MAP SuStain</t>
  </si>
  <si>
    <t>Wengfu 15-17-0-15 DAP SuStain</t>
  </si>
  <si>
    <t>Wengfu 16-18-0-10 DAP SuStain</t>
  </si>
  <si>
    <t>Wengfu 5-15-0-6 Fast Start Legume</t>
  </si>
  <si>
    <t>Wengfu 9-20-0-10 PrimeZinc</t>
  </si>
  <si>
    <t>Wengfu 12-18-0-6 PrimeZinc</t>
  </si>
  <si>
    <t>Wengfu 14-13-0-11 PrimeZinc</t>
  </si>
  <si>
    <t>Wengfu 19-13-0-7 PrimeZinc</t>
  </si>
  <si>
    <t>Wengfu Booster K</t>
  </si>
  <si>
    <t>Wengfu Booster Rich 1</t>
  </si>
  <si>
    <t>Wengfu Booster Grass DAP</t>
  </si>
  <si>
    <t>Wengfu Aftergraze</t>
  </si>
  <si>
    <t>Wengfu Sidedress</t>
  </si>
  <si>
    <t>Wengfu Pasture Booster</t>
  </si>
  <si>
    <t>Wengfu DAP Hay Booster</t>
  </si>
  <si>
    <t>Wengfu MAP Hay Booster</t>
  </si>
  <si>
    <t>Wengfu Fodder Booster</t>
  </si>
  <si>
    <t>K-Till Extra</t>
  </si>
  <si>
    <t>Agras Extra</t>
  </si>
  <si>
    <t>Cobalt</t>
  </si>
  <si>
    <t>Super Copper Zinc Moly</t>
  </si>
  <si>
    <t>Flexi-N</t>
  </si>
  <si>
    <t>Fuel scope 1 and 3 emission factors - Transport</t>
  </si>
  <si>
    <t>Direct (scope 1) and indirect (scope 3) emission factors for the consumption of transport fuels in different transport equipment</t>
  </si>
  <si>
    <t>Australian National Greenhouse Accounts Factors 2025 - Table 9</t>
  </si>
  <si>
    <t>Gasoline</t>
  </si>
  <si>
    <t>kl</t>
  </si>
  <si>
    <t>Diesel oil</t>
  </si>
  <si>
    <t>NE</t>
  </si>
  <si>
    <t>Light duty vehicles</t>
  </si>
  <si>
    <t>Compressed natural gas</t>
  </si>
  <si>
    <t>Liquefied natural gas</t>
  </si>
  <si>
    <t>Heavy duty vehicles</t>
  </si>
  <si>
    <t>Diesel oil - Euro iv or higher</t>
  </si>
  <si>
    <t>Diesel oil - Euro iii</t>
  </si>
  <si>
    <t>Diesel oil - Euro i</t>
  </si>
  <si>
    <t>Gasoline for use as fuel in an aircraft</t>
  </si>
  <si>
    <t>Kerosene for use as fuel in an aircraft</t>
  </si>
  <si>
    <t>Fuel Oil</t>
  </si>
  <si>
    <t>Fuel scope 1 and 3 emission factors - Off-road equipment and vessels</t>
  </si>
  <si>
    <t>VEERG 2026: Table A.4.2.1</t>
  </si>
  <si>
    <t>Vessel</t>
  </si>
  <si>
    <t>Fuel scope 1 and 3 emission factors - Stationary liquid fuels</t>
  </si>
  <si>
    <t>Direct (Scope 1) and indirect (scope 3) emission factors for the consumption of liquid fuels, including certain petroleum based products for stationary energy purposes.</t>
  </si>
  <si>
    <t>Australian National Greenhouse Accounts Factors 2025 - Table 8</t>
  </si>
  <si>
    <t>Petroleum based oils (other than petroleum based oil used as fuel), e.g. lubricants</t>
  </si>
  <si>
    <t>Petroleum based greases</t>
  </si>
  <si>
    <t>Crude oil including crude oil condensates</t>
  </si>
  <si>
    <t>Other natural gas liquids</t>
  </si>
  <si>
    <t>Automotive gasoline / petrol (other than for use as fuel in an aircraft)</t>
  </si>
  <si>
    <t>Aviation gasoline</t>
  </si>
  <si>
    <t>Kerosene (other than for use as fuel in an aircraft)</t>
  </si>
  <si>
    <t>Aviation turbine fuel / kerosene</t>
  </si>
  <si>
    <t>Heating oil</t>
  </si>
  <si>
    <t>Liquefied aromatic hydrocarbons</t>
  </si>
  <si>
    <t>Solvents: mineral turpentine or white spirits</t>
  </si>
  <si>
    <t>Naphtha</t>
  </si>
  <si>
    <t>Petroleum coke</t>
  </si>
  <si>
    <t>Refinery gas and liquids</t>
  </si>
  <si>
    <t>Refinery coke</t>
  </si>
  <si>
    <t>Petroleum based products other than mentioned in the items above</t>
  </si>
  <si>
    <t>Ethanol for use as a fuel in an internal combustion engine</t>
  </si>
  <si>
    <t>Biofuels other than those mentioned in the items above and below</t>
  </si>
  <si>
    <t>Fuel scope 1 emission factors - Stationary gaseous fuels</t>
  </si>
  <si>
    <t xml:space="preserve">Direct (Scope 1) emission factors for the consumption of gaseous fuels including liquefied natural gas  </t>
  </si>
  <si>
    <t>Australian National Greenhouse Accounts Factors 2025 - Table 5</t>
  </si>
  <si>
    <t>Natural gas distributed in a pipeline</t>
  </si>
  <si>
    <t>Coal seam methane that is captured for combustion</t>
  </si>
  <si>
    <t>Coal mine waste gas that is captured for combustion</t>
  </si>
  <si>
    <t>Compressed natural gas(reverting to standard conditions)</t>
  </si>
  <si>
    <t>Unprocessed natural gas</t>
  </si>
  <si>
    <t>Ethane</t>
  </si>
  <si>
    <t>Coke oven gas</t>
  </si>
  <si>
    <t>Blast furnace gas</t>
  </si>
  <si>
    <t>Town gas</t>
  </si>
  <si>
    <t>Gaseous fossil fuels other than those mentioned in the items above</t>
  </si>
  <si>
    <t>Landfill biogas that is captured for combustion (methane only)</t>
  </si>
  <si>
    <t>Sludge biogas that is captured for combustion (methane only)</t>
  </si>
  <si>
    <t>A biogas that is captured for combustion, other than those mentioned in the items above</t>
  </si>
  <si>
    <t>Biomethane</t>
  </si>
  <si>
    <t>Hydrogen</t>
  </si>
  <si>
    <t>Natural gas distributed in a pipeline - Gigajoules</t>
  </si>
  <si>
    <t>Town gas - Gigajoules</t>
  </si>
  <si>
    <t>Fuel scope 3 emission factors - Stationary gaseous fuels</t>
  </si>
  <si>
    <t>Indirect (Scope 3) emission factors for the consumption of natural gas.</t>
  </si>
  <si>
    <t>Australian National Greenhouse Accounts Factors 2025 - Table 6</t>
  </si>
  <si>
    <t>-</t>
  </si>
  <si>
    <t>Column1</t>
  </si>
  <si>
    <t>As Scope 3 factors are calculated at the point where natural gas is delivered to end users, it is necessary to calculate consumption at each of the load centres.</t>
  </si>
  <si>
    <t>Gas reaches end users either from the metro distribution networks or direct from the high - pressure distribution pipelines.</t>
  </si>
  <si>
    <t>Households and commercial users tend to be served by the former, and electricity generators and large industrial plants from the latter.</t>
  </si>
  <si>
    <t>Metro is defined as located on or east of the dividing range in NSW, including Canberra and Queanbeyan, Melbourne, Brisbane, Adelaide or Perth.</t>
  </si>
  <si>
    <t>Otherwise, the non - metro factor should be used.</t>
  </si>
  <si>
    <t>Factors are calculated for all natural gas distributed in a pipeline which may include coal seam methane.</t>
  </si>
  <si>
    <t>Table 6 is not applicable to ethane. See Table 7 Indirect (Scope 3) emissions from the consumption of ethane.</t>
  </si>
  <si>
    <t>C = Confidential. Scope 3 emission factors for Tasmania and the Northern Territory are not available due to confidentiality constraints that arise</t>
  </si>
  <si>
    <t>from the use of a limited number of NGER data inputs. It is suggested that for Tasmania the use of the Victorian emission factors is appropriate,</t>
  </si>
  <si>
    <t>while for Northern Territory the use of the Western Australian emission factors is appropriate.</t>
  </si>
  <si>
    <t>Scope 3 emission factors do not include fugitive emission leakage from low pressure natural gas distribution pipeline networks while those from high pressure</t>
  </si>
  <si>
    <t>gas networks are considered negligible.</t>
  </si>
  <si>
    <t>at manufacturer</t>
  </si>
  <si>
    <t>Pharmacy chemicals</t>
  </si>
  <si>
    <t>p (head)</t>
  </si>
  <si>
    <t>Grain</t>
  </si>
  <si>
    <t>Barley grain</t>
  </si>
  <si>
    <t>Maize grain</t>
  </si>
  <si>
    <t>Sorghum grain</t>
  </si>
  <si>
    <t>Hay</t>
  </si>
  <si>
    <t>Maize silage</t>
  </si>
  <si>
    <t>Oaten hay</t>
  </si>
  <si>
    <t>Meal</t>
  </si>
  <si>
    <t>Canola meal</t>
  </si>
  <si>
    <t>Meat meal</t>
  </si>
  <si>
    <t>Wheat bran</t>
  </si>
  <si>
    <t>Other</t>
  </si>
  <si>
    <t>Bentonite</t>
  </si>
  <si>
    <t>Cotton seed</t>
  </si>
  <si>
    <t>Mixed rations</t>
  </si>
  <si>
    <t>Feed for chickens</t>
  </si>
  <si>
    <t>Feed for dairy calves</t>
  </si>
  <si>
    <t>Feed for dairy cows</t>
  </si>
  <si>
    <t>Feed for pigs</t>
  </si>
  <si>
    <t>Lick block, dry season mix</t>
  </si>
  <si>
    <t>Lick block, mineral</t>
  </si>
  <si>
    <t>Lick block, weaner</t>
  </si>
  <si>
    <t>Ammonia, AU market mix</t>
  </si>
  <si>
    <t>Ammonia, Canada</t>
  </si>
  <si>
    <t>Ammonia, China</t>
  </si>
  <si>
    <t>Ammonia, Yemen</t>
  </si>
  <si>
    <t>Ammonium nitrate, AU market mix</t>
  </si>
  <si>
    <t>Calcium ammonium nitrate, AU market mix</t>
  </si>
  <si>
    <t>Diammonium phosphate, AU market mix</t>
  </si>
  <si>
    <t>Double superphosphate, AU market mix</t>
  </si>
  <si>
    <t>Monoammonium phosphate, AU market mix</t>
  </si>
  <si>
    <t>Muriate of potash, AU market mix</t>
  </si>
  <si>
    <t>Nitrogen from ammonia, AU market mix</t>
  </si>
  <si>
    <t>Nitrogen from fertilizer, AU market mix</t>
  </si>
  <si>
    <t>Nitrogen from nitrate fertilizer, AU market mix</t>
  </si>
  <si>
    <t>Phosphorus from fertilizer, AU market mix</t>
  </si>
  <si>
    <t>Potassium from fertilizer, AU market mix</t>
  </si>
  <si>
    <t>Single superphosphate, AU market mix</t>
  </si>
  <si>
    <t>Sulfur from fertilizer, AU market mix</t>
  </si>
  <si>
    <t>Ammonium sulphate, AU market mix</t>
  </si>
  <si>
    <t>Urea ammonium nitrate, AU market mix</t>
  </si>
  <si>
    <t>kg P</t>
  </si>
  <si>
    <t>kg K</t>
  </si>
  <si>
    <t>kg S</t>
  </si>
  <si>
    <t>kg Zn</t>
  </si>
  <si>
    <t>Urea, AU market mix</t>
  </si>
  <si>
    <t>Urea, Canada</t>
  </si>
  <si>
    <t>Urea, China</t>
  </si>
  <si>
    <t>Urea, Yemen</t>
  </si>
  <si>
    <t>Zinc from fertilizer</t>
  </si>
  <si>
    <t>Animal ear tags (large)</t>
  </si>
  <si>
    <t>Animal ear tags (small)</t>
  </si>
  <si>
    <t>Barley grain (for seed)</t>
  </si>
  <si>
    <t>Maize grain (for seed)</t>
  </si>
  <si>
    <t>Nylon netting</t>
  </si>
  <si>
    <t>Oat grain (for seed)</t>
  </si>
  <si>
    <t>Sorghum grain (for seed)</t>
  </si>
  <si>
    <t>Wheat grain (for seed)</t>
  </si>
  <si>
    <t>Corrugated board</t>
  </si>
  <si>
    <t>Plastic crate polypropylene</t>
  </si>
  <si>
    <t>Plastic film LDPE</t>
  </si>
  <si>
    <t>Plastic sheet HDPE</t>
  </si>
  <si>
    <t>kg AI</t>
  </si>
  <si>
    <t>Atrazine</t>
  </si>
  <si>
    <t>Diuron</t>
  </si>
  <si>
    <t>Mancozeb</t>
  </si>
  <si>
    <t>MCPA</t>
  </si>
  <si>
    <t>Metsulfuron-methyl</t>
  </si>
  <si>
    <t>Tri-allate</t>
  </si>
  <si>
    <t>Dolomite</t>
  </si>
  <si>
    <t>Limestone (crushed)</t>
  </si>
  <si>
    <t>Aquaculture feed</t>
  </si>
  <si>
    <t>Sardines (whole)</t>
  </si>
  <si>
    <t>Not specified</t>
  </si>
  <si>
    <t>Low Animal Protein Formulated Feed</t>
  </si>
  <si>
    <t>Squid</t>
  </si>
  <si>
    <t>Whole fish</t>
  </si>
  <si>
    <t>Custom Bait</t>
  </si>
  <si>
    <t>Emission factors for wastes disposed of at different treatment facilities</t>
  </si>
  <si>
    <t>VEERG 2026: Table A.4.1.1</t>
  </si>
  <si>
    <t>VARIATION ON SOURCE:</t>
  </si>
  <si>
    <t>Fixed typo 'paper and carboard' to 'paper and cardboard'</t>
  </si>
  <si>
    <t>Fixed typo 'prunnings' to 'prunings'</t>
  </si>
  <si>
    <t>Added EF source column with specific references</t>
  </si>
  <si>
    <t>Added sub-categories for 'Incineration: Food waste, green waste, wood, sludge' in order to use volume to mass conversion factor values</t>
  </si>
  <si>
    <t>Added sub-categories for 'Composting: All organic waste' in order to use volume to mass conversion factor values</t>
  </si>
  <si>
    <t>Added sub-categories for 'Anaerobic digestion: All organic waste' in order to use volume to mass conversion factor values</t>
  </si>
  <si>
    <t>t CO2e / t</t>
  </si>
  <si>
    <t>NGAF 2025 table 15</t>
  </si>
  <si>
    <t>Wood</t>
  </si>
  <si>
    <t>Textiles</t>
  </si>
  <si>
    <t>Sludge</t>
  </si>
  <si>
    <t>Rubber and leather</t>
  </si>
  <si>
    <t>Inert waste (including concrete, metal, plastic or glass)</t>
  </si>
  <si>
    <t>Municipal solid waste</t>
  </si>
  <si>
    <t>Commercial and industrial waste</t>
  </si>
  <si>
    <t>Construction and demolition waste</t>
  </si>
  <si>
    <t>Food waste, green waste, wood, sludge</t>
  </si>
  <si>
    <t>NGAF 2025 Table 18</t>
  </si>
  <si>
    <t>All organic waste</t>
  </si>
  <si>
    <t>NGAF 2025 Table 19</t>
  </si>
  <si>
    <t>Anaerobic digestion</t>
  </si>
  <si>
    <t>Volume to mass conversion factor for various waste types</t>
  </si>
  <si>
    <t>VEERG 2026: Table A.4.1.2</t>
  </si>
  <si>
    <t>VARIATION OF SOURCE: Changed column header CFw to VTMw to match title variable.</t>
  </si>
  <si>
    <t>Australian states and territories</t>
  </si>
  <si>
    <t>Australian Capital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</si>
  <si>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</si>
  <si>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</si>
  <si>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</si>
  <si>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</si>
  <si>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</si>
  <si>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</si>
  <si>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</si>
  <si>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</si>
  <si>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</si>
  <si>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</si>
  <si>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</si>
  <si>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</si>
  <si>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</si>
  <si>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CF4</t>
  </si>
  <si>
    <t>C2F6</t>
  </si>
  <si>
    <t>SF6</t>
  </si>
  <si>
    <t>NF3</t>
  </si>
  <si>
    <t>Factor to convert elemental mass of gas to molecular mass</t>
  </si>
  <si>
    <t>44/12</t>
  </si>
  <si>
    <t>Nox</t>
  </si>
  <si>
    <t>CO2 Lime</t>
  </si>
  <si>
    <t>VEERG Australian wet and dry zones</t>
  </si>
  <si>
    <t>VEERG 2026: Table 1.2: Translating climate zones to wet and dry zones</t>
  </si>
  <si>
    <t>Tropical montane</t>
  </si>
  <si>
    <t>Tropical wet</t>
  </si>
  <si>
    <t>Tropical moist</t>
  </si>
  <si>
    <t>Tropical dry</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</si>
  <si>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</si>
  <si>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</si>
  <si>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</si>
  <si>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</si>
  <si>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</si>
  <si>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</si>
  <si>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</si>
  <si>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</si>
  <si>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</si>
  <si>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</si>
  <si>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</si>
  <si>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</si>
  <si>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</si>
  <si>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</si>
  <si>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</si>
  <si>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</si>
  <si>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</si>
  <si>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</si>
  <si>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</si>
  <si>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</si>
  <si>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</si>
  <si>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</si>
  <si>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</si>
  <si>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</si>
  <si>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</si>
  <si>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</si>
  <si>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</si>
  <si>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</si>
  <si>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</si>
  <si>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</si>
  <si>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</si>
  <si>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</si>
  <si>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</si>
  <si>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</si>
  <si>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</si>
  <si>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</si>
  <si>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</si>
  <si>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</si>
  <si>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</si>
  <si>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</si>
  <si>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</si>
  <si>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</si>
  <si>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</si>
  <si>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</si>
  <si>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</si>
  <si>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</si>
  <si>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</si>
  <si>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</si>
  <si>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</si>
  <si>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</si>
  <si>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</si>
  <si>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</si>
  <si>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</si>
  <si>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</si>
  <si>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</si>
  <si>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</si>
  <si>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</si>
  <si>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</si>
  <si>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National Inventory Report Volume 1: Leaching and runoff (3.D.b.2)</t>
  </si>
  <si>
    <t>National Inventory Report Volume 1: Equation 3.D.B_10</t>
  </si>
  <si>
    <t>EFleach</t>
  </si>
  <si>
    <t>p = density of methane</t>
  </si>
  <si>
    <t>National Inventory Report 2023 Volume 1: Equations 3.B.1a_2, 3.B.1c_2, 3.B.3_1, 3.B.4g_2</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</si>
  <si>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</si>
  <si>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</si>
  <si>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</si>
  <si>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</si>
  <si>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</si>
  <si>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</si>
  <si>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</si>
  <si>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</si>
  <si>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</si>
  <si>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</si>
  <si>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Non-irrigated pasture</t>
  </si>
  <si>
    <t>Non-irrigated crop (low rainfall)</t>
  </si>
  <si>
    <t>Non-irrigated crop (high rainfall)</t>
  </si>
  <si>
    <t>Sugar</t>
  </si>
  <si>
    <t>Horticultural crops</t>
  </si>
  <si>
    <t>Rice (continuous flooding)</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</si>
  <si>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</si>
  <si>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</si>
  <si>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</si>
  <si>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</si>
  <si>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</si>
  <si>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</si>
  <si>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</si>
  <si>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</si>
  <si>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</si>
  <si>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</si>
  <si>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</si>
  <si>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February</t>
  </si>
  <si>
    <t>March</t>
  </si>
  <si>
    <t>April</t>
  </si>
  <si>
    <t>May</t>
  </si>
  <si>
    <t>June</t>
  </si>
  <si>
    <t>July</t>
  </si>
  <si>
    <t>August</t>
  </si>
  <si>
    <t>September</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</si>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</sst>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F800]dddd\,\ mmmm\ dd\,\ yyyy"/>
    <numFmt numFmtId="171" formatCode="0.000%"/>
    <numFmt numFmtId="172" formatCode="0.000000E+00"/>
    <numFmt numFmtId="173" formatCode="[$-C09]d\ mmmm\ yyyy;@"/>
    <numFmt numFmtId="174" formatCode="0.00000"/>
  </numFmts>
  <fonts count="81"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10"/>
      <color theme="1" tint="0.499984740745262"/>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u/>
      <sz val="9"/>
      <color theme="1" tint="0.34998626667073579"/>
      <name val="Arial"/>
      <family val="1"/>
    </font>
    <font>
      <i/>
      <sz val="9"/>
      <color theme="6" tint="-0.499984740745262"/>
      <name val="Arial"/>
      <family val="1"/>
    </font>
    <font>
      <i/>
      <sz val="9"/>
      <color theme="5" tint="-0.499984740745262"/>
      <name val="Arial"/>
      <family val="1"/>
    </font>
    <font>
      <u/>
      <sz val="10"/>
      <color theme="10"/>
      <name val="Arial"/>
      <family val="2"/>
    </font>
    <font>
      <b/>
      <sz val="10"/>
      <color theme="1" tint="0.24994659260841701"/>
      <name val="Arial"/>
      <family val="1"/>
    </font>
    <font>
      <i/>
      <sz val="9"/>
      <color theme="1" tint="0.34998626667073579"/>
      <name val="Arial"/>
      <family val="1"/>
    </font>
    <font>
      <b/>
      <sz val="10"/>
      <color rgb="FF0070C0"/>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
      <sz val="9"/>
      <color rgb="FF404040"/>
      <name val="Arial"/>
      <family val="1"/>
    </font>
    <font>
      <b/>
      <sz val="14"/>
      <color theme="1" tint="0.24994659260841701"/>
      <name val="Arial"/>
      <family val="1"/>
    </font>
    <font>
      <sz val="14"/>
      <color theme="1" tint="0.24994659260841701"/>
      <name val="Arial"/>
      <family val="1"/>
    </font>
    <font>
      <b/>
      <sz val="18"/>
      <color rgb="FF0C769E"/>
      <name val="Arial"/>
      <family val="1"/>
    </font>
    <font>
      <i/>
      <sz val="14"/>
      <color theme="1" tint="0.34998626667073579"/>
      <name val="Arial"/>
      <family val="1"/>
    </font>
    <font>
      <b/>
      <sz val="12"/>
      <color theme="1" tint="0.24994659260841701"/>
      <name val="Arial"/>
      <family val="1"/>
    </font>
    <font>
      <b/>
      <vertAlign val="subscript"/>
      <sz val="12"/>
      <color theme="1" tint="0.24994659260841701"/>
      <name val="Arial"/>
      <family val="1"/>
    </font>
    <font>
      <b/>
      <vertAlign val="subscript"/>
      <sz val="10"/>
      <color rgb="FF183C1B"/>
      <name val="Arial"/>
      <family val="1"/>
    </font>
    <font>
      <b/>
      <vertAlign val="subscript"/>
      <sz val="14"/>
      <color theme="1" tint="0.24994659260841701"/>
      <name val="Arial"/>
      <family val="1"/>
    </font>
    <font>
      <vertAlign val="subscript"/>
      <sz val="10"/>
      <color theme="1" tint="0.24994659260841701"/>
      <name val="Arial"/>
      <family val="1"/>
    </font>
    <font>
      <b/>
      <vertAlign val="subscript"/>
      <sz val="10"/>
      <color theme="1" tint="0.24994659260841701"/>
      <name val="Arial"/>
      <family val="1"/>
    </font>
    <font>
      <b/>
      <sz val="10"/>
      <color theme="1"/>
      <name val="Arial"/>
      <family val="2"/>
    </font>
    <font>
      <sz val="10"/>
      <name val="Arial"/>
      <family val="1"/>
    </font>
    <font>
      <b/>
      <sz val="9"/>
      <color theme="1" tint="0.14999847407452621"/>
      <name val="Arial"/>
      <family val="1"/>
    </font>
    <font>
      <b/>
      <vertAlign val="subscript"/>
      <sz val="10"/>
      <color rgb="FF533001"/>
      <name val="Arial"/>
      <family val="1"/>
    </font>
    <font>
      <b/>
      <i/>
      <sz val="10"/>
      <color rgb="FFCC6600"/>
      <name val="Arial"/>
      <family val="1"/>
    </font>
    <font>
      <sz val="9"/>
      <name val="Arial"/>
      <family val="1"/>
    </font>
    <font>
      <sz val="9"/>
      <color theme="1"/>
      <name val="Arial"/>
      <family val="2"/>
    </font>
    <font>
      <b/>
      <sz val="9"/>
      <color theme="1" tint="0.34998626667073579"/>
      <name val="Arial"/>
      <family val="1"/>
    </font>
    <font>
      <sz val="14"/>
      <name val="Arial"/>
      <family val="1"/>
    </font>
    <font>
      <b/>
      <sz val="9"/>
      <name val="Arial"/>
      <family val="1"/>
    </font>
    <font>
      <b/>
      <sz val="14"/>
      <color theme="1"/>
      <name val="Arial"/>
      <family val="1"/>
    </font>
    <font>
      <b/>
      <vertAlign val="subscript"/>
      <sz val="14"/>
      <color theme="1"/>
      <name val="Arial"/>
      <family val="1"/>
    </font>
    <font>
      <sz val="14"/>
      <color theme="1"/>
      <name val="Arial"/>
      <family val="1"/>
    </font>
    <font>
      <sz val="10"/>
      <color theme="1"/>
      <name val="Arial"/>
      <family val="2"/>
      <scheme val="minor"/>
    </font>
    <font>
      <sz val="12"/>
      <color theme="5"/>
      <name val="Arial"/>
      <family val="1"/>
    </font>
    <font>
      <b/>
      <vertAlign val="subscript"/>
      <sz val="10"/>
      <color theme="1"/>
      <name val="Arial"/>
      <family val="1"/>
    </font>
    <font>
      <vertAlign val="subscript"/>
      <sz val="9"/>
      <color theme="1" tint="0.34998626667073579"/>
      <name val="Arial"/>
      <family val="1"/>
    </font>
    <font>
      <b/>
      <sz val="10"/>
      <color rgb="FFC44340"/>
      <name val="Arial"/>
      <family val="1"/>
    </font>
    <font>
      <i/>
      <sz val="10"/>
      <color rgb="FFC44340"/>
      <name val="Arial"/>
      <family val="1"/>
    </font>
    <font>
      <b/>
      <vertAlign val="superscript"/>
      <sz val="10"/>
      <color rgb="FF183C1B"/>
      <name val="Arial"/>
      <family val="1"/>
    </font>
  </fonts>
  <fills count="18">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EBC1"/>
        <bgColor indexed="64"/>
      </patternFill>
    </fill>
  </fills>
  <borders count="3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3" tint="0.749961851863155"/>
      </left>
      <right style="thin">
        <color theme="3" tint="0.749961851863155"/>
      </right>
      <top style="thin">
        <color theme="3" tint="0.749961851863155"/>
      </top>
      <bottom/>
      <diagonal/>
    </border>
  </borders>
  <cellStyleXfs count="72">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74" fillId="0" borderId="0"/>
    <xf numFmtId="0" fontId="75" fillId="4" borderId="0">
      <alignment horizontal="left" vertical="center"/>
    </xf>
    <xf numFmtId="0" fontId="38" fillId="17" borderId="2">
      <alignment horizontal="center" vertical="center"/>
    </xf>
  </cellStyleXfs>
  <cellXfs count="259">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9" fontId="23" fillId="4" borderId="2" xfId="68" applyFont="1" applyFill="1" applyBorder="1" applyAlignment="1">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0" fillId="13" borderId="5" xfId="39">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35" fillId="4" borderId="0" xfId="59">
      <alignment horizontal="left" vertical="center"/>
    </xf>
    <xf numFmtId="170" fontId="0" fillId="0" borderId="0" xfId="8" applyNumberFormat="1" applyFont="1" applyFill="1">
      <alignment horizontal="left" vertical="center"/>
    </xf>
    <xf numFmtId="0" fontId="12" fillId="6" borderId="0" xfId="29">
      <alignment horizontal="center" vertical="center"/>
      <protection locked="0"/>
    </xf>
    <xf numFmtId="49" fontId="0" fillId="0" borderId="0" xfId="14" applyNumberFormat="1" applyFont="1" applyBorder="1">
      <alignment horizontal="center" vertical="center"/>
    </xf>
    <xf numFmtId="0" fontId="3" fillId="12" borderId="17" xfId="15" applyBorder="1">
      <alignment horizontal="center" vertical="center"/>
    </xf>
    <xf numFmtId="0" fontId="39" fillId="0" borderId="0" xfId="66"/>
    <xf numFmtId="0" fontId="50" fillId="9" borderId="4" xfId="34" applyFont="1">
      <alignment horizontal="left" vertical="center" indent="1"/>
    </xf>
    <xf numFmtId="0" fontId="20" fillId="10" borderId="0" xfId="35">
      <alignment horizontal="left" vertical="center" indent="1"/>
    </xf>
    <xf numFmtId="0" fontId="27" fillId="4" borderId="1" xfId="8" applyBorder="1">
      <alignment horizontal="left" vertical="center"/>
    </xf>
    <xf numFmtId="0" fontId="51" fillId="4" borderId="0" xfId="8" applyFont="1">
      <alignment horizontal="left" vertical="center"/>
    </xf>
    <xf numFmtId="0" fontId="52" fillId="4" borderId="0" xfId="8" applyFont="1">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0" borderId="0" xfId="32" applyFont="1"/>
    <xf numFmtId="0" fontId="40" fillId="4" borderId="1" xfId="8" applyFont="1" applyBorder="1">
      <alignment horizontal="left" vertical="center"/>
    </xf>
    <xf numFmtId="0" fontId="6" fillId="4" borderId="1" xfId="53" applyBorder="1">
      <alignment horizontal="left" vertical="center"/>
    </xf>
    <xf numFmtId="0" fontId="54" fillId="4" borderId="1" xfId="53" applyFont="1" applyBorder="1">
      <alignment horizontal="left" vertical="center"/>
    </xf>
    <xf numFmtId="0" fontId="54" fillId="4" borderId="0" xfId="53" applyFont="1">
      <alignment horizontal="left" vertical="center"/>
    </xf>
    <xf numFmtId="0" fontId="27" fillId="11" borderId="0" xfId="8" applyFill="1">
      <alignment horizontal="left" vertical="center"/>
    </xf>
    <xf numFmtId="0" fontId="9" fillId="0" borderId="0" xfId="55"/>
    <xf numFmtId="0" fontId="20" fillId="5" borderId="0" xfId="36">
      <alignment horizontal="left" vertical="center" indent="1"/>
    </xf>
    <xf numFmtId="0" fontId="12" fillId="6" borderId="0" xfId="28">
      <alignment horizontal="left" vertical="center" indent="1"/>
    </xf>
    <xf numFmtId="171" fontId="23" fillId="4" borderId="2" xfId="68" applyNumberFormat="1" applyFont="1" applyFill="1" applyBorder="1" applyAlignment="1">
      <alignment horizontal="center" vertical="center"/>
    </xf>
    <xf numFmtId="0" fontId="55" fillId="4" borderId="0" xfId="8" applyFont="1">
      <alignment horizontal="left" vertical="center"/>
    </xf>
    <xf numFmtId="0" fontId="15" fillId="4" borderId="0" xfId="24">
      <alignment horizontal="left" vertical="center"/>
    </xf>
    <xf numFmtId="0" fontId="20" fillId="8" borderId="0" xfId="37">
      <alignment horizontal="left" vertical="center" indent="1"/>
    </xf>
    <xf numFmtId="0" fontId="23" fillId="4" borderId="2" xfId="63">
      <alignment horizontal="left" vertical="center"/>
    </xf>
    <xf numFmtId="0" fontId="23" fillId="4" borderId="18" xfId="63" applyBorder="1">
      <alignment horizontal="left" vertical="center"/>
    </xf>
    <xf numFmtId="0" fontId="23" fillId="4" borderId="19" xfId="63" applyBorder="1">
      <alignment horizontal="left" vertical="center"/>
    </xf>
    <xf numFmtId="0" fontId="23" fillId="4" borderId="20" xfId="63" applyBorder="1">
      <alignment horizontal="left" vertical="center"/>
    </xf>
    <xf numFmtId="0" fontId="38" fillId="15" borderId="2" xfId="65">
      <alignment horizontal="center" vertical="center"/>
    </xf>
    <xf numFmtId="0" fontId="37" fillId="14" borderId="2" xfId="64">
      <alignment horizontal="center" vertical="center"/>
    </xf>
    <xf numFmtId="0" fontId="36" fillId="4" borderId="2" xfId="62">
      <alignment horizontal="left" vertical="center"/>
    </xf>
    <xf numFmtId="0" fontId="32" fillId="4" borderId="0" xfId="57">
      <alignment horizontal="left" vertical="center"/>
    </xf>
    <xf numFmtId="0" fontId="33" fillId="4" borderId="0" xfId="58">
      <alignment horizontal="left" vertical="center"/>
    </xf>
    <xf numFmtId="0" fontId="5" fillId="2" borderId="0" xfId="9">
      <alignment horizontal="center" vertical="center"/>
    </xf>
    <xf numFmtId="0" fontId="23" fillId="16" borderId="2" xfId="52" applyFill="1">
      <alignment horizontal="center" vertical="center"/>
    </xf>
    <xf numFmtId="0" fontId="23" fillId="4" borderId="2" xfId="52" applyAlignment="1">
      <alignment horizontal="left" vertical="center"/>
    </xf>
    <xf numFmtId="0" fontId="23" fillId="4" borderId="18" xfId="52" applyBorder="1" applyAlignment="1">
      <alignment horizontal="left" vertical="center"/>
    </xf>
    <xf numFmtId="0" fontId="23" fillId="4" borderId="19" xfId="52" applyBorder="1">
      <alignment horizontal="center" vertical="center"/>
    </xf>
    <xf numFmtId="0" fontId="23" fillId="4" borderId="2" xfId="52" applyAlignment="1">
      <alignment vertical="center"/>
    </xf>
    <xf numFmtId="0" fontId="23" fillId="4" borderId="18" xfId="52" applyBorder="1" applyAlignment="1">
      <alignment vertical="center"/>
    </xf>
    <xf numFmtId="0" fontId="23" fillId="4" borderId="19" xfId="52" applyBorder="1" applyAlignment="1">
      <alignment vertical="center"/>
    </xf>
    <xf numFmtId="0" fontId="23" fillId="4" borderId="20" xfId="52" applyBorder="1" applyAlignment="1">
      <alignment vertical="center"/>
    </xf>
    <xf numFmtId="0" fontId="0" fillId="0" borderId="0" xfId="28" applyFont="1" applyFill="1">
      <alignment horizontal="left" vertical="center" indent="1"/>
    </xf>
    <xf numFmtId="0" fontId="27" fillId="16" borderId="0" xfId="8" applyFill="1">
      <alignment horizontal="left" vertical="center"/>
    </xf>
    <xf numFmtId="9" fontId="23" fillId="4" borderId="2" xfId="52" applyNumberFormat="1">
      <alignment horizontal="center" vertical="center"/>
    </xf>
    <xf numFmtId="0" fontId="30" fillId="13" borderId="11" xfId="39" applyBorder="1">
      <alignment horizontal="left" vertical="center"/>
    </xf>
    <xf numFmtId="0" fontId="62" fillId="4" borderId="0" xfId="0" applyFont="1" applyFill="1" applyAlignment="1">
      <alignment horizontal="center" vertical="center"/>
    </xf>
    <xf numFmtId="0" fontId="62"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9" fillId="0" borderId="0" xfId="55" applyAlignment="1">
      <alignment horizontal="center" vertical="center" wrapText="1"/>
    </xf>
    <xf numFmtId="0" fontId="3"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3" fillId="4" borderId="2" xfId="52" applyAlignment="1">
      <alignment horizontal="center" vertical="center" wrapText="1"/>
    </xf>
    <xf numFmtId="0" fontId="27" fillId="4" borderId="0" xfId="8" applyAlignment="1">
      <alignment horizontal="center" vertical="center" wrapText="1"/>
    </xf>
    <xf numFmtId="0" fontId="43" fillId="4" borderId="0" xfId="43" applyFont="1" applyFill="1" applyAlignment="1">
      <alignment horizontal="left" vertical="center" wrapText="1"/>
    </xf>
    <xf numFmtId="2" fontId="62" fillId="4" borderId="0" xfId="67" applyNumberFormat="1" applyFont="1" applyFill="1" applyBorder="1" applyAlignment="1" applyProtection="1">
      <alignment horizontal="center" wrapText="1"/>
      <protection locked="0"/>
    </xf>
    <xf numFmtId="1" fontId="62" fillId="4" borderId="0" xfId="67"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2" fillId="4" borderId="0" xfId="0" applyFont="1" applyFill="1" applyAlignment="1">
      <alignment wrapText="1"/>
    </xf>
    <xf numFmtId="0" fontId="27" fillId="4" borderId="0" xfId="8" applyAlignment="1">
      <alignment horizontal="left" vertical="center" wrapText="1"/>
    </xf>
    <xf numFmtId="0" fontId="34" fillId="4" borderId="0" xfId="47" applyAlignment="1">
      <alignment horizontal="left" vertical="center" wrapText="1"/>
    </xf>
    <xf numFmtId="0" fontId="0" fillId="4" borderId="0" xfId="0" applyFill="1" applyAlignment="1">
      <alignment wrapText="1"/>
    </xf>
    <xf numFmtId="0" fontId="9" fillId="0" borderId="0" xfId="55" applyAlignment="1" applyProtection="1">
      <alignment horizontal="center" vertical="center" wrapText="1"/>
      <protection locked="0"/>
    </xf>
    <xf numFmtId="0" fontId="63"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63" fillId="12" borderId="2" xfId="15" applyFont="1">
      <alignment horizontal="center" vertical="center"/>
    </xf>
    <xf numFmtId="9" fontId="0" fillId="0" borderId="21" xfId="68" applyFont="1" applyFill="1" applyBorder="1" applyAlignment="1">
      <alignment horizontal="center" vertical="center" wrapText="1"/>
    </xf>
    <xf numFmtId="4" fontId="9" fillId="0" borderId="2" xfId="17" applyFont="1" applyAlignment="1">
      <alignment horizontal="center" vertical="center" wrapText="1"/>
    </xf>
    <xf numFmtId="0" fontId="30" fillId="13" borderId="22" xfId="39" applyBorder="1">
      <alignment horizontal="left" vertical="center"/>
    </xf>
    <xf numFmtId="0" fontId="30" fillId="13" borderId="0" xfId="39" applyBorder="1">
      <alignment horizontal="left" vertical="center"/>
    </xf>
    <xf numFmtId="0" fontId="30" fillId="13" borderId="23" xfId="39" applyBorder="1">
      <alignment horizontal="left" vertical="center"/>
    </xf>
    <xf numFmtId="0" fontId="0" fillId="0" borderId="0" xfId="0" applyAlignment="1">
      <alignment wrapText="1"/>
    </xf>
    <xf numFmtId="0" fontId="12"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3" fillId="4" borderId="0" xfId="68" applyFont="1" applyFill="1" applyAlignment="1">
      <alignment horizontal="center" vertical="center" wrapText="1"/>
    </xf>
    <xf numFmtId="9" fontId="0" fillId="4" borderId="0" xfId="0" applyNumberFormat="1" applyFill="1"/>
    <xf numFmtId="0" fontId="6" fillId="4" borderId="0" xfId="12" applyAlignment="1">
      <alignment horizontal="center" vertical="center"/>
    </xf>
    <xf numFmtId="0" fontId="23" fillId="4" borderId="20" xfId="52" applyBorder="1" applyAlignment="1">
      <alignment horizontal="left" vertical="center"/>
    </xf>
    <xf numFmtId="0" fontId="23" fillId="4" borderId="19" xfId="52" applyBorder="1" applyAlignment="1">
      <alignment horizontal="left" vertical="center"/>
    </xf>
    <xf numFmtId="0" fontId="23" fillId="4" borderId="20" xfId="52" applyBorder="1">
      <alignment horizontal="center" vertical="center"/>
    </xf>
    <xf numFmtId="172" fontId="23" fillId="4" borderId="2" xfId="52" applyNumberFormat="1">
      <alignment horizontal="center" vertical="center"/>
    </xf>
    <xf numFmtId="0" fontId="5" fillId="2" borderId="0" xfId="1">
      <alignment horizontal="left" vertical="center" indent="1"/>
      <protection locked="0"/>
    </xf>
    <xf numFmtId="4" fontId="23" fillId="4" borderId="2" xfId="52" applyNumberFormat="1">
      <alignment horizontal="center" vertical="center"/>
    </xf>
    <xf numFmtId="0" fontId="66" fillId="4" borderId="0" xfId="0" applyFont="1" applyFill="1"/>
    <xf numFmtId="0" fontId="6" fillId="4" borderId="1" xfId="12" applyBorder="1">
      <alignment horizontal="left" vertical="center" indent="1"/>
    </xf>
    <xf numFmtId="0" fontId="27" fillId="4" borderId="24" xfId="8" applyBorder="1">
      <alignment horizontal="left" vertical="center"/>
    </xf>
    <xf numFmtId="3" fontId="23" fillId="4" borderId="2" xfId="52" applyNumberFormat="1">
      <alignment horizontal="center" vertical="center"/>
    </xf>
    <xf numFmtId="4" fontId="23" fillId="4" borderId="2" xfId="46">
      <alignment horizontal="center" vertical="center"/>
    </xf>
    <xf numFmtId="0" fontId="54" fillId="4" borderId="1" xfId="12" applyFont="1" applyBorder="1">
      <alignment horizontal="left" vertical="center" indent="1"/>
    </xf>
    <xf numFmtId="0" fontId="5" fillId="2" borderId="0" xfId="9" applyAlignment="1">
      <alignment horizontal="center" vertical="center" wrapText="1"/>
    </xf>
    <xf numFmtId="0" fontId="27" fillId="4" borderId="25" xfId="8" applyBorder="1">
      <alignment horizontal="left" vertical="center"/>
    </xf>
    <xf numFmtId="0" fontId="5"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4" fontId="2" fillId="0" borderId="2" xfId="17">
      <alignment horizontal="center" vertical="center"/>
    </xf>
    <xf numFmtId="166" fontId="23" fillId="4" borderId="2" xfId="45">
      <alignment horizontal="center" vertical="center"/>
    </xf>
    <xf numFmtId="173" fontId="0" fillId="0" borderId="0" xfId="8" applyNumberFormat="1" applyFont="1" applyFill="1">
      <alignment horizontal="left" vertical="center"/>
    </xf>
    <xf numFmtId="0" fontId="26" fillId="4" borderId="0" xfId="48">
      <alignment horizontal="center" vertical="center"/>
    </xf>
    <xf numFmtId="17" fontId="0" fillId="0" borderId="0" xfId="8" applyNumberFormat="1" applyFont="1" applyFill="1">
      <alignment horizontal="left" vertical="center"/>
    </xf>
    <xf numFmtId="43" fontId="27" fillId="4" borderId="0" xfId="8" applyNumberFormat="1">
      <alignment horizontal="left" vertical="center"/>
    </xf>
    <xf numFmtId="9" fontId="23" fillId="4" borderId="2" xfId="63" applyNumberFormat="1">
      <alignment horizontal="left" vertical="center"/>
    </xf>
    <xf numFmtId="0" fontId="67"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3" fillId="4" borderId="17" xfId="52" applyBorder="1">
      <alignment horizontal="center" vertical="center"/>
    </xf>
    <xf numFmtId="9" fontId="0" fillId="0" borderId="17" xfId="16" applyFont="1" applyBorder="1">
      <alignment horizontal="center" vertical="center"/>
    </xf>
    <xf numFmtId="0" fontId="26" fillId="4" borderId="0" xfId="48" applyAlignment="1">
      <alignment horizontal="left" vertical="center"/>
    </xf>
    <xf numFmtId="174" fontId="68" fillId="4" borderId="2" xfId="52" applyNumberFormat="1" applyFont="1">
      <alignment horizontal="center" vertical="center"/>
    </xf>
    <xf numFmtId="0" fontId="22" fillId="4" borderId="0" xfId="50">
      <alignment horizontal="left" vertical="center"/>
    </xf>
    <xf numFmtId="4" fontId="23" fillId="4" borderId="17" xfId="46" applyBorder="1">
      <alignment horizontal="center" vertical="center"/>
    </xf>
    <xf numFmtId="174" fontId="68" fillId="4" borderId="17" xfId="52" applyNumberFormat="1" applyFont="1" applyBorder="1">
      <alignment horizontal="center" vertical="center"/>
    </xf>
    <xf numFmtId="0" fontId="3" fillId="4" borderId="1" xfId="7" applyBorder="1">
      <alignment horizontal="left" vertical="center"/>
    </xf>
    <xf numFmtId="0" fontId="26" fillId="4" borderId="1" xfId="48" applyBorder="1" applyAlignment="1">
      <alignment horizontal="left" vertical="center"/>
    </xf>
    <xf numFmtId="0" fontId="23" fillId="4" borderId="26" xfId="52" applyBorder="1">
      <alignment horizontal="center" vertical="center"/>
    </xf>
    <xf numFmtId="0" fontId="23" fillId="4" borderId="27" xfId="52" applyBorder="1">
      <alignment horizontal="center" vertical="center"/>
    </xf>
    <xf numFmtId="4" fontId="23" fillId="4" borderId="26" xfId="46" applyBorder="1">
      <alignment horizontal="center" vertical="center"/>
    </xf>
    <xf numFmtId="4" fontId="23" fillId="4" borderId="28" xfId="46" applyBorder="1">
      <alignment horizontal="center" vertical="center"/>
    </xf>
    <xf numFmtId="174" fontId="68" fillId="4" borderId="28" xfId="52" applyNumberFormat="1" applyFont="1" applyBorder="1">
      <alignment horizontal="center" vertical="center"/>
    </xf>
    <xf numFmtId="174" fontId="68" fillId="4" borderId="26" xfId="52" applyNumberFormat="1" applyFont="1" applyBorder="1">
      <alignment horizontal="center" vertical="center"/>
    </xf>
    <xf numFmtId="0" fontId="23" fillId="4" borderId="28" xfId="52" applyBorder="1">
      <alignment horizontal="center" vertical="center"/>
    </xf>
    <xf numFmtId="0" fontId="68" fillId="4" borderId="28" xfId="52" applyFont="1" applyBorder="1">
      <alignment horizontal="center" vertical="center"/>
    </xf>
    <xf numFmtId="0" fontId="3" fillId="4" borderId="25" xfId="7" applyBorder="1">
      <alignment horizontal="left" vertical="center"/>
    </xf>
    <xf numFmtId="165" fontId="66" fillId="4" borderId="25" xfId="0" applyNumberFormat="1" applyFont="1" applyFill="1" applyBorder="1"/>
    <xf numFmtId="0" fontId="6" fillId="4" borderId="25" xfId="12" applyBorder="1">
      <alignment horizontal="left" vertical="center" indent="1"/>
    </xf>
    <xf numFmtId="168" fontId="66" fillId="4" borderId="0" xfId="0" applyNumberFormat="1" applyFont="1" applyFill="1" applyAlignment="1">
      <alignment vertical="center"/>
    </xf>
    <xf numFmtId="165" fontId="66" fillId="4" borderId="25" xfId="0" applyNumberFormat="1" applyFont="1" applyFill="1" applyBorder="1" applyAlignment="1">
      <alignment vertical="center"/>
    </xf>
    <xf numFmtId="0" fontId="66" fillId="4" borderId="0" xfId="0" applyFont="1" applyFill="1" applyAlignment="1">
      <alignment vertical="center"/>
    </xf>
    <xf numFmtId="165" fontId="69" fillId="4" borderId="25" xfId="0" applyNumberFormat="1" applyFont="1" applyFill="1" applyBorder="1" applyAlignment="1">
      <alignment vertical="center"/>
    </xf>
    <xf numFmtId="168" fontId="68" fillId="4" borderId="2" xfId="46" applyNumberFormat="1" applyFont="1">
      <alignment horizontal="center" vertical="center"/>
    </xf>
    <xf numFmtId="168" fontId="68" fillId="4" borderId="17" xfId="46" applyNumberFormat="1" applyFont="1" applyBorder="1">
      <alignment horizontal="center" vertical="center"/>
    </xf>
    <xf numFmtId="168" fontId="68" fillId="4" borderId="28" xfId="46" applyNumberFormat="1" applyFont="1" applyBorder="1">
      <alignment horizontal="center" vertical="center"/>
    </xf>
    <xf numFmtId="0" fontId="67" fillId="0" borderId="0" xfId="0" applyFont="1" applyAlignment="1">
      <alignment vertical="center" wrapText="1"/>
    </xf>
    <xf numFmtId="0" fontId="67" fillId="0" borderId="0" xfId="0" applyFont="1" applyAlignment="1">
      <alignment horizontal="left" vertical="center"/>
    </xf>
    <xf numFmtId="0" fontId="67" fillId="0" borderId="0" xfId="8" applyFont="1" applyFill="1">
      <alignment horizontal="left" vertical="center"/>
    </xf>
    <xf numFmtId="0" fontId="0" fillId="0" borderId="0" xfId="0" applyAlignment="1">
      <alignment horizontal="left" vertical="center"/>
    </xf>
    <xf numFmtId="0" fontId="27" fillId="4" borderId="0" xfId="8" applyAlignment="1">
      <alignment horizontal="right" vertical="center"/>
    </xf>
    <xf numFmtId="0" fontId="67" fillId="4" borderId="0" xfId="0" applyFont="1" applyFill="1" applyAlignment="1">
      <alignment horizontal="left" vertical="center"/>
    </xf>
    <xf numFmtId="0" fontId="40" fillId="4" borderId="0" xfId="8" applyFont="1" applyAlignment="1">
      <alignment horizontal="right" vertical="center"/>
    </xf>
    <xf numFmtId="0" fontId="70" fillId="4" borderId="0" xfId="0" applyFont="1" applyFill="1"/>
    <xf numFmtId="0" fontId="67" fillId="0" borderId="0" xfId="0" applyFont="1"/>
    <xf numFmtId="0" fontId="67" fillId="0" borderId="0" xfId="7" applyFont="1" applyFill="1">
      <alignment horizontal="left" vertical="center"/>
    </xf>
    <xf numFmtId="0" fontId="67" fillId="4" borderId="0" xfId="0" applyFont="1" applyFill="1"/>
    <xf numFmtId="0" fontId="67" fillId="4" borderId="0" xfId="7" applyFont="1">
      <alignment horizontal="left" vertical="center"/>
    </xf>
    <xf numFmtId="0" fontId="61" fillId="2" borderId="0" xfId="8" applyFont="1" applyFill="1">
      <alignment horizontal="left" vertical="center"/>
    </xf>
    <xf numFmtId="0" fontId="61" fillId="0" borderId="0" xfId="8" applyFont="1" applyFill="1">
      <alignment horizontal="left" vertical="center"/>
    </xf>
    <xf numFmtId="0" fontId="30" fillId="13" borderId="11" xfId="39" quotePrefix="1" applyBorder="1">
      <alignment horizontal="left" vertical="center"/>
    </xf>
    <xf numFmtId="0" fontId="0" fillId="4" borderId="1" xfId="0" applyFill="1" applyBorder="1"/>
    <xf numFmtId="0" fontId="0" fillId="4" borderId="0" xfId="0" quotePrefix="1" applyFill="1"/>
    <xf numFmtId="0" fontId="71" fillId="4" borderId="1" xfId="0" applyFont="1" applyFill="1" applyBorder="1"/>
    <xf numFmtId="0" fontId="73" fillId="4" borderId="1" xfId="0" applyFont="1" applyFill="1" applyBorder="1"/>
    <xf numFmtId="0" fontId="45" fillId="0" borderId="0" xfId="0" applyFont="1"/>
    <xf numFmtId="0" fontId="74" fillId="0" borderId="0" xfId="69"/>
    <xf numFmtId="0" fontId="74" fillId="4" borderId="0" xfId="69" applyFill="1"/>
    <xf numFmtId="0" fontId="0" fillId="0" borderId="0" xfId="8" applyFont="1" applyFill="1" applyAlignment="1">
      <alignment horizontal="left" vertical="center" wrapText="1"/>
    </xf>
    <xf numFmtId="15" fontId="2" fillId="0" borderId="2" xfId="14" applyNumberFormat="1">
      <alignment horizontal="center" vertical="center"/>
    </xf>
    <xf numFmtId="0" fontId="75" fillId="4" borderId="0" xfId="70">
      <alignment horizontal="left" vertical="center"/>
    </xf>
    <xf numFmtId="0" fontId="2" fillId="0" borderId="17" xfId="56" applyBorder="1">
      <alignment horizontal="center" vertical="center"/>
    </xf>
    <xf numFmtId="0" fontId="0" fillId="0" borderId="0" xfId="29" applyFont="1" applyFill="1" applyProtection="1">
      <alignment horizontal="center" vertical="center"/>
    </xf>
    <xf numFmtId="0" fontId="30" fillId="13" borderId="29" xfId="39" applyBorder="1">
      <alignment horizontal="left" vertical="center"/>
    </xf>
    <xf numFmtId="0" fontId="0" fillId="0" borderId="0" xfId="14" applyFont="1" applyBorder="1">
      <alignment horizontal="center" vertical="center"/>
    </xf>
    <xf numFmtId="4" fontId="0" fillId="0" borderId="0" xfId="17" applyFont="1" applyBorder="1">
      <alignment horizontal="center" vertical="center"/>
    </xf>
    <xf numFmtId="0" fontId="62" fillId="4" borderId="0" xfId="69" applyFont="1" applyFill="1" applyAlignment="1" applyProtection="1">
      <alignment horizontal="center"/>
      <protection locked="0"/>
    </xf>
    <xf numFmtId="0" fontId="62" fillId="4" borderId="0" xfId="69" applyFont="1" applyFill="1" applyAlignment="1">
      <alignment horizontal="center" vertical="center"/>
    </xf>
    <xf numFmtId="0" fontId="0" fillId="0" borderId="0" xfId="17" applyNumberFormat="1" applyFont="1" applyBorder="1">
      <alignment horizontal="center" vertical="center"/>
    </xf>
    <xf numFmtId="0" fontId="3" fillId="12" borderId="17" xfId="15" applyBorder="1" applyAlignment="1">
      <alignment horizontal="center" vertical="center" wrapText="1"/>
    </xf>
    <xf numFmtId="0" fontId="38" fillId="17" borderId="2" xfId="71">
      <alignment horizontal="center" vertical="center"/>
    </xf>
    <xf numFmtId="0" fontId="61" fillId="6" borderId="0" xfId="8" applyFont="1" applyFill="1">
      <alignment horizontal="left" vertical="center"/>
    </xf>
    <xf numFmtId="0" fontId="68" fillId="4" borderId="2" xfId="52" applyFont="1">
      <alignment horizontal="center" vertical="center"/>
    </xf>
    <xf numFmtId="49" fontId="23" fillId="4" borderId="2" xfId="52" applyNumberFormat="1">
      <alignment horizontal="center" vertical="center"/>
    </xf>
    <xf numFmtId="0" fontId="55" fillId="4" borderId="1" xfId="8" applyFont="1" applyBorder="1">
      <alignment horizontal="left" vertical="center"/>
    </xf>
    <xf numFmtId="4" fontId="23" fillId="4" borderId="2" xfId="63" applyNumberFormat="1">
      <alignment horizontal="left" vertical="center"/>
    </xf>
    <xf numFmtId="0" fontId="20" fillId="11" borderId="0" xfId="61">
      <alignment horizontal="left" vertical="center" indent="1"/>
    </xf>
    <xf numFmtId="11" fontId="0" fillId="0" borderId="0" xfId="0" applyNumberFormat="1" applyAlignment="1">
      <alignment vertical="center"/>
    </xf>
  </cellXfs>
  <cellStyles count="72">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Block subheading 2" xfId="70" xr:uid="{A8F76E46-3E5C-4EF7-9034-55CC15D23876}"/>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2 3" xfId="69" xr:uid="{8C5F8D58-9F99-403E-9B6E-E94B77E90A87}"/>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1" xr:uid="{7182D625-8D74-4509-A4F2-149D38E9907E}"/>
    <cellStyle name="Variable type other" xfId="64" xr:uid="{105BD9DE-B567-4DA0-87E6-C60A0ECC1C65}"/>
  </cellStyles>
  <dxfs count="542">
    <dxf>
      <alignment horizontal="right" vertical="center" textRotation="0" wrapText="0" indent="0" justifyLastLine="0" shrinkToFit="0" readingOrder="0"/>
    </dxf>
    <dxf>
      <fill>
        <patternFill>
          <fgColor indexed="64"/>
          <bgColor theme="0" tint="-4.9989318521683403E-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sz val="10"/>
        <color theme="1"/>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Arial"/>
        <family val="1"/>
      </font>
    </dxf>
    <dxf>
      <fill>
        <patternFill>
          <fgColor indexed="64"/>
          <bgColor theme="0" tint="-4.9989318521683403E-2"/>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9"/>
        <color theme="1"/>
        <name val="Arial"/>
        <family val="2"/>
      </font>
      <fill>
        <patternFill patternType="none">
          <fgColor indexed="64"/>
          <bgColor indexed="65"/>
        </patternFill>
      </fill>
    </dxf>
    <dxf>
      <font>
        <b val="0"/>
        <i val="0"/>
        <strike val="0"/>
        <condense val="0"/>
        <extend val="0"/>
        <outline val="0"/>
        <shadow val="0"/>
        <u val="none"/>
        <vertAlign val="baseline"/>
        <sz val="9"/>
        <color theme="1"/>
        <name val="Arial"/>
        <family val="2"/>
      </font>
      <fill>
        <patternFill patternType="none">
          <fgColor indexed="64"/>
          <bgColor indexed="65"/>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1"/>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border outline="0">
        <left style="thin">
          <color theme="0" tint="-0.34998626667073579"/>
        </left>
      </border>
    </dxf>
    <dxf>
      <alignment horizontal="center" vertical="center" textRotation="0" wrapText="1" indent="0" justifyLastLine="0" shrinkToFit="0" readingOrder="0"/>
    </dxf>
    <dxf>
      <alignment vertical="center" textRotation="0" wrapText="1" indent="0" justifyLastLine="0" shrinkToFit="0" readingOrder="0"/>
    </dxf>
    <dxf>
      <numFmt numFmtId="173" formatCode="[$-C09]d\ mmmm\ yyyy;@"/>
    </dxf>
    <dxf>
      <numFmt numFmtId="173"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0"/>
        <color theme="1" tint="0.249977111117893"/>
        <name val="Arial"/>
        <family val="1"/>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0"/>
        <color theme="1" tint="0.14999847407452621"/>
        <name val="Arial"/>
        <family val="1"/>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font>
        <sz val="10"/>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9"/>
        <color theme="1" tint="0.14999847407452621"/>
        <name val="Arial"/>
        <family val="1"/>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left style="thin">
          <color theme="0" tint="-0.34998626667073579"/>
        </left>
      </border>
    </dxf>
    <dxf>
      <alignment horizontal="center" vertical="center" textRotation="0" wrapText="1" indent="0" justifyLastLine="0" shrinkToFit="0" readingOrder="0"/>
    </dxf>
    <dxf>
      <border diagonalUp="0" diagonalDown="0" outline="0">
        <left style="thin">
          <color theme="0" tint="-0.34998626667073579"/>
        </left>
        <right style="thin">
          <color theme="0" tint="-0.34998626667073579"/>
        </right>
        <top style="thin">
          <color theme="0" tint="-0.34998626667073579"/>
        </top>
        <bottom/>
      </border>
    </dxf>
    <dxf>
      <numFmt numFmtId="170" formatCode="[$-F800]dddd\,\ mmmm\ dd\,\ yyyy"/>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541"/>
      <tableStyleElement type="headerRow" dxfId="540"/>
      <tableStyleElement type="totalRow" dxfId="539"/>
      <tableStyleElement type="firstColumn" dxfId="538"/>
      <tableStyleElement type="firstRowStripe" dxfId="537"/>
      <tableStyleElement type="secondRowStripe" dxfId="536"/>
    </tableStyle>
    <tableStyle name="Equation table" pivot="0" count="6" xr9:uid="{B247698E-E41D-4CCD-AA0A-C14817E9DE65}">
      <tableStyleElement type="wholeTable" dxfId="535"/>
      <tableStyleElement type="headerRow" dxfId="534"/>
      <tableStyleElement type="totalRow" dxfId="533"/>
      <tableStyleElement type="firstColumn" dxfId="532"/>
      <tableStyleElement type="firstRowStripe" dxfId="531"/>
      <tableStyleElement type="secondRowStripe" dxfId="530"/>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theme" Target="theme/theme1.xml"/><Relationship Id="rId55" Type="http://schemas.microsoft.com/office/2017/06/relationships/rdRichValue" Target="richData/rdrichvalu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eetMetadata" Target="metadata.xml"/><Relationship Id="rId58"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customXml" Target="../customXml/item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microsoft.com/office/2017/06/relationships/rdRichValueStructure" Target="richData/rdrichvaluestructure.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22/10/relationships/richValueRel" Target="richData/richValueRel.xml"/><Relationship Id="rId62"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microsoft.com/office/2017/06/relationships/rdRichValueTypes" Target="richData/rdRichValueTyp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haredStrings" Target="sharedStrings.xml"/><Relationship Id="rId6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73-1931-495F-914F-43EC2EA99D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74-1931-495F-914F-43EC2EA99D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75-1931-495F-914F-43EC2EA99D0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76-1931-495F-914F-43EC2EA99D0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77-1931-495F-914F-43EC2EA99D0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78-1931-495F-914F-43EC2EA99D0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1931-495F-914F-43EC2EA99D0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A-1931-495F-914F-43EC2EA99D0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B-1931-495F-914F-43EC2EA99D0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C-1931-495F-914F-43EC2EA99D04}"/>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7D-1931-495F-914F-43EC2EA99D04}"/>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7E-1931-495F-914F-43EC2EA99D04}"/>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7F-1931-495F-914F-43EC2EA99D04}"/>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80-1931-495F-914F-43EC2EA99D04}"/>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81-1931-495F-914F-43EC2EA99D04}"/>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82-1931-495F-914F-43EC2EA99D04}"/>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83-1931-495F-914F-43EC2EA99D04}"/>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84-1931-495F-914F-43EC2EA99D04}"/>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85-1931-495F-914F-43EC2EA99D04}"/>
              </c:ext>
            </c:extLst>
          </c:dPt>
          <c:cat>
            <c:strRef>
              <c:f>'Results - Activity period'!$D$9:$D$27</c:f>
              <c:strCache>
                <c:ptCount val="19"/>
                <c:pt idx="0">
                  <c:v>3.2.1.1-2 Enteric methane</c:v>
                </c:pt>
                <c:pt idx="1">
                  <c:v>4.2.1.1-2 Manure methane</c:v>
                </c:pt>
                <c:pt idx="2">
                  <c:v>4.2.1.3-4 Soil direct N2O</c:v>
                </c:pt>
                <c:pt idx="3">
                  <c:v>4.2.1.5-6 Soil atmospheric deposition</c:v>
                </c:pt>
                <c:pt idx="4">
                  <c:v>4.2.1.7-8 Soil leaching and runoff</c:v>
                </c:pt>
                <c:pt idx="5">
                  <c:v>5.1.1.1-2 Inorganic fert N2O</c:v>
                </c:pt>
                <c:pt idx="6">
                  <c:v>5.1.1.3-4 Inorganic fert CO2</c:v>
                </c:pt>
                <c:pt idx="7">
                  <c:v>5.2.1.1-2 Organic fert N2O</c:v>
                </c:pt>
                <c:pt idx="8">
                  <c:v>5.3.1.1-2 Lime CO2</c:v>
                </c:pt>
                <c:pt idx="9">
                  <c:v>5.4.1.1-4 Atmos. deposition</c:v>
                </c:pt>
                <c:pt idx="10">
                  <c:v>5.5.1.1-2 Leaching &amp; runoff</c:v>
                </c:pt>
                <c:pt idx="11">
                  <c:v>6.2.1.1-2 Pasture residue N2O</c:v>
                </c:pt>
                <c:pt idx="12">
                  <c:v>6.3.1.1-2 Leach &amp; runoff (pasture)</c:v>
                </c:pt>
                <c:pt idx="13">
                  <c:v>8.1.1.1-2 Transport fuel CO2</c:v>
                </c:pt>
                <c:pt idx="14">
                  <c:v>8.1.1.1-2 Transport fuel CH4</c:v>
                </c:pt>
                <c:pt idx="15">
                  <c:v>8.1.1.1-2 Transport fuel N2O</c:v>
                </c:pt>
                <c:pt idx="16">
                  <c:v>8.2.1.1-2 Stationary fuel CO2</c:v>
                </c:pt>
                <c:pt idx="17">
                  <c:v>8.2.1.1-2 Stationary fuel CH4</c:v>
                </c:pt>
                <c:pt idx="18">
                  <c:v>8.2.1.1-2 Stationary fuel N2O</c:v>
                </c:pt>
              </c:strCache>
            </c:strRef>
          </c:cat>
          <c:val>
            <c:numRef>
              <c:f>'Results - Activity period'!$I$9:$I$27</c:f>
              <c:numCache>
                <c:formatCode>General</c:formatCode>
                <c:ptCount val="19"/>
                <c:pt idx="0">
                  <c:v>1566.2689109258824</c:v>
                </c:pt>
                <c:pt idx="1">
                  <c:v>24.928297893775021</c:v>
                </c:pt>
                <c:pt idx="2">
                  <c:v>48.824992647638012</c:v>
                </c:pt>
                <c:pt idx="3">
                  <c:v>30.247082945211744</c:v>
                </c:pt>
                <c:pt idx="4">
                  <c:v>64.448990294882165</c:v>
                </c:pt>
                <c:pt idx="5">
                  <c:v>449.1879660714286</c:v>
                </c:pt>
                <c:pt idx="6">
                  <c:v>184.92752666666664</c:v>
                </c:pt>
                <c:pt idx="7">
                  <c:v>14.783214285714285</c:v>
                </c:pt>
                <c:pt idx="8">
                  <c:v>758.08333333333326</c:v>
                </c:pt>
                <c:pt idx="9">
                  <c:v>3.6632804999999999</c:v>
                </c:pt>
                <c:pt idx="10">
                  <c:v>208.79811197520002</c:v>
                </c:pt>
                <c:pt idx="11">
                  <c:v>1.545491357142857E-4</c:v>
                </c:pt>
                <c:pt idx="12">
                  <c:v>8.1601943657142831E-5</c:v>
                </c:pt>
                <c:pt idx="13">
                  <c:v>83.182000000000002</c:v>
                </c:pt>
                <c:pt idx="14">
                  <c:v>5.5736800000000004</c:v>
                </c:pt>
                <c:pt idx="15">
                  <c:v>154.89250000000001</c:v>
                </c:pt>
                <c:pt idx="16">
                  <c:v>29.070800000000002</c:v>
                </c:pt>
                <c:pt idx="17">
                  <c:v>2.0272000000000001</c:v>
                </c:pt>
                <c:pt idx="18">
                  <c:v>18.921000000000003</c:v>
                </c:pt>
              </c:numCache>
            </c:numRef>
          </c:val>
          <c:extLst>
            <c:ext xmlns:c16="http://schemas.microsoft.com/office/drawing/2014/chart" uri="{C3380CC4-5D6E-409C-BE32-E72D297353CC}">
              <c16:uniqueId val="{00000072-1931-495F-914F-43EC2EA99D04}"/>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period'!$D$40:$D$55</c:f>
              <c:strCache>
                <c:ptCount val="16"/>
                <c:pt idx="0">
                  <c:v>15.1.1.1 Purchased livestock</c:v>
                </c:pt>
                <c:pt idx="1">
                  <c:v>15.2.1.1 Purchased feed</c:v>
                </c:pt>
                <c:pt idx="2">
                  <c:v>15.3.1.1 Mineral supplements</c:v>
                </c:pt>
                <c:pt idx="3">
                  <c:v>15.4.1.1 Fertiliser</c:v>
                </c:pt>
                <c:pt idx="4">
                  <c:v>15.5.1.1 Agrichemicals</c:v>
                </c:pt>
                <c:pt idx="5">
                  <c:v>15.6.1.1 Lime</c:v>
                </c:pt>
                <c:pt idx="6">
                  <c:v>15.7.1.1 Services and contractor operations</c:v>
                </c:pt>
                <c:pt idx="7">
                  <c:v>15.10.1.1 Other: Cleaning chemicals</c:v>
                </c:pt>
                <c:pt idx="8">
                  <c:v>15.10.1.1 Other: Pharmacy chemicals</c:v>
                </c:pt>
                <c:pt idx="9">
                  <c:v>15.10.1.1 Other: Miscellaneous</c:v>
                </c:pt>
                <c:pt idx="10">
                  <c:v>15.10.1.1 Other: Uncategorised</c:v>
                </c:pt>
                <c:pt idx="11">
                  <c:v>15.11.1.1 Fuel</c:v>
                </c:pt>
                <c:pt idx="12">
                  <c:v>15.12.1.1 Purchased electricity (Location-based)</c:v>
                </c:pt>
                <c:pt idx="13">
                  <c:v>15.14.1.1 Incoming freight</c:v>
                </c:pt>
                <c:pt idx="14">
                  <c:v>15.13.1.1 Waste sent to treatment facility</c:v>
                </c:pt>
                <c:pt idx="15">
                  <c:v>15.14.1.1 Outgoing freight</c:v>
                </c:pt>
              </c:strCache>
            </c:strRef>
          </c:cat>
          <c:val>
            <c:numRef>
              <c:f>'Results - Activity period'!$I$40:$I$55</c:f>
              <c:numCache>
                <c:formatCode>General</c:formatCode>
                <c:ptCount val="16"/>
                <c:pt idx="0">
                  <c:v>1014.5</c:v>
                </c:pt>
                <c:pt idx="1">
                  <c:v>0.52978000000000003</c:v>
                </c:pt>
                <c:pt idx="2">
                  <c:v>0.16</c:v>
                </c:pt>
                <c:pt idx="3">
                  <c:v>599.726</c:v>
                </c:pt>
                <c:pt idx="4">
                  <c:v>7.4959999999999996</c:v>
                </c:pt>
                <c:pt idx="5">
                  <c:v>0.14399999999999999</c:v>
                </c:pt>
                <c:pt idx="6">
                  <c:v>1.1000000000000001</c:v>
                </c:pt>
                <c:pt idx="7">
                  <c:v>0.5</c:v>
                </c:pt>
                <c:pt idx="8">
                  <c:v>1.3400000000000002E-2</c:v>
                </c:pt>
                <c:pt idx="9">
                  <c:v>2.5860000000000001E-2</c:v>
                </c:pt>
                <c:pt idx="10">
                  <c:v>4000</c:v>
                </c:pt>
                <c:pt idx="11">
                  <c:v>26.794</c:v>
                </c:pt>
                <c:pt idx="12">
                  <c:v>2.7</c:v>
                </c:pt>
                <c:pt idx="13">
                  <c:v>5166.2</c:v>
                </c:pt>
                <c:pt idx="14">
                  <c:v>441.15000000000003</c:v>
                </c:pt>
                <c:pt idx="15">
                  <c:v>676</c:v>
                </c:pt>
              </c:numCache>
            </c:numRef>
          </c:val>
          <c:extLst>
            <c:ext xmlns:c16="http://schemas.microsoft.com/office/drawing/2014/chart" uri="{C3380CC4-5D6E-409C-BE32-E72D297353CC}">
              <c16:uniqueId val="{00000013-76F7-427B-BDC4-2570E48F9B6C}"/>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11</xdr:col>
      <xdr:colOff>523875</xdr:colOff>
      <xdr:row>4</xdr:row>
      <xdr:rowOff>238125</xdr:rowOff>
    </xdr:from>
    <xdr:to>
      <xdr:col>15</xdr:col>
      <xdr:colOff>1552576</xdr:colOff>
      <xdr:row>26</xdr:row>
      <xdr:rowOff>228600</xdr:rowOff>
    </xdr:to>
    <xdr:graphicFrame macro="">
      <xdr:nvGraphicFramePr>
        <xdr:cNvPr id="2" name="Chart 1">
          <a:extLst>
            <a:ext uri="{FF2B5EF4-FFF2-40B4-BE49-F238E27FC236}">
              <a16:creationId xmlns:a16="http://schemas.microsoft.com/office/drawing/2014/main" id="{A7409717-2EFC-463A-A70D-B9AC90D88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352425</xdr:colOff>
      <xdr:row>36</xdr:row>
      <xdr:rowOff>38100</xdr:rowOff>
    </xdr:from>
    <xdr:to>
      <xdr:col>15</xdr:col>
      <xdr:colOff>1381126</xdr:colOff>
      <xdr:row>58</xdr:row>
      <xdr:rowOff>28575</xdr:rowOff>
    </xdr:to>
    <xdr:graphicFrame macro="">
      <xdr:nvGraphicFramePr>
        <xdr:cNvPr id="3" name="Chart 2">
          <a:extLst>
            <a:ext uri="{FF2B5EF4-FFF2-40B4-BE49-F238E27FC236}">
              <a16:creationId xmlns:a16="http://schemas.microsoft.com/office/drawing/2014/main" id="{2CF9A32C-68FD-4795-A841-7E9D5A362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143998</xdr:rowOff>
    </xdr:from>
    <xdr:to>
      <xdr:col>3</xdr:col>
      <xdr:colOff>1866340</xdr:colOff>
      <xdr:row>17</xdr:row>
      <xdr:rowOff>12328</xdr:rowOff>
    </xdr:to>
    <xdr:sp macro="" textlink="$J$44">
      <xdr:nvSpPr>
        <xdr:cNvPr id="78" name="TextBox 77">
          <a:extLst>
            <a:ext uri="{FF2B5EF4-FFF2-40B4-BE49-F238E27FC236}">
              <a16:creationId xmlns:a16="http://schemas.microsoft.com/office/drawing/2014/main" id="{6324C0BC-FC67-4402-A63D-0965B4F33211}"/>
            </a:ext>
          </a:extLst>
        </xdr:cNvPr>
        <xdr:cNvSpPr txBox="1"/>
      </xdr:nvSpPr>
      <xdr:spPr>
        <a:xfrm>
          <a:off x="2678206" y="3091145"/>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fld id="{BE25C2B2-0BD3-425F-A499-8DEB98E49F87}" type="TxLink">
            <a:rPr lang="en-US" sz="2600" b="1" i="0" u="none" strike="noStrike">
              <a:solidFill>
                <a:srgbClr val="0C769E"/>
              </a:solidFill>
              <a:latin typeface="Arial"/>
              <a:cs typeface="Arial"/>
            </a:rPr>
            <a:pPr/>
            <a:t>37.93497941</a:t>
          </a:fld>
          <a:endParaRPr lang="en-AU" sz="2600" b="1">
            <a:solidFill>
              <a:srgbClr val="0C769E"/>
            </a:solidFill>
          </a:endParaRPr>
        </a:p>
      </xdr:txBody>
    </xdr:sp>
    <xdr:clientData/>
  </xdr:twoCellAnchor>
  <xdr:twoCellAnchor>
    <xdr:from>
      <xdr:col>4</xdr:col>
      <xdr:colOff>1666314</xdr:colOff>
      <xdr:row>14</xdr:row>
      <xdr:rowOff>115423</xdr:rowOff>
    </xdr:from>
    <xdr:to>
      <xdr:col>5</xdr:col>
      <xdr:colOff>1526240</xdr:colOff>
      <xdr:row>17</xdr:row>
      <xdr:rowOff>12328</xdr:rowOff>
    </xdr:to>
    <xdr:sp macro="" textlink="$K$44">
      <xdr:nvSpPr>
        <xdr:cNvPr id="79" name="TextBox 78">
          <a:extLst>
            <a:ext uri="{FF2B5EF4-FFF2-40B4-BE49-F238E27FC236}">
              <a16:creationId xmlns:a16="http://schemas.microsoft.com/office/drawing/2014/main" id="{0D26667F-1D20-477C-90C8-27211090339F}"/>
            </a:ext>
          </a:extLst>
        </xdr:cNvPr>
        <xdr:cNvSpPr txBox="1"/>
      </xdr:nvSpPr>
      <xdr:spPr>
        <a:xfrm>
          <a:off x="8345020" y="3062570"/>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1CF640B-5306-48D2-B952-88A44FBEE044}" type="TxLink">
            <a:rPr lang="en-US" sz="2600" b="1" i="0" u="none" strike="noStrike">
              <a:solidFill>
                <a:srgbClr val="0C769E"/>
              </a:solidFill>
              <a:latin typeface="Arial"/>
              <a:ea typeface="+mn-ea"/>
              <a:cs typeface="Arial"/>
            </a:rPr>
            <a:pPr marL="0" indent="0"/>
            <a:t>38.01067441</a:t>
          </a:fld>
          <a:endParaRPr lang="en-AU" sz="2600" b="1" i="0" u="none" strike="noStrike">
            <a:solidFill>
              <a:srgbClr val="0C769E"/>
            </a:solidFill>
            <a:latin typeface="Arial"/>
            <a:ea typeface="+mn-ea"/>
            <a:cs typeface="Arial"/>
          </a:endParaRPr>
        </a:p>
      </xdr:txBody>
    </xdr:sp>
    <xdr:clientData/>
  </xdr:twoCellAnchor>
  <xdr:twoCellAnchor>
    <xdr:from>
      <xdr:col>3</xdr:col>
      <xdr:colOff>0</xdr:colOff>
      <xdr:row>26</xdr:row>
      <xdr:rowOff>8407</xdr:rowOff>
    </xdr:from>
    <xdr:to>
      <xdr:col>3</xdr:col>
      <xdr:colOff>1952065</xdr:colOff>
      <xdr:row>28</xdr:row>
      <xdr:rowOff>158005</xdr:rowOff>
    </xdr:to>
    <xdr:sp macro="" textlink="$J$52">
      <xdr:nvSpPr>
        <xdr:cNvPr id="80" name="TextBox 79">
          <a:extLst>
            <a:ext uri="{FF2B5EF4-FFF2-40B4-BE49-F238E27FC236}">
              <a16:creationId xmlns:a16="http://schemas.microsoft.com/office/drawing/2014/main" id="{CB177A42-2220-44BE-81E6-CC98FE5B4538}"/>
            </a:ext>
          </a:extLst>
        </xdr:cNvPr>
        <xdr:cNvSpPr txBox="1"/>
      </xdr:nvSpPr>
      <xdr:spPr>
        <a:xfrm>
          <a:off x="2678206" y="5376025"/>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2C616B-A256-4412-8E07-9A9AFDDE19C8}" type="TxLink">
            <a:rPr lang="en-US" sz="2600" b="1" i="0" u="none" strike="noStrike">
              <a:solidFill>
                <a:srgbClr val="4F4789"/>
              </a:solidFill>
              <a:latin typeface="Arial"/>
              <a:ea typeface="+mn-ea"/>
              <a:cs typeface="Arial"/>
            </a:rPr>
            <a:pPr marL="0" indent="0"/>
            <a:t>582.7528865</a:t>
          </a:fld>
          <a:endParaRPr lang="en-AU" sz="2600" b="1" i="0" u="none" strike="noStrike">
            <a:solidFill>
              <a:srgbClr val="4F4789"/>
            </a:solidFill>
            <a:latin typeface="Arial"/>
            <a:ea typeface="+mn-ea"/>
            <a:cs typeface="Arial"/>
          </a:endParaRPr>
        </a:p>
      </xdr:txBody>
    </xdr:sp>
    <xdr:clientData/>
  </xdr:twoCellAnchor>
  <xdr:twoCellAnchor>
    <xdr:from>
      <xdr:col>4</xdr:col>
      <xdr:colOff>1666314</xdr:colOff>
      <xdr:row>26</xdr:row>
      <xdr:rowOff>36982</xdr:rowOff>
    </xdr:from>
    <xdr:to>
      <xdr:col>5</xdr:col>
      <xdr:colOff>1592915</xdr:colOff>
      <xdr:row>28</xdr:row>
      <xdr:rowOff>138955</xdr:rowOff>
    </xdr:to>
    <xdr:sp macro="" textlink="$K$52">
      <xdr:nvSpPr>
        <xdr:cNvPr id="81" name="TextBox 80">
          <a:extLst>
            <a:ext uri="{FF2B5EF4-FFF2-40B4-BE49-F238E27FC236}">
              <a16:creationId xmlns:a16="http://schemas.microsoft.com/office/drawing/2014/main" id="{DBAD4E3A-70B6-4842-B5A7-07CF5430DBDF}"/>
            </a:ext>
          </a:extLst>
        </xdr:cNvPr>
        <xdr:cNvSpPr txBox="1"/>
      </xdr:nvSpPr>
      <xdr:spPr>
        <a:xfrm>
          <a:off x="8345020" y="5404600"/>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85D4D86-42B2-4B88-81D8-F406E4392F0C}" type="TxLink">
            <a:rPr lang="en-US" sz="2600" b="1" i="0" u="none" strike="noStrike">
              <a:solidFill>
                <a:srgbClr val="4F4789"/>
              </a:solidFill>
              <a:latin typeface="Arial"/>
              <a:ea typeface="+mn-ea"/>
              <a:cs typeface="Arial"/>
            </a:rPr>
            <a:pPr marL="0" indent="0"/>
            <a:t>583.6526598</a:t>
          </a:fld>
          <a:endParaRPr lang="en-AU" sz="2600" b="1" i="0" u="none" strike="noStrike">
            <a:solidFill>
              <a:srgbClr val="4F4789"/>
            </a:solidFill>
            <a:latin typeface="Arial"/>
            <a:ea typeface="+mn-ea"/>
            <a:cs typeface="Arial"/>
          </a:endParaRPr>
        </a:p>
      </xdr:txBody>
    </xdr:sp>
    <xdr:clientData/>
  </xdr:twoCellAnchor>
  <xdr:twoCellAnchor>
    <xdr:from>
      <xdr:col>3</xdr:col>
      <xdr:colOff>2323540</xdr:colOff>
      <xdr:row>14</xdr:row>
      <xdr:rowOff>105898</xdr:rowOff>
    </xdr:from>
    <xdr:to>
      <xdr:col>4</xdr:col>
      <xdr:colOff>675715</xdr:colOff>
      <xdr:row>17</xdr:row>
      <xdr:rowOff>12328</xdr:rowOff>
    </xdr:to>
    <xdr:sp macro="" textlink="$J$45">
      <xdr:nvSpPr>
        <xdr:cNvPr id="82" name="TextBox 81">
          <a:extLst>
            <a:ext uri="{FF2B5EF4-FFF2-40B4-BE49-F238E27FC236}">
              <a16:creationId xmlns:a16="http://schemas.microsoft.com/office/drawing/2014/main" id="{4DFA1D84-8CB2-4FF6-B396-5EB6038F7F8C}"/>
            </a:ext>
          </a:extLst>
        </xdr:cNvPr>
        <xdr:cNvSpPr txBox="1"/>
      </xdr:nvSpPr>
      <xdr:spPr>
        <a:xfrm>
          <a:off x="5001746" y="3053045"/>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2CB6A43-519A-4BE9-9BAA-F4B8A2722440}" type="TxLink">
            <a:rPr lang="en-US" sz="2600" b="1" i="0" u="none" strike="noStrike">
              <a:solidFill>
                <a:srgbClr val="0C769E"/>
              </a:solidFill>
              <a:latin typeface="Arial"/>
              <a:ea typeface="+mn-ea"/>
              <a:cs typeface="Arial"/>
            </a:rPr>
            <a:pPr marL="0" indent="0"/>
            <a:t>37.93497941</a:t>
          </a:fld>
          <a:endParaRPr lang="en-AU" sz="2600" b="1" i="0" u="none" strike="noStrike">
            <a:solidFill>
              <a:srgbClr val="0C769E"/>
            </a:solidFill>
            <a:latin typeface="Arial"/>
            <a:ea typeface="+mn-ea"/>
            <a:cs typeface="Arial"/>
          </a:endParaRPr>
        </a:p>
      </xdr:txBody>
    </xdr:sp>
    <xdr:clientData/>
  </xdr:twoCellAnchor>
  <xdr:twoCellAnchor>
    <xdr:from>
      <xdr:col>6</xdr:col>
      <xdr:colOff>49866</xdr:colOff>
      <xdr:row>14</xdr:row>
      <xdr:rowOff>134473</xdr:rowOff>
    </xdr:from>
    <xdr:to>
      <xdr:col>6</xdr:col>
      <xdr:colOff>1957668</xdr:colOff>
      <xdr:row>17</xdr:row>
      <xdr:rowOff>12328</xdr:rowOff>
    </xdr:to>
    <xdr:sp macro="" textlink="$K$45">
      <xdr:nvSpPr>
        <xdr:cNvPr id="83" name="TextBox 82">
          <a:extLst>
            <a:ext uri="{FF2B5EF4-FFF2-40B4-BE49-F238E27FC236}">
              <a16:creationId xmlns:a16="http://schemas.microsoft.com/office/drawing/2014/main" id="{10441D10-2492-43F9-94EF-AD0503103E39}"/>
            </a:ext>
          </a:extLst>
        </xdr:cNvPr>
        <xdr:cNvSpPr txBox="1"/>
      </xdr:nvSpPr>
      <xdr:spPr>
        <a:xfrm>
          <a:off x="10829925" y="3081620"/>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FB47873-57C9-4A6B-8346-5DDEF9E8D242}" type="TxLink">
            <a:rPr lang="en-US" sz="2600" b="1" i="0" u="none" strike="noStrike">
              <a:solidFill>
                <a:srgbClr val="0C769E"/>
              </a:solidFill>
              <a:latin typeface="Arial"/>
              <a:ea typeface="+mn-ea"/>
              <a:cs typeface="Arial"/>
            </a:rPr>
            <a:pPr marL="0" indent="0"/>
            <a:t>38.01067441</a:t>
          </a:fld>
          <a:endParaRPr lang="en-AU" sz="2600" b="1" i="0" u="none" strike="noStrike">
            <a:solidFill>
              <a:srgbClr val="0C769E"/>
            </a:solidFill>
            <a:latin typeface="Arial"/>
            <a:ea typeface="+mn-ea"/>
            <a:cs typeface="Arial"/>
          </a:endParaRPr>
        </a:p>
      </xdr:txBody>
    </xdr:sp>
    <xdr:clientData/>
  </xdr:twoCellAnchor>
  <xdr:twoCellAnchor>
    <xdr:from>
      <xdr:col>3</xdr:col>
      <xdr:colOff>0</xdr:colOff>
      <xdr:row>13</xdr:row>
      <xdr:rowOff>24655</xdr:rowOff>
    </xdr:from>
    <xdr:to>
      <xdr:col>3</xdr:col>
      <xdr:colOff>1532965</xdr:colOff>
      <xdr:row>14</xdr:row>
      <xdr:rowOff>105897</xdr:rowOff>
    </xdr:to>
    <xdr:sp macro="" textlink="$J$44">
      <xdr:nvSpPr>
        <xdr:cNvPr id="84" name="TextBox 83">
          <a:extLst>
            <a:ext uri="{FF2B5EF4-FFF2-40B4-BE49-F238E27FC236}">
              <a16:creationId xmlns:a16="http://schemas.microsoft.com/office/drawing/2014/main" id="{D65B372C-9529-42C4-AFC1-F40E336721BE}"/>
            </a:ext>
          </a:extLst>
        </xdr:cNvPr>
        <xdr:cNvSpPr txBox="1"/>
      </xdr:nvSpPr>
      <xdr:spPr>
        <a:xfrm>
          <a:off x="2678206" y="2770096"/>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3</xdr:col>
      <xdr:colOff>2323540</xdr:colOff>
      <xdr:row>13</xdr:row>
      <xdr:rowOff>24655</xdr:rowOff>
    </xdr:from>
    <xdr:to>
      <xdr:col>4</xdr:col>
      <xdr:colOff>895268</xdr:colOff>
      <xdr:row>14</xdr:row>
      <xdr:rowOff>105897</xdr:rowOff>
    </xdr:to>
    <xdr:sp macro="" textlink="$J$44">
      <xdr:nvSpPr>
        <xdr:cNvPr id="85" name="TextBox 84">
          <a:extLst>
            <a:ext uri="{FF2B5EF4-FFF2-40B4-BE49-F238E27FC236}">
              <a16:creationId xmlns:a16="http://schemas.microsoft.com/office/drawing/2014/main" id="{205AAFFD-D024-43E7-B739-5E50A03C4C17}"/>
            </a:ext>
          </a:extLst>
        </xdr:cNvPr>
        <xdr:cNvSpPr txBox="1"/>
      </xdr:nvSpPr>
      <xdr:spPr>
        <a:xfrm>
          <a:off x="5001746" y="2770096"/>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3</xdr:col>
      <xdr:colOff>0</xdr:colOff>
      <xdr:row>11</xdr:row>
      <xdr:rowOff>49869</xdr:rowOff>
    </xdr:from>
    <xdr:to>
      <xdr:col>3</xdr:col>
      <xdr:colOff>1532965</xdr:colOff>
      <xdr:row>12</xdr:row>
      <xdr:rowOff>131110</xdr:rowOff>
    </xdr:to>
    <xdr:sp macro="" textlink="$J$44">
      <xdr:nvSpPr>
        <xdr:cNvPr id="86" name="TextBox 85">
          <a:extLst>
            <a:ext uri="{FF2B5EF4-FFF2-40B4-BE49-F238E27FC236}">
              <a16:creationId xmlns:a16="http://schemas.microsoft.com/office/drawing/2014/main" id="{2972A808-84E3-4357-B78C-5B8D3D579AE1}"/>
            </a:ext>
          </a:extLst>
        </xdr:cNvPr>
        <xdr:cNvSpPr txBox="1"/>
      </xdr:nvSpPr>
      <xdr:spPr>
        <a:xfrm>
          <a:off x="2678206" y="2391898"/>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3</xdr:col>
      <xdr:colOff>38100</xdr:colOff>
      <xdr:row>9</xdr:row>
      <xdr:rowOff>56032</xdr:rowOff>
    </xdr:from>
    <xdr:to>
      <xdr:col>3</xdr:col>
      <xdr:colOff>2218765</xdr:colOff>
      <xdr:row>11</xdr:row>
      <xdr:rowOff>21294</xdr:rowOff>
    </xdr:to>
    <xdr:sp macro="" textlink="">
      <xdr:nvSpPr>
        <xdr:cNvPr id="87" name="TextBox 86">
          <a:extLst>
            <a:ext uri="{FF2B5EF4-FFF2-40B4-BE49-F238E27FC236}">
              <a16:creationId xmlns:a16="http://schemas.microsoft.com/office/drawing/2014/main" id="{47E34C48-5D90-4E62-A2F6-40E64C953A02}"/>
            </a:ext>
          </a:extLst>
        </xdr:cNvPr>
        <xdr:cNvSpPr txBox="1"/>
      </xdr:nvSpPr>
      <xdr:spPr>
        <a:xfrm>
          <a:off x="2716306" y="1994650"/>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3</xdr:col>
      <xdr:colOff>47625</xdr:colOff>
      <xdr:row>11</xdr:row>
      <xdr:rowOff>25411</xdr:rowOff>
    </xdr:from>
    <xdr:to>
      <xdr:col>7</xdr:col>
      <xdr:colOff>379319</xdr:colOff>
      <xdr:row>11</xdr:row>
      <xdr:rowOff>40344</xdr:rowOff>
    </xdr:to>
    <xdr:cxnSp macro="">
      <xdr:nvCxnSpPr>
        <xdr:cNvPr id="88" name="Straight Connector 87">
          <a:extLst>
            <a:ext uri="{FF2B5EF4-FFF2-40B4-BE49-F238E27FC236}">
              <a16:creationId xmlns:a16="http://schemas.microsoft.com/office/drawing/2014/main" id="{0CEE1C48-3375-4BA3-961D-85051EDC2980}"/>
            </a:ext>
          </a:extLst>
        </xdr:cNvPr>
        <xdr:cNvCxnSpPr/>
      </xdr:nvCxnSpPr>
      <xdr:spPr>
        <a:xfrm flipV="1">
          <a:off x="2725831" y="2367440"/>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13</xdr:row>
      <xdr:rowOff>24655</xdr:rowOff>
    </xdr:from>
    <xdr:to>
      <xdr:col>5</xdr:col>
      <xdr:colOff>1154765</xdr:colOff>
      <xdr:row>14</xdr:row>
      <xdr:rowOff>105897</xdr:rowOff>
    </xdr:to>
    <xdr:sp macro="" textlink="$J$44">
      <xdr:nvSpPr>
        <xdr:cNvPr id="89" name="TextBox 88">
          <a:extLst>
            <a:ext uri="{FF2B5EF4-FFF2-40B4-BE49-F238E27FC236}">
              <a16:creationId xmlns:a16="http://schemas.microsoft.com/office/drawing/2014/main" id="{DFC460AF-9379-4449-9C0A-7B2F11C0397D}"/>
            </a:ext>
          </a:extLst>
        </xdr:cNvPr>
        <xdr:cNvSpPr txBox="1"/>
      </xdr:nvSpPr>
      <xdr:spPr>
        <a:xfrm>
          <a:off x="8345020" y="2770096"/>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6</xdr:col>
      <xdr:colOff>49866</xdr:colOff>
      <xdr:row>13</xdr:row>
      <xdr:rowOff>24655</xdr:rowOff>
    </xdr:from>
    <xdr:to>
      <xdr:col>7</xdr:col>
      <xdr:colOff>579822</xdr:colOff>
      <xdr:row>14</xdr:row>
      <xdr:rowOff>105897</xdr:rowOff>
    </xdr:to>
    <xdr:sp macro="" textlink="$J$44">
      <xdr:nvSpPr>
        <xdr:cNvPr id="90" name="TextBox 89">
          <a:extLst>
            <a:ext uri="{FF2B5EF4-FFF2-40B4-BE49-F238E27FC236}">
              <a16:creationId xmlns:a16="http://schemas.microsoft.com/office/drawing/2014/main" id="{A7555654-AC40-4A20-8C7C-5472B92143A7}"/>
            </a:ext>
          </a:extLst>
        </xdr:cNvPr>
        <xdr:cNvSpPr txBox="1"/>
      </xdr:nvSpPr>
      <xdr:spPr>
        <a:xfrm>
          <a:off x="10829925" y="2770096"/>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4</xdr:col>
      <xdr:colOff>1666314</xdr:colOff>
      <xdr:row>11</xdr:row>
      <xdr:rowOff>49869</xdr:rowOff>
    </xdr:from>
    <xdr:to>
      <xdr:col>5</xdr:col>
      <xdr:colOff>1154765</xdr:colOff>
      <xdr:row>12</xdr:row>
      <xdr:rowOff>131110</xdr:rowOff>
    </xdr:to>
    <xdr:sp macro="" textlink="$J$44">
      <xdr:nvSpPr>
        <xdr:cNvPr id="91" name="TextBox 90">
          <a:extLst>
            <a:ext uri="{FF2B5EF4-FFF2-40B4-BE49-F238E27FC236}">
              <a16:creationId xmlns:a16="http://schemas.microsoft.com/office/drawing/2014/main" id="{1B097AE8-6BFD-4333-B0EB-FC56C2962059}"/>
            </a:ext>
          </a:extLst>
        </xdr:cNvPr>
        <xdr:cNvSpPr txBox="1"/>
      </xdr:nvSpPr>
      <xdr:spPr>
        <a:xfrm>
          <a:off x="8345020" y="2391898"/>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0</xdr:colOff>
      <xdr:row>12</xdr:row>
      <xdr:rowOff>150161</xdr:rowOff>
    </xdr:from>
    <xdr:to>
      <xdr:col>4</xdr:col>
      <xdr:colOff>866215</xdr:colOff>
      <xdr:row>12</xdr:row>
      <xdr:rowOff>150161</xdr:rowOff>
    </xdr:to>
    <xdr:cxnSp macro="">
      <xdr:nvCxnSpPr>
        <xdr:cNvPr id="92" name="Straight Connector 91">
          <a:extLst>
            <a:ext uri="{FF2B5EF4-FFF2-40B4-BE49-F238E27FC236}">
              <a16:creationId xmlns:a16="http://schemas.microsoft.com/office/drawing/2014/main" id="{515B2240-CF6B-434A-8E39-66B030531D7A}"/>
            </a:ext>
          </a:extLst>
        </xdr:cNvPr>
        <xdr:cNvCxnSpPr/>
      </xdr:nvCxnSpPr>
      <xdr:spPr>
        <a:xfrm>
          <a:off x="2678206" y="2693896"/>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12</xdr:row>
      <xdr:rowOff>150161</xdr:rowOff>
    </xdr:from>
    <xdr:to>
      <xdr:col>7</xdr:col>
      <xdr:colOff>398368</xdr:colOff>
      <xdr:row>12</xdr:row>
      <xdr:rowOff>150161</xdr:rowOff>
    </xdr:to>
    <xdr:cxnSp macro="">
      <xdr:nvCxnSpPr>
        <xdr:cNvPr id="93" name="Straight Connector 92">
          <a:extLst>
            <a:ext uri="{FF2B5EF4-FFF2-40B4-BE49-F238E27FC236}">
              <a16:creationId xmlns:a16="http://schemas.microsoft.com/office/drawing/2014/main" id="{5BE13F51-936B-49C8-A80F-AF6384A70483}"/>
            </a:ext>
          </a:extLst>
        </xdr:cNvPr>
        <xdr:cNvCxnSpPr/>
      </xdr:nvCxnSpPr>
      <xdr:spPr>
        <a:xfrm>
          <a:off x="8345020" y="2693896"/>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24</xdr:row>
      <xdr:rowOff>101976</xdr:rowOff>
    </xdr:from>
    <xdr:to>
      <xdr:col>3</xdr:col>
      <xdr:colOff>1532965</xdr:colOff>
      <xdr:row>25</xdr:row>
      <xdr:rowOff>181537</xdr:rowOff>
    </xdr:to>
    <xdr:sp macro="" textlink="$J$44">
      <xdr:nvSpPr>
        <xdr:cNvPr id="94" name="TextBox 93">
          <a:extLst>
            <a:ext uri="{FF2B5EF4-FFF2-40B4-BE49-F238E27FC236}">
              <a16:creationId xmlns:a16="http://schemas.microsoft.com/office/drawing/2014/main" id="{8ADB1D82-4B8C-48B4-A263-128CFD77FBCA}"/>
            </a:ext>
          </a:extLst>
        </xdr:cNvPr>
        <xdr:cNvSpPr txBox="1"/>
      </xdr:nvSpPr>
      <xdr:spPr>
        <a:xfrm>
          <a:off x="2678206" y="5066182"/>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3</xdr:col>
      <xdr:colOff>2408787</xdr:colOff>
      <xdr:row>24</xdr:row>
      <xdr:rowOff>101976</xdr:rowOff>
    </xdr:from>
    <xdr:to>
      <xdr:col>4</xdr:col>
      <xdr:colOff>980515</xdr:colOff>
      <xdr:row>25</xdr:row>
      <xdr:rowOff>181537</xdr:rowOff>
    </xdr:to>
    <xdr:sp macro="" textlink="$J$44">
      <xdr:nvSpPr>
        <xdr:cNvPr id="95" name="TextBox 94">
          <a:extLst>
            <a:ext uri="{FF2B5EF4-FFF2-40B4-BE49-F238E27FC236}">
              <a16:creationId xmlns:a16="http://schemas.microsoft.com/office/drawing/2014/main" id="{051442B9-C9B2-4861-B5C5-BF3F6DDB8602}"/>
            </a:ext>
          </a:extLst>
        </xdr:cNvPr>
        <xdr:cNvSpPr txBox="1"/>
      </xdr:nvSpPr>
      <xdr:spPr>
        <a:xfrm>
          <a:off x="5086993" y="5066182"/>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3</xdr:col>
      <xdr:colOff>0</xdr:colOff>
      <xdr:row>22</xdr:row>
      <xdr:rowOff>128870</xdr:rowOff>
    </xdr:from>
    <xdr:to>
      <xdr:col>3</xdr:col>
      <xdr:colOff>1532965</xdr:colOff>
      <xdr:row>24</xdr:row>
      <xdr:rowOff>5044</xdr:rowOff>
    </xdr:to>
    <xdr:sp macro="" textlink="$J$44">
      <xdr:nvSpPr>
        <xdr:cNvPr id="96" name="TextBox 95">
          <a:extLst>
            <a:ext uri="{FF2B5EF4-FFF2-40B4-BE49-F238E27FC236}">
              <a16:creationId xmlns:a16="http://schemas.microsoft.com/office/drawing/2014/main" id="{07E5EDC8-C6D4-49ED-9FD8-4E72EA16C5E9}"/>
            </a:ext>
          </a:extLst>
        </xdr:cNvPr>
        <xdr:cNvSpPr txBox="1"/>
      </xdr:nvSpPr>
      <xdr:spPr>
        <a:xfrm>
          <a:off x="2678206" y="4689664"/>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3</xdr:col>
      <xdr:colOff>0</xdr:colOff>
      <xdr:row>16</xdr:row>
      <xdr:rowOff>118785</xdr:rowOff>
    </xdr:from>
    <xdr:ext cx="1978747" cy="254493"/>
    <xdr:sp macro="" textlink="">
      <xdr:nvSpPr>
        <xdr:cNvPr id="97" name="TextBox 96">
          <a:extLst>
            <a:ext uri="{FF2B5EF4-FFF2-40B4-BE49-F238E27FC236}">
              <a16:creationId xmlns:a16="http://schemas.microsoft.com/office/drawing/2014/main" id="{74F57209-8D04-4DB7-987B-A078967A1A1B}"/>
            </a:ext>
          </a:extLst>
        </xdr:cNvPr>
        <xdr:cNvSpPr txBox="1"/>
      </xdr:nvSpPr>
      <xdr:spPr>
        <a:xfrm>
          <a:off x="267820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38100</xdr:colOff>
      <xdr:row>20</xdr:row>
      <xdr:rowOff>135033</xdr:rowOff>
    </xdr:from>
    <xdr:to>
      <xdr:col>3</xdr:col>
      <xdr:colOff>2218765</xdr:colOff>
      <xdr:row>22</xdr:row>
      <xdr:rowOff>98614</xdr:rowOff>
    </xdr:to>
    <xdr:sp macro="" textlink="">
      <xdr:nvSpPr>
        <xdr:cNvPr id="98" name="TextBox 97">
          <a:extLst>
            <a:ext uri="{FF2B5EF4-FFF2-40B4-BE49-F238E27FC236}">
              <a16:creationId xmlns:a16="http://schemas.microsoft.com/office/drawing/2014/main" id="{F9F6E8D7-844A-41CC-92D5-F1D50209A017}"/>
            </a:ext>
          </a:extLst>
        </xdr:cNvPr>
        <xdr:cNvSpPr txBox="1"/>
      </xdr:nvSpPr>
      <xdr:spPr>
        <a:xfrm>
          <a:off x="2716306" y="4292415"/>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3</xdr:col>
      <xdr:colOff>47625</xdr:colOff>
      <xdr:row>22</xdr:row>
      <xdr:rowOff>102663</xdr:rowOff>
    </xdr:from>
    <xdr:to>
      <xdr:col>7</xdr:col>
      <xdr:colOff>426944</xdr:colOff>
      <xdr:row>22</xdr:row>
      <xdr:rowOff>119345</xdr:rowOff>
    </xdr:to>
    <xdr:cxnSp macro="">
      <xdr:nvCxnSpPr>
        <xdr:cNvPr id="99" name="Straight Connector 98">
          <a:extLst>
            <a:ext uri="{FF2B5EF4-FFF2-40B4-BE49-F238E27FC236}">
              <a16:creationId xmlns:a16="http://schemas.microsoft.com/office/drawing/2014/main" id="{E4550A14-CA77-4AAA-8A4A-741BD64263DA}"/>
            </a:ext>
          </a:extLst>
        </xdr:cNvPr>
        <xdr:cNvCxnSpPr/>
      </xdr:nvCxnSpPr>
      <xdr:spPr>
        <a:xfrm flipV="1">
          <a:off x="2725831" y="4663457"/>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24</xdr:row>
      <xdr:rowOff>101976</xdr:rowOff>
    </xdr:from>
    <xdr:to>
      <xdr:col>5</xdr:col>
      <xdr:colOff>1154765</xdr:colOff>
      <xdr:row>25</xdr:row>
      <xdr:rowOff>181537</xdr:rowOff>
    </xdr:to>
    <xdr:sp macro="" textlink="$J$44">
      <xdr:nvSpPr>
        <xdr:cNvPr id="100" name="TextBox 99">
          <a:extLst>
            <a:ext uri="{FF2B5EF4-FFF2-40B4-BE49-F238E27FC236}">
              <a16:creationId xmlns:a16="http://schemas.microsoft.com/office/drawing/2014/main" id="{8BF43C3A-8C1D-4E7F-940B-F95819B22421}"/>
            </a:ext>
          </a:extLst>
        </xdr:cNvPr>
        <xdr:cNvSpPr txBox="1"/>
      </xdr:nvSpPr>
      <xdr:spPr>
        <a:xfrm>
          <a:off x="8345020" y="5066182"/>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6</xdr:col>
      <xdr:colOff>49866</xdr:colOff>
      <xdr:row>24</xdr:row>
      <xdr:rowOff>101976</xdr:rowOff>
    </xdr:from>
    <xdr:to>
      <xdr:col>7</xdr:col>
      <xdr:colOff>579822</xdr:colOff>
      <xdr:row>25</xdr:row>
      <xdr:rowOff>181537</xdr:rowOff>
    </xdr:to>
    <xdr:sp macro="" textlink="$J$44">
      <xdr:nvSpPr>
        <xdr:cNvPr id="101" name="TextBox 100">
          <a:extLst>
            <a:ext uri="{FF2B5EF4-FFF2-40B4-BE49-F238E27FC236}">
              <a16:creationId xmlns:a16="http://schemas.microsoft.com/office/drawing/2014/main" id="{2C10772E-DD3A-4BAF-B36F-28A4B97AF469}"/>
            </a:ext>
          </a:extLst>
        </xdr:cNvPr>
        <xdr:cNvSpPr txBox="1"/>
      </xdr:nvSpPr>
      <xdr:spPr>
        <a:xfrm>
          <a:off x="10829925" y="5066182"/>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4</xdr:col>
      <xdr:colOff>1666314</xdr:colOff>
      <xdr:row>22</xdr:row>
      <xdr:rowOff>128870</xdr:rowOff>
    </xdr:from>
    <xdr:to>
      <xdr:col>5</xdr:col>
      <xdr:colOff>1154765</xdr:colOff>
      <xdr:row>24</xdr:row>
      <xdr:rowOff>5044</xdr:rowOff>
    </xdr:to>
    <xdr:sp macro="" textlink="$J$44">
      <xdr:nvSpPr>
        <xdr:cNvPr id="102" name="TextBox 101">
          <a:extLst>
            <a:ext uri="{FF2B5EF4-FFF2-40B4-BE49-F238E27FC236}">
              <a16:creationId xmlns:a16="http://schemas.microsoft.com/office/drawing/2014/main" id="{21F1BAC9-A1BF-493E-8C57-D819BB045F9D}"/>
            </a:ext>
          </a:extLst>
        </xdr:cNvPr>
        <xdr:cNvSpPr txBox="1"/>
      </xdr:nvSpPr>
      <xdr:spPr>
        <a:xfrm>
          <a:off x="8345020" y="4689664"/>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0</xdr:colOff>
      <xdr:row>24</xdr:row>
      <xdr:rowOff>24095</xdr:rowOff>
    </xdr:from>
    <xdr:to>
      <xdr:col>4</xdr:col>
      <xdr:colOff>894790</xdr:colOff>
      <xdr:row>24</xdr:row>
      <xdr:rowOff>24095</xdr:rowOff>
    </xdr:to>
    <xdr:cxnSp macro="">
      <xdr:nvCxnSpPr>
        <xdr:cNvPr id="103" name="Straight Connector 102">
          <a:extLst>
            <a:ext uri="{FF2B5EF4-FFF2-40B4-BE49-F238E27FC236}">
              <a16:creationId xmlns:a16="http://schemas.microsoft.com/office/drawing/2014/main" id="{116B0BCA-4E23-46CE-9AF1-B13CBB354EB7}"/>
            </a:ext>
          </a:extLst>
        </xdr:cNvPr>
        <xdr:cNvCxnSpPr/>
      </xdr:nvCxnSpPr>
      <xdr:spPr>
        <a:xfrm>
          <a:off x="2678206" y="4988301"/>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1666314</xdr:colOff>
      <xdr:row>24</xdr:row>
      <xdr:rowOff>24095</xdr:rowOff>
    </xdr:from>
    <xdr:to>
      <xdr:col>7</xdr:col>
      <xdr:colOff>436468</xdr:colOff>
      <xdr:row>24</xdr:row>
      <xdr:rowOff>24095</xdr:rowOff>
    </xdr:to>
    <xdr:cxnSp macro="">
      <xdr:nvCxnSpPr>
        <xdr:cNvPr id="104" name="Straight Connector 103">
          <a:extLst>
            <a:ext uri="{FF2B5EF4-FFF2-40B4-BE49-F238E27FC236}">
              <a16:creationId xmlns:a16="http://schemas.microsoft.com/office/drawing/2014/main" id="{71B71B52-D44C-4926-B949-90F4D2325CB5}"/>
            </a:ext>
          </a:extLst>
        </xdr:cNvPr>
        <xdr:cNvCxnSpPr/>
      </xdr:nvCxnSpPr>
      <xdr:spPr>
        <a:xfrm>
          <a:off x="8345020" y="4988301"/>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2323540</xdr:colOff>
      <xdr:row>16</xdr:row>
      <xdr:rowOff>118785</xdr:rowOff>
    </xdr:from>
    <xdr:ext cx="1978747" cy="254493"/>
    <xdr:sp macro="" textlink="">
      <xdr:nvSpPr>
        <xdr:cNvPr id="105" name="TextBox 104">
          <a:extLst>
            <a:ext uri="{FF2B5EF4-FFF2-40B4-BE49-F238E27FC236}">
              <a16:creationId xmlns:a16="http://schemas.microsoft.com/office/drawing/2014/main" id="{E1A05E49-6C68-4EFE-89B7-3040A7A1ED8F}"/>
            </a:ext>
          </a:extLst>
        </xdr:cNvPr>
        <xdr:cNvSpPr txBox="1"/>
      </xdr:nvSpPr>
      <xdr:spPr>
        <a:xfrm>
          <a:off x="500174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4</xdr:col>
      <xdr:colOff>1666314</xdr:colOff>
      <xdr:row>16</xdr:row>
      <xdr:rowOff>118785</xdr:rowOff>
    </xdr:from>
    <xdr:ext cx="1978747" cy="254493"/>
    <xdr:sp macro="" textlink="">
      <xdr:nvSpPr>
        <xdr:cNvPr id="106" name="TextBox 105">
          <a:extLst>
            <a:ext uri="{FF2B5EF4-FFF2-40B4-BE49-F238E27FC236}">
              <a16:creationId xmlns:a16="http://schemas.microsoft.com/office/drawing/2014/main" id="{58932CEC-AA0D-4863-ADBE-EB6D854221D5}"/>
            </a:ext>
          </a:extLst>
        </xdr:cNvPr>
        <xdr:cNvSpPr txBox="1"/>
      </xdr:nvSpPr>
      <xdr:spPr>
        <a:xfrm>
          <a:off x="8345020"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49866</xdr:colOff>
      <xdr:row>16</xdr:row>
      <xdr:rowOff>118785</xdr:rowOff>
    </xdr:from>
    <xdr:ext cx="1978747" cy="254493"/>
    <xdr:sp macro="" textlink="">
      <xdr:nvSpPr>
        <xdr:cNvPr id="107" name="TextBox 106">
          <a:extLst>
            <a:ext uri="{FF2B5EF4-FFF2-40B4-BE49-F238E27FC236}">
              <a16:creationId xmlns:a16="http://schemas.microsoft.com/office/drawing/2014/main" id="{EBBAE93E-8D8D-401B-BB50-3157E39D783D}"/>
            </a:ext>
          </a:extLst>
        </xdr:cNvPr>
        <xdr:cNvSpPr txBox="1"/>
      </xdr:nvSpPr>
      <xdr:spPr>
        <a:xfrm>
          <a:off x="10829925"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0</xdr:colOff>
      <xdr:row>28</xdr:row>
      <xdr:rowOff>87969</xdr:rowOff>
    </xdr:from>
    <xdr:ext cx="1978747" cy="254493"/>
    <xdr:sp macro="" textlink="">
      <xdr:nvSpPr>
        <xdr:cNvPr id="108" name="TextBox 107">
          <a:extLst>
            <a:ext uri="{FF2B5EF4-FFF2-40B4-BE49-F238E27FC236}">
              <a16:creationId xmlns:a16="http://schemas.microsoft.com/office/drawing/2014/main" id="{4A38E562-A13E-4C8B-80AD-B39CF1FEECE2}"/>
            </a:ext>
          </a:extLst>
        </xdr:cNvPr>
        <xdr:cNvSpPr txBox="1"/>
      </xdr:nvSpPr>
      <xdr:spPr>
        <a:xfrm>
          <a:off x="2678206"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2333065</xdr:colOff>
      <xdr:row>28</xdr:row>
      <xdr:rowOff>87969</xdr:rowOff>
    </xdr:from>
    <xdr:ext cx="1978747" cy="254493"/>
    <xdr:sp macro="" textlink="">
      <xdr:nvSpPr>
        <xdr:cNvPr id="109" name="TextBox 108">
          <a:extLst>
            <a:ext uri="{FF2B5EF4-FFF2-40B4-BE49-F238E27FC236}">
              <a16:creationId xmlns:a16="http://schemas.microsoft.com/office/drawing/2014/main" id="{57055F1F-1A5E-4F33-9836-0605F0CF493B}"/>
            </a:ext>
          </a:extLst>
        </xdr:cNvPr>
        <xdr:cNvSpPr txBox="1"/>
      </xdr:nvSpPr>
      <xdr:spPr>
        <a:xfrm>
          <a:off x="5011271"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4</xdr:col>
      <xdr:colOff>1666314</xdr:colOff>
      <xdr:row>28</xdr:row>
      <xdr:rowOff>87969</xdr:rowOff>
    </xdr:from>
    <xdr:ext cx="1978747" cy="254493"/>
    <xdr:sp macro="" textlink="">
      <xdr:nvSpPr>
        <xdr:cNvPr id="110" name="TextBox 109">
          <a:extLst>
            <a:ext uri="{FF2B5EF4-FFF2-40B4-BE49-F238E27FC236}">
              <a16:creationId xmlns:a16="http://schemas.microsoft.com/office/drawing/2014/main" id="{0255C1BA-EF45-4B88-B5FA-A52375BACDC8}"/>
            </a:ext>
          </a:extLst>
        </xdr:cNvPr>
        <xdr:cNvSpPr txBox="1"/>
      </xdr:nvSpPr>
      <xdr:spPr>
        <a:xfrm>
          <a:off x="8345020"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49866</xdr:colOff>
      <xdr:row>28</xdr:row>
      <xdr:rowOff>87969</xdr:rowOff>
    </xdr:from>
    <xdr:ext cx="1978747" cy="254493"/>
    <xdr:sp macro="" textlink="">
      <xdr:nvSpPr>
        <xdr:cNvPr id="111" name="TextBox 110">
          <a:extLst>
            <a:ext uri="{FF2B5EF4-FFF2-40B4-BE49-F238E27FC236}">
              <a16:creationId xmlns:a16="http://schemas.microsoft.com/office/drawing/2014/main" id="{1FE74972-27B6-4F77-BF8B-FD910771357E}"/>
            </a:ext>
          </a:extLst>
        </xdr:cNvPr>
        <xdr:cNvSpPr txBox="1"/>
      </xdr:nvSpPr>
      <xdr:spPr>
        <a:xfrm>
          <a:off x="10829925"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2361640</xdr:colOff>
      <xdr:row>26</xdr:row>
      <xdr:rowOff>8407</xdr:rowOff>
    </xdr:from>
    <xdr:to>
      <xdr:col>4</xdr:col>
      <xdr:colOff>313765</xdr:colOff>
      <xdr:row>28</xdr:row>
      <xdr:rowOff>158005</xdr:rowOff>
    </xdr:to>
    <xdr:sp macro="" textlink="$J$53">
      <xdr:nvSpPr>
        <xdr:cNvPr id="112" name="TextBox 111">
          <a:extLst>
            <a:ext uri="{FF2B5EF4-FFF2-40B4-BE49-F238E27FC236}">
              <a16:creationId xmlns:a16="http://schemas.microsoft.com/office/drawing/2014/main" id="{DFE9DD5D-C807-4E3C-B113-9A9665AA0ED7}"/>
            </a:ext>
          </a:extLst>
        </xdr:cNvPr>
        <xdr:cNvSpPr txBox="1"/>
      </xdr:nvSpPr>
      <xdr:spPr>
        <a:xfrm>
          <a:off x="5039846" y="5376025"/>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8B8ADE77-8739-4C42-8C9D-E087028DA258}" type="TxLink">
            <a:rPr lang="en-US" sz="2600" b="1" i="0" u="none" strike="noStrike">
              <a:solidFill>
                <a:srgbClr val="4F4789"/>
              </a:solidFill>
              <a:latin typeface="Arial"/>
              <a:ea typeface="+mn-ea"/>
              <a:cs typeface="Arial"/>
            </a:rPr>
            <a:pPr marL="0" indent="0"/>
            <a:t>582.7528865</a:t>
          </a:fld>
          <a:endParaRPr lang="en-AU" sz="2600" b="1" i="0" u="none" strike="noStrike">
            <a:solidFill>
              <a:srgbClr val="4F4789"/>
            </a:solidFill>
            <a:latin typeface="Arial"/>
            <a:ea typeface="+mn-ea"/>
            <a:cs typeface="Arial"/>
          </a:endParaRPr>
        </a:p>
      </xdr:txBody>
    </xdr:sp>
    <xdr:clientData/>
  </xdr:twoCellAnchor>
  <xdr:twoCellAnchor>
    <xdr:from>
      <xdr:col>5</xdr:col>
      <xdr:colOff>1983440</xdr:colOff>
      <xdr:row>26</xdr:row>
      <xdr:rowOff>36982</xdr:rowOff>
    </xdr:from>
    <xdr:to>
      <xdr:col>6</xdr:col>
      <xdr:colOff>1910042</xdr:colOff>
      <xdr:row>28</xdr:row>
      <xdr:rowOff>138955</xdr:rowOff>
    </xdr:to>
    <xdr:sp macro="" textlink="$K$53">
      <xdr:nvSpPr>
        <xdr:cNvPr id="113" name="TextBox 112">
          <a:extLst>
            <a:ext uri="{FF2B5EF4-FFF2-40B4-BE49-F238E27FC236}">
              <a16:creationId xmlns:a16="http://schemas.microsoft.com/office/drawing/2014/main" id="{419A6354-03AF-4EBF-8FCB-0A0986B37ED9}"/>
            </a:ext>
          </a:extLst>
        </xdr:cNvPr>
        <xdr:cNvSpPr txBox="1"/>
      </xdr:nvSpPr>
      <xdr:spPr>
        <a:xfrm>
          <a:off x="10712822" y="5404600"/>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9A87D5F-A637-4BA0-BFE4-996CA0B467D5}" type="TxLink">
            <a:rPr lang="en-US" sz="2600" b="1" i="0" u="none" strike="noStrike">
              <a:solidFill>
                <a:srgbClr val="4F4789"/>
              </a:solidFill>
              <a:latin typeface="Arial"/>
              <a:ea typeface="+mn-ea"/>
              <a:cs typeface="Arial"/>
            </a:rPr>
            <a:pPr marL="0" indent="0"/>
            <a:t>583.6526598</a:t>
          </a:fld>
          <a:endParaRPr lang="en-AU" sz="2600" b="1" i="0" u="none" strike="noStrike">
            <a:solidFill>
              <a:srgbClr val="4F4789"/>
            </a:solidFill>
            <a:latin typeface="Arial"/>
            <a:ea typeface="+mn-ea"/>
            <a:cs typeface="Arial"/>
          </a:endParaRPr>
        </a:p>
      </xdr:txBody>
    </xdr:sp>
    <xdr:clientData/>
  </xdr:twoCellAnchor>
  <xdr:twoCellAnchor>
    <xdr:from>
      <xdr:col>8</xdr:col>
      <xdr:colOff>45944</xdr:colOff>
      <xdr:row>14</xdr:row>
      <xdr:rowOff>143998</xdr:rowOff>
    </xdr:from>
    <xdr:to>
      <xdr:col>8</xdr:col>
      <xdr:colOff>1915646</xdr:colOff>
      <xdr:row>17</xdr:row>
      <xdr:rowOff>12328</xdr:rowOff>
    </xdr:to>
    <xdr:sp macro="" textlink="$J$46">
      <xdr:nvSpPr>
        <xdr:cNvPr id="114" name="TextBox 113">
          <a:extLst>
            <a:ext uri="{FF2B5EF4-FFF2-40B4-BE49-F238E27FC236}">
              <a16:creationId xmlns:a16="http://schemas.microsoft.com/office/drawing/2014/main" id="{8D23E85A-1551-466C-89C3-E43491BE5CAF}"/>
            </a:ext>
          </a:extLst>
        </xdr:cNvPr>
        <xdr:cNvSpPr txBox="1"/>
      </xdr:nvSpPr>
      <xdr:spPr>
        <a:xfrm>
          <a:off x="14927356" y="3091145"/>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924562D-F9FD-4007-A893-9658B36EA5E8}" type="TxLink">
            <a:rPr lang="en-US" sz="2600" b="1" i="0" u="none" strike="noStrike">
              <a:solidFill>
                <a:srgbClr val="0C769E"/>
              </a:solidFill>
              <a:latin typeface="Arial"/>
              <a:ea typeface="+mn-ea"/>
              <a:cs typeface="Arial"/>
            </a:rPr>
            <a:pPr marL="0" indent="0"/>
            <a:t>37.93497941</a:t>
          </a:fld>
          <a:endParaRPr lang="en-AU" sz="2600" b="1" i="0" u="none" strike="noStrike">
            <a:solidFill>
              <a:srgbClr val="0C769E"/>
            </a:solidFill>
            <a:latin typeface="Arial"/>
            <a:ea typeface="+mn-ea"/>
            <a:cs typeface="Arial"/>
          </a:endParaRPr>
        </a:p>
      </xdr:txBody>
    </xdr:sp>
    <xdr:clientData/>
  </xdr:twoCellAnchor>
  <xdr:twoCellAnchor>
    <xdr:from>
      <xdr:col>10</xdr:col>
      <xdr:colOff>1625973</xdr:colOff>
      <xdr:row>14</xdr:row>
      <xdr:rowOff>115423</xdr:rowOff>
    </xdr:from>
    <xdr:to>
      <xdr:col>11</xdr:col>
      <xdr:colOff>1485899</xdr:colOff>
      <xdr:row>17</xdr:row>
      <xdr:rowOff>12328</xdr:rowOff>
    </xdr:to>
    <xdr:sp macro="" textlink="$K$46">
      <xdr:nvSpPr>
        <xdr:cNvPr id="115" name="TextBox 114">
          <a:extLst>
            <a:ext uri="{FF2B5EF4-FFF2-40B4-BE49-F238E27FC236}">
              <a16:creationId xmlns:a16="http://schemas.microsoft.com/office/drawing/2014/main" id="{6B36214C-B628-4654-A200-F3A9EB05DF59}"/>
            </a:ext>
          </a:extLst>
        </xdr:cNvPr>
        <xdr:cNvSpPr txBox="1"/>
      </xdr:nvSpPr>
      <xdr:spPr>
        <a:xfrm>
          <a:off x="20608738" y="3062570"/>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178CED4-C7B4-4572-B5FF-C2C28E3FD695}" type="TxLink">
            <a:rPr lang="en-US" sz="2600" b="1" i="0" u="none" strike="noStrike">
              <a:solidFill>
                <a:srgbClr val="0C769E"/>
              </a:solidFill>
              <a:latin typeface="Arial"/>
              <a:ea typeface="+mn-ea"/>
              <a:cs typeface="Arial"/>
            </a:rPr>
            <a:pPr marL="0" indent="0"/>
            <a:t>38.01067441</a:t>
          </a:fld>
          <a:endParaRPr lang="en-AU" sz="2600" b="1" i="0" u="none" strike="noStrike">
            <a:solidFill>
              <a:srgbClr val="0C769E"/>
            </a:solidFill>
            <a:latin typeface="Arial"/>
            <a:ea typeface="+mn-ea"/>
            <a:cs typeface="Arial"/>
          </a:endParaRPr>
        </a:p>
      </xdr:txBody>
    </xdr:sp>
    <xdr:clientData/>
  </xdr:twoCellAnchor>
  <xdr:twoCellAnchor>
    <xdr:from>
      <xdr:col>8</xdr:col>
      <xdr:colOff>45944</xdr:colOff>
      <xdr:row>26</xdr:row>
      <xdr:rowOff>8407</xdr:rowOff>
    </xdr:from>
    <xdr:to>
      <xdr:col>8</xdr:col>
      <xdr:colOff>2001371</xdr:colOff>
      <xdr:row>28</xdr:row>
      <xdr:rowOff>158005</xdr:rowOff>
    </xdr:to>
    <xdr:sp macro="" textlink="$J$54">
      <xdr:nvSpPr>
        <xdr:cNvPr id="116" name="TextBox 115">
          <a:extLst>
            <a:ext uri="{FF2B5EF4-FFF2-40B4-BE49-F238E27FC236}">
              <a16:creationId xmlns:a16="http://schemas.microsoft.com/office/drawing/2014/main" id="{8A36ADE4-E119-4EFB-A8A8-78CF4CC921CA}"/>
            </a:ext>
          </a:extLst>
        </xdr:cNvPr>
        <xdr:cNvSpPr txBox="1"/>
      </xdr:nvSpPr>
      <xdr:spPr>
        <a:xfrm>
          <a:off x="14927356" y="5376025"/>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7E4CB1C-EDB4-4181-B8C4-5B02C43CACE3}" type="TxLink">
            <a:rPr lang="en-US" sz="2600" b="1" i="0" u="none" strike="noStrike">
              <a:solidFill>
                <a:srgbClr val="4F4789"/>
              </a:solidFill>
              <a:latin typeface="Arial"/>
              <a:ea typeface="+mn-ea"/>
              <a:cs typeface="Arial"/>
            </a:rPr>
            <a:pPr marL="0" indent="0"/>
            <a:t>8.003809753</a:t>
          </a:fld>
          <a:endParaRPr lang="en-AU" sz="2600" b="1" i="0" u="none" strike="noStrike">
            <a:solidFill>
              <a:srgbClr val="4F4789"/>
            </a:solidFill>
            <a:latin typeface="Arial"/>
            <a:ea typeface="+mn-ea"/>
            <a:cs typeface="Arial"/>
          </a:endParaRPr>
        </a:p>
      </xdr:txBody>
    </xdr:sp>
    <xdr:clientData/>
  </xdr:twoCellAnchor>
  <xdr:twoCellAnchor>
    <xdr:from>
      <xdr:col>10</xdr:col>
      <xdr:colOff>1625973</xdr:colOff>
      <xdr:row>26</xdr:row>
      <xdr:rowOff>36982</xdr:rowOff>
    </xdr:from>
    <xdr:to>
      <xdr:col>11</xdr:col>
      <xdr:colOff>1552574</xdr:colOff>
      <xdr:row>28</xdr:row>
      <xdr:rowOff>138955</xdr:rowOff>
    </xdr:to>
    <xdr:sp macro="" textlink="$K$54">
      <xdr:nvSpPr>
        <xdr:cNvPr id="117" name="TextBox 116">
          <a:extLst>
            <a:ext uri="{FF2B5EF4-FFF2-40B4-BE49-F238E27FC236}">
              <a16:creationId xmlns:a16="http://schemas.microsoft.com/office/drawing/2014/main" id="{688A9E86-FE5E-4A29-9549-30D647EA49E3}"/>
            </a:ext>
          </a:extLst>
        </xdr:cNvPr>
        <xdr:cNvSpPr txBox="1"/>
      </xdr:nvSpPr>
      <xdr:spPr>
        <a:xfrm>
          <a:off x="20608738" y="5404600"/>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2E2C27E-76F6-4365-A748-3D63EC144A1C}" type="TxLink">
            <a:rPr lang="en-US" sz="2600" b="1" i="0" u="none" strike="noStrike">
              <a:solidFill>
                <a:srgbClr val="4F4789"/>
              </a:solidFill>
              <a:latin typeface="Arial"/>
              <a:ea typeface="+mn-ea"/>
              <a:cs typeface="Arial"/>
            </a:rPr>
            <a:pPr marL="0" indent="0"/>
            <a:t>8.019979032</a:t>
          </a:fld>
          <a:endParaRPr lang="en-AU" sz="2600" b="1" i="0" u="none" strike="noStrike">
            <a:solidFill>
              <a:srgbClr val="4F4789"/>
            </a:solidFill>
            <a:latin typeface="Arial"/>
            <a:ea typeface="+mn-ea"/>
            <a:cs typeface="Arial"/>
          </a:endParaRPr>
        </a:p>
      </xdr:txBody>
    </xdr:sp>
    <xdr:clientData/>
  </xdr:twoCellAnchor>
  <xdr:twoCellAnchor>
    <xdr:from>
      <xdr:col>9</xdr:col>
      <xdr:colOff>327772</xdr:colOff>
      <xdr:row>14</xdr:row>
      <xdr:rowOff>105898</xdr:rowOff>
    </xdr:from>
    <xdr:to>
      <xdr:col>10</xdr:col>
      <xdr:colOff>635374</xdr:colOff>
      <xdr:row>17</xdr:row>
      <xdr:rowOff>12328</xdr:rowOff>
    </xdr:to>
    <xdr:sp macro="" textlink="$J$47">
      <xdr:nvSpPr>
        <xdr:cNvPr id="118" name="TextBox 117">
          <a:extLst>
            <a:ext uri="{FF2B5EF4-FFF2-40B4-BE49-F238E27FC236}">
              <a16:creationId xmlns:a16="http://schemas.microsoft.com/office/drawing/2014/main" id="{46207EBB-51C6-4AB4-B45D-51865CD26131}"/>
            </a:ext>
          </a:extLst>
        </xdr:cNvPr>
        <xdr:cNvSpPr txBox="1"/>
      </xdr:nvSpPr>
      <xdr:spPr>
        <a:xfrm>
          <a:off x="17259860" y="3053045"/>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ECA65A0-CBD7-46CD-8C95-E7E852DDA32D}" type="TxLink">
            <a:rPr lang="en-US" sz="2600" b="1" i="0" u="none" strike="noStrike">
              <a:solidFill>
                <a:srgbClr val="0C769E"/>
              </a:solidFill>
              <a:latin typeface="Arial"/>
              <a:ea typeface="+mn-ea"/>
              <a:cs typeface="Arial"/>
            </a:rPr>
            <a:pPr marL="0" indent="0"/>
            <a:t>37.93497941</a:t>
          </a:fld>
          <a:endParaRPr lang="en-AU" sz="2600" b="1" i="0" u="none" strike="noStrike">
            <a:solidFill>
              <a:srgbClr val="0C769E"/>
            </a:solidFill>
            <a:latin typeface="Arial"/>
            <a:ea typeface="+mn-ea"/>
            <a:cs typeface="Arial"/>
          </a:endParaRPr>
        </a:p>
      </xdr:txBody>
    </xdr:sp>
    <xdr:clientData/>
  </xdr:twoCellAnchor>
  <xdr:twoCellAnchor>
    <xdr:from>
      <xdr:col>12</xdr:col>
      <xdr:colOff>9525</xdr:colOff>
      <xdr:row>14</xdr:row>
      <xdr:rowOff>134473</xdr:rowOff>
    </xdr:from>
    <xdr:to>
      <xdr:col>15</xdr:col>
      <xdr:colOff>374277</xdr:colOff>
      <xdr:row>17</xdr:row>
      <xdr:rowOff>12328</xdr:rowOff>
    </xdr:to>
    <xdr:sp macro="" textlink="$K$47">
      <xdr:nvSpPr>
        <xdr:cNvPr id="119" name="TextBox 118">
          <a:extLst>
            <a:ext uri="{FF2B5EF4-FFF2-40B4-BE49-F238E27FC236}">
              <a16:creationId xmlns:a16="http://schemas.microsoft.com/office/drawing/2014/main" id="{630561FE-D650-4C9A-9197-C883F661A7F5}"/>
            </a:ext>
          </a:extLst>
        </xdr:cNvPr>
        <xdr:cNvSpPr txBox="1"/>
      </xdr:nvSpPr>
      <xdr:spPr>
        <a:xfrm>
          <a:off x="23093643" y="3081620"/>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6248843-A903-4882-925A-19F5BC60ACE3}" type="TxLink">
            <a:rPr lang="en-US" sz="2600" b="1" i="0" u="none" strike="noStrike">
              <a:solidFill>
                <a:srgbClr val="0C769E"/>
              </a:solidFill>
              <a:latin typeface="Arial"/>
              <a:ea typeface="+mn-ea"/>
              <a:cs typeface="Arial"/>
            </a:rPr>
            <a:pPr marL="0" indent="0"/>
            <a:t>38.01067441</a:t>
          </a:fld>
          <a:endParaRPr lang="en-AU" sz="2600" b="1" i="0" u="none" strike="noStrike">
            <a:solidFill>
              <a:srgbClr val="0C769E"/>
            </a:solidFill>
            <a:latin typeface="Arial"/>
            <a:ea typeface="+mn-ea"/>
            <a:cs typeface="Arial"/>
          </a:endParaRPr>
        </a:p>
      </xdr:txBody>
    </xdr:sp>
    <xdr:clientData/>
  </xdr:twoCellAnchor>
  <xdr:twoCellAnchor>
    <xdr:from>
      <xdr:col>8</xdr:col>
      <xdr:colOff>45944</xdr:colOff>
      <xdr:row>13</xdr:row>
      <xdr:rowOff>24655</xdr:rowOff>
    </xdr:from>
    <xdr:to>
      <xdr:col>8</xdr:col>
      <xdr:colOff>1582271</xdr:colOff>
      <xdr:row>14</xdr:row>
      <xdr:rowOff>105897</xdr:rowOff>
    </xdr:to>
    <xdr:sp macro="" textlink="$J$44">
      <xdr:nvSpPr>
        <xdr:cNvPr id="120" name="TextBox 119">
          <a:extLst>
            <a:ext uri="{FF2B5EF4-FFF2-40B4-BE49-F238E27FC236}">
              <a16:creationId xmlns:a16="http://schemas.microsoft.com/office/drawing/2014/main" id="{F652D104-9279-4EEA-8BA4-CBAFA8E316DA}"/>
            </a:ext>
          </a:extLst>
        </xdr:cNvPr>
        <xdr:cNvSpPr txBox="1"/>
      </xdr:nvSpPr>
      <xdr:spPr>
        <a:xfrm>
          <a:off x="14927356" y="2770096"/>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9</xdr:col>
      <xdr:colOff>327772</xdr:colOff>
      <xdr:row>13</xdr:row>
      <xdr:rowOff>24655</xdr:rowOff>
    </xdr:from>
    <xdr:to>
      <xdr:col>10</xdr:col>
      <xdr:colOff>854927</xdr:colOff>
      <xdr:row>14</xdr:row>
      <xdr:rowOff>105897</xdr:rowOff>
    </xdr:to>
    <xdr:sp macro="" textlink="$J$44">
      <xdr:nvSpPr>
        <xdr:cNvPr id="121" name="TextBox 120">
          <a:extLst>
            <a:ext uri="{FF2B5EF4-FFF2-40B4-BE49-F238E27FC236}">
              <a16:creationId xmlns:a16="http://schemas.microsoft.com/office/drawing/2014/main" id="{1A523E42-5959-411B-91B2-CD5FBBDCD4BB}"/>
            </a:ext>
          </a:extLst>
        </xdr:cNvPr>
        <xdr:cNvSpPr txBox="1"/>
      </xdr:nvSpPr>
      <xdr:spPr>
        <a:xfrm>
          <a:off x="17259860" y="2770096"/>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8</xdr:col>
      <xdr:colOff>45944</xdr:colOff>
      <xdr:row>11</xdr:row>
      <xdr:rowOff>49869</xdr:rowOff>
    </xdr:from>
    <xdr:to>
      <xdr:col>8</xdr:col>
      <xdr:colOff>1582271</xdr:colOff>
      <xdr:row>12</xdr:row>
      <xdr:rowOff>131110</xdr:rowOff>
    </xdr:to>
    <xdr:sp macro="" textlink="$J$44">
      <xdr:nvSpPr>
        <xdr:cNvPr id="122" name="TextBox 121">
          <a:extLst>
            <a:ext uri="{FF2B5EF4-FFF2-40B4-BE49-F238E27FC236}">
              <a16:creationId xmlns:a16="http://schemas.microsoft.com/office/drawing/2014/main" id="{F91187E7-1A1D-4EA5-849D-E2765865D938}"/>
            </a:ext>
          </a:extLst>
        </xdr:cNvPr>
        <xdr:cNvSpPr txBox="1"/>
      </xdr:nvSpPr>
      <xdr:spPr>
        <a:xfrm>
          <a:off x="14927356" y="2391898"/>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8</xdr:col>
      <xdr:colOff>84044</xdr:colOff>
      <xdr:row>9</xdr:row>
      <xdr:rowOff>56032</xdr:rowOff>
    </xdr:from>
    <xdr:to>
      <xdr:col>9</xdr:col>
      <xdr:colOff>222997</xdr:colOff>
      <xdr:row>11</xdr:row>
      <xdr:rowOff>21294</xdr:rowOff>
    </xdr:to>
    <xdr:sp macro="" textlink="">
      <xdr:nvSpPr>
        <xdr:cNvPr id="123" name="TextBox 122">
          <a:extLst>
            <a:ext uri="{FF2B5EF4-FFF2-40B4-BE49-F238E27FC236}">
              <a16:creationId xmlns:a16="http://schemas.microsoft.com/office/drawing/2014/main" id="{326A35EF-CA77-49AE-B070-FA2610529BD9}"/>
            </a:ext>
          </a:extLst>
        </xdr:cNvPr>
        <xdr:cNvSpPr txBox="1"/>
      </xdr:nvSpPr>
      <xdr:spPr>
        <a:xfrm>
          <a:off x="14965456" y="1994650"/>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8</xdr:col>
      <xdr:colOff>93569</xdr:colOff>
      <xdr:row>11</xdr:row>
      <xdr:rowOff>25411</xdr:rowOff>
    </xdr:from>
    <xdr:to>
      <xdr:col>16</xdr:col>
      <xdr:colOff>226919</xdr:colOff>
      <xdr:row>11</xdr:row>
      <xdr:rowOff>40344</xdr:rowOff>
    </xdr:to>
    <xdr:cxnSp macro="">
      <xdr:nvCxnSpPr>
        <xdr:cNvPr id="124" name="Straight Connector 123">
          <a:extLst>
            <a:ext uri="{FF2B5EF4-FFF2-40B4-BE49-F238E27FC236}">
              <a16:creationId xmlns:a16="http://schemas.microsoft.com/office/drawing/2014/main" id="{06F86255-B5A1-4161-A507-6DE598D64103}"/>
            </a:ext>
          </a:extLst>
        </xdr:cNvPr>
        <xdr:cNvCxnSpPr/>
      </xdr:nvCxnSpPr>
      <xdr:spPr>
        <a:xfrm flipV="1">
          <a:off x="14974981" y="2367440"/>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13</xdr:row>
      <xdr:rowOff>24655</xdr:rowOff>
    </xdr:from>
    <xdr:to>
      <xdr:col>11</xdr:col>
      <xdr:colOff>1114424</xdr:colOff>
      <xdr:row>14</xdr:row>
      <xdr:rowOff>105897</xdr:rowOff>
    </xdr:to>
    <xdr:sp macro="" textlink="$J$44">
      <xdr:nvSpPr>
        <xdr:cNvPr id="125" name="TextBox 124">
          <a:extLst>
            <a:ext uri="{FF2B5EF4-FFF2-40B4-BE49-F238E27FC236}">
              <a16:creationId xmlns:a16="http://schemas.microsoft.com/office/drawing/2014/main" id="{E88C761D-F269-4353-B8DC-B2A6D09F5913}"/>
            </a:ext>
          </a:extLst>
        </xdr:cNvPr>
        <xdr:cNvSpPr txBox="1"/>
      </xdr:nvSpPr>
      <xdr:spPr>
        <a:xfrm>
          <a:off x="20608738" y="2770096"/>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12</xdr:col>
      <xdr:colOff>9525</xdr:colOff>
      <xdr:row>13</xdr:row>
      <xdr:rowOff>24655</xdr:rowOff>
    </xdr:from>
    <xdr:to>
      <xdr:col>16</xdr:col>
      <xdr:colOff>427422</xdr:colOff>
      <xdr:row>14</xdr:row>
      <xdr:rowOff>105897</xdr:rowOff>
    </xdr:to>
    <xdr:sp macro="" textlink="$J$44">
      <xdr:nvSpPr>
        <xdr:cNvPr id="126" name="TextBox 125">
          <a:extLst>
            <a:ext uri="{FF2B5EF4-FFF2-40B4-BE49-F238E27FC236}">
              <a16:creationId xmlns:a16="http://schemas.microsoft.com/office/drawing/2014/main" id="{3FDD7D2E-DF03-4E15-8D64-C35336FB69E9}"/>
            </a:ext>
          </a:extLst>
        </xdr:cNvPr>
        <xdr:cNvSpPr txBox="1"/>
      </xdr:nvSpPr>
      <xdr:spPr>
        <a:xfrm>
          <a:off x="23093643" y="2770096"/>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10</xdr:col>
      <xdr:colOff>1625973</xdr:colOff>
      <xdr:row>11</xdr:row>
      <xdr:rowOff>49869</xdr:rowOff>
    </xdr:from>
    <xdr:to>
      <xdr:col>11</xdr:col>
      <xdr:colOff>1114424</xdr:colOff>
      <xdr:row>12</xdr:row>
      <xdr:rowOff>131110</xdr:rowOff>
    </xdr:to>
    <xdr:sp macro="" textlink="$J$44">
      <xdr:nvSpPr>
        <xdr:cNvPr id="127" name="TextBox 126">
          <a:extLst>
            <a:ext uri="{FF2B5EF4-FFF2-40B4-BE49-F238E27FC236}">
              <a16:creationId xmlns:a16="http://schemas.microsoft.com/office/drawing/2014/main" id="{8DD443D0-877D-4B48-A6F9-9EFB161C93B0}"/>
            </a:ext>
          </a:extLst>
        </xdr:cNvPr>
        <xdr:cNvSpPr txBox="1"/>
      </xdr:nvSpPr>
      <xdr:spPr>
        <a:xfrm>
          <a:off x="20608738" y="2391898"/>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45944</xdr:colOff>
      <xdr:row>12</xdr:row>
      <xdr:rowOff>150161</xdr:rowOff>
    </xdr:from>
    <xdr:to>
      <xdr:col>10</xdr:col>
      <xdr:colOff>825874</xdr:colOff>
      <xdr:row>12</xdr:row>
      <xdr:rowOff>150161</xdr:rowOff>
    </xdr:to>
    <xdr:cxnSp macro="">
      <xdr:nvCxnSpPr>
        <xdr:cNvPr id="128" name="Straight Connector 127">
          <a:extLst>
            <a:ext uri="{FF2B5EF4-FFF2-40B4-BE49-F238E27FC236}">
              <a16:creationId xmlns:a16="http://schemas.microsoft.com/office/drawing/2014/main" id="{593D5B16-E085-43C5-90AD-DDF60874425E}"/>
            </a:ext>
          </a:extLst>
        </xdr:cNvPr>
        <xdr:cNvCxnSpPr/>
      </xdr:nvCxnSpPr>
      <xdr:spPr>
        <a:xfrm>
          <a:off x="14927356" y="2693896"/>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12</xdr:row>
      <xdr:rowOff>150161</xdr:rowOff>
    </xdr:from>
    <xdr:to>
      <xdr:col>16</xdr:col>
      <xdr:colOff>245968</xdr:colOff>
      <xdr:row>12</xdr:row>
      <xdr:rowOff>150161</xdr:rowOff>
    </xdr:to>
    <xdr:cxnSp macro="">
      <xdr:nvCxnSpPr>
        <xdr:cNvPr id="129" name="Straight Connector 128">
          <a:extLst>
            <a:ext uri="{FF2B5EF4-FFF2-40B4-BE49-F238E27FC236}">
              <a16:creationId xmlns:a16="http://schemas.microsoft.com/office/drawing/2014/main" id="{2AB571DF-5C5B-42FD-A159-BF16300413E4}"/>
            </a:ext>
          </a:extLst>
        </xdr:cNvPr>
        <xdr:cNvCxnSpPr/>
      </xdr:nvCxnSpPr>
      <xdr:spPr>
        <a:xfrm>
          <a:off x="20608738" y="2693896"/>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45944</xdr:colOff>
      <xdr:row>24</xdr:row>
      <xdr:rowOff>101976</xdr:rowOff>
    </xdr:from>
    <xdr:to>
      <xdr:col>8</xdr:col>
      <xdr:colOff>1582271</xdr:colOff>
      <xdr:row>25</xdr:row>
      <xdr:rowOff>181537</xdr:rowOff>
    </xdr:to>
    <xdr:sp macro="" textlink="$J$44">
      <xdr:nvSpPr>
        <xdr:cNvPr id="130" name="TextBox 129">
          <a:extLst>
            <a:ext uri="{FF2B5EF4-FFF2-40B4-BE49-F238E27FC236}">
              <a16:creationId xmlns:a16="http://schemas.microsoft.com/office/drawing/2014/main" id="{0DA019AB-003E-473D-81BF-43411D2DD9F4}"/>
            </a:ext>
          </a:extLst>
        </xdr:cNvPr>
        <xdr:cNvSpPr txBox="1"/>
      </xdr:nvSpPr>
      <xdr:spPr>
        <a:xfrm>
          <a:off x="14927356" y="5066182"/>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9</xdr:col>
      <xdr:colOff>413019</xdr:colOff>
      <xdr:row>24</xdr:row>
      <xdr:rowOff>101976</xdr:rowOff>
    </xdr:from>
    <xdr:to>
      <xdr:col>10</xdr:col>
      <xdr:colOff>940174</xdr:colOff>
      <xdr:row>25</xdr:row>
      <xdr:rowOff>181537</xdr:rowOff>
    </xdr:to>
    <xdr:sp macro="" textlink="$J$44">
      <xdr:nvSpPr>
        <xdr:cNvPr id="131" name="TextBox 130">
          <a:extLst>
            <a:ext uri="{FF2B5EF4-FFF2-40B4-BE49-F238E27FC236}">
              <a16:creationId xmlns:a16="http://schemas.microsoft.com/office/drawing/2014/main" id="{4C6F196D-619D-46FB-8FE0-04B90593A643}"/>
            </a:ext>
          </a:extLst>
        </xdr:cNvPr>
        <xdr:cNvSpPr txBox="1"/>
      </xdr:nvSpPr>
      <xdr:spPr>
        <a:xfrm>
          <a:off x="17345107" y="5066182"/>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8</xdr:col>
      <xdr:colOff>45944</xdr:colOff>
      <xdr:row>22</xdr:row>
      <xdr:rowOff>128870</xdr:rowOff>
    </xdr:from>
    <xdr:to>
      <xdr:col>8</xdr:col>
      <xdr:colOff>1582271</xdr:colOff>
      <xdr:row>24</xdr:row>
      <xdr:rowOff>5044</xdr:rowOff>
    </xdr:to>
    <xdr:sp macro="" textlink="$J$44">
      <xdr:nvSpPr>
        <xdr:cNvPr id="132" name="TextBox 131">
          <a:extLst>
            <a:ext uri="{FF2B5EF4-FFF2-40B4-BE49-F238E27FC236}">
              <a16:creationId xmlns:a16="http://schemas.microsoft.com/office/drawing/2014/main" id="{A02BABC0-5DAF-49A3-B783-F2AFC0ADBF08}"/>
            </a:ext>
          </a:extLst>
        </xdr:cNvPr>
        <xdr:cNvSpPr txBox="1"/>
      </xdr:nvSpPr>
      <xdr:spPr>
        <a:xfrm>
          <a:off x="14927356" y="4689664"/>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8</xdr:col>
      <xdr:colOff>45944</xdr:colOff>
      <xdr:row>16</xdr:row>
      <xdr:rowOff>118785</xdr:rowOff>
    </xdr:from>
    <xdr:ext cx="1978747" cy="254493"/>
    <xdr:sp macro="" textlink="">
      <xdr:nvSpPr>
        <xdr:cNvPr id="133" name="TextBox 132">
          <a:extLst>
            <a:ext uri="{FF2B5EF4-FFF2-40B4-BE49-F238E27FC236}">
              <a16:creationId xmlns:a16="http://schemas.microsoft.com/office/drawing/2014/main" id="{5BEAE6F4-A469-4529-BD18-DF188FC38E0C}"/>
            </a:ext>
          </a:extLst>
        </xdr:cNvPr>
        <xdr:cNvSpPr txBox="1"/>
      </xdr:nvSpPr>
      <xdr:spPr>
        <a:xfrm>
          <a:off x="14927356"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8</xdr:col>
      <xdr:colOff>84044</xdr:colOff>
      <xdr:row>20</xdr:row>
      <xdr:rowOff>135033</xdr:rowOff>
    </xdr:from>
    <xdr:to>
      <xdr:col>9</xdr:col>
      <xdr:colOff>222997</xdr:colOff>
      <xdr:row>22</xdr:row>
      <xdr:rowOff>98614</xdr:rowOff>
    </xdr:to>
    <xdr:sp macro="" textlink="">
      <xdr:nvSpPr>
        <xdr:cNvPr id="134" name="TextBox 133">
          <a:extLst>
            <a:ext uri="{FF2B5EF4-FFF2-40B4-BE49-F238E27FC236}">
              <a16:creationId xmlns:a16="http://schemas.microsoft.com/office/drawing/2014/main" id="{713370C2-2091-48AA-A49A-F396F8D6BB6A}"/>
            </a:ext>
          </a:extLst>
        </xdr:cNvPr>
        <xdr:cNvSpPr txBox="1"/>
      </xdr:nvSpPr>
      <xdr:spPr>
        <a:xfrm>
          <a:off x="14965456" y="4292415"/>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8</xdr:col>
      <xdr:colOff>93569</xdr:colOff>
      <xdr:row>22</xdr:row>
      <xdr:rowOff>102663</xdr:rowOff>
    </xdr:from>
    <xdr:to>
      <xdr:col>16</xdr:col>
      <xdr:colOff>274544</xdr:colOff>
      <xdr:row>22</xdr:row>
      <xdr:rowOff>119345</xdr:rowOff>
    </xdr:to>
    <xdr:cxnSp macro="">
      <xdr:nvCxnSpPr>
        <xdr:cNvPr id="135" name="Straight Connector 134">
          <a:extLst>
            <a:ext uri="{FF2B5EF4-FFF2-40B4-BE49-F238E27FC236}">
              <a16:creationId xmlns:a16="http://schemas.microsoft.com/office/drawing/2014/main" id="{57950CED-40BA-47D5-92A1-594ACE6748DD}"/>
            </a:ext>
          </a:extLst>
        </xdr:cNvPr>
        <xdr:cNvCxnSpPr/>
      </xdr:nvCxnSpPr>
      <xdr:spPr>
        <a:xfrm flipV="1">
          <a:off x="14974981" y="4663457"/>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24</xdr:row>
      <xdr:rowOff>101976</xdr:rowOff>
    </xdr:from>
    <xdr:to>
      <xdr:col>11</xdr:col>
      <xdr:colOff>1114424</xdr:colOff>
      <xdr:row>25</xdr:row>
      <xdr:rowOff>181537</xdr:rowOff>
    </xdr:to>
    <xdr:sp macro="" textlink="$J$44">
      <xdr:nvSpPr>
        <xdr:cNvPr id="136" name="TextBox 135">
          <a:extLst>
            <a:ext uri="{FF2B5EF4-FFF2-40B4-BE49-F238E27FC236}">
              <a16:creationId xmlns:a16="http://schemas.microsoft.com/office/drawing/2014/main" id="{C9C942F3-303F-48CA-A130-672026B5F0BA}"/>
            </a:ext>
          </a:extLst>
        </xdr:cNvPr>
        <xdr:cNvSpPr txBox="1"/>
      </xdr:nvSpPr>
      <xdr:spPr>
        <a:xfrm>
          <a:off x="20608738" y="5066182"/>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12</xdr:col>
      <xdr:colOff>76200</xdr:colOff>
      <xdr:row>24</xdr:row>
      <xdr:rowOff>92451</xdr:rowOff>
    </xdr:from>
    <xdr:to>
      <xdr:col>16</xdr:col>
      <xdr:colOff>494097</xdr:colOff>
      <xdr:row>25</xdr:row>
      <xdr:rowOff>172012</xdr:rowOff>
    </xdr:to>
    <xdr:sp macro="" textlink="$J$44">
      <xdr:nvSpPr>
        <xdr:cNvPr id="137" name="TextBox 136">
          <a:extLst>
            <a:ext uri="{FF2B5EF4-FFF2-40B4-BE49-F238E27FC236}">
              <a16:creationId xmlns:a16="http://schemas.microsoft.com/office/drawing/2014/main" id="{AE95A3F3-6351-400B-B0B7-C591991FF9A7}"/>
            </a:ext>
          </a:extLst>
        </xdr:cNvPr>
        <xdr:cNvSpPr txBox="1"/>
      </xdr:nvSpPr>
      <xdr:spPr>
        <a:xfrm>
          <a:off x="23160318" y="5056657"/>
          <a:ext cx="2547014"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10</xdr:col>
      <xdr:colOff>1625973</xdr:colOff>
      <xdr:row>22</xdr:row>
      <xdr:rowOff>128870</xdr:rowOff>
    </xdr:from>
    <xdr:to>
      <xdr:col>11</xdr:col>
      <xdr:colOff>1114424</xdr:colOff>
      <xdr:row>24</xdr:row>
      <xdr:rowOff>5044</xdr:rowOff>
    </xdr:to>
    <xdr:sp macro="" textlink="$J$44">
      <xdr:nvSpPr>
        <xdr:cNvPr id="138" name="TextBox 137">
          <a:extLst>
            <a:ext uri="{FF2B5EF4-FFF2-40B4-BE49-F238E27FC236}">
              <a16:creationId xmlns:a16="http://schemas.microsoft.com/office/drawing/2014/main" id="{5053AE32-979E-4913-909F-0061D38A4654}"/>
            </a:ext>
          </a:extLst>
        </xdr:cNvPr>
        <xdr:cNvSpPr txBox="1"/>
      </xdr:nvSpPr>
      <xdr:spPr>
        <a:xfrm>
          <a:off x="20608738" y="4689664"/>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45944</xdr:colOff>
      <xdr:row>24</xdr:row>
      <xdr:rowOff>24095</xdr:rowOff>
    </xdr:from>
    <xdr:to>
      <xdr:col>10</xdr:col>
      <xdr:colOff>854449</xdr:colOff>
      <xdr:row>24</xdr:row>
      <xdr:rowOff>24095</xdr:rowOff>
    </xdr:to>
    <xdr:cxnSp macro="">
      <xdr:nvCxnSpPr>
        <xdr:cNvPr id="139" name="Straight Connector 138">
          <a:extLst>
            <a:ext uri="{FF2B5EF4-FFF2-40B4-BE49-F238E27FC236}">
              <a16:creationId xmlns:a16="http://schemas.microsoft.com/office/drawing/2014/main" id="{1C551705-F718-4730-98AE-F113C19CCA9B}"/>
            </a:ext>
          </a:extLst>
        </xdr:cNvPr>
        <xdr:cNvCxnSpPr/>
      </xdr:nvCxnSpPr>
      <xdr:spPr>
        <a:xfrm>
          <a:off x="14927356" y="4988301"/>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1625973</xdr:colOff>
      <xdr:row>24</xdr:row>
      <xdr:rowOff>24095</xdr:rowOff>
    </xdr:from>
    <xdr:to>
      <xdr:col>16</xdr:col>
      <xdr:colOff>284068</xdr:colOff>
      <xdr:row>24</xdr:row>
      <xdr:rowOff>24095</xdr:rowOff>
    </xdr:to>
    <xdr:cxnSp macro="">
      <xdr:nvCxnSpPr>
        <xdr:cNvPr id="140" name="Straight Connector 139">
          <a:extLst>
            <a:ext uri="{FF2B5EF4-FFF2-40B4-BE49-F238E27FC236}">
              <a16:creationId xmlns:a16="http://schemas.microsoft.com/office/drawing/2014/main" id="{A957B890-811D-439D-B3C0-8C3ECDF0EF99}"/>
            </a:ext>
          </a:extLst>
        </xdr:cNvPr>
        <xdr:cNvCxnSpPr/>
      </xdr:nvCxnSpPr>
      <xdr:spPr>
        <a:xfrm>
          <a:off x="20608738" y="4988301"/>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327772</xdr:colOff>
      <xdr:row>16</xdr:row>
      <xdr:rowOff>118785</xdr:rowOff>
    </xdr:from>
    <xdr:ext cx="1978747" cy="254493"/>
    <xdr:sp macro="" textlink="">
      <xdr:nvSpPr>
        <xdr:cNvPr id="141" name="TextBox 140">
          <a:extLst>
            <a:ext uri="{FF2B5EF4-FFF2-40B4-BE49-F238E27FC236}">
              <a16:creationId xmlns:a16="http://schemas.microsoft.com/office/drawing/2014/main" id="{35672F5B-FDA1-4729-93CE-4E5E4B0055CD}"/>
            </a:ext>
          </a:extLst>
        </xdr:cNvPr>
        <xdr:cNvSpPr txBox="1"/>
      </xdr:nvSpPr>
      <xdr:spPr>
        <a:xfrm>
          <a:off x="17259860"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10</xdr:col>
      <xdr:colOff>1625973</xdr:colOff>
      <xdr:row>16</xdr:row>
      <xdr:rowOff>118785</xdr:rowOff>
    </xdr:from>
    <xdr:ext cx="1978747" cy="254493"/>
    <xdr:sp macro="" textlink="">
      <xdr:nvSpPr>
        <xdr:cNvPr id="142" name="TextBox 141">
          <a:extLst>
            <a:ext uri="{FF2B5EF4-FFF2-40B4-BE49-F238E27FC236}">
              <a16:creationId xmlns:a16="http://schemas.microsoft.com/office/drawing/2014/main" id="{EB5DC473-4D15-45DE-B500-7AA129D4879C}"/>
            </a:ext>
          </a:extLst>
        </xdr:cNvPr>
        <xdr:cNvSpPr txBox="1"/>
      </xdr:nvSpPr>
      <xdr:spPr>
        <a:xfrm>
          <a:off x="20608738"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9525</xdr:colOff>
      <xdr:row>16</xdr:row>
      <xdr:rowOff>118785</xdr:rowOff>
    </xdr:from>
    <xdr:ext cx="1978747" cy="254493"/>
    <xdr:sp macro="" textlink="">
      <xdr:nvSpPr>
        <xdr:cNvPr id="143" name="TextBox 142">
          <a:extLst>
            <a:ext uri="{FF2B5EF4-FFF2-40B4-BE49-F238E27FC236}">
              <a16:creationId xmlns:a16="http://schemas.microsoft.com/office/drawing/2014/main" id="{553A661D-9D5D-469E-A8C5-CCD6D3B7F8A3}"/>
            </a:ext>
          </a:extLst>
        </xdr:cNvPr>
        <xdr:cNvSpPr txBox="1"/>
      </xdr:nvSpPr>
      <xdr:spPr>
        <a:xfrm>
          <a:off x="23093643" y="3469344"/>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8</xdr:col>
      <xdr:colOff>45944</xdr:colOff>
      <xdr:row>28</xdr:row>
      <xdr:rowOff>87969</xdr:rowOff>
    </xdr:from>
    <xdr:ext cx="1978747" cy="254493"/>
    <xdr:sp macro="" textlink="">
      <xdr:nvSpPr>
        <xdr:cNvPr id="144" name="TextBox 143">
          <a:extLst>
            <a:ext uri="{FF2B5EF4-FFF2-40B4-BE49-F238E27FC236}">
              <a16:creationId xmlns:a16="http://schemas.microsoft.com/office/drawing/2014/main" id="{E0FE7C28-F96F-4355-A72F-E3EE4FDE5F93}"/>
            </a:ext>
          </a:extLst>
        </xdr:cNvPr>
        <xdr:cNvSpPr txBox="1"/>
      </xdr:nvSpPr>
      <xdr:spPr>
        <a:xfrm>
          <a:off x="14927356"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9</xdr:col>
      <xdr:colOff>337297</xdr:colOff>
      <xdr:row>28</xdr:row>
      <xdr:rowOff>87969</xdr:rowOff>
    </xdr:from>
    <xdr:ext cx="1978747" cy="254493"/>
    <xdr:sp macro="" textlink="">
      <xdr:nvSpPr>
        <xdr:cNvPr id="145" name="TextBox 144">
          <a:extLst>
            <a:ext uri="{FF2B5EF4-FFF2-40B4-BE49-F238E27FC236}">
              <a16:creationId xmlns:a16="http://schemas.microsoft.com/office/drawing/2014/main" id="{909997E3-9706-4CF2-ADF6-6A2F31B395A2}"/>
            </a:ext>
          </a:extLst>
        </xdr:cNvPr>
        <xdr:cNvSpPr txBox="1"/>
      </xdr:nvSpPr>
      <xdr:spPr>
        <a:xfrm>
          <a:off x="17269385"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10</xdr:col>
      <xdr:colOff>1625973</xdr:colOff>
      <xdr:row>28</xdr:row>
      <xdr:rowOff>87969</xdr:rowOff>
    </xdr:from>
    <xdr:ext cx="1978747" cy="254493"/>
    <xdr:sp macro="" textlink="">
      <xdr:nvSpPr>
        <xdr:cNvPr id="146" name="TextBox 145">
          <a:extLst>
            <a:ext uri="{FF2B5EF4-FFF2-40B4-BE49-F238E27FC236}">
              <a16:creationId xmlns:a16="http://schemas.microsoft.com/office/drawing/2014/main" id="{501ACC80-136B-4033-BB9E-6965D0E7FC12}"/>
            </a:ext>
          </a:extLst>
        </xdr:cNvPr>
        <xdr:cNvSpPr txBox="1"/>
      </xdr:nvSpPr>
      <xdr:spPr>
        <a:xfrm>
          <a:off x="20608738" y="5858998"/>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76200</xdr:colOff>
      <xdr:row>28</xdr:row>
      <xdr:rowOff>78444</xdr:rowOff>
    </xdr:from>
    <xdr:ext cx="1978747" cy="254493"/>
    <xdr:sp macro="" textlink="">
      <xdr:nvSpPr>
        <xdr:cNvPr id="147" name="TextBox 146">
          <a:extLst>
            <a:ext uri="{FF2B5EF4-FFF2-40B4-BE49-F238E27FC236}">
              <a16:creationId xmlns:a16="http://schemas.microsoft.com/office/drawing/2014/main" id="{A366835D-14D3-4260-8FCF-4521760D197F}"/>
            </a:ext>
          </a:extLst>
        </xdr:cNvPr>
        <xdr:cNvSpPr txBox="1"/>
      </xdr:nvSpPr>
      <xdr:spPr>
        <a:xfrm>
          <a:off x="23160318" y="5849473"/>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9</xdr:col>
      <xdr:colOff>365872</xdr:colOff>
      <xdr:row>26</xdr:row>
      <xdr:rowOff>8407</xdr:rowOff>
    </xdr:from>
    <xdr:to>
      <xdr:col>10</xdr:col>
      <xdr:colOff>273424</xdr:colOff>
      <xdr:row>28</xdr:row>
      <xdr:rowOff>158005</xdr:rowOff>
    </xdr:to>
    <xdr:sp macro="" textlink="$J$55">
      <xdr:nvSpPr>
        <xdr:cNvPr id="148" name="TextBox 147">
          <a:extLst>
            <a:ext uri="{FF2B5EF4-FFF2-40B4-BE49-F238E27FC236}">
              <a16:creationId xmlns:a16="http://schemas.microsoft.com/office/drawing/2014/main" id="{6D21AB22-5675-4795-A71A-43DB36D24CCB}"/>
            </a:ext>
          </a:extLst>
        </xdr:cNvPr>
        <xdr:cNvSpPr txBox="1"/>
      </xdr:nvSpPr>
      <xdr:spPr>
        <a:xfrm>
          <a:off x="17297960" y="5376025"/>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CB7BF3CE-0316-4BA7-A0BD-943D37538344}" type="TxLink">
            <a:rPr lang="en-US" sz="2600" b="1" i="0" u="none" strike="noStrike">
              <a:solidFill>
                <a:srgbClr val="4F4789"/>
              </a:solidFill>
              <a:latin typeface="Arial"/>
              <a:ea typeface="+mn-ea"/>
              <a:cs typeface="Arial"/>
            </a:rPr>
            <a:pPr marL="0" indent="0"/>
            <a:t>8.003809753</a:t>
          </a:fld>
          <a:endParaRPr lang="en-AU" sz="2600" b="1" i="0" u="none" strike="noStrike">
            <a:solidFill>
              <a:srgbClr val="4F4789"/>
            </a:solidFill>
            <a:latin typeface="Arial"/>
            <a:ea typeface="+mn-ea"/>
            <a:cs typeface="Arial"/>
          </a:endParaRPr>
        </a:p>
      </xdr:txBody>
    </xdr:sp>
    <xdr:clientData/>
  </xdr:twoCellAnchor>
  <xdr:twoCellAnchor>
    <xdr:from>
      <xdr:col>12</xdr:col>
      <xdr:colOff>66674</xdr:colOff>
      <xdr:row>26</xdr:row>
      <xdr:rowOff>27457</xdr:rowOff>
    </xdr:from>
    <xdr:to>
      <xdr:col>15</xdr:col>
      <xdr:colOff>498101</xdr:colOff>
      <xdr:row>28</xdr:row>
      <xdr:rowOff>129430</xdr:rowOff>
    </xdr:to>
    <xdr:sp macro="" textlink="$K$55">
      <xdr:nvSpPr>
        <xdr:cNvPr id="149" name="TextBox 148">
          <a:extLst>
            <a:ext uri="{FF2B5EF4-FFF2-40B4-BE49-F238E27FC236}">
              <a16:creationId xmlns:a16="http://schemas.microsoft.com/office/drawing/2014/main" id="{B797EABB-6975-451A-A50B-63C69175BAE7}"/>
            </a:ext>
          </a:extLst>
        </xdr:cNvPr>
        <xdr:cNvSpPr txBox="1"/>
      </xdr:nvSpPr>
      <xdr:spPr>
        <a:xfrm>
          <a:off x="23150792" y="5395075"/>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50191ECC-A3E9-4A88-BA70-A94CDD98CFD4}" type="TxLink">
            <a:rPr lang="en-US" sz="2600" b="1" i="0" u="none" strike="noStrike">
              <a:solidFill>
                <a:srgbClr val="4F4789"/>
              </a:solidFill>
              <a:latin typeface="Arial"/>
              <a:ea typeface="+mn-ea"/>
              <a:cs typeface="Arial"/>
            </a:rPr>
            <a:pPr marL="0" indent="0"/>
            <a:t>8.019979032</a:t>
          </a:fld>
          <a:endParaRPr lang="en-AU" sz="2600" b="1" i="0" u="none" strike="noStrike">
            <a:solidFill>
              <a:srgbClr val="4F4789"/>
            </a:solidFill>
            <a:latin typeface="Arial"/>
            <a:ea typeface="+mn-ea"/>
            <a:cs typeface="Arial"/>
          </a:endParaRPr>
        </a:p>
      </xdr:txBody>
    </xdr:sp>
    <xdr:clientData/>
  </xdr:twoCellAnchor>
  <xdr:twoCellAnchor>
    <xdr:from>
      <xdr:col>3</xdr:col>
      <xdr:colOff>1056715</xdr:colOff>
      <xdr:row>5</xdr:row>
      <xdr:rowOff>148481</xdr:rowOff>
    </xdr:from>
    <xdr:to>
      <xdr:col>4</xdr:col>
      <xdr:colOff>551890</xdr:colOff>
      <xdr:row>7</xdr:row>
      <xdr:rowOff>127190</xdr:rowOff>
    </xdr:to>
    <xdr:sp macro="" textlink="">
      <xdr:nvSpPr>
        <xdr:cNvPr id="150" name="TextBox 149">
          <a:extLst>
            <a:ext uri="{FF2B5EF4-FFF2-40B4-BE49-F238E27FC236}">
              <a16:creationId xmlns:a16="http://schemas.microsoft.com/office/drawing/2014/main" id="{4FAAC798-3702-4E1F-B3A5-37D62A165ADA}"/>
            </a:ext>
          </a:extLst>
        </xdr:cNvPr>
        <xdr:cNvSpPr txBox="1"/>
      </xdr:nvSpPr>
      <xdr:spPr>
        <a:xfrm>
          <a:off x="3734921" y="1280275"/>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Liveweight sold</a:t>
          </a:r>
        </a:p>
      </xdr:txBody>
    </xdr:sp>
    <xdr:clientData/>
  </xdr:twoCellAnchor>
  <xdr:twoCellAnchor editAs="oneCell">
    <xdr:from>
      <xdr:col>3</xdr:col>
      <xdr:colOff>104216</xdr:colOff>
      <xdr:row>4</xdr:row>
      <xdr:rowOff>127749</xdr:rowOff>
    </xdr:from>
    <xdr:to>
      <xdr:col>3</xdr:col>
      <xdr:colOff>945470</xdr:colOff>
      <xdr:row>8</xdr:row>
      <xdr:rowOff>114864</xdr:rowOff>
    </xdr:to>
    <xdr:pic>
      <xdr:nvPicPr>
        <xdr:cNvPr id="151" name="Picture 150">
          <a:extLst>
            <a:ext uri="{FF2B5EF4-FFF2-40B4-BE49-F238E27FC236}">
              <a16:creationId xmlns:a16="http://schemas.microsoft.com/office/drawing/2014/main" id="{87B3CDEE-84F8-4C4F-9819-68D7813DE7B3}"/>
            </a:ext>
          </a:extLst>
        </xdr:cNvPr>
        <xdr:cNvPicPr>
          <a:picLocks noChangeAspect="1"/>
        </xdr:cNvPicPr>
      </xdr:nvPicPr>
      <xdr:blipFill>
        <a:blip xmlns:r="http://schemas.openxmlformats.org/officeDocument/2006/relationships" r:embed="rId1"/>
        <a:stretch>
          <a:fillRect/>
        </a:stretch>
      </xdr:blipFill>
      <xdr:spPr>
        <a:xfrm>
          <a:off x="2782422" y="1057837"/>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1096496</xdr:colOff>
      <xdr:row>5</xdr:row>
      <xdr:rowOff>129431</xdr:rowOff>
    </xdr:from>
    <xdr:to>
      <xdr:col>10</xdr:col>
      <xdr:colOff>502024</xdr:colOff>
      <xdr:row>7</xdr:row>
      <xdr:rowOff>108140</xdr:rowOff>
    </xdr:to>
    <xdr:sp macro="" textlink="">
      <xdr:nvSpPr>
        <xdr:cNvPr id="152" name="TextBox 151">
          <a:extLst>
            <a:ext uri="{FF2B5EF4-FFF2-40B4-BE49-F238E27FC236}">
              <a16:creationId xmlns:a16="http://schemas.microsoft.com/office/drawing/2014/main" id="{22A64615-A9A4-4B7F-8E54-00964343F931}"/>
            </a:ext>
          </a:extLst>
        </xdr:cNvPr>
        <xdr:cNvSpPr txBox="1"/>
      </xdr:nvSpPr>
      <xdr:spPr>
        <a:xfrm>
          <a:off x="15977908" y="1261225"/>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Manure sold</a:t>
          </a:r>
        </a:p>
      </xdr:txBody>
    </xdr:sp>
    <xdr:clientData/>
  </xdr:twoCellAnchor>
  <xdr:twoCellAnchor editAs="oneCell">
    <xdr:from>
      <xdr:col>8</xdr:col>
      <xdr:colOff>86880</xdr:colOff>
      <xdr:row>4</xdr:row>
      <xdr:rowOff>89650</xdr:rowOff>
    </xdr:from>
    <xdr:to>
      <xdr:col>8</xdr:col>
      <xdr:colOff>1014522</xdr:colOff>
      <xdr:row>8</xdr:row>
      <xdr:rowOff>162488</xdr:rowOff>
    </xdr:to>
    <xdr:pic>
      <xdr:nvPicPr>
        <xdr:cNvPr id="153" name="Picture 152">
          <a:extLst>
            <a:ext uri="{FF2B5EF4-FFF2-40B4-BE49-F238E27FC236}">
              <a16:creationId xmlns:a16="http://schemas.microsoft.com/office/drawing/2014/main" id="{778A5294-029E-4960-AF2B-639326DC3A3D}"/>
            </a:ext>
          </a:extLst>
        </xdr:cNvPr>
        <xdr:cNvPicPr>
          <a:picLocks noChangeAspect="1"/>
        </xdr:cNvPicPr>
      </xdr:nvPicPr>
      <xdr:blipFill>
        <a:blip xmlns:r="http://schemas.openxmlformats.org/officeDocument/2006/relationships" r:embed="rId2"/>
        <a:stretch>
          <a:fillRect/>
        </a:stretch>
      </xdr:blipFill>
      <xdr:spPr>
        <a:xfrm flipH="1">
          <a:off x="14968292" y="1019738"/>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1F0B646-28F3-4CCC-BD1A-3631C07EE231}"/>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𝑗𝑘𝑙</m:t>
                        </m:r>
                      </m:sub>
                    </m:sSub>
                    <m:r>
                      <a:rPr lang="en-AU" sz="1000" i="1">
                        <a:latin typeface="Cambria Math" panose="02040503050406030204" pitchFamily="18" charset="0"/>
                      </a:rPr>
                      <m:t>=20.7×</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C1F0B646-28F3-4CCC-BD1A-3631C07EE231}"/>
                </a:ext>
              </a:extLst>
            </xdr:cNvPr>
            <xdr:cNvSpPr txBox="1"/>
          </xdr:nvSpPr>
          <xdr:spPr>
            <a:xfrm>
              <a:off x="2671762" y="18407062"/>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𝑀_𝑗𝑘𝑙=20.7×𝐼_𝑗𝑘𝑙×10^(−3)</a:t>
              </a:r>
              <a:endParaRPr lang="en-AU" sz="10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FD39D14-CCAC-4A9C-AB52-EF549DF36094}"/>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sub>
                        </m:sSub>
                      </m:e>
                    </m:d>
                  </m:oMath>
                </m:oMathPara>
              </a14:m>
              <a:endParaRPr lang="en-AU" sz="1000"/>
            </a:p>
          </xdr:txBody>
        </xdr:sp>
      </mc:Choice>
      <mc:Fallback xmlns="">
        <xdr:sp macro="" textlink="">
          <xdr:nvSpPr>
            <xdr:cNvPr id="3" name="TextBox 2">
              <a:extLst>
                <a:ext uri="{FF2B5EF4-FFF2-40B4-BE49-F238E27FC236}">
                  <a16:creationId xmlns:a16="http://schemas.microsoft.com/office/drawing/2014/main" id="{3FD39D14-CCAC-4A9C-AB52-EF549DF36094}"/>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𝑀𝐴_(𝑗𝑘=4,5)=(𝐿𝐶_(𝑗𝑘=4,5)×𝐹𝐴_(𝑗𝑘=4,5) )+(1−𝐿𝐶_(𝑗𝑘=4,5) )</a:t>
              </a:r>
              <a:endParaRPr lang="en-AU" sz="10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D35DD51-6DC9-49EB-A07A-7EE510D69B0D}"/>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r>
                              <a:rPr lang="en-AU" sz="1000" i="1">
                                <a:latin typeface="Cambria Math" panose="02040503050406030204" pitchFamily="18" charset="0"/>
                              </a:rPr>
                              <m:t>1.185+0.00454×</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𝑗𝑘𝑙</m:t>
                                </m:r>
                              </m:sub>
                            </m:sSub>
                            <m:r>
                              <a:rPr lang="en-AU" sz="1000" i="1">
                                <a:latin typeface="Cambria Math" panose="02040503050406030204" pitchFamily="18" charset="0"/>
                              </a:rPr>
                              <m:t>−0.0000026×</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𝑗𝑘𝑙</m:t>
                                </m:r>
                              </m:sub>
                              <m:sup>
                                <m:r>
                                  <a:rPr lang="en-AU" sz="1000" i="1">
                                    <a:latin typeface="Cambria Math" panose="02040503050406030204" pitchFamily="18" charset="0"/>
                                  </a:rPr>
                                  <m:t>2</m:t>
                                </m:r>
                              </m:sup>
                            </m:sSubSup>
                            <m:r>
                              <a:rPr lang="en-AU" sz="1000" i="1">
                                <a:latin typeface="Cambria Math" panose="02040503050406030204" pitchFamily="18" charset="0"/>
                              </a:rPr>
                              <m:t>+0.315×</m:t>
                            </m:r>
                            <m:r>
                              <a:rPr lang="en-AU" sz="1000" i="1">
                                <a:latin typeface="Cambria Math" panose="02040503050406030204" pitchFamily="18" charset="0"/>
                              </a:rPr>
                              <m:t>𝐿𝑊</m:t>
                            </m:r>
                            <m:sSub>
                              <m:sSubPr>
                                <m:ctrlPr>
                                  <a:rPr lang="en-AU" sz="1000" i="1">
                                    <a:latin typeface="Cambria Math" panose="02040503050406030204" pitchFamily="18" charset="0"/>
                                  </a:rPr>
                                </m:ctrlPr>
                              </m:sSubPr>
                              <m:e>
                                <m:r>
                                  <a:rPr lang="en-AU" sz="1000" i="1">
                                    <a:latin typeface="Cambria Math" panose="02040503050406030204" pitchFamily="18" charset="0"/>
                                  </a:rPr>
                                  <m:t>𝐺</m:t>
                                </m:r>
                              </m:e>
                              <m:sub>
                                <m:r>
                                  <a:rPr lang="en-AU" sz="1000" i="1">
                                    <a:latin typeface="Cambria Math" panose="02040503050406030204" pitchFamily="18" charset="0"/>
                                  </a:rPr>
                                  <m:t>𝑗𝑘𝑙</m:t>
                                </m:r>
                              </m:sub>
                            </m:sSub>
                          </m:e>
                        </m:d>
                      </m:e>
                      <m:sup>
                        <m:r>
                          <a:rPr lang="en-AU" sz="1000" i="1">
                            <a:latin typeface="Cambria Math" panose="02040503050406030204" pitchFamily="18" charset="0"/>
                          </a:rPr>
                          <m:t>2</m:t>
                        </m:r>
                      </m:sup>
                    </m:sSup>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4D35DD51-6DC9-49EB-A07A-7EE510D69B0D}"/>
                </a:ext>
              </a:extLst>
            </xdr:cNvPr>
            <xdr:cNvSpPr txBox="1"/>
          </xdr:nvSpPr>
          <xdr:spPr>
            <a:xfrm>
              <a:off x="2700337" y="89296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𝐼_𝑗𝑘𝑙=(1.185+0.00454×𝑊_𝑗𝑘𝑙−0.0000026×𝑊_𝑗𝑘𝑙^2+0.315×𝐿𝑊𝐺_𝑗𝑘𝑙 )^2×𝑀𝐴_(𝑗𝑘=4,5)</a:t>
              </a:r>
              <a:endParaRPr lang="en-AU" sz="10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8186AC2-55E8-4EA4-B2C2-49DC158E573F}"/>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𝑒𝑛𝑡𝑒𝑟𝑖𝑐</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𝑙</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𝑗𝑘𝑙</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𝑗𝑘𝑙</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38186AC2-55E8-4EA4-B2C2-49DC158E573F}"/>
                </a:ext>
              </a:extLst>
            </xdr:cNvPr>
            <xdr:cNvSpPr txBox="1"/>
          </xdr:nvSpPr>
          <xdr:spPr>
            <a:xfrm>
              <a:off x="2681287" y="23502937"/>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𝐸_𝑒𝑛𝑡𝑒𝑟𝑖𝑐=∑_𝑗▒∑_𝑘▒∑_𝑙▒(𝐷_𝑗×𝑀_𝑗𝑘𝑙×𝑁_𝑗𝑘𝑙 ) ×10^(−3)</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480FBA-36E0-4556-AE71-3825142E8FED}"/>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𝐷𝑀</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𝑗𝑘𝑙</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0.04×</m:t>
                            </m:r>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e>
                        </m:d>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𝐴</m:t>
                        </m:r>
                      </m:e>
                    </m:d>
                  </m:oMath>
                </m:oMathPara>
              </a14:m>
              <a:endParaRPr lang="en-AU" sz="1000"/>
            </a:p>
          </xdr:txBody>
        </xdr:sp>
      </mc:Choice>
      <mc:Fallback xmlns="">
        <xdr:sp macro="" textlink="">
          <xdr:nvSpPr>
            <xdr:cNvPr id="2" name="TextBox 1">
              <a:extLst>
                <a:ext uri="{FF2B5EF4-FFF2-40B4-BE49-F238E27FC236}">
                  <a16:creationId xmlns:a16="http://schemas.microsoft.com/office/drawing/2014/main" id="{04480FBA-36E0-4556-AE71-3825142E8FED}"/>
                </a:ext>
              </a:extLst>
            </xdr:cNvPr>
            <xdr:cNvSpPr txBox="1"/>
          </xdr:nvSpPr>
          <xdr:spPr>
            <a:xfrm>
              <a:off x="2671762" y="253412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𝑉𝑆_𝑗𝑘𝑙=(𝐼_𝑗𝑘𝑙×(1−𝐷𝑀𝐷_𝑗𝑘𝑙 )+(0.04×𝐼_𝑗𝑘𝑙 ))×(1−𝐴)</a:t>
              </a:r>
              <a:endParaRPr lang="en-AU" sz="10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BBE50ED-93CB-4D0A-9A65-1C564798A3A0}"/>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sub>
                        </m:sSub>
                      </m:e>
                    </m:d>
                  </m:oMath>
                </m:oMathPara>
              </a14:m>
              <a:endParaRPr lang="en-AU" sz="1000"/>
            </a:p>
          </xdr:txBody>
        </xdr:sp>
      </mc:Choice>
      <mc:Fallback xmlns="">
        <xdr:sp macro="" textlink="">
          <xdr:nvSpPr>
            <xdr:cNvPr id="3" name="TextBox 2">
              <a:extLst>
                <a:ext uri="{FF2B5EF4-FFF2-40B4-BE49-F238E27FC236}">
                  <a16:creationId xmlns:a16="http://schemas.microsoft.com/office/drawing/2014/main" id="{4BBE50ED-93CB-4D0A-9A65-1C564798A3A0}"/>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𝑀𝐴_(𝑗𝑘=4,5)=(𝐿𝐶_(𝑗𝑘=4,5)×𝐹𝐴_(𝑗𝑘=4,5) )+(1−𝐿𝐶_(𝑗𝑘=4,5) )</a:t>
              </a:r>
              <a:endParaRPr lang="en-AU" sz="10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C1A04083-B0EF-4B0E-BDB7-C7E7F8E4C430}"/>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r>
                              <a:rPr lang="en-AU" sz="1000" i="1">
                                <a:latin typeface="Cambria Math" panose="02040503050406030204" pitchFamily="18" charset="0"/>
                              </a:rPr>
                              <m:t>1.185+0.00454×</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𝑗𝑘𝑙</m:t>
                                </m:r>
                              </m:sub>
                            </m:sSub>
                            <m:r>
                              <a:rPr lang="en-AU" sz="1000" i="1">
                                <a:latin typeface="Cambria Math" panose="02040503050406030204" pitchFamily="18" charset="0"/>
                              </a:rPr>
                              <m:t>−0.0000026×</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𝑗𝑘𝑙</m:t>
                                </m:r>
                              </m:sub>
                              <m:sup>
                                <m:r>
                                  <a:rPr lang="en-AU" sz="1000" i="1">
                                    <a:latin typeface="Cambria Math" panose="02040503050406030204" pitchFamily="18" charset="0"/>
                                  </a:rPr>
                                  <m:t>2</m:t>
                                </m:r>
                              </m:sup>
                            </m:sSubSup>
                            <m:r>
                              <a:rPr lang="en-AU" sz="1000" i="1">
                                <a:latin typeface="Cambria Math" panose="02040503050406030204" pitchFamily="18" charset="0"/>
                              </a:rPr>
                              <m:t>+0.315×</m:t>
                            </m:r>
                            <m:r>
                              <a:rPr lang="en-AU" sz="1000" i="1">
                                <a:latin typeface="Cambria Math" panose="02040503050406030204" pitchFamily="18" charset="0"/>
                              </a:rPr>
                              <m:t>𝐿𝑊</m:t>
                            </m:r>
                            <m:sSub>
                              <m:sSubPr>
                                <m:ctrlPr>
                                  <a:rPr lang="en-AU" sz="1000" i="1">
                                    <a:latin typeface="Cambria Math" panose="02040503050406030204" pitchFamily="18" charset="0"/>
                                  </a:rPr>
                                </m:ctrlPr>
                              </m:sSubPr>
                              <m:e>
                                <m:r>
                                  <a:rPr lang="en-AU" sz="1000" i="1">
                                    <a:latin typeface="Cambria Math" panose="02040503050406030204" pitchFamily="18" charset="0"/>
                                  </a:rPr>
                                  <m:t>𝐺</m:t>
                                </m:r>
                              </m:e>
                              <m:sub>
                                <m:r>
                                  <a:rPr lang="en-AU" sz="1000" i="1">
                                    <a:latin typeface="Cambria Math" panose="02040503050406030204" pitchFamily="18" charset="0"/>
                                  </a:rPr>
                                  <m:t>𝑗𝑘𝑙</m:t>
                                </m:r>
                              </m:sub>
                            </m:sSub>
                          </m:e>
                        </m:d>
                      </m:e>
                      <m:sup>
                        <m:r>
                          <a:rPr lang="en-AU" sz="1000" i="1">
                            <a:latin typeface="Cambria Math" panose="02040503050406030204" pitchFamily="18" charset="0"/>
                          </a:rPr>
                          <m:t>2</m:t>
                        </m:r>
                      </m:sup>
                    </m:sSup>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C1A04083-B0EF-4B0E-BDB7-C7E7F8E4C430}"/>
                </a:ext>
              </a:extLst>
            </xdr:cNvPr>
            <xdr:cNvSpPr txBox="1"/>
          </xdr:nvSpPr>
          <xdr:spPr>
            <a:xfrm>
              <a:off x="2700337" y="99202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𝐼_𝑗𝑘𝑙=(1.185+0.00454×𝑊_𝑗𝑘𝑙−0.0000026×𝑊_𝑗𝑘𝑙^2+0.315×𝐿𝑊𝐺_𝑗𝑘𝑙 )^2×𝑀𝐴_(𝑗𝑘=4,5)</a:t>
              </a:r>
              <a:endParaRPr lang="en-AU" sz="10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97DEEE84-CA6D-4104-850C-127F3F334233}"/>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𝑗𝑘𝑙𝑚</m:t>
                        </m:r>
                      </m:sub>
                    </m:sSub>
                    <m:r>
                      <a:rPr lang="en-AU" sz="1000" i="1">
                        <a:latin typeface="Cambria Math" panose="02040503050406030204" pitchFamily="18" charset="0"/>
                      </a:rPr>
                      <m:t>=</m:t>
                    </m:r>
                    <m:r>
                      <a:rPr lang="en-AU" sz="1000" i="1">
                        <a:latin typeface="Cambria Math" panose="02040503050406030204" pitchFamily="18" charset="0"/>
                      </a:rPr>
                      <m:t>𝑉</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𝑗𝑘𝑙</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𝐵</m:t>
                        </m:r>
                      </m:e>
                      <m:sub>
                        <m:r>
                          <a:rPr lang="en-AU" sz="1000" i="1">
                            <a:latin typeface="Cambria Math" panose="02040503050406030204" pitchFamily="18" charset="0"/>
                          </a:rPr>
                          <m:t>𝑜</m:t>
                        </m:r>
                      </m:sub>
                    </m:sSub>
                    <m:r>
                      <a:rPr lang="en-AU" sz="1000" i="1">
                        <a:latin typeface="Cambria Math" panose="02040503050406030204" pitchFamily="18" charset="0"/>
                      </a:rPr>
                      <m:t>×</m:t>
                    </m:r>
                    <m:r>
                      <a:rPr lang="en-AU" sz="1000" i="1">
                        <a:latin typeface="Cambria Math" panose="02040503050406030204" pitchFamily="18" charset="0"/>
                      </a:rPr>
                      <m:t>𝑀𝑀</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𝑀𝐶</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𝑖𝑚</m:t>
                        </m:r>
                      </m:sub>
                    </m:sSub>
                    <m:r>
                      <a:rPr lang="en-AU" sz="1000" i="1">
                        <a:latin typeface="Cambria Math" panose="02040503050406030204" pitchFamily="18" charset="0"/>
                      </a:rPr>
                      <m:t>×</m:t>
                    </m:r>
                    <m:r>
                      <a:rPr lang="en-AU" sz="1000" i="1">
                        <a:latin typeface="Cambria Math" panose="02040503050406030204" pitchFamily="18" charset="0"/>
                      </a:rPr>
                      <m:t>𝜌</m:t>
                    </m:r>
                  </m:oMath>
                </m:oMathPara>
              </a14:m>
              <a:endParaRPr lang="en-AU" sz="1000"/>
            </a:p>
          </xdr:txBody>
        </xdr:sp>
      </mc:Choice>
      <mc:Fallback xmlns="">
        <xdr:sp macro="" textlink="">
          <xdr:nvSpPr>
            <xdr:cNvPr id="5" name="TextBox 4">
              <a:extLst>
                <a:ext uri="{FF2B5EF4-FFF2-40B4-BE49-F238E27FC236}">
                  <a16:creationId xmlns:a16="http://schemas.microsoft.com/office/drawing/2014/main" id="{97DEEE84-CA6D-4104-850C-127F3F334233}"/>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𝑀_𝑗𝑘𝑙𝑚=𝑉𝑆_𝑗𝑘𝑙×𝐵_𝑜×𝑀𝑀𝑆_𝑚×𝑀𝐶𝐹_𝑖𝑚×𝜌</a:t>
              </a:r>
              <a:endParaRPr lang="en-AU" sz="10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53B9E53D-319E-4796-8FE6-364082B1B2A4}"/>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𝑙</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𝑗𝑘𝑙</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𝑗𝑘𝑙𝑚</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53B9E53D-319E-4796-8FE6-364082B1B2A4}"/>
                </a:ext>
              </a:extLst>
            </xdr:cNvPr>
            <xdr:cNvSpPr txBox="1"/>
          </xdr:nvSpPr>
          <xdr:spPr>
            <a:xfrm>
              <a:off x="2688247" y="51177196"/>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𝐸_𝐶𝐻4=∑_𝑗▒∑_𝑘▒∑_𝑙▒∑_𝑚▒(𝑁_𝑗𝑘𝑙×𝑀_𝑗𝑘𝑙𝑚×𝐷_𝑗 ) ×10^(−3)</a:t>
              </a:r>
              <a:endParaRPr lang="en-AU" sz="10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599FF6-1816-46E8-B521-5B634ACE1DE6}"/>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sub>
                    </m:sSub>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𝑐𝑎𝑙𝑣</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𝑐𝑎𝑙𝑣</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𝑝𝑟𝑒𝑣</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𝑎𝑓𝑡𝑒𝑟</m:t>
                                </m:r>
                              </m:sub>
                            </m:sSub>
                          </m:e>
                        </m:d>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𝑐𝑎𝑙𝑣</m:t>
                                </m:r>
                              </m:sub>
                            </m:sSub>
                            <m:r>
                              <a:rPr lang="en-AU" sz="1000" i="1">
                                <a:latin typeface="Cambria Math" panose="02040503050406030204" pitchFamily="18" charset="0"/>
                              </a:rPr>
                              <m:t>+</m:t>
                            </m:r>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=4,5,</m:t>
                                </m:r>
                                <m:r>
                                  <a:rPr lang="en-AU" sz="1000" i="1">
                                    <a:latin typeface="Cambria Math" panose="02040503050406030204" pitchFamily="18" charset="0"/>
                                  </a:rPr>
                                  <m:t>𝑝𝑟𝑒𝑣</m:t>
                                </m:r>
                              </m:sub>
                            </m:sSub>
                          </m:e>
                        </m:d>
                      </m:e>
                    </m:d>
                  </m:oMath>
                </m:oMathPara>
              </a14:m>
              <a:endParaRPr lang="en-AU" sz="1000"/>
            </a:p>
          </xdr:txBody>
        </xdr:sp>
      </mc:Choice>
      <mc:Fallback xmlns="">
        <xdr:sp macro="" textlink="">
          <xdr:nvSpPr>
            <xdr:cNvPr id="7" name="TextBox 6">
              <a:extLst>
                <a:ext uri="{FF2B5EF4-FFF2-40B4-BE49-F238E27FC236}">
                  <a16:creationId xmlns:a16="http://schemas.microsoft.com/office/drawing/2014/main" id="{ED599FF6-1816-46E8-B521-5B634ACE1DE6}"/>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26BE151-0B51-4CDF-88FC-A6B01AB702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𝑍</m:t>
                        </m:r>
                      </m:e>
                      <m:sub>
                        <m:r>
                          <a:rPr lang="en-AU" sz="1000" i="1">
                            <a:latin typeface="Cambria Math" panose="02040503050406030204" pitchFamily="18" charset="0"/>
                          </a:rPr>
                          <m:t>𝑗𝑘𝑙</m:t>
                        </m:r>
                      </m:sub>
                    </m:sSub>
                    <m:r>
                      <a:rPr lang="en-AU" sz="1000" i="1">
                        <a:latin typeface="Cambria Math" panose="02040503050406030204" pitchFamily="18" charset="0"/>
                      </a:rPr>
                      <m:t>=</m:t>
                    </m:r>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𝑗𝑘𝑙</m:t>
                            </m:r>
                          </m:sub>
                        </m:sSub>
                      </m:num>
                      <m:den>
                        <m:r>
                          <a:rPr lang="en-AU" sz="1000" i="1">
                            <a:latin typeface="Cambria Math" panose="02040503050406030204" pitchFamily="18" charset="0"/>
                          </a:rPr>
                          <m:t>𝑆𝑅</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𝑘</m:t>
                            </m:r>
                          </m:sub>
                        </m:sSub>
                      </m:den>
                    </m:f>
                  </m:oMath>
                </m:oMathPara>
              </a14:m>
              <a:endParaRPr lang="en-AU" sz="1000"/>
            </a:p>
          </xdr:txBody>
        </xdr:sp>
      </mc:Choice>
      <mc:Fallback xmlns="">
        <xdr:sp macro="" textlink="">
          <xdr:nvSpPr>
            <xdr:cNvPr id="2" name="TextBox 1">
              <a:extLst>
                <a:ext uri="{FF2B5EF4-FFF2-40B4-BE49-F238E27FC236}">
                  <a16:creationId xmlns:a16="http://schemas.microsoft.com/office/drawing/2014/main" id="{C26BE151-0B51-4CDF-88FC-A6B01AB702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𝑍_𝑗𝑘𝑙=𝑊_𝑗𝑘𝑙/(𝑆𝑅𝑊_𝑘 )</a:t>
              </a:r>
              <a:endParaRPr lang="en-AU" sz="10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1606E73-D4CB-4B7B-BD41-68EF5238AB25}"/>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𝑗𝑘𝑙</m:t>
                        </m:r>
                      </m:sub>
                    </m:sSub>
                    <m:r>
                      <a:rPr lang="en-AU" sz="1000" i="1">
                        <a:latin typeface="Cambria Math" panose="02040503050406030204" pitchFamily="18" charset="0"/>
                      </a:rPr>
                      <m:t>=</m:t>
                    </m:r>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num>
                      <m:den>
                        <m:sSup>
                          <m:sSupPr>
                            <m:ctrlPr>
                              <a:rPr lang="en-AU" sz="1000" i="1">
                                <a:latin typeface="Cambria Math" panose="02040503050406030204" pitchFamily="18" charset="0"/>
                              </a:rPr>
                            </m:ctrlPr>
                          </m:sSupPr>
                          <m:e>
                            <m:d>
                              <m:dPr>
                                <m:ctrlPr>
                                  <a:rPr lang="en-AU" sz="1000" i="1">
                                    <a:latin typeface="Cambria Math" panose="02040503050406030204" pitchFamily="18" charset="0"/>
                                  </a:rPr>
                                </m:ctrlPr>
                              </m:dPr>
                              <m:e>
                                <m:r>
                                  <a:rPr lang="en-AU" sz="1000" i="1">
                                    <a:latin typeface="Cambria Math" panose="02040503050406030204" pitchFamily="18" charset="0"/>
                                  </a:rPr>
                                  <m:t>1.185+0.00454×</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𝑗𝑘𝑙</m:t>
                                    </m:r>
                                  </m:sub>
                                </m:sSub>
                                <m:r>
                                  <a:rPr lang="en-AU" sz="1000" i="1">
                                    <a:latin typeface="Cambria Math" panose="02040503050406030204" pitchFamily="18" charset="0"/>
                                  </a:rPr>
                                  <m:t>−0.0000026×</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𝑗𝑘𝑙</m:t>
                                    </m:r>
                                  </m:sub>
                                  <m:sup>
                                    <m:r>
                                      <a:rPr lang="en-AU" sz="1000" i="1">
                                        <a:latin typeface="Cambria Math" panose="02040503050406030204" pitchFamily="18" charset="0"/>
                                      </a:rPr>
                                      <m:t>2</m:t>
                                    </m:r>
                                  </m:sup>
                                </m:sSubSup>
                              </m:e>
                            </m:d>
                          </m:e>
                          <m:sup>
                            <m:r>
                              <a:rPr lang="en-AU" sz="1000" i="1">
                                <a:latin typeface="Cambria Math" panose="02040503050406030204" pitchFamily="18" charset="0"/>
                              </a:rPr>
                              <m:t>2</m:t>
                            </m:r>
                          </m:sup>
                        </m:sSup>
                      </m:den>
                    </m:f>
                  </m:oMath>
                </m:oMathPara>
              </a14:m>
              <a:endParaRPr lang="en-AU" sz="1000"/>
            </a:p>
          </xdr:txBody>
        </xdr:sp>
      </mc:Choice>
      <mc:Fallback xmlns="">
        <xdr:sp macro="" textlink="">
          <xdr:nvSpPr>
            <xdr:cNvPr id="3" name="TextBox 2">
              <a:extLst>
                <a:ext uri="{FF2B5EF4-FFF2-40B4-BE49-F238E27FC236}">
                  <a16:creationId xmlns:a16="http://schemas.microsoft.com/office/drawing/2014/main" id="{71606E73-D4CB-4B7B-BD41-68EF5238AB25}"/>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𝐿_𝑗𝑘𝑙=𝐼_𝑗𝑘𝑙/(1.185+0.00454×𝑊_𝑗𝑘𝑙−0.0000026×𝑊_𝑗𝑘𝑙^2 )^2 </a:t>
              </a:r>
              <a:endParaRPr lang="en-AU" sz="10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095C35D-7606-4B9E-968D-990DEA67BAAD}"/>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𝑗𝑘</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𝐿</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=5</m:t>
                        </m:r>
                      </m:sub>
                    </m:sSub>
                    <m:r>
                      <a:rPr lang="en-AU" sz="1000" i="1">
                        <a:latin typeface="Cambria Math" panose="02040503050406030204" pitchFamily="18" charset="0"/>
                      </a:rPr>
                      <m:t>×</m:t>
                    </m:r>
                    <m:r>
                      <a:rPr lang="en-AU" sz="1000" i="1">
                        <a:latin typeface="Cambria Math" panose="02040503050406030204" pitchFamily="18" charset="0"/>
                      </a:rPr>
                      <m:t>𝐷𝑀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𝑗𝑘</m:t>
                        </m:r>
                        <m:r>
                          <a:rPr lang="en-AU" sz="1000" i="1">
                            <a:latin typeface="Cambria Math" panose="02040503050406030204" pitchFamily="18" charset="0"/>
                          </a:rPr>
                          <m:t>=5</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5095C35D-7606-4B9E-968D-990DEA67BAAD}"/>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𝑀𝑃_(𝑗𝑘=5)=𝐿𝐶_(𝑗𝑘=5)×𝐷𝑀𝑃_(𝑗𝑘=5)</a:t>
              </a:r>
              <a:endParaRPr lang="en-AU" sz="10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CE942A0-612E-41EC-B083-C44BF4023ED7}"/>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0.032×</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𝑗𝑘</m:t>
                            </m:r>
                            <m:r>
                              <a:rPr lang="en-AU" sz="1000" i="1">
                                <a:latin typeface="Cambria Math" panose="02040503050406030204" pitchFamily="18" charset="0"/>
                              </a:rPr>
                              <m:t>=5</m:t>
                            </m:r>
                          </m:sub>
                        </m:sSub>
                        <m:r>
                          <a:rPr lang="en-AU" sz="1000" i="1">
                            <a:latin typeface="Cambria Math" panose="02040503050406030204" pitchFamily="18" charset="0"/>
                          </a:rPr>
                          <m:t>÷6.38</m:t>
                        </m:r>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begChr m:val="{"/>
                            <m:endChr m:val="}"/>
                            <m:ctrlPr>
                              <a:rPr lang="en-AU" sz="1000" i="1">
                                <a:latin typeface="Cambria Math" panose="02040503050406030204" pitchFamily="18" charset="0"/>
                              </a:rPr>
                            </m:ctrlPr>
                          </m:dPr>
                          <m:e>
                            <m:r>
                              <a:rPr lang="en-AU" sz="1000" i="1">
                                <a:latin typeface="Cambria Math" panose="02040503050406030204" pitchFamily="18" charset="0"/>
                              </a:rPr>
                              <m:t>0.212−0.008×</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𝑗𝑘𝑙</m:t>
                                    </m:r>
                                  </m:sub>
                                </m:sSub>
                                <m:r>
                                  <a:rPr lang="en-AU" sz="1000" i="1">
                                    <a:latin typeface="Cambria Math" panose="02040503050406030204" pitchFamily="18" charset="0"/>
                                  </a:rPr>
                                  <m:t>−2</m:t>
                                </m:r>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f>
                                  <m:fPr>
                                    <m:ctrlPr>
                                      <a:rPr lang="en-AU" sz="1000" i="1">
                                        <a:latin typeface="Cambria Math" panose="02040503050406030204" pitchFamily="18" charset="0"/>
                                      </a:rPr>
                                    </m:ctrlPr>
                                  </m:fPr>
                                  <m:num>
                                    <m:r>
                                      <a:rPr lang="en-AU" sz="1000" i="1">
                                        <a:latin typeface="Cambria Math" panose="02040503050406030204" pitchFamily="18" charset="0"/>
                                      </a:rPr>
                                      <m:t>0.140−0.008×</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𝐿</m:t>
                                            </m:r>
                                          </m:e>
                                          <m:sub>
                                            <m:r>
                                              <a:rPr lang="en-AU" sz="1000" i="1">
                                                <a:latin typeface="Cambria Math" panose="02040503050406030204" pitchFamily="18" charset="0"/>
                                              </a:rPr>
                                              <m:t>𝑗𝑘𝑙</m:t>
                                            </m:r>
                                          </m:sub>
                                        </m:sSub>
                                        <m:r>
                                          <a:rPr lang="en-AU" sz="1000" i="1">
                                            <a:latin typeface="Cambria Math" panose="02040503050406030204" pitchFamily="18" charset="0"/>
                                          </a:rPr>
                                          <m:t>−2</m:t>
                                        </m:r>
                                      </m:e>
                                    </m:d>
                                  </m:num>
                                  <m:den>
                                    <m:r>
                                      <a:rPr lang="en-AU" sz="1000" i="1">
                                        <a:latin typeface="Cambria Math" panose="02040503050406030204" pitchFamily="18" charset="0"/>
                                      </a:rPr>
                                      <m:t>1+</m:t>
                                    </m:r>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d>
                                          <m:dPr>
                                            <m:ctrlPr>
                                              <a:rPr lang="en-AU" sz="1000" i="1">
                                                <a:latin typeface="Cambria Math" panose="02040503050406030204" pitchFamily="18" charset="0"/>
                                              </a:rPr>
                                            </m:ctrlPr>
                                          </m:dPr>
                                          <m:e>
                                            <m:r>
                                              <a:rPr lang="en-AU" sz="1000" i="1">
                                                <a:latin typeface="Cambria Math" panose="02040503050406030204" pitchFamily="18" charset="0"/>
                                              </a:rPr>
                                              <m:t>−6×</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𝑍</m:t>
                                                    </m:r>
                                                  </m:e>
                                                  <m:sub>
                                                    <m:r>
                                                      <a:rPr lang="en-AU" sz="1000" i="1">
                                                        <a:latin typeface="Cambria Math" panose="02040503050406030204" pitchFamily="18" charset="0"/>
                                                      </a:rPr>
                                                      <m:t>𝑗𝑘𝑙</m:t>
                                                    </m:r>
                                                  </m:sub>
                                                </m:sSub>
                                                <m:r>
                                                  <a:rPr lang="en-AU" sz="1000" i="1">
                                                    <a:latin typeface="Cambria Math" panose="02040503050406030204" pitchFamily="18" charset="0"/>
                                                  </a:rPr>
                                                  <m:t>−0.4</m:t>
                                                </m:r>
                                              </m:e>
                                            </m:d>
                                          </m:e>
                                        </m:d>
                                      </m:sup>
                                    </m:sSup>
                                  </m:den>
                                </m:f>
                              </m:e>
                            </m:d>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𝐿𝑊</m:t>
                            </m:r>
                            <m:sSub>
                              <m:sSubPr>
                                <m:ctrlPr>
                                  <a:rPr lang="en-AU" sz="1000" i="1">
                                    <a:latin typeface="Cambria Math" panose="02040503050406030204" pitchFamily="18" charset="0"/>
                                  </a:rPr>
                                </m:ctrlPr>
                              </m:sSubPr>
                              <m:e>
                                <m:r>
                                  <a:rPr lang="en-AU" sz="1000" i="1">
                                    <a:latin typeface="Cambria Math" panose="02040503050406030204" pitchFamily="18" charset="0"/>
                                  </a:rPr>
                                  <m:t>𝐺</m:t>
                                </m:r>
                              </m:e>
                              <m:sub>
                                <m:r>
                                  <a:rPr lang="en-AU" sz="1000" i="1">
                                    <a:latin typeface="Cambria Math" panose="02040503050406030204" pitchFamily="18" charset="0"/>
                                  </a:rPr>
                                  <m:t>𝑗𝑘𝑙</m:t>
                                </m:r>
                              </m:sub>
                            </m:sSub>
                            <m:r>
                              <a:rPr lang="en-AU" sz="1000" i="1">
                                <a:latin typeface="Cambria Math" panose="02040503050406030204" pitchFamily="18" charset="0"/>
                              </a:rPr>
                              <m:t>×0.92</m:t>
                            </m:r>
                          </m:e>
                        </m:d>
                      </m:e>
                    </m:d>
                    <m:r>
                      <a:rPr lang="en-AU" sz="1000" i="1">
                        <a:latin typeface="Cambria Math" panose="02040503050406030204" pitchFamily="18" charset="0"/>
                      </a:rPr>
                      <m:t>÷6.25</m:t>
                    </m:r>
                  </m:oMath>
                </m:oMathPara>
              </a14:m>
              <a:endParaRPr lang="en-AU" sz="1000"/>
            </a:p>
          </xdr:txBody>
        </xdr:sp>
      </mc:Choice>
      <mc:Fallback xmlns="">
        <xdr:sp macro="" textlink="">
          <xdr:nvSpPr>
            <xdr:cNvPr id="5" name="TextBox 4">
              <a:extLst>
                <a:ext uri="{FF2B5EF4-FFF2-40B4-BE49-F238E27FC236}">
                  <a16:creationId xmlns:a16="http://schemas.microsoft.com/office/drawing/2014/main" id="{5CE942A0-612E-41EC-B083-C44BF4023ED7}"/>
                </a:ext>
              </a:extLst>
            </xdr:cNvPr>
            <xdr:cNvSpPr txBox="1"/>
          </xdr:nvSpPr>
          <xdr:spPr>
            <a:xfrm>
              <a:off x="2644588" y="25936016"/>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𝑁𝑅_𝑗𝑘𝑙=(0.032×𝑀𝑃_(𝑗𝑘=5)÷6.38)+{{0.212−0.008×(𝐿_𝑗𝑘𝑙−2)−[(0.140−0.008×(𝐿_𝑗𝑘𝑙−2))/(1+𝑒^((−6×(𝑍_𝑗𝑘𝑙−0.4)) ) )]}×(𝐿𝑊𝐺_𝑗𝑘𝑙×0.92)}÷6.25</a:t>
              </a:r>
              <a:endParaRPr lang="en-AU" sz="10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6004066-370B-4269-AEC0-6F8DDE44B899}"/>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𝐼</m:t>
                            </m:r>
                          </m:e>
                          <m:sub>
                            <m:r>
                              <a:rPr lang="en-AU" sz="1000" i="1">
                                <a:latin typeface="Cambria Math" panose="02040503050406030204" pitchFamily="18" charset="0"/>
                              </a:rPr>
                              <m:t>𝑗𝑘𝑙</m:t>
                            </m:r>
                          </m:sub>
                        </m:sSub>
                        <m:r>
                          <a:rPr lang="en-AU" sz="1000" i="1">
                            <a:latin typeface="Cambria Math" panose="02040503050406030204" pitchFamily="18" charset="0"/>
                          </a:rPr>
                          <m:t>×</m:t>
                        </m:r>
                        <m:r>
                          <a:rPr lang="en-AU" sz="1000" i="1">
                            <a:latin typeface="Cambria Math" panose="02040503050406030204" pitchFamily="18" charset="0"/>
                          </a:rPr>
                          <m:t>𝐶</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𝑗</m:t>
                            </m:r>
                          </m:sub>
                        </m:sSub>
                        <m:r>
                          <a:rPr lang="en-AU" sz="1000" i="1">
                            <a:latin typeface="Cambria Math" panose="02040503050406030204" pitchFamily="18" charset="0"/>
                          </a:rPr>
                          <m:t>÷6.25</m:t>
                        </m:r>
                      </m:e>
                    </m:d>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0.032×</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𝑗𝑘</m:t>
                            </m:r>
                            <m:r>
                              <a:rPr lang="en-AU" sz="1000" i="1">
                                <a:latin typeface="Cambria Math" panose="02040503050406030204" pitchFamily="18" charset="0"/>
                              </a:rPr>
                              <m:t>=1,3,6</m:t>
                            </m:r>
                          </m:sub>
                        </m:sSub>
                        <m:r>
                          <a:rPr lang="en-AU" sz="1000" i="1">
                            <a:latin typeface="Cambria Math" panose="02040503050406030204" pitchFamily="18" charset="0"/>
                          </a:rPr>
                          <m:t>÷6.38</m:t>
                        </m:r>
                      </m:e>
                    </m:d>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𝑗𝑘𝑙</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1.1×</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−4</m:t>
                                </m:r>
                              </m:sup>
                            </m:sSup>
                            <m:r>
                              <a:rPr lang="en-AU" sz="1000" i="1">
                                <a:latin typeface="Cambria Math" panose="02040503050406030204" pitchFamily="18" charset="0"/>
                              </a:rPr>
                              <m:t>×</m:t>
                            </m:r>
                            <m:sSubSup>
                              <m:sSubSupPr>
                                <m:ctrlPr>
                                  <a:rPr lang="en-AU" sz="1000" i="1">
                                    <a:latin typeface="Cambria Math" panose="02040503050406030204" pitchFamily="18" charset="0"/>
                                  </a:rPr>
                                </m:ctrlPr>
                              </m:sSubSupPr>
                              <m:e>
                                <m:r>
                                  <a:rPr lang="en-AU" sz="1000" i="1">
                                    <a:latin typeface="Cambria Math" panose="02040503050406030204" pitchFamily="18" charset="0"/>
                                  </a:rPr>
                                  <m:t>𝑊</m:t>
                                </m:r>
                              </m:e>
                              <m:sub>
                                <m:r>
                                  <a:rPr lang="en-AU" sz="1000" i="1">
                                    <a:latin typeface="Cambria Math" panose="02040503050406030204" pitchFamily="18" charset="0"/>
                                  </a:rPr>
                                  <m:t>𝑗𝑘𝑙</m:t>
                                </m:r>
                              </m:sub>
                              <m:sup>
                                <m:r>
                                  <a:rPr lang="en-AU" sz="1000" i="1">
                                    <a:latin typeface="Cambria Math" panose="02040503050406030204" pitchFamily="18" charset="0"/>
                                  </a:rPr>
                                  <m:t>0.75</m:t>
                                </m:r>
                              </m:sup>
                            </m:sSubSup>
                          </m:e>
                        </m:d>
                        <m:r>
                          <a:rPr lang="en-AU" sz="1000" i="1">
                            <a:latin typeface="Cambria Math" panose="02040503050406030204" pitchFamily="18" charset="0"/>
                          </a:rPr>
                          <m:t>÷6.25</m:t>
                        </m:r>
                      </m:e>
                    </m:d>
                  </m:oMath>
                </m:oMathPara>
              </a14:m>
              <a:endParaRPr lang="en-AU" sz="1000"/>
            </a:p>
          </xdr:txBody>
        </xdr:sp>
      </mc:Choice>
      <mc:Fallback xmlns="">
        <xdr:sp macro="" textlink="">
          <xdr:nvSpPr>
            <xdr:cNvPr id="6" name="TextBox 5">
              <a:extLst>
                <a:ext uri="{FF2B5EF4-FFF2-40B4-BE49-F238E27FC236}">
                  <a16:creationId xmlns:a16="http://schemas.microsoft.com/office/drawing/2014/main" id="{16004066-370B-4269-AEC0-6F8DDE44B899}"/>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𝑁𝐸_𝑗𝑘𝑙=(𝐼_𝑗𝑘𝑙×𝐶𝑃_𝑗÷6.25)+(0.032×𝑀𝐶_(𝑗𝑘=1,3,6)÷6.38)−𝑁𝑅_𝑗𝑘𝑙−[(1.1×10^(−4)×𝑊_𝑗𝑘𝑙^0.75 )÷6.25]</a:t>
              </a:r>
              <a:endParaRPr lang="en-AU" sz="10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87333D05-8EA9-41FE-A06F-8BA8D2EE1FB6}"/>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𝐴𝐸</m:t>
                    </m:r>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𝑙</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𝑗𝑘𝑙</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𝑗𝑘𝑙</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m:t>
                                        </m:r>
                                      </m:sub>
                                    </m:sSub>
                                  </m:e>
                                </m:d>
                              </m:e>
                            </m:nary>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87333D05-8EA9-41FE-A06F-8BA8D2EE1FB6}"/>
                </a:ext>
              </a:extLst>
            </xdr:cNvPr>
            <xdr:cNvSpPr txBox="1"/>
          </xdr:nvSpPr>
          <xdr:spPr>
            <a:xfrm>
              <a:off x="2681287" y="442531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𝐴𝐸=∑_𝑗▒∑_𝑘▒∑_𝑙▒(𝑁_𝑗𝑘𝑙×𝑁𝐸_𝑗𝑘𝑙×𝐷_𝑗 ) </a:t>
              </a:r>
              <a:endParaRPr lang="en-AU" sz="10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45CD4F07-4286-43BB-8F23-8192BDA30340}"/>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𝑑𝑖𝑟</m:t>
                        </m:r>
                      </m:sub>
                    </m:sSub>
                    <m:r>
                      <a:rPr lang="en-AU" sz="1000" i="1">
                        <a:latin typeface="Cambria Math" panose="02040503050406030204" pitchFamily="18" charset="0"/>
                      </a:rPr>
                      <m:t>=</m:t>
                    </m:r>
                    <m:r>
                      <a:rPr lang="en-AU" sz="1000" i="1">
                        <a:latin typeface="Cambria Math" panose="02040503050406030204" pitchFamily="18" charset="0"/>
                      </a:rPr>
                      <m:t>𝐴𝐸</m:t>
                    </m:r>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𝑃𝑅𝑃</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8" name="TextBox 7">
              <a:extLst>
                <a:ext uri="{FF2B5EF4-FFF2-40B4-BE49-F238E27FC236}">
                  <a16:creationId xmlns:a16="http://schemas.microsoft.com/office/drawing/2014/main" id="{45CD4F07-4286-43BB-8F23-8192BDA30340}"/>
                </a:ext>
              </a:extLst>
            </xdr:cNvPr>
            <xdr:cNvSpPr txBox="1"/>
          </xdr:nvSpPr>
          <xdr:spPr>
            <a:xfrm>
              <a:off x="2671762" y="542163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𝐸_(𝑁2𝑂,𝑑𝑖𝑟)=𝐴𝐸×𝐸𝐹_𝑃𝑅𝑃×𝐶_𝑁2𝑂×10^(−3)</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E3B669C-1F4D-4EE4-BC46-88583930A6B3}"/>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sub>
                    </m:sSub>
                    <m:r>
                      <a:rPr lang="en-AU" sz="1000" i="1">
                        <a:latin typeface="Cambria Math" panose="02040503050406030204" pitchFamily="18" charset="0"/>
                      </a:rPr>
                      <m:t>=</m:t>
                    </m:r>
                    <m:r>
                      <a:rPr lang="en-AU" sz="1000" i="1">
                        <a:latin typeface="Cambria Math" panose="02040503050406030204" pitchFamily="18" charset="0"/>
                      </a:rPr>
                      <m:t>𝐴𝐸</m:t>
                    </m:r>
                    <m:r>
                      <a:rPr lang="en-AU" sz="1000" i="1">
                        <a:latin typeface="Cambria Math" panose="02040503050406030204" pitchFamily="18" charset="0"/>
                      </a:rPr>
                      <m:t>×</m:t>
                    </m:r>
                    <m:r>
                      <a:rPr lang="en-AU" sz="1000" i="1">
                        <a:latin typeface="Cambria Math" panose="02040503050406030204" pitchFamily="18" charset="0"/>
                      </a:rPr>
                      <m:t>𝐹𝑟𝑎𝑐𝐺𝐴𝑆𝑀𝑠𝑜𝑖𝑙</m:t>
                    </m:r>
                  </m:oMath>
                </m:oMathPara>
              </a14:m>
              <a:endParaRPr lang="en-AU" sz="1000"/>
            </a:p>
          </xdr:txBody>
        </xdr:sp>
      </mc:Choice>
      <mc:Fallback xmlns="">
        <xdr:sp macro="" textlink="">
          <xdr:nvSpPr>
            <xdr:cNvPr id="2" name="TextBox 1">
              <a:extLst>
                <a:ext uri="{FF2B5EF4-FFF2-40B4-BE49-F238E27FC236}">
                  <a16:creationId xmlns:a16="http://schemas.microsoft.com/office/drawing/2014/main" id="{AE3B669C-1F4D-4EE4-BC46-88583930A6B3}"/>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𝑀_𝑣𝑜𝑙=𝐴𝐸×𝐹𝑟𝑎𝑐𝐺𝐴𝑆𝑀𝑠𝑜𝑖𝑙</a:t>
              </a:r>
              <a:endParaRPr lang="en-AU" sz="10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4B776CD-DE4B-4ECD-B1D0-B82B7A8F5CEF}"/>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F4B776CD-DE4B-4ECD-B1D0-B82B7A8F5CEF}"/>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𝐸_(𝑁2𝑂,𝑎𝑑)=𝑀_𝑣𝑜𝑙×𝐸𝐹_𝑁2𝑂×𝐶_𝑁2𝑂×10^(−3)</a:t>
              </a:r>
              <a:endParaRPr lang="en-AU" sz="10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0505FFC-51F2-47A9-8DB9-EAF99A338400}"/>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r>
                      <a:rPr lang="en-AU" sz="1000" i="1">
                        <a:latin typeface="Cambria Math" panose="02040503050406030204" pitchFamily="18" charset="0"/>
                      </a:rPr>
                      <m:t>𝐴𝐸</m:t>
                    </m:r>
                    <m:r>
                      <a:rPr lang="en-AU" sz="1000" i="1">
                        <a:latin typeface="Cambria Math" panose="02040503050406030204" pitchFamily="18" charset="0"/>
                      </a:rPr>
                      <m:t>×</m:t>
                    </m:r>
                    <m:r>
                      <a:rPr lang="en-AU" sz="1000" i="1">
                        <a:latin typeface="Cambria Math" panose="02040503050406030204" pitchFamily="18" charset="0"/>
                      </a:rPr>
                      <m:t>𝐹𝑟𝑎𝑐𝑊𝑒𝑡</m:t>
                    </m:r>
                    <m:r>
                      <a:rPr lang="en-AU" sz="1000" i="1">
                        <a:latin typeface="Cambria Math" panose="02040503050406030204" pitchFamily="18" charset="0"/>
                      </a:rPr>
                      <m:t>×</m:t>
                    </m:r>
                    <m:r>
                      <a:rPr lang="en-AU" sz="1000" i="1">
                        <a:latin typeface="Cambria Math" panose="02040503050406030204" pitchFamily="18" charset="0"/>
                      </a:rPr>
                      <m:t>𝐹𝑟𝑎𝑐𝐿𝐸𝐴𝐶𝐻</m:t>
                    </m:r>
                  </m:oMath>
                </m:oMathPara>
              </a14:m>
              <a:endParaRPr lang="en-AU" sz="1000"/>
            </a:p>
          </xdr:txBody>
        </xdr:sp>
      </mc:Choice>
      <mc:Fallback xmlns="">
        <xdr:sp macro="" textlink="">
          <xdr:nvSpPr>
            <xdr:cNvPr id="2" name="TextBox 1">
              <a:extLst>
                <a:ext uri="{FF2B5EF4-FFF2-40B4-BE49-F238E27FC236}">
                  <a16:creationId xmlns:a16="http://schemas.microsoft.com/office/drawing/2014/main" id="{50505FFC-51F2-47A9-8DB9-EAF99A338400}"/>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𝑀_𝑙𝑒𝑎𝑐ℎ=𝐴𝐸×𝐹𝑟𝑎𝑐𝑊𝑒𝑡×𝐹𝑟𝑎𝑐𝐿𝐸𝐴𝐶𝐻</a:t>
              </a:r>
              <a:endParaRPr lang="en-AU" sz="10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F9B10FE-1269-41B0-A1E9-E87CD5FA8AA3}"/>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FF9B10FE-1269-41B0-A1E9-E87CD5FA8AA3}"/>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𝐸_(𝑁2𝑂,𝑙𝑒𝑎𝑐ℎ)=𝑀_𝑙𝑒𝑎𝑐ℎ×𝐸𝐹_𝑙𝑒𝑎𝑐ℎ×𝐶_𝑁2𝑂×10^(−3)</a:t>
              </a:r>
              <a:endParaRPr lang="en-AU" sz="10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781EF02-88A3-4C66-A3E2-023454EDF13D}"/>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3781EF02-88A3-4C66-A3E2-023454EDF13D}"/>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𝑀𝑁_𝑗𝑓=𝑇𝑀_𝑗𝑓×𝐹𝑁_(𝑖𝑛𝑜𝑟𝑔𝑎𝑛𝑖𝑐,𝑓)</a:t>
              </a:r>
              <a:endParaRPr lang="en-AU" sz="10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315B228B-EBBC-4557-A6C5-AB1A8FDCBB30}"/>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315B228B-EBBC-4557-A6C5-AB1A8FDCBB30}"/>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2805987-4EFA-4152-B146-1E2A334D28ED}"/>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−0.1474+</m:t>
                        </m:r>
                        <m:d>
                          <m:dPr>
                            <m:ctrlPr>
                              <a:rPr lang="en-AU" sz="1000" i="1">
                                <a:latin typeface="Cambria Math" panose="02040503050406030204" pitchFamily="18" charset="0"/>
                              </a:rPr>
                            </m:ctrlPr>
                          </m:dPr>
                          <m:e>
                            <m:r>
                              <a:rPr lang="en-AU" sz="1000" i="1">
                                <a:latin typeface="Cambria Math" panose="02040503050406030204" pitchFamily="18" charset="0"/>
                              </a:rPr>
                              <m:t>0.0061×</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D2805987-4EFA-4152-B146-1E2A334D28ED}"/>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0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B3F5467-87D3-45D7-A722-378529EF9A32}"/>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0.0781+</m:t>
                        </m:r>
                        <m:d>
                          <m:dPr>
                            <m:ctrlPr>
                              <a:rPr lang="en-AU" sz="1000" i="1">
                                <a:latin typeface="Cambria Math" panose="02040503050406030204" pitchFamily="18" charset="0"/>
                              </a:rPr>
                            </m:ctrlPr>
                          </m:dPr>
                          <m:e>
                            <m:r>
                              <a:rPr lang="en-AU" sz="1000" i="1">
                                <a:latin typeface="Cambria Math" panose="02040503050406030204" pitchFamily="18" charset="0"/>
                              </a:rPr>
                              <m:t>0.0075×</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0B3F5467-87D3-45D7-A722-378529EF9A32}"/>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0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CA558F1-9EC2-444F-AB30-185EBB5F7E02}"/>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000" i="1">
                            <a:latin typeface="Cambria Math" panose="02040503050406030204" pitchFamily="18" charset="0"/>
                          </a:rPr>
                        </m:ctrlPr>
                      </m:dPr>
                      <m:e>
                        <m:r>
                          <a:rPr lang="en-AU" sz="1000" i="1">
                            <a:latin typeface="Cambria Math" panose="02040503050406030204" pitchFamily="18" charset="0"/>
                          </a:rPr>
                          <m:t>0.01×</m:t>
                        </m:r>
                        <m:d>
                          <m:dPr>
                            <m:ctrlPr>
                              <a:rPr lang="en-AU" sz="1000" i="1">
                                <a:latin typeface="Cambria Math" panose="02040503050406030204" pitchFamily="18" charset="0"/>
                              </a:rPr>
                            </m:ctrlPr>
                          </m:dPr>
                          <m:e>
                            <m:r>
                              <a:rPr lang="en-AU" sz="1000" i="1">
                                <a:latin typeface="Cambria Math" panose="02040503050406030204" pitchFamily="18" charset="0"/>
                              </a:rPr>
                              <m:t>0.29+</m:t>
                            </m:r>
                            <m:f>
                              <m:fPr>
                                <m:ctrlPr>
                                  <a:rPr lang="en-AU" sz="1000" i="1">
                                    <a:latin typeface="Cambria Math" panose="02040503050406030204" pitchFamily="18" charset="0"/>
                                  </a:rPr>
                                </m:ctrlPr>
                              </m:fPr>
                              <m:num>
                                <m:r>
                                  <a:rPr lang="en-AU" sz="1000" i="1">
                                    <a:latin typeface="Cambria Math" panose="02040503050406030204" pitchFamily="18" charset="0"/>
                                  </a:rPr>
                                  <m:t>0.007</m:t>
                                </m:r>
                                <m:d>
                                  <m:dPr>
                                    <m:ctrlPr>
                                      <a:rPr lang="en-AU" sz="1000" i="1">
                                        <a:latin typeface="Cambria Math" panose="02040503050406030204" pitchFamily="18" charset="0"/>
                                      </a:rPr>
                                    </m:ctrlPr>
                                  </m:dPr>
                                  <m:e>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r>
                                          <a:rPr lang="en-AU" sz="1000" i="1">
                                            <a:latin typeface="Cambria Math" panose="02040503050406030204" pitchFamily="18" charset="0"/>
                                          </a:rPr>
                                          <m:t>0.037×</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sup>
                                    </m:sSup>
                                    <m:r>
                                      <a:rPr lang="en-AU" sz="1000" i="1">
                                        <a:latin typeface="Cambria Math" panose="02040503050406030204" pitchFamily="18" charset="0"/>
                                      </a:rPr>
                                      <m:t>−1</m:t>
                                    </m:r>
                                  </m:e>
                                </m:d>
                              </m:num>
                              <m:den>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den>
                            </m:f>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7CA558F1-9EC2-444F-AB30-185EBB5F7E02}"/>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(0.01×(0.29+0.007(𝑒^(0.037×𝑁_(𝑓𝑗=𝑐𝑜𝑡𝑡𝑜𝑛) )−1)/𝑁_(𝑓𝑗=𝑐𝑜𝑡𝑡𝑜𝑛) ))×10^(−2)</a:t>
              </a:r>
              <a:endParaRPr lang="en-AU" sz="10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34924380-C17C-4030-9D55-E59078918F22}"/>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34924380-C17C-4030-9D55-E59078918F22}"/>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CFCE944-83A9-4BA9-9EEB-E5D1B7F03EA1}"/>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3CFCE944-83A9-4BA9-9EEB-E5D1B7F03EA1}"/>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𝑀𝑈_𝑗𝑓=𝑇𝑀_𝑗𝑓×𝐹𝑈_𝑓</a:t>
              </a:r>
              <a:endParaRPr lang="en-AU" sz="10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D5B4A6C-2BA5-40D4-AB86-745A39D01263}"/>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𝑢𝑟𝑒𝑎</m:t>
                                        </m:r>
                                        <m:r>
                                          <a:rPr lang="en-AU" sz="1000" i="1">
                                            <a:latin typeface="Cambria Math" panose="02040503050406030204" pitchFamily="18" charset="0"/>
                                          </a:rPr>
                                          <m:t>,</m:t>
                                        </m:r>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5D5B4A6C-2BA5-40D4-AB86-745A39D01263}"/>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𝐸_𝐶𝑂2=∑_𝑗▒∑_𝑓▒((𝑀𝑈_𝑗𝑓×𝐸𝐹_(𝑢𝑟𝑒𝑎,𝐶𝑂2)×𝐶_𝐶𝑂2 )×10^(−3) ) </a:t>
              </a:r>
              <a:endParaRPr lang="en-AU" sz="10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BFB2C0D-5801-4DDF-ADB8-F19FC2BBBCA4}"/>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1BFB2C0D-5801-4DDF-ADB8-F19FC2BBBCA4}"/>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𝑀𝑁𝑆𝑜𝑖𝑙_𝑗𝑓=𝑀_(𝑜𝑟𝑔𝑎𝑛𝑖𝑐,𝑗𝑓)×𝐹𝑁_(𝑜𝑟𝑔𝑎𝑛𝑖𝑐,𝑓)</a:t>
              </a:r>
              <a:endParaRPr lang="en-AU" sz="10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B036351-56CE-4817-B9A9-A8AAEED74FE8}"/>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8B036351-56CE-4817-B9A9-A8AAEED74FE8}"/>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CBF5045-E939-41E7-8FBC-E41628949EEC}"/>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𝑙𝑖𝑚𝑒</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𝐹𝑟𝑎𝑐𝐿𝑖𝑚𝑒</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𝑙𝑖𝑚𝑒</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𝐹𝑟𝑎𝑐𝐷𝑜𝑙</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𝑑𝑜𝑙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𝑑𝑜𝑙</m:t>
                                </m:r>
                              </m:sub>
                            </m:sSub>
                          </m:e>
                        </m:d>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8CBF5045-E939-41E7-8FBC-E41628949EEC}"/>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0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EA1C2D6-F7F1-4B48-B75B-8ECA5FA4F17B}"/>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FEA1C2D6-F7F1-4B48-B75B-8ECA5FA4F17B}"/>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𝑀_(𝑣𝑜𝑙,𝑖𝑛𝑜𝑟𝑔𝑎𝑛𝑖𝑐,𝑗𝑓)=𝑀𝑁_𝑗𝑓×𝐹𝑟𝑎𝑐𝐺𝐴𝑆𝐹_𝑓</a:t>
              </a:r>
              <a:endParaRPr lang="en-AU" sz="10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B83A49E-C833-4C7C-868A-75E4AF87FDD5}"/>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𝑖𝑛𝑜𝑟𝑔𝑎𝑛𝑖𝑐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5B83A49E-C833-4C7C-868A-75E4AF87FDD5}"/>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0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FB6B391-9D22-4267-BE54-C9A9F178AD2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7FB6B391-9D22-4267-BE54-C9A9F178AD2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20A347B-98A7-4063-906A-F915843A8072}"/>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520A347B-98A7-4063-906A-F915843A8072}"/>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CC98F1E-7BAA-41A7-978C-38C1CF8ECC21}"/>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6CC98F1E-7BAA-41A7-978C-38C1CF8ECC21}"/>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0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E6AE29D-3216-4C2D-919D-713CD771499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6E6AE29D-3216-4C2D-919D-713CD771499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DFFAB9C-7007-4A7C-8EC1-2BA4AD3B6605}"/>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5DFFAB9C-7007-4A7C-8EC1-2BA4AD3B6605}"/>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1D4A914-B6D6-42C0-B705-F35FFEA2A2B2}"/>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000" b="0" i="1">
                            <a:latin typeface="Cambria Math" panose="02040503050406030204" pitchFamily="18" charset="0"/>
                          </a:rPr>
                        </m:ctrlPr>
                      </m:sSubPr>
                      <m:e>
                        <m:r>
                          <a:rPr lang="en-AU" sz="1000" b="0" i="1">
                            <a:latin typeface="Cambria Math" panose="02040503050406030204" pitchFamily="18" charset="0"/>
                          </a:rPr>
                          <m:t>𝐸</m:t>
                        </m:r>
                      </m:e>
                      <m:sub>
                        <m:r>
                          <a:rPr lang="en-AU" sz="1000" b="0" i="1">
                            <a:latin typeface="Cambria Math" panose="02040503050406030204" pitchFamily="18" charset="0"/>
                          </a:rPr>
                          <m:t>𝑁</m:t>
                        </m:r>
                        <m:r>
                          <a:rPr lang="en-AU" sz="1000" b="0" i="1">
                            <a:latin typeface="Cambria Math" panose="02040503050406030204" pitchFamily="18" charset="0"/>
                          </a:rPr>
                          <m:t>2</m:t>
                        </m:r>
                        <m:r>
                          <a:rPr lang="en-AU" sz="1000" b="0" i="1">
                            <a:latin typeface="Cambria Math" panose="02040503050406030204" pitchFamily="18" charset="0"/>
                          </a:rPr>
                          <m:t>𝑂</m:t>
                        </m:r>
                      </m:sub>
                    </m:sSub>
                    <m:r>
                      <a:rPr lang="en-AU" sz="1000" b="0" i="1">
                        <a:latin typeface="Cambria Math" panose="02040503050406030204" pitchFamily="18" charset="0"/>
                      </a:rPr>
                      <m:t>=</m:t>
                    </m:r>
                    <m:nary>
                      <m:naryPr>
                        <m:chr m:val="∑"/>
                        <m:limLoc m:val="subSup"/>
                        <m:supHide m:val="on"/>
                        <m:ctrlPr>
                          <a:rPr lang="en-AU" sz="1000" b="0" i="1">
                            <a:latin typeface="Cambria Math" panose="02040503050406030204" pitchFamily="18" charset="0"/>
                          </a:rPr>
                        </m:ctrlPr>
                      </m:naryPr>
                      <m:sub>
                        <m:r>
                          <a:rPr lang="en-AU" sz="1000" b="0" i="1">
                            <a:latin typeface="Cambria Math" panose="02040503050406030204" pitchFamily="18" charset="0"/>
                          </a:rPr>
                          <m:t>𝑝</m:t>
                        </m:r>
                      </m:sub>
                      <m:sup/>
                      <m:e>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𝑀</m:t>
                                </m:r>
                              </m:e>
                              <m:sub>
                                <m:r>
                                  <a:rPr lang="en-AU" sz="1000" b="0" i="1">
                                    <a:latin typeface="Cambria Math" panose="02040503050406030204" pitchFamily="18" charset="0"/>
                                  </a:rPr>
                                  <m:t>𝑝</m:t>
                                </m:r>
                              </m:sub>
                            </m:sSub>
                            <m:r>
                              <a:rPr lang="en-AU" sz="1000" b="0" i="1">
                                <a:latin typeface="Cambria Math" panose="02040503050406030204" pitchFamily="18" charset="0"/>
                              </a:rPr>
                              <m:t>×</m:t>
                            </m:r>
                            <m:r>
                              <a:rPr lang="en-AU" sz="1000" b="0" i="1">
                                <a:latin typeface="Cambria Math" panose="02040503050406030204" pitchFamily="18" charset="0"/>
                              </a:rPr>
                              <m:t>𝐸</m:t>
                            </m:r>
                            <m:sSub>
                              <m:sSubPr>
                                <m:ctrlPr>
                                  <a:rPr lang="en-AU" sz="1000" b="0" i="1">
                                    <a:latin typeface="Cambria Math" panose="02040503050406030204" pitchFamily="18" charset="0"/>
                                  </a:rPr>
                                </m:ctrlPr>
                              </m:sSubPr>
                              <m:e>
                                <m:r>
                                  <a:rPr lang="en-AU" sz="1000" b="0" i="1">
                                    <a:latin typeface="Cambria Math" panose="02040503050406030204" pitchFamily="18" charset="0"/>
                                  </a:rPr>
                                  <m:t>𝐹</m:t>
                                </m:r>
                              </m:e>
                              <m:sub>
                                <m:r>
                                  <a:rPr lang="en-AU" sz="1000" b="0" i="1">
                                    <a:latin typeface="Cambria Math" panose="02040503050406030204" pitchFamily="18" charset="0"/>
                                  </a:rPr>
                                  <m:t>𝑁𝑖</m:t>
                                </m:r>
                              </m:sub>
                            </m:sSub>
                          </m:e>
                        </m:d>
                      </m:e>
                    </m:nary>
                    <m:r>
                      <a:rPr lang="en-AU" sz="1000" b="0" i="1">
                        <a:latin typeface="Cambria Math" panose="02040503050406030204" pitchFamily="18" charset="0"/>
                      </a:rPr>
                      <m:t>×</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𝑁</m:t>
                        </m:r>
                        <m:r>
                          <a:rPr lang="en-AU" sz="1000" b="0" i="1">
                            <a:latin typeface="Cambria Math" panose="02040503050406030204" pitchFamily="18" charset="0"/>
                          </a:rPr>
                          <m:t>2</m:t>
                        </m:r>
                        <m:r>
                          <a:rPr lang="en-AU" sz="1000" b="0" i="1">
                            <a:latin typeface="Cambria Math" panose="02040503050406030204" pitchFamily="18" charset="0"/>
                          </a:rPr>
                          <m:t>𝑂</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41D4A914-B6D6-42C0-B705-F35FFEA2A2B2}"/>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000" b="0" i="0">
                  <a:latin typeface="Cambria Math" panose="02040503050406030204" pitchFamily="18" charset="0"/>
                </a:rPr>
                <a:t>𝐸_𝑁2𝑂=∑2_𝑝▒(𝑀_𝑝×𝐸𝐹_𝑁𝑖 ) ×𝐶_𝑁2𝑂×10^(−3)</a:t>
              </a:r>
              <a:endParaRPr lang="en-AU" sz="10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1D8CE4A-8398-43B9-AE4B-599249D4F992}"/>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latin typeface="Cambria Math" panose="02040503050406030204" pitchFamily="18" charset="0"/>
                          </a:rPr>
                        </m:ctrlPr>
                      </m:sSubPr>
                      <m:e>
                        <m:r>
                          <a:rPr lang="en-AU" sz="1000" b="0" i="1">
                            <a:latin typeface="Cambria Math" panose="02040503050406030204" pitchFamily="18" charset="0"/>
                          </a:rPr>
                          <m:t>𝑀</m:t>
                        </m:r>
                      </m:e>
                      <m:sub>
                        <m:r>
                          <a:rPr lang="en-AU" sz="1000" b="0" i="1">
                            <a:latin typeface="Cambria Math" panose="02040503050406030204" pitchFamily="18" charset="0"/>
                          </a:rPr>
                          <m:t>𝑝</m:t>
                        </m:r>
                      </m:sub>
                    </m:sSub>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𝐴</m:t>
                            </m:r>
                          </m:e>
                          <m:sub>
                            <m:r>
                              <a:rPr lang="en-AU" sz="1000" b="0" i="1">
                                <a:latin typeface="Cambria Math" panose="02040503050406030204" pitchFamily="18" charset="0"/>
                              </a:rPr>
                              <m:t>𝑝</m:t>
                            </m:r>
                          </m:sub>
                        </m:sSub>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𝑌</m:t>
                                </m:r>
                              </m:e>
                              <m:sub>
                                <m:r>
                                  <a:rPr lang="en-AU" sz="1000" b="0" i="1">
                                    <a:latin typeface="Cambria Math" panose="02040503050406030204" pitchFamily="18" charset="0"/>
                                  </a:rPr>
                                  <m:t>𝑝</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e>
                        </m:d>
                        <m:r>
                          <a:rPr lang="en-AU" sz="1000" b="0" i="1">
                            <a:latin typeface="Cambria Math" panose="02040503050406030204" pitchFamily="18" charset="0"/>
                          </a:rPr>
                          <m:t>×</m:t>
                        </m:r>
                        <m:d>
                          <m:dPr>
                            <m:ctrlPr>
                              <a:rPr lang="en-AU" sz="1000" b="0" i="1">
                                <a:latin typeface="Cambria Math" panose="02040503050406030204" pitchFamily="18" charset="0"/>
                              </a:rPr>
                            </m:ctrlPr>
                          </m:dPr>
                          <m:e>
                            <m:r>
                              <a:rPr lang="en-AU" sz="1000" b="0" i="1">
                                <a:latin typeface="Cambria Math" panose="02040503050406030204" pitchFamily="18" charset="0"/>
                              </a:rPr>
                              <m:t>1−</m:t>
                            </m:r>
                            <m:r>
                              <a:rPr lang="en-AU" sz="1000" b="0" i="1">
                                <a:latin typeface="Cambria Math" panose="02040503050406030204" pitchFamily="18" charset="0"/>
                              </a:rPr>
                              <m:t>𝐹𝐹𝑂</m:t>
                            </m:r>
                            <m:sSub>
                              <m:sSubPr>
                                <m:ctrlPr>
                                  <a:rPr lang="en-AU" sz="1000" b="0" i="1">
                                    <a:latin typeface="Cambria Math" panose="02040503050406030204" pitchFamily="18" charset="0"/>
                                  </a:rPr>
                                </m:ctrlPr>
                              </m:sSubPr>
                              <m:e>
                                <m:r>
                                  <a:rPr lang="en-AU" sz="1000" b="0" i="1">
                                    <a:latin typeface="Cambria Math" panose="02040503050406030204" pitchFamily="18" charset="0"/>
                                  </a:rPr>
                                  <m:t>𝐷</m:t>
                                </m:r>
                              </m:e>
                              <m:sub>
                                <m:r>
                                  <a:rPr lang="en-AU" sz="1000" b="0" i="1">
                                    <a:latin typeface="Cambria Math" panose="02040503050406030204" pitchFamily="18" charset="0"/>
                                  </a:rPr>
                                  <m:t>𝑝</m:t>
                                </m:r>
                              </m:sub>
                            </m:sSub>
                          </m:e>
                        </m:d>
                        <m:r>
                          <a:rPr lang="en-AU" sz="1000" b="0" i="1">
                            <a:latin typeface="Cambria Math" panose="02040503050406030204" pitchFamily="18" charset="0"/>
                          </a:rPr>
                          <m:t>×</m:t>
                        </m:r>
                        <m:r>
                          <a:rPr lang="en-AU" sz="1000" b="0" i="1">
                            <a:latin typeface="Cambria Math" panose="02040503050406030204" pitchFamily="18" charset="0"/>
                          </a:rPr>
                          <m:t>𝑁</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𝐴𝐺𝑝</m:t>
                            </m:r>
                          </m:sub>
                        </m:sSub>
                      </m:e>
                    </m:d>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𝐴</m:t>
                            </m:r>
                          </m:e>
                          <m:sub>
                            <m:r>
                              <a:rPr lang="en-AU" sz="1000" b="0" i="1">
                                <a:latin typeface="Cambria Math" panose="02040503050406030204" pitchFamily="18" charset="0"/>
                              </a:rPr>
                              <m:t>𝑝</m:t>
                            </m:r>
                          </m:sub>
                        </m:sSub>
                        <m:r>
                          <a:rPr lang="en-AU" sz="1000" b="0" i="1">
                            <a:latin typeface="Cambria Math" panose="02040503050406030204" pitchFamily="18" charset="0"/>
                          </a:rPr>
                          <m:t>×</m:t>
                        </m:r>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𝑌</m:t>
                                </m:r>
                              </m:e>
                              <m:sub>
                                <m:r>
                                  <a:rPr lang="en-AU" sz="1000" b="0" i="1">
                                    <a:latin typeface="Cambria Math" panose="02040503050406030204" pitchFamily="18" charset="0"/>
                                  </a:rPr>
                                  <m:t>𝑝</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e>
                        </m:d>
                        <m:r>
                          <a:rPr lang="en-AU" sz="1000" b="0" i="1">
                            <a:latin typeface="Cambria Math" panose="02040503050406030204" pitchFamily="18" charset="0"/>
                          </a:rPr>
                          <m:t>×</m:t>
                        </m:r>
                        <m:sSub>
                          <m:sSubPr>
                            <m:ctrlPr>
                              <a:rPr lang="en-AU" sz="1000" b="0" i="1">
                                <a:latin typeface="Cambria Math" panose="02040503050406030204" pitchFamily="18" charset="0"/>
                              </a:rPr>
                            </m:ctrlPr>
                          </m:sSubPr>
                          <m:e>
                            <m:r>
                              <a:rPr lang="en-AU" sz="1000" b="0" i="1">
                                <a:latin typeface="Cambria Math" panose="02040503050406030204" pitchFamily="18" charset="0"/>
                              </a:rPr>
                              <m:t>𝑅</m:t>
                            </m:r>
                          </m:e>
                          <m:sub>
                            <m:r>
                              <a:rPr lang="en-AU" sz="1000" b="0" i="1">
                                <a:latin typeface="Cambria Math" panose="02040503050406030204" pitchFamily="18" charset="0"/>
                              </a:rPr>
                              <m:t>𝐵𝐺𝑝</m:t>
                            </m:r>
                          </m:sub>
                        </m:sSub>
                        <m:r>
                          <a:rPr lang="en-AU" sz="1000" b="0" i="1">
                            <a:latin typeface="Cambria Math" panose="02040503050406030204" pitchFamily="18" charset="0"/>
                          </a:rPr>
                          <m:t>×</m:t>
                        </m:r>
                        <m:r>
                          <a:rPr lang="en-AU" sz="1000" b="0" i="1">
                            <a:latin typeface="Cambria Math" panose="02040503050406030204" pitchFamily="18" charset="0"/>
                          </a:rPr>
                          <m:t>𝑁</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𝐵𝐺𝑝</m:t>
                            </m:r>
                          </m:sub>
                        </m:sSub>
                      </m:e>
                    </m:d>
                  </m:oMath>
                </m:oMathPara>
              </a14:m>
              <a:endParaRPr lang="en-AU" sz="1000"/>
            </a:p>
          </xdr:txBody>
        </xdr:sp>
      </mc:Choice>
      <mc:Fallback xmlns="">
        <xdr:sp macro="" textlink="">
          <xdr:nvSpPr>
            <xdr:cNvPr id="3" name="TextBox 2">
              <a:extLst>
                <a:ext uri="{FF2B5EF4-FFF2-40B4-BE49-F238E27FC236}">
                  <a16:creationId xmlns:a16="http://schemas.microsoft.com/office/drawing/2014/main" id="{B1D8CE4A-8398-43B9-AE4B-599249D4F992}"/>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latin typeface="Cambria Math" panose="02040503050406030204" pitchFamily="18" charset="0"/>
                </a:rPr>
                <a:t>𝑀_𝑝=(𝐴_𝑝×(𝑌_𝑝×10^(−3) )×(1−𝐹𝐹𝑂𝐷_𝑝 )×𝑁𝐶_𝐴𝐺𝑝 )+(𝐴_𝑝×(𝑌_𝑝×10^(−3) )×𝑅_𝐵𝐺𝑝×𝑁𝐶_𝐵𝐺𝑝 )</a:t>
              </a:r>
              <a:endParaRPr lang="en-AU" sz="10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D951332-5C48-42DA-B647-574D6133A139}"/>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
                    <m:sSub>
                      <m:sSubPr>
                        <m:ctrlPr>
                          <a:rPr lang="en-AU" sz="1000" b="0" i="1">
                            <a:latin typeface="Cambria Math" panose="02040503050406030204" pitchFamily="18" charset="0"/>
                          </a:rPr>
                        </m:ctrlPr>
                      </m:sSubPr>
                      <m:e>
                        <m:r>
                          <a:rPr lang="en-AU" sz="1000" b="0" i="1">
                            <a:latin typeface="Cambria Math" panose="02040503050406030204" pitchFamily="18" charset="0"/>
                          </a:rPr>
                          <m:t>𝐸</m:t>
                        </m:r>
                      </m:e>
                      <m:sub>
                        <m:r>
                          <a:rPr lang="en-AU" sz="1000" b="0" i="1">
                            <a:latin typeface="Cambria Math" panose="02040503050406030204" pitchFamily="18" charset="0"/>
                          </a:rPr>
                          <m:t>𝑁</m:t>
                        </m:r>
                        <m:r>
                          <a:rPr lang="en-AU" sz="1000" b="0" i="1">
                            <a:latin typeface="Cambria Math" panose="02040503050406030204" pitchFamily="18" charset="0"/>
                          </a:rPr>
                          <m:t>2</m:t>
                        </m:r>
                        <m:r>
                          <m:rPr>
                            <m:sty m:val="p"/>
                          </m:rPr>
                          <a:rPr lang="en-AU" sz="1000" b="0" i="1">
                            <a:latin typeface="Cambria Math" panose="02040503050406030204" pitchFamily="18" charset="0"/>
                          </a:rPr>
                          <m:t>O</m:t>
                        </m:r>
                      </m:sub>
                    </m:sSub>
                    <m:r>
                      <a:rPr lang="en-AU" sz="1000" b="0" i="1">
                        <a:latin typeface="Cambria Math" panose="02040503050406030204" pitchFamily="18" charset="0"/>
                      </a:rPr>
                      <m:t>=</m:t>
                    </m:r>
                    <m:nary>
                      <m:naryPr>
                        <m:chr m:val="∑"/>
                        <m:supHide m:val="on"/>
                        <m:ctrlPr>
                          <a:rPr lang="en-AU" sz="1000" b="0" i="1">
                            <a:latin typeface="Cambria Math" panose="02040503050406030204" pitchFamily="18" charset="0"/>
                          </a:rPr>
                        </m:ctrlPr>
                      </m:naryPr>
                      <m:sub>
                        <m:r>
                          <a:rPr lang="en-AU" sz="1000" b="0" i="1">
                            <a:latin typeface="Cambria Math" panose="02040503050406030204" pitchFamily="18" charset="0"/>
                          </a:rPr>
                          <m:t>𝑝</m:t>
                        </m:r>
                      </m:sub>
                      <m:sup/>
                      <m:e>
                        <m:d>
                          <m:dPr>
                            <m:ctrlPr>
                              <a:rPr lang="en-AU" sz="1000" b="0" i="1">
                                <a:latin typeface="Cambria Math" panose="02040503050406030204" pitchFamily="18" charset="0"/>
                              </a:rPr>
                            </m:ctrlPr>
                          </m:dPr>
                          <m:e>
                            <m:sSub>
                              <m:sSubPr>
                                <m:ctrlPr>
                                  <a:rPr lang="en-AU" sz="1000" b="0" i="1">
                                    <a:latin typeface="Cambria Math" panose="02040503050406030204" pitchFamily="18" charset="0"/>
                                  </a:rPr>
                                </m:ctrlPr>
                              </m:sSubPr>
                              <m:e>
                                <m:r>
                                  <a:rPr lang="en-AU" sz="1000" b="0" i="1">
                                    <a:latin typeface="Cambria Math" panose="02040503050406030204" pitchFamily="18" charset="0"/>
                                  </a:rPr>
                                  <m:t>𝑀</m:t>
                                </m:r>
                              </m:e>
                              <m:sub>
                                <m:r>
                                  <a:rPr lang="en-AU" sz="1000" b="0" i="1">
                                    <a:latin typeface="Cambria Math" panose="02040503050406030204" pitchFamily="18" charset="0"/>
                                  </a:rPr>
                                  <m:t>𝑝</m:t>
                                </m:r>
                              </m:sub>
                            </m:sSub>
                            <m:r>
                              <a:rPr lang="en-AU" sz="1000" b="0" i="1">
                                <a:latin typeface="Cambria Math" panose="02040503050406030204" pitchFamily="18" charset="0"/>
                              </a:rPr>
                              <m:t>×</m:t>
                            </m:r>
                            <m:r>
                              <a:rPr lang="en-AU" sz="1000" b="0" i="1">
                                <a:latin typeface="Cambria Math" panose="02040503050406030204" pitchFamily="18" charset="0"/>
                              </a:rPr>
                              <m:t>𝐸</m:t>
                            </m:r>
                            <m:sSub>
                              <m:sSubPr>
                                <m:ctrlPr>
                                  <a:rPr lang="en-AU" sz="1000" b="0" i="1">
                                    <a:latin typeface="Cambria Math" panose="02040503050406030204" pitchFamily="18" charset="0"/>
                                  </a:rPr>
                                </m:ctrlPr>
                              </m:sSubPr>
                              <m:e>
                                <m:r>
                                  <a:rPr lang="en-AU" sz="1000" b="0" i="1">
                                    <a:latin typeface="Cambria Math" panose="02040503050406030204" pitchFamily="18" charset="0"/>
                                  </a:rPr>
                                  <m:t>𝐹</m:t>
                                </m:r>
                              </m:e>
                              <m:sub>
                                <m:r>
                                  <a:rPr lang="en-AU" sz="1000" b="0" i="1">
                                    <a:latin typeface="Cambria Math" panose="02040503050406030204" pitchFamily="18" charset="0"/>
                                  </a:rPr>
                                  <m:t>𝑁𝑖</m:t>
                                </m:r>
                              </m:sub>
                            </m:sSub>
                            <m:r>
                              <a:rPr lang="en-AU" sz="1000" b="0" i="1">
                                <a:latin typeface="Cambria Math" panose="02040503050406030204" pitchFamily="18" charset="0"/>
                              </a:rPr>
                              <m:t>×</m:t>
                            </m:r>
                            <m:sSub>
                              <m:sSubPr>
                                <m:ctrlPr>
                                  <a:rPr lang="en-AU" sz="1000" b="0" i="1">
                                    <a:latin typeface="Cambria Math" panose="02040503050406030204" pitchFamily="18" charset="0"/>
                                  </a:rPr>
                                </m:ctrlPr>
                              </m:sSubPr>
                              <m:e>
                                <m:r>
                                  <a:rPr lang="en-AU" sz="1000" b="0" i="1">
                                    <a:latin typeface="Cambria Math" panose="02040503050406030204" pitchFamily="18" charset="0"/>
                                  </a:rPr>
                                  <m:t>𝐶</m:t>
                                </m:r>
                              </m:e>
                              <m:sub>
                                <m:r>
                                  <a:rPr lang="en-AU" sz="1000" b="0" i="1">
                                    <a:latin typeface="Cambria Math" panose="02040503050406030204" pitchFamily="18" charset="0"/>
                                  </a:rPr>
                                  <m:t>𝑁</m:t>
                                </m:r>
                                <m:r>
                                  <a:rPr lang="en-AU" sz="1000" b="0" i="1">
                                    <a:latin typeface="Cambria Math" panose="02040503050406030204" pitchFamily="18" charset="0"/>
                                  </a:rPr>
                                  <m:t>2</m:t>
                                </m:r>
                                <m:r>
                                  <a:rPr lang="en-AU" sz="1000" b="0" i="1">
                                    <a:latin typeface="Cambria Math" panose="02040503050406030204" pitchFamily="18" charset="0"/>
                                  </a:rPr>
                                  <m:t>𝑂</m:t>
                                </m:r>
                              </m:sub>
                            </m:sSub>
                            <m:r>
                              <a:rPr lang="en-AU" sz="1000" b="0" i="1">
                                <a:latin typeface="Cambria Math" panose="02040503050406030204" pitchFamily="18" charset="0"/>
                              </a:rPr>
                              <m:t>×</m:t>
                            </m:r>
                            <m:sSup>
                              <m:sSupPr>
                                <m:ctrlPr>
                                  <a:rPr lang="en-AU" sz="1000" b="0" i="1">
                                    <a:latin typeface="Cambria Math" panose="02040503050406030204" pitchFamily="18" charset="0"/>
                                  </a:rPr>
                                </m:ctrlPr>
                              </m:sSupPr>
                              <m:e>
                                <m:r>
                                  <a:rPr lang="en-AU" sz="1000" b="0" i="1">
                                    <a:latin typeface="Cambria Math" panose="02040503050406030204" pitchFamily="18" charset="0"/>
                                  </a:rPr>
                                  <m:t>10</m:t>
                                </m:r>
                              </m:e>
                              <m:sup>
                                <m:r>
                                  <a:rPr lang="en-AU" sz="1000" b="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7D951332-5C48-42DA-B647-574D6133A139}"/>
                </a:ext>
              </a:extLst>
            </xdr:cNvPr>
            <xdr:cNvSpPr txBox="1"/>
          </xdr:nvSpPr>
          <xdr:spPr>
            <a:xfrm>
              <a:off x="178784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000" b="0" i="0">
                  <a:latin typeface="Cambria Math" panose="02040503050406030204" pitchFamily="18" charset="0"/>
                </a:rPr>
                <a:t>𝐸_𝑁2O=∑_𝑝▒(𝑀_𝑝×𝐸𝐹_𝑁𝑖×𝐶_𝑁2𝑂×10^(−3) ) </a:t>
              </a:r>
              <a:endParaRPr lang="en-AU" sz="10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7FFED34-0D89-43DC-A949-88D9F808B0F6}"/>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𝑙𝑒𝑎𝑐ℎ</m:t>
                        </m:r>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𝐹𝑟𝑎𝑐𝑊𝐸</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𝑇</m:t>
                        </m:r>
                      </m:e>
                      <m:sub>
                        <m:r>
                          <a:rPr lang="en-AU" sz="1000" b="0" i="1" u="none" strike="noStrike">
                            <a:solidFill>
                              <a:schemeClr val="tx1"/>
                            </a:solidFill>
                            <a:effectLst/>
                            <a:latin typeface="Cambria Math" panose="02040503050406030204" pitchFamily="18" charset="0"/>
                            <a:ea typeface="+mn-ea"/>
                            <a:cs typeface="+mn-cs"/>
                          </a:rPr>
                          <m:t>𝑗</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000"/>
            </a:p>
          </xdr:txBody>
        </xdr:sp>
      </mc:Choice>
      <mc:Fallback xmlns="">
        <xdr:sp macro="" textlink="">
          <xdr:nvSpPr>
            <xdr:cNvPr id="2" name="TextBox 1">
              <a:extLst>
                <a:ext uri="{FF2B5EF4-FFF2-40B4-BE49-F238E27FC236}">
                  <a16:creationId xmlns:a16="http://schemas.microsoft.com/office/drawing/2014/main" id="{C7FFED34-0D89-43DC-A949-88D9F808B0F6}"/>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0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F6F0D40-74FF-4C3A-AD87-8F570F6D431A}"/>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𝑐𝑝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AF6F0D40-74FF-4C3A-AD87-8F570F6D431A}"/>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𝐸_𝑁2𝑂=∑2_𝑐▒∑2_𝑝▒(𝑀_(𝑙𝑒𝑎𝑐ℎ,𝑐𝑝)×𝐸𝐹_𝑙𝑒𝑎𝑐ℎ×𝐶_𝑁2𝑂×10^(−3) ) </a:t>
              </a:r>
              <a:endParaRPr lang="en-AU" sz="10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9DDB621-FE5F-4686-8AC4-262F3D998D40}"/>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D9DDB621-FE5F-4686-8AC4-262F3D998D40}"/>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16F8C11-4A8B-41BC-8DBA-B29E52E35308}"/>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𝑡𝑞𝑔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E16F8C11-4A8B-41BC-8DBA-B29E52E35308}"/>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0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2F4ECE2-C850-4CB2-A0CA-57E9CFBC72D3}"/>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82F4ECE2-C850-4CB2-A0CA-57E9CFBC72D3}"/>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000"/>
            </a:p>
          </xdr:txBody>
        </xdr:sp>
      </mc:Fallback>
    </mc:AlternateContent>
    <xdr:clientData/>
  </xdr:oneCellAnchor>
</xdr:wsDr>
</file>

<file path=xl/drawings/drawing17.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60A79FE-76FB-4E9E-B1DC-BC8AB0ABE5A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560A79FE-76FB-4E9E-B1DC-BC8AB0ABE5A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0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F62ACCE-54DE-4D3C-AC79-A9DEB647861F}"/>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CF62ACCE-54DE-4D3C-AC79-A9DEB647861F}"/>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000"/>
            </a:p>
          </xdr:txBody>
        </xdr:sp>
      </mc:Fallback>
    </mc:AlternateContent>
    <xdr:clientData/>
  </xdr:oneCellAnchor>
</xdr:wsDr>
</file>

<file path=xl/drawings/drawing18.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AC83B42-7309-46FA-A738-D7CD65B28CF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𝑉</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𝑉𝑇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𝑤</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3AC83B42-7309-46FA-A738-D7CD65B28CF8}"/>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𝑄_𝑤𝑡=𝑉_𝑤𝑡×𝑉𝑇𝑀_𝑤</a:t>
              </a:r>
              <a:endParaRPr lang="en-AU" sz="10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0686C2C-EE84-49F9-9966-E0B6C0C04D1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𝑔</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𝑡</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𝑤</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𝑤𝑡𝑔</m:t>
                                    </m:r>
                                  </m:sub>
                                </m:sSub>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00686C2C-EE84-49F9-9966-E0B6C0C04D15}"/>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𝐸_𝑔=∑2_𝑡▒∑2_𝑤▒(𝑄_𝑤𝑡×𝐸𝐹_𝑤𝑡𝑔 ) </a:t>
              </a:r>
              <a:endParaRPr lang="en-AU" sz="1000"/>
            </a:p>
          </xdr:txBody>
        </xdr:sp>
      </mc:Fallback>
    </mc:AlternateContent>
    <xdr:clientData/>
  </xdr:oneCellAnchor>
</xdr:wsDr>
</file>

<file path=xl/drawings/drawing19.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67C494E-B4ED-4ADC-9B03-FC3C71E8B793}"/>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A67C494E-B4ED-4ADC-9B03-FC3C71E8B793}"/>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5782C3A-E37B-4EB5-8C76-C457B39F140A}"/>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A5782C3A-E37B-4EB5-8C76-C457B39F140A}"/>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𝐸_(2,𝑒𝑙𝑒𝑐)=𝑄_𝑒𝑙𝑒𝑐×𝐸𝐹_(2,𝑒𝑙𝑒𝑐)×10^(−3)</a:t>
              </a:r>
              <a:endParaRPr lang="en-AU" sz="10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23B6B32-5C25-4538-ABD1-641C6BAF19F9}"/>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F23B6B32-5C25-4538-ABD1-641C6BAF19F9}"/>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0340B8F-5DF2-4DA3-A9FF-A1CDD00FB060}"/>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50340B8F-5DF2-4DA3-A9FF-A1CDD00FB060}"/>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wsDr>
</file>

<file path=xl/drawings/drawing20.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519DD0F-1EAA-4B2C-A273-85866D71FC3A}"/>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𝑜</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𝑐𝑜</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𝑐𝑜</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𝑐𝑜</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4519DD0F-1EAA-4B2C-A273-85866D71FC3A}"/>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𝐸=∑2_𝑐▒∑2_𝑜▒(𝑁_𝑐𝑜×𝑊_𝑐𝑜×𝐸𝐹_𝑐𝑜 ) ×10^(−3)</a:t>
              </a:r>
              <a:endParaRPr lang="en-AU" sz="10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4C2E240-AA83-4887-92CF-A696FD037E96}"/>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94C2E240-AA83-4887-92CF-A696FD037E96}"/>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×10^(−3)</a:t>
              </a:r>
              <a:endParaRPr lang="en-AU" sz="10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4C1C3CD-0024-48C6-9644-CB92E4D4EB57}"/>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94C1C3CD-0024-48C6-9644-CB92E4D4EB57}"/>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𝐸=∑2_𝑚▒(𝑄_𝑚×𝐸𝐹_𝑚 ) ×10^(−3)</a:t>
              </a:r>
              <a:endParaRPr lang="en-AU" sz="10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0291B02-DB1A-4D79-A662-25C6EE9B04F0}"/>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E0291B02-DB1A-4D79-A662-25C6EE9B04F0}"/>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𝐸=∑2_𝑓▒∑2_𝑗▒(𝑇𝑀_𝑗𝑓×𝐸𝐹_𝑓 ) ×10^(−3)</a:t>
              </a:r>
              <a:endParaRPr lang="en-AU" sz="10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11F6F3B-3CAA-4163-8866-4680B9B75F3A}"/>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num>
                                    <m:den>
                                      <m:r>
                                        <a:rPr lang="en-AU" sz="1000" i="1">
                                          <a:latin typeface="Cambria Math" panose="02040503050406030204" pitchFamily="18" charset="0"/>
                                        </a:rPr>
                                        <m:t>100</m:t>
                                      </m:r>
                                    </m:den>
                                  </m:f>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oMath>
              </a14:m>
              <a:endParaRPr lang="en-AU" sz="1000"/>
            </a:p>
          </xdr:txBody>
        </xdr:sp>
      </mc:Choice>
      <mc:Fallback xmlns="">
        <xdr:sp macro="" textlink="">
          <xdr:nvSpPr>
            <xdr:cNvPr id="6" name="TextBox 5">
              <a:extLst>
                <a:ext uri="{FF2B5EF4-FFF2-40B4-BE49-F238E27FC236}">
                  <a16:creationId xmlns:a16="http://schemas.microsoft.com/office/drawing/2014/main" id="{711F6F3B-3CAA-4163-8866-4680B9B75F3A}"/>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r>
                <a:rPr lang="en-AU" sz="1000" i="0">
                  <a:latin typeface="Cambria Math" panose="02040503050406030204" pitchFamily="18" charset="0"/>
                </a:rPr>
                <a:t>𝐸=∑2_𝑓▒∑2_𝑐▒∑2_𝑗▒((𝐹_𝑐𝑓×𝑇𝑀_𝑗𝑓)/100×𝐸𝐹_𝑐 ) </a:t>
              </a:r>
              <a:endParaRPr lang="en-AU" sz="10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BADD2FE-F308-421D-8E00-0AE88A9FEC25}"/>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 name="TextBox 6">
              <a:extLst>
                <a:ext uri="{FF2B5EF4-FFF2-40B4-BE49-F238E27FC236}">
                  <a16:creationId xmlns:a16="http://schemas.microsoft.com/office/drawing/2014/main" id="{7BADD2FE-F308-421D-8E00-0AE88A9FEC25}"/>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𝐸=∑2_𝑓▒∑2_𝑐▒∑2_𝑗▒(𝐹_𝑐𝑓×𝑇𝑀_𝑗𝑓×𝐸𝐹_𝑐 ) ×10^(−3)</a:t>
              </a:r>
              <a:endParaRPr lang="en-AU" sz="10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3B60B63E-DAFC-4E6E-A9E6-DC6D83BFE155}"/>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oMath>
                </m:oMathPara>
              </a14:m>
              <a:endParaRPr lang="en-AU" sz="1000"/>
            </a:p>
          </xdr:txBody>
        </xdr:sp>
      </mc:Choice>
      <mc:Fallback xmlns="">
        <xdr:sp macro="" textlink="">
          <xdr:nvSpPr>
            <xdr:cNvPr id="8" name="TextBox 7">
              <a:extLst>
                <a:ext uri="{FF2B5EF4-FFF2-40B4-BE49-F238E27FC236}">
                  <a16:creationId xmlns:a16="http://schemas.microsoft.com/office/drawing/2014/main" id="{3B60B63E-DAFC-4E6E-A9E6-DC6D83BFE155}"/>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𝐸𝐹_𝑓=∑2_𝑐▒(𝐹_𝑐𝑓×𝐸𝐹_𝑐 ) </a:t>
              </a:r>
              <a:endParaRPr lang="en-AU" sz="10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3C8A7D6E-4463-4EE2-B9DE-60E6A7451E2F}"/>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ℎ</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ℎ</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3C8A7D6E-4463-4EE2-B9DE-60E6A7451E2F}"/>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𝐸=∑2_ℎ▒(𝑄_ℎ×𝐸𝐹_ℎ ) ×10^(−3)</a:t>
              </a:r>
              <a:endParaRPr lang="en-AU" sz="10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605A89D-C5A9-4288-BADF-E00FE2E23C9D}"/>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m:t>
                        </m:r>
                      </m:sub>
                    </m:sSub>
                  </m:oMath>
                </m:oMathPara>
              </a14:m>
              <a:endParaRPr lang="en-AU" sz="1000"/>
            </a:p>
          </xdr:txBody>
        </xdr:sp>
      </mc:Choice>
      <mc:Fallback xmlns="">
        <xdr:sp macro="" textlink="">
          <xdr:nvSpPr>
            <xdr:cNvPr id="10" name="TextBox 9">
              <a:extLst>
                <a:ext uri="{FF2B5EF4-FFF2-40B4-BE49-F238E27FC236}">
                  <a16:creationId xmlns:a16="http://schemas.microsoft.com/office/drawing/2014/main" id="{B605A89D-C5A9-4288-BADF-E00FE2E23C9D}"/>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𝐸=𝑀_𝑙𝑖𝑚𝑒×𝐸𝐹_𝑙</a:t>
              </a:r>
              <a:endParaRPr lang="en-AU" sz="10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651D2DE4-D2E3-45A9-864C-85E5784F6B47}"/>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1" name="TextBox 10">
              <a:extLst>
                <a:ext uri="{FF2B5EF4-FFF2-40B4-BE49-F238E27FC236}">
                  <a16:creationId xmlns:a16="http://schemas.microsoft.com/office/drawing/2014/main" id="{651D2DE4-D2E3-45A9-864C-85E5784F6B47}"/>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𝐸=∑2_𝑝▒(𝐴_𝑝×𝐸𝐹_𝑝 ) ×10^(−3)</a:t>
              </a:r>
              <a:endParaRPr lang="en-AU" sz="10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56EA3505-0412-496F-8140-B37BA9C64FC3}"/>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2" name="TextBox 11">
              <a:extLst>
                <a:ext uri="{FF2B5EF4-FFF2-40B4-BE49-F238E27FC236}">
                  <a16:creationId xmlns:a16="http://schemas.microsoft.com/office/drawing/2014/main" id="{56EA3505-0412-496F-8140-B37BA9C64FC3}"/>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𝐸=∑2_𝑝▒(𝑄_𝑝×𝐸𝐹_𝑝 ) ×10^(−3)</a:t>
              </a:r>
              <a:endParaRPr lang="en-AU" sz="10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661341A-33CA-41CC-9287-8F759FD8F526}"/>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𝑔</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𝑔</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𝑔</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3" name="TextBox 12">
              <a:extLst>
                <a:ext uri="{FF2B5EF4-FFF2-40B4-BE49-F238E27FC236}">
                  <a16:creationId xmlns:a16="http://schemas.microsoft.com/office/drawing/2014/main" id="{C661341A-33CA-41CC-9287-8F759FD8F526}"/>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𝐸=∑2_𝑔▒(𝑄_𝑔×𝐸𝐹_𝑔 ) ×10^(−3)</a:t>
              </a:r>
              <a:endParaRPr lang="en-AU" sz="10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A66FA5C-E5F0-4066-AFDB-D0330CA29621}"/>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𝑒𝑚𝑖𝑠𝑠𝑖𝑜𝑛𝑠</m:t>
                    </m:r>
                    <m:r>
                      <a:rPr lang="en-AU" sz="1000" i="1">
                        <a:latin typeface="Cambria Math" panose="02040503050406030204" pitchFamily="18" charset="0"/>
                      </a:rPr>
                      <m:t>=</m:t>
                    </m:r>
                    <m:r>
                      <a:rPr lang="en-AU" sz="1000" i="1">
                        <a:latin typeface="Cambria Math" panose="02040503050406030204" pitchFamily="18" charset="0"/>
                      </a:rPr>
                      <m:t>𝑎𝑐𝑡𝑖𝑣𝑖𝑡𝑦</m:t>
                    </m:r>
                    <m:r>
                      <m:rPr>
                        <m:lit/>
                      </m:rPr>
                      <a:rPr lang="en-AU" sz="1000" i="1">
                        <a:latin typeface="Cambria Math" panose="02040503050406030204" pitchFamily="18" charset="0"/>
                      </a:rPr>
                      <m:t>_</m:t>
                    </m:r>
                    <m:r>
                      <a:rPr lang="en-AU" sz="1000" i="1">
                        <a:latin typeface="Cambria Math" panose="02040503050406030204" pitchFamily="18" charset="0"/>
                      </a:rPr>
                      <m:t>𝑑𝑎𝑡𝑎</m:t>
                    </m:r>
                    <m:r>
                      <a:rPr lang="en-AU" sz="1000" i="1">
                        <a:latin typeface="Cambria Math" panose="02040503050406030204" pitchFamily="18" charset="0"/>
                      </a:rPr>
                      <m:t>×</m:t>
                    </m:r>
                    <m:r>
                      <a:rPr lang="en-AU" sz="1000" i="1">
                        <a:latin typeface="Cambria Math" panose="02040503050406030204" pitchFamily="18" charset="0"/>
                      </a:rPr>
                      <m:t>𝑒𝑚𝑖𝑠𝑠𝑖𝑜𝑛</m:t>
                    </m:r>
                    <m:r>
                      <m:rPr>
                        <m:lit/>
                      </m:rPr>
                      <a:rPr lang="en-AU" sz="1000" i="1">
                        <a:latin typeface="Cambria Math" panose="02040503050406030204" pitchFamily="18" charset="0"/>
                      </a:rPr>
                      <m:t>_</m:t>
                    </m:r>
                    <m:r>
                      <a:rPr lang="en-AU" sz="1000" i="1">
                        <a:latin typeface="Cambria Math" panose="02040503050406030204" pitchFamily="18" charset="0"/>
                      </a:rPr>
                      <m:t>𝑓𝑎𝑐𝑡𝑜𝑟</m:t>
                    </m:r>
                    <m:r>
                      <a:rPr lang="en-AU" sz="1000" i="1">
                        <a:latin typeface="Cambria Math" panose="02040503050406030204" pitchFamily="18" charset="0"/>
                      </a:rPr>
                      <m:t> </m:t>
                    </m:r>
                  </m:oMath>
                </m:oMathPara>
              </a14:m>
              <a:endParaRPr lang="en-AU" sz="1000"/>
            </a:p>
          </xdr:txBody>
        </xdr:sp>
      </mc:Choice>
      <mc:Fallback xmlns="">
        <xdr:sp macro="" textlink="">
          <xdr:nvSpPr>
            <xdr:cNvPr id="14" name="TextBox 13">
              <a:extLst>
                <a:ext uri="{FF2B5EF4-FFF2-40B4-BE49-F238E27FC236}">
                  <a16:creationId xmlns:a16="http://schemas.microsoft.com/office/drawing/2014/main" id="{9A66FA5C-E5F0-4066-AFDB-D0330CA29621}"/>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𝑒𝑚𝑖𝑠𝑠𝑖𝑜𝑛𝑠=𝑎𝑐𝑡𝑖𝑣𝑖𝑡𝑦\_𝑑𝑎𝑡𝑎×𝑒𝑚𝑖𝑠𝑠𝑖𝑜𝑛\_𝑓𝑎𝑐𝑡𝑜𝑟 </a:t>
              </a:r>
              <a:endParaRPr lang="en-AU" sz="10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F0A9B136-44D4-484C-A847-6700155E338A}"/>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𝑡𝑟𝑎𝑛𝑠</m:t>
                            </m:r>
                            <m:r>
                              <a:rPr lang="en-AU" sz="1000" i="1">
                                <a:latin typeface="Cambria Math" panose="02040503050406030204" pitchFamily="18" charset="0"/>
                              </a:rPr>
                              <m:t>,</m:t>
                            </m:r>
                            <m:r>
                              <a:rPr lang="en-AU" sz="1000" i="1">
                                <a:latin typeface="Cambria Math" panose="02040503050406030204" pitchFamily="18" charset="0"/>
                              </a:rPr>
                              <m:t>𝑞</m:t>
                            </m:r>
                          </m:sub>
                        </m:sSub>
                      </m:e>
                    </m:nary>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𝑆𝐶</m:t>
                            </m:r>
                            <m:r>
                              <a:rPr lang="en-AU" sz="1000" i="1">
                                <a:latin typeface="Cambria Math" panose="02040503050406030204" pitchFamily="18" charset="0"/>
                              </a:rPr>
                              <m:t>,</m:t>
                            </m:r>
                            <m:r>
                              <a:rPr lang="en-AU" sz="1000" i="1">
                                <a:latin typeface="Cambria Math" panose="02040503050406030204" pitchFamily="18" charset="0"/>
                              </a:rPr>
                              <m:t>𝑞</m:t>
                            </m:r>
                          </m:sub>
                        </m:sSub>
                      </m:e>
                    </m:nary>
                  </m:oMath>
                </m:oMathPara>
              </a14:m>
              <a:endParaRPr lang="en-AU" sz="1000"/>
            </a:p>
          </xdr:txBody>
        </xdr:sp>
      </mc:Choice>
      <mc:Fallback xmlns="">
        <xdr:sp macro="" textlink="">
          <xdr:nvSpPr>
            <xdr:cNvPr id="15" name="TextBox 14">
              <a:extLst>
                <a:ext uri="{FF2B5EF4-FFF2-40B4-BE49-F238E27FC236}">
                  <a16:creationId xmlns:a16="http://schemas.microsoft.com/office/drawing/2014/main" id="{F0A9B136-44D4-484C-A847-6700155E338A}"/>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𝐸=∑2_𝑞▒𝐸_(𝑊𝑇𝑇,𝑡𝑟𝑎𝑛𝑠,𝑞) +∑2_𝑞▒𝐸_(𝑊𝑇𝑇,𝑆𝐶,𝑞) </a:t>
              </a:r>
              <a:endParaRPr lang="en-AU" sz="10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F6B3FFD6-AEBB-4A25-A00A-8B1367CDEF7B}"/>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6" name="TextBox 15">
              <a:extLst>
                <a:ext uri="{FF2B5EF4-FFF2-40B4-BE49-F238E27FC236}">
                  <a16:creationId xmlns:a16="http://schemas.microsoft.com/office/drawing/2014/main" id="{F6B3FFD6-AEBB-4A25-A00A-8B1367CDEF7B}"/>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𝐸_(3,𝑒𝑙𝑒𝑐)=𝑄_𝑒𝑙𝑒𝑐×𝐸𝐹_(3,𝑒𝑙𝑒𝑐)×10^(−3)</a:t>
              </a:r>
              <a:endParaRPr lang="en-AU" sz="10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AEA28D81-51DD-4194-B682-B896D64FDCBF}"/>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solidFill>
                              <a:srgbClr val="C00000"/>
                            </a:solidFill>
                            <a:latin typeface="Cambria Math" panose="02040503050406030204" pitchFamily="18" charset="0"/>
                          </a:rPr>
                        </m:ctrlPr>
                      </m:sSubPr>
                      <m:e>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7" name="TextBox 16">
              <a:extLst>
                <a:ext uri="{FF2B5EF4-FFF2-40B4-BE49-F238E27FC236}">
                  <a16:creationId xmlns:a16="http://schemas.microsoft.com/office/drawing/2014/main" id="{AEA28D81-51DD-4194-B682-B896D64FDCBF}"/>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a:t>
              </a:r>
              <a:r>
                <a:rPr lang="en-AU" sz="1000" b="0" i="0">
                  <a:solidFill>
                    <a:srgbClr val="C00000"/>
                  </a:solidFill>
                  <a:latin typeface="Cambria Math" panose="02040503050406030204" pitchFamily="18" charset="0"/>
                </a:rPr>
                <a:t>〗_(</a:t>
              </a:r>
              <a:r>
                <a:rPr lang="en-AU" sz="1000" i="0">
                  <a:latin typeface="Cambria Math" panose="02040503050406030204" pitchFamily="18" charset="0"/>
                </a:rPr>
                <a:t>3,𝑒𝑙𝑒𝑐</a:t>
              </a:r>
              <a:r>
                <a:rPr lang="en-AU" sz="1000" b="0" i="0">
                  <a:solidFill>
                    <a:srgbClr val="C00000"/>
                  </a:solidFill>
                  <a:latin typeface="Cambria Math" panose="02040503050406030204" pitchFamily="18" charset="0"/>
                </a:rPr>
                <a:t>)</a:t>
              </a:r>
              <a:r>
                <a:rPr lang="en-AU" sz="10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1F72BA69-A97B-419A-9489-6394F4B4E84E}"/>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8" name="TextBox 17">
              <a:extLst>
                <a:ext uri="{FF2B5EF4-FFF2-40B4-BE49-F238E27FC236}">
                  <a16:creationId xmlns:a16="http://schemas.microsoft.com/office/drawing/2014/main" id="{1F72BA69-A97B-419A-9489-6394F4B4E84E}"/>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C806CDD7-C929-4DE5-8A96-FB13D5078117}"/>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𝑙𝑒𝑎𝑐ℎ</m:t>
                        </m:r>
                      </m:sub>
                    </m:sSub>
                  </m:oMath>
                </m:oMathPara>
              </a14:m>
              <a:endParaRPr lang="en-AU" sz="1000"/>
            </a:p>
          </xdr:txBody>
        </xdr:sp>
      </mc:Choice>
      <mc:Fallback xmlns="">
        <xdr:sp macro="" textlink="">
          <xdr:nvSpPr>
            <xdr:cNvPr id="19" name="TextBox 18">
              <a:extLst>
                <a:ext uri="{FF2B5EF4-FFF2-40B4-BE49-F238E27FC236}">
                  <a16:creationId xmlns:a16="http://schemas.microsoft.com/office/drawing/2014/main" id="{C806CDD7-C929-4DE5-8A96-FB13D5078117}"/>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𝐸=𝐸_𝑁2𝑂+𝐸_𝑎𝑑+𝐸_𝑙𝑒𝑎𝑐ℎ</a:t>
              </a:r>
              <a:endParaRPr lang="en-AU" sz="10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CAD07810-ABD6-4021-8F2B-85D82D47B30C}"/>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𝑓</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oMath>
                </m:oMathPara>
              </a14:m>
              <a:endParaRPr lang="en-AU" sz="1000"/>
            </a:p>
          </xdr:txBody>
        </xdr:sp>
      </mc:Choice>
      <mc:Fallback xmlns="">
        <xdr:sp macro="" textlink="">
          <xdr:nvSpPr>
            <xdr:cNvPr id="20" name="TextBox 19">
              <a:extLst>
                <a:ext uri="{FF2B5EF4-FFF2-40B4-BE49-F238E27FC236}">
                  <a16:creationId xmlns:a16="http://schemas.microsoft.com/office/drawing/2014/main" id="{CAD07810-ABD6-4021-8F2B-85D82D47B30C}"/>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𝐸=∑2_𝑓▒((𝑊_𝑓×𝐷_𝑓 )×𝐸𝐹_𝑓 ) </a:t>
              </a:r>
              <a:endParaRPr lang="en-AU" sz="10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28E705EF-CE2E-48F4-8AF7-20B71625C830}"/>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m:oMathPara>
              </a14:m>
              <a:endParaRPr lang="en-AU" sz="1000"/>
            </a:p>
          </xdr:txBody>
        </xdr:sp>
      </mc:Choice>
      <mc:Fallback xmlns="">
        <xdr:sp macro="" textlink="">
          <xdr:nvSpPr>
            <xdr:cNvPr id="21" name="TextBox 20">
              <a:extLst>
                <a:ext uri="{FF2B5EF4-FFF2-40B4-BE49-F238E27FC236}">
                  <a16:creationId xmlns:a16="http://schemas.microsoft.com/office/drawing/2014/main" id="{28E705EF-CE2E-48F4-8AF7-20B71625C830}"/>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BF1E1701-2BA6-4139-AB90-D32B88655DA6}"/>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a14:m>
              <a:endParaRPr lang="en-AU" sz="1000"/>
            </a:p>
          </xdr:txBody>
        </xdr:sp>
      </mc:Choice>
      <mc:Fallback xmlns="">
        <xdr:sp macro="" textlink="">
          <xdr:nvSpPr>
            <xdr:cNvPr id="22" name="TextBox 21">
              <a:extLst>
                <a:ext uri="{FF2B5EF4-FFF2-40B4-BE49-F238E27FC236}">
                  <a16:creationId xmlns:a16="http://schemas.microsoft.com/office/drawing/2014/main" id="{BF1E1701-2BA6-4139-AB90-D32B88655DA6}"/>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0C0C33F1-5AAB-4019-93BD-E6C239ED6048}"/>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oMath>
              </a14:m>
              <a:endParaRPr lang="en-AU" sz="1000"/>
            </a:p>
          </xdr:txBody>
        </xdr:sp>
      </mc:Choice>
      <mc:Fallback xmlns="">
        <xdr:sp macro="" textlink="">
          <xdr:nvSpPr>
            <xdr:cNvPr id="23" name="TextBox 22">
              <a:extLst>
                <a:ext uri="{FF2B5EF4-FFF2-40B4-BE49-F238E27FC236}">
                  <a16:creationId xmlns:a16="http://schemas.microsoft.com/office/drawing/2014/main" id="{0C0C33F1-5AAB-4019-93BD-E6C239ED6048}"/>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r>
                <a:rPr lang="en-AU" sz="1000" i="0">
                  <a:latin typeface="Cambria Math" panose="02040503050406030204" pitchFamily="18" charset="0"/>
                </a:rPr>
                <a:t>𝐸=∑2_𝑚▒(𝑄_𝑚×𝐸𝐹_𝑚 ) </a:t>
              </a:r>
              <a:endParaRPr lang="en-AU" sz="1000"/>
            </a:p>
          </xdr:txBody>
        </xdr:sp>
      </mc:Fallback>
    </mc:AlternateContent>
    <xdr:clientData/>
  </xdr:oneCellAnchor>
</xdr:wsDr>
</file>

<file path=xl/drawings/drawing21.xml><?xml version="1.0" encoding="utf-8"?>
<xdr:wsDr xmlns:xdr="http://schemas.openxmlformats.org/drawingml/2006/spreadsheetDrawing" xmlns:a="http://schemas.openxmlformats.org/drawingml/2006/main">
  <xdr:oneCellAnchor>
    <xdr:from>
      <xdr:col>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E545C4-0D70-4020-A0A1-91CFE3310631}"/>
                </a:ext>
              </a:extLst>
            </xdr:cNvPr>
            <xdr:cNvSpPr txBox="1"/>
          </xdr:nvSpPr>
          <xdr:spPr>
            <a:xfrm>
              <a:off x="305276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3BE545C4-0D70-4020-A0A1-91CFE3310631}"/>
                </a:ext>
              </a:extLst>
            </xdr:cNvPr>
            <xdr:cNvSpPr txBox="1"/>
          </xdr:nvSpPr>
          <xdr:spPr>
            <a:xfrm>
              <a:off x="305276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8928ECA-C1A4-455B-9452-9C598DC5B529}"/>
                </a:ext>
              </a:extLst>
            </xdr:cNvPr>
            <xdr:cNvSpPr txBox="1"/>
          </xdr:nvSpPr>
          <xdr:spPr>
            <a:xfrm>
              <a:off x="305276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3" name="TextBox 2">
              <a:extLst>
                <a:ext uri="{FF2B5EF4-FFF2-40B4-BE49-F238E27FC236}">
                  <a16:creationId xmlns:a16="http://schemas.microsoft.com/office/drawing/2014/main" id="{48928ECA-C1A4-455B-9452-9C598DC5B529}"/>
                </a:ext>
              </a:extLst>
            </xdr:cNvPr>
            <xdr:cNvSpPr txBox="1"/>
          </xdr:nvSpPr>
          <xdr:spPr>
            <a:xfrm>
              <a:off x="305276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9C3441D-7A0D-47CA-BE86-2644B8A23E06}"/>
                </a:ext>
              </a:extLst>
            </xdr:cNvPr>
            <xdr:cNvSpPr txBox="1"/>
          </xdr:nvSpPr>
          <xdr:spPr>
            <a:xfrm>
              <a:off x="306228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89C3441D-7A0D-47CA-BE86-2644B8A23E06}"/>
                </a:ext>
              </a:extLst>
            </xdr:cNvPr>
            <xdr:cNvSpPr txBox="1"/>
          </xdr:nvSpPr>
          <xdr:spPr>
            <a:xfrm>
              <a:off x="306228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25ABDDA-25B8-4EE1-8C59-7DB6EC666AC8}"/>
                </a:ext>
              </a:extLst>
            </xdr:cNvPr>
            <xdr:cNvSpPr txBox="1"/>
          </xdr:nvSpPr>
          <xdr:spPr>
            <a:xfrm>
              <a:off x="29956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E25ABDDA-25B8-4EE1-8C59-7DB6EC666AC8}"/>
                </a:ext>
              </a:extLst>
            </xdr:cNvPr>
            <xdr:cNvSpPr txBox="1"/>
          </xdr:nvSpPr>
          <xdr:spPr>
            <a:xfrm>
              <a:off x="299561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4E03F60-ED4D-4247-982B-2448EF6D6C7C}"/>
                </a:ext>
              </a:extLst>
            </xdr:cNvPr>
            <xdr:cNvSpPr txBox="1"/>
          </xdr:nvSpPr>
          <xdr:spPr>
            <a:xfrm>
              <a:off x="306228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6" name="TextBox 5">
              <a:extLst>
                <a:ext uri="{FF2B5EF4-FFF2-40B4-BE49-F238E27FC236}">
                  <a16:creationId xmlns:a16="http://schemas.microsoft.com/office/drawing/2014/main" id="{34E03F60-ED4D-4247-982B-2448EF6D6C7C}"/>
                </a:ext>
              </a:extLst>
            </xdr:cNvPr>
            <xdr:cNvSpPr txBox="1"/>
          </xdr:nvSpPr>
          <xdr:spPr>
            <a:xfrm>
              <a:off x="306228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oneCellAnchor>
    <xdr:from>
      <xdr:col>13</xdr:col>
      <xdr:colOff>4762</xdr:colOff>
      <xdr:row>7</xdr:row>
      <xdr:rowOff>66675</xdr:rowOff>
    </xdr:from>
    <xdr:ext cx="3299749"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0F94F02-28C9-4E4B-98D3-08E5EDAE2396}"/>
                </a:ext>
              </a:extLst>
            </xdr:cNvPr>
            <xdr:cNvSpPr txBox="1"/>
          </xdr:nvSpPr>
          <xdr:spPr>
            <a:xfrm>
              <a:off x="1823561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D0F94F02-28C9-4E4B-98D3-08E5EDAE2396}"/>
                </a:ext>
              </a:extLst>
            </xdr:cNvPr>
            <xdr:cNvSpPr txBox="1"/>
          </xdr:nvSpPr>
          <xdr:spPr>
            <a:xfrm>
              <a:off x="18235612" y="19335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oneCellAnchor>
    <xdr:from>
      <xdr:col>13</xdr:col>
      <xdr:colOff>4762</xdr:colOff>
      <xdr:row>26</xdr:row>
      <xdr:rowOff>66675</xdr:rowOff>
    </xdr:from>
    <xdr:ext cx="2649059" cy="18299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5363A3BA-03D7-4E1F-85BD-47BE2378D1F5}"/>
                </a:ext>
              </a:extLst>
            </xdr:cNvPr>
            <xdr:cNvSpPr txBox="1"/>
          </xdr:nvSpPr>
          <xdr:spPr>
            <a:xfrm>
              <a:off x="1823561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8" name="TextBox 7">
              <a:extLst>
                <a:ext uri="{FF2B5EF4-FFF2-40B4-BE49-F238E27FC236}">
                  <a16:creationId xmlns:a16="http://schemas.microsoft.com/office/drawing/2014/main" id="{5363A3BA-03D7-4E1F-85BD-47BE2378D1F5}"/>
                </a:ext>
              </a:extLst>
            </xdr:cNvPr>
            <xdr:cNvSpPr txBox="1"/>
          </xdr:nvSpPr>
          <xdr:spPr>
            <a:xfrm>
              <a:off x="18235612" y="6638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13</xdr:col>
      <xdr:colOff>14287</xdr:colOff>
      <xdr:row>42</xdr:row>
      <xdr:rowOff>57150</xdr:rowOff>
    </xdr:from>
    <xdr:ext cx="4040786" cy="332079"/>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C70D2AB3-C64F-4304-9581-2E8CAAFCF6D9}"/>
                </a:ext>
              </a:extLst>
            </xdr:cNvPr>
            <xdr:cNvSpPr txBox="1"/>
          </xdr:nvSpPr>
          <xdr:spPr>
            <a:xfrm>
              <a:off x="1824513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9" name="TextBox 8">
              <a:extLst>
                <a:ext uri="{FF2B5EF4-FFF2-40B4-BE49-F238E27FC236}">
                  <a16:creationId xmlns:a16="http://schemas.microsoft.com/office/drawing/2014/main" id="{C70D2AB3-C64F-4304-9581-2E8CAAFCF6D9}"/>
                </a:ext>
              </a:extLst>
            </xdr:cNvPr>
            <xdr:cNvSpPr txBox="1"/>
          </xdr:nvSpPr>
          <xdr:spPr>
            <a:xfrm>
              <a:off x="18245137" y="105918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oneCellAnchor>
    <xdr:from>
      <xdr:col>12</xdr:col>
      <xdr:colOff>252412</xdr:colOff>
      <xdr:row>61</xdr:row>
      <xdr:rowOff>71437</xdr:rowOff>
    </xdr:from>
    <xdr:ext cx="3633944" cy="33201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EA1112A2-0D1E-4F64-B1A4-AFB79E8C28B5}"/>
                </a:ext>
              </a:extLst>
            </xdr:cNvPr>
            <xdr:cNvSpPr txBox="1"/>
          </xdr:nvSpPr>
          <xdr:spPr>
            <a:xfrm>
              <a:off x="1817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10" name="TextBox 9">
              <a:extLst>
                <a:ext uri="{FF2B5EF4-FFF2-40B4-BE49-F238E27FC236}">
                  <a16:creationId xmlns:a16="http://schemas.microsoft.com/office/drawing/2014/main" id="{EA1112A2-0D1E-4F64-B1A4-AFB79E8C28B5}"/>
                </a:ext>
              </a:extLst>
            </xdr:cNvPr>
            <xdr:cNvSpPr txBox="1"/>
          </xdr:nvSpPr>
          <xdr:spPr>
            <a:xfrm>
              <a:off x="18178462" y="153114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13</xdr:col>
      <xdr:colOff>14287</xdr:colOff>
      <xdr:row>79</xdr:row>
      <xdr:rowOff>61912</xdr:rowOff>
    </xdr:from>
    <xdr:ext cx="4870692"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68C01BA6-B0BE-4C01-B69B-E7F6757D153A}"/>
                </a:ext>
              </a:extLst>
            </xdr:cNvPr>
            <xdr:cNvSpPr txBox="1"/>
          </xdr:nvSpPr>
          <xdr:spPr>
            <a:xfrm>
              <a:off x="1824513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11" name="TextBox 10">
              <a:extLst>
                <a:ext uri="{FF2B5EF4-FFF2-40B4-BE49-F238E27FC236}">
                  <a16:creationId xmlns:a16="http://schemas.microsoft.com/office/drawing/2014/main" id="{68C01BA6-B0BE-4C01-B69B-E7F6757D153A}"/>
                </a:ext>
              </a:extLst>
            </xdr:cNvPr>
            <xdr:cNvSpPr txBox="1"/>
          </xdr:nvSpPr>
          <xdr:spPr>
            <a:xfrm>
              <a:off x="18245137" y="197596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CA9186A-F894-44A1-92E2-026D072DBE7B}" name="Table_Input_Enterprise_PlantingRemovals" displayName="Table_Input_Enterprise_PlantingRemovals" ref="D42:G43" totalsRowShown="0">
  <autoFilter ref="D42:G43" xr:uid="{CCA9186A-F894-44A1-92E2-026D072DBE7B}">
    <filterColumn colId="0" hiddenButton="1"/>
    <filterColumn colId="1" hiddenButton="1"/>
    <filterColumn colId="2" hiddenButton="1"/>
    <filterColumn colId="3" hiddenButton="1"/>
  </autoFilter>
  <tableColumns count="4">
    <tableColumn id="1" xr3:uid="{4A775515-F650-4B30-A8B0-D7D74288FF30}" name="Planting name" dataCellStyle="Input text"/>
    <tableColumn id="2" xr3:uid="{B0B4C384-B6EE-448B-920F-69C8F0DB66FB}" name="Total removed CO2" dataCellStyle="Input number general"/>
    <tableColumn id="3" xr3:uid="{39D3B94F-5152-431B-AFDA-259DCFD08C0D}" name="Percent allocated to this enterprise" dataCellStyle="Input percent"/>
    <tableColumn id="4" xr3:uid="{B9127AF7-9350-405E-97D4-92DB7D5C0ACA}"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1E1097-C0F0-4392-9D6D-AFBC08E76915}" name="Table_Input_LivestockSales" displayName="Table_Input_LivestockSales" ref="D6:I16" totalsRowShown="0">
  <autoFilter ref="D6:I16" xr:uid="{AD1E1097-C0F0-4392-9D6D-AFBC08E76915}">
    <filterColumn colId="0" hiddenButton="1"/>
    <filterColumn colId="1" hiddenButton="1"/>
    <filterColumn colId="2" hiddenButton="1"/>
    <filterColumn colId="3" hiddenButton="1"/>
    <filterColumn colId="4" hiddenButton="1"/>
    <filterColumn colId="5" hiddenButton="1"/>
  </autoFilter>
  <tableColumns count="6">
    <tableColumn id="6" xr3:uid="{AA15C232-0159-49C9-9C71-A58F1014C954}" name="Transaction name" dataCellStyle="Input text"/>
    <tableColumn id="1" xr3:uid="{307E53B0-061F-49DD-93DB-42CB4B98DC79}" name="Class (select)" dataCellStyle="Input select"/>
    <tableColumn id="2" xr3:uid="{B15D3E20-6E9D-4B6A-BEA5-0FEB6F59B21E}" name="Sale date" dataDxfId="519"/>
    <tableColumn id="3" xr3:uid="{C5AEDAD3-0B4A-4687-BC64-AC557A3FF821}" name="Head sold"/>
    <tableColumn id="4" xr3:uid="{428F255F-E5B9-46BA-8DB0-EA08A490546B}" name="Average weight per head (kg)"/>
    <tableColumn id="5" xr3:uid="{7EF1E984-68AB-4D27-831E-2DB7800A94D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9F39B58C-FEE5-43C7-AA74-9A4F1D04593E}" name="Table_Input_LivestockPurchases_Beefcattle" displayName="Table_Input_LivestockPurchases_Beefcattle" ref="D6:K16" totalsRowShown="0">
  <autoFilter ref="D6:K16" xr:uid="{A524718C-D2DE-4743-911C-43AE3F1EAEE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9" xr3:uid="{2E0E2EE2-1AA5-4E82-A30F-3378E56A53C6}" name="Transaction name" dataCellStyle="Input text"/>
    <tableColumn id="13" xr3:uid="{3C5D95FE-A427-4A57-ACE0-1FE65A623E16}" name="Purchase date" dataCellStyle="Input text"/>
    <tableColumn id="11" xr3:uid="{7D1FD1AB-4E3F-41C7-90CB-29E77FFA591E}" name="Class (select)" dataDxfId="518" dataCellStyle="Input select"/>
    <tableColumn id="2" xr3:uid="{036DCAC2-C6D7-4867-9845-71D567976C51}" name="Purchase class (select)" dataDxfId="517" dataCellStyle="Input select"/>
    <tableColumn id="6" xr3:uid="{335659FF-4F54-4F6D-9DFA-DAD04077BB2E}" name="Source region (Select)" dataDxfId="516" dataCellStyle="Input select"/>
    <tableColumn id="3" xr3:uid="{C7EA9DF5-5C4D-43AD-ABE6-58FC7D2E4141}" name="Quantity (head)" dataCellStyle="Input number general"/>
    <tableColumn id="12" xr3:uid="{C7B71FEB-0D07-4DF4-83B2-100056ED536F}" name="Liveweight (kg/head) Method 1" dataCellStyle="Input number general calculated"/>
    <tableColumn id="4" xr3:uid="{61B86EBB-2654-4702-84E5-FD4DEC3099D0}" name="Liveweight (kg/head) Method 2" dataCellStyle="Input number general"/>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112B52B6-06A0-4989-A461-60F5E5EB5E03}" name="Table_Input_InorganicFertiliser_Brands" displayName="Table_Input_InorganicFertiliser_Brands" ref="D11:Z21" headerRowDxfId="515" dataDxfId="514" totalsRowDxfId="513">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77FCCA9F-67AC-43B6-810E-B617FA66458F}" name="Product (select)" dataDxfId="512" totalsRowDxfId="511" dataCellStyle="Input select"/>
    <tableColumn id="23" xr3:uid="{112A9E75-1CA3-426D-A177-B36022C627B8}" name="Amount applied per hectare" totalsRowFunction="custom" dataDxfId="510" totalsRowDxfId="509">
      <totalsRowFormula>SUM(Table_Input_InorganicFertiliser_Brands[[#Headers],[#Data],[Amount applied per hectare]])</totalsRowFormula>
    </tableColumn>
    <tableColumn id="12" xr3:uid="{14D3664E-6257-4398-BE7C-9B1AB507A7DB}" name="Application unit" dataDxfId="508" totalsRowDxfId="507" dataCellStyle="Input number 2 decimal places"/>
    <tableColumn id="6" xr3:uid="{86A86FCB-D2DA-4BF8-9749-7FDE7C33344B}" name="Application area (ha)" dataDxfId="506" totalsRowDxfId="505">
      <calculatedColumnFormula>X_Cell_Fertiliser_AreaUnderCropping</calculatedColumnFormula>
    </tableColumn>
    <tableColumn id="9" xr3:uid="{D1AD70E1-BF6C-47AC-8118-C3AE4CD5B932}" name="Density" dataDxfId="504" totalsRowDxfId="503" dataCellStyle="Input number general calculated"/>
    <tableColumn id="1" xr3:uid="{5A5500BD-15AB-4DD1-B1B0-CA0132A10CEE}" name="Total applied (kg)" dataDxfId="502" totalsRowDxfId="501"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14EA6501-8B1F-420A-AD85-CC5912E09BDA}" name="Ingredient 1" dataDxfId="500" totalsRowDxfId="499" dataCellStyle="Input number general calculated"/>
    <tableColumn id="4" xr3:uid="{C7C99FDE-B916-460C-93A8-03222102270E}" name="Ingredient 1 percent" dataDxfId="498" dataCellStyle="Input number general calculated"/>
    <tableColumn id="7" xr3:uid="{D2BAE3EA-7893-4AFE-B81B-DA1BB1330962}" name="Ingredient 2" dataDxfId="497" dataCellStyle="Input number general calculated"/>
    <tableColumn id="8" xr3:uid="{E0687FEE-2BC9-4AA0-80C9-B99272D9FF64}" name="Ingredient 2 percent" dataDxfId="496" totalsRowDxfId="495" dataCellStyle="Input number general calculated"/>
    <tableColumn id="10" xr3:uid="{997A6065-8A85-4F4B-BC27-3FF9A82CA1AD}" name="Ingredient 3" dataDxfId="494" totalsRowDxfId="493" dataCellStyle="Input number general calculated"/>
    <tableColumn id="11" xr3:uid="{5030FBD7-B12D-4A08-8447-4E4DDDBFDC60}" name="Ingredient 3 percent" dataDxfId="492" totalsRowDxfId="491" dataCellStyle="Input number general calculated"/>
    <tableColumn id="13" xr3:uid="{1EE3DEED-7686-4D8A-BEE7-D1758C53BFA2}" name="Ingredient 4" dataDxfId="490" totalsRowDxfId="489" dataCellStyle="Input number general calculated"/>
    <tableColumn id="14" xr3:uid="{AFDF0DC6-BCE4-4842-B09F-3186E2B3426F}" name="Ingredient 4 percent" dataDxfId="488" dataCellStyle="Input number general calculated"/>
    <tableColumn id="16" xr3:uid="{8194A06D-49EE-4801-8763-9E52BF91862E}" name="Ingredient 5" dataDxfId="487" dataCellStyle="Input number general calculated"/>
    <tableColumn id="17" xr3:uid="{F8C718B8-8C31-4EBE-9C73-FEDC944E36F7}" name="Ingredient 5 percent" dataDxfId="486" dataCellStyle="Input number general calculated"/>
    <tableColumn id="19" xr3:uid="{8FFD9EC6-C1C6-4004-A964-2C0CE97DEFEC}" name="Ingredient 6" dataDxfId="485" dataCellStyle="Input number general calculated"/>
    <tableColumn id="20" xr3:uid="{0EBA9826-C59C-480A-9D24-11F3DCAF841E}" name="Ingredient 6 percent" dataDxfId="484" dataCellStyle="Input number general calculated"/>
    <tableColumn id="21" xr3:uid="{6F693C77-5E7F-4A92-8A49-0AFF2A16F927}" name="% N (Ingredients)" dataDxfId="483" dataCellStyle="Input number general calculated"/>
    <tableColumn id="22" xr3:uid="{EE4166F8-67C8-4C02-8285-63921D78E614}" name="% N (declared)" dataDxfId="482" dataCellStyle="Content normal"/>
    <tableColumn id="5" xr3:uid="{E54E71B5-71B6-4279-A450-7002692A9153}" name="N application rate (kg/ha)" dataDxfId="481" totalsRowDxfId="480"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6A1DD54B-14FF-4563-9387-0C7438F996EE}" name="Urea source" dataDxfId="479" totalsRowDxfId="478" dataCellStyle="Input number general calculated"/>
    <tableColumn id="18" xr3:uid="{49ACCFFA-BC1F-4367-AC91-C1CFD36D9AA2}" name="Ammonia source" dataDxfId="477" totalsRowDxfId="476" dataCellStyle="Input number general calculated"/>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A4FCEC78-2BAE-4F62-8328-8DEE4D7484D1}" name="Table_Input_InorganicFertiliser_Custom" displayName="Table_Input_InorganicFertiliser_Custom" ref="D24:R34" totalsRowShown="0" headerRowDxfId="475" dataDxfId="474">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AC83D423-4A9A-44F8-96DB-E6EA24E8112E}" name="Custom blend name" dataCellStyle="Input text"/>
    <tableColumn id="2" xr3:uid="{826A898C-1F2E-4D22-97A2-34B0B0A072DA}" name="Amount applied (kg / ha)" dataDxfId="473"/>
    <tableColumn id="3" xr3:uid="{BD35DA8E-C139-4B36-8655-A06E7EF1BA9D}" name="Application area (ha)" dataDxfId="472" dataCellStyle="Input number 2 decimal places">
      <calculatedColumnFormula>X_Cell_Fertiliser_AreaUnderCropping</calculatedColumnFormula>
    </tableColumn>
    <tableColumn id="4" xr3:uid="{DA67EFA9-54C6-4AE2-8EBF-41AE6BF0BF32}" name="Total applied (kg)" dataDxfId="471" dataCellStyle="Input number general calculated">
      <calculatedColumnFormula>Table_Input_InorganicFertiliser_Custom[[#This Row],[Amount applied (kg / ha)]]*Table_Input_InorganicFertiliser_Custom[[#This Row],[Application area (ha)]]</calculatedColumnFormula>
    </tableColumn>
    <tableColumn id="5" xr3:uid="{FC99713A-4FCE-4258-8837-556A6D772514}" name="Ingredient 1 (select)" dataDxfId="470" dataCellStyle="Input select"/>
    <tableColumn id="6" xr3:uid="{695F25FF-D986-4601-9C8C-40CEBED09A70}" name="Ingredient 1 percent" dataDxfId="469"/>
    <tableColumn id="8" xr3:uid="{FAC5DA3A-8DDD-49E8-9064-10001F807C68}" name="Ingredient 2" dataDxfId="468" dataCellStyle="Input select"/>
    <tableColumn id="9" xr3:uid="{9B09A1C3-B925-4927-BB60-FB1E9B725129}" name="Ingredient 2 percent" dataDxfId="467"/>
    <tableColumn id="11" xr3:uid="{E646F0A2-AC52-4B38-B043-63296BE3B1E8}" name="Ingredient 3" dataDxfId="466" dataCellStyle="Input select"/>
    <tableColumn id="12" xr3:uid="{8BF202A3-E287-4311-BC01-9F520F90C9E8}" name="Ingredient 3 percent" dataDxfId="465"/>
    <tableColumn id="14" xr3:uid="{122968AC-30B6-4CDC-8CA2-1EA1078F571B}" name="Ingredient 4" dataDxfId="464" dataCellStyle="Input select"/>
    <tableColumn id="15" xr3:uid="{2CE80F97-023B-449A-A585-817CD23D2C97}" name="Ingredient 4 percent" dataCellStyle="Input percent"/>
    <tableColumn id="7" xr3:uid="{7DE3EF09-63A7-4992-8D21-53E761B791EB}" name="N application rate (kg/ha)" dataDxfId="463" dataCellStyle="Input number general calculated"/>
    <tableColumn id="10" xr3:uid="{C9DEF566-DE99-447E-8F86-451B05A3E2C4}" name="Urea source (Select)" dataCellStyle="Input select"/>
    <tableColumn id="13" xr3:uid="{96A49C81-4DC8-4261-8137-CCBB74533E6E}" name="Ammonia source (select)" dataCellStyle="Input select"/>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AF0EB8C6-4E40-49F7-805B-600C2A1BC762}" name="Table_Input_Lime" displayName="Table_Input_Lime" ref="D41:K44" totalsRowShown="0" headerRowDxfId="462" dataDxfId="461"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4877856-D131-4216-993C-37AF59C2694A}" name="Product" dataDxfId="460"/>
    <tableColumn id="2" xr3:uid="{08E499C9-8B56-4E45-A129-039950A6F388}" name="Amount applied (t/hectare)" dataDxfId="459"/>
    <tableColumn id="4" xr3:uid="{A362D409-7F08-473C-82E6-907611B82131}" name="Application area (ha)" dataDxfId="458" dataCellStyle="Input number 2 decimal places">
      <calculatedColumnFormula>X_Cell_Fertiliser_AreaUnderCropping</calculatedColumnFormula>
    </tableColumn>
    <tableColumn id="3" xr3:uid="{02213BEB-EE17-452C-A9DE-EA6FDC6993E0}" name="Total amount applied (t)" dataDxfId="457" dataCellStyle="Input number general calculated">
      <calculatedColumnFormula>IFERROR(Table_Input_Lime[[#This Row],[Amount applied (t/hectare)]]*Table_Input_Lime[[#This Row],[Application area (ha)]], 0)</calculatedColumnFormula>
    </tableColumn>
    <tableColumn id="6" xr3:uid="{56A482A7-FA68-4A02-B8E9-467A532F36C5}" name="Percent Lime CaCO3" dataDxfId="456"/>
    <tableColumn id="8" xr3:uid="{E8339187-95DC-474B-A952-FF11F56961AF}" name="Percent Dolomite CaMg(CO3)2" dataDxfId="455"/>
    <tableColumn id="7" xr3:uid="{DAEFB308-2CBE-4E90-BEE6-ED39C195A117}" name="Percent Gypsum" dataDxfId="454"/>
    <tableColumn id="10" xr3:uid="{4EDC0B73-72C5-4FCE-B06C-8F3E66C9318C}" name="Total" dataDxfId="453"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9C86D9EF-AEA2-434E-B2F2-3B87C68379BD}" name="Table_Input_OrganicFertiliser" displayName="Table_Input_OrganicFertiliser" ref="D53:J56" totalsRowShown="0" headerRowDxfId="452" dataDxfId="451"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C6B690F-6CFD-472B-AEB6-F0D7346196D8}" name="Organic fertiliser type (select)" dataDxfId="450" dataCellStyle="Input select"/>
    <tableColumn id="5" xr3:uid="{0BA4F255-DD89-407E-B685-4E631C0F260B}" name="Percentage of N in fertiliser" dataDxfId="449"/>
    <tableColumn id="2" xr3:uid="{CC5AE4FD-753B-4DD9-9099-0BC31051D67E}" name="Amount applied (kg/hectare)" dataDxfId="448"/>
    <tableColumn id="11" xr3:uid="{08B0E6A2-9765-41F1-BA91-FAC1C0BFC4CA}" name="Amount N applied (kg/hectare)" dataDxfId="447" dataCellStyle="Input number general calculated">
      <calculatedColumnFormula>Table_Input_OrganicFertiliser[[#This Row],[Amount applied (kg/hectare)]]*Table_Input_OrganicFertiliser[[#This Row],[Percentage of N in fertiliser]]</calculatedColumnFormula>
    </tableColumn>
    <tableColumn id="4" xr3:uid="{3F95EB5B-C7EE-409E-8F72-35D29065786C}" name="Application area (ha)" dataDxfId="446" dataCellStyle="Input number 2 decimal places">
      <calculatedColumnFormula>X_Cell_Fertiliser_AreaUnderCropping</calculatedColumnFormula>
    </tableColumn>
    <tableColumn id="7" xr3:uid="{494534DD-AEA1-41DC-B9C6-CC1FF0E82087}" name="Total organic fertliser applied" dataDxfId="445" dataCellStyle="Input number general calculated">
      <calculatedColumnFormula>Table_Input_OrganicFertiliser[[#This Row],[Amount applied (kg/hectare)]]*Table_Input_OrganicFertiliser[[#This Row],[Application area (ha)]]</calculatedColumnFormula>
    </tableColumn>
    <tableColumn id="3" xr3:uid="{50EF1021-9F53-45E4-AD48-CDFB79966632}" name="Total nitrogen applied (kg)" dataDxfId="444"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6850BD2A-5F6B-4015-9C29-B20AB8A865DF}" name="Table_Input_Fuel" displayName="Table_Input_Fuel" ref="D16:J21" totalsRowDxfId="443"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8E0B7B75-DF1F-4EAF-AC38-5BB5C0CB420C}" name="Fuel use (select)" totalsRowFunction="average" totalsRowDxfId="442" dataCellStyle="Input select" totalsRowCellStyle="Input select"/>
    <tableColumn id="3" xr3:uid="{0EA57B17-E9A3-4CBB-BB8F-0BE7F9571BC6}" name="Fuel type (select)" totalsRowDxfId="441" dataCellStyle="Input select" totalsRowCellStyle="Input select"/>
    <tableColumn id="4" xr3:uid="{0E33604E-2CEA-4C2C-9332-A26CEAE3E7A6}" name="Amount purchased" totalsRowDxfId="440" totalsRowCellStyle="Content bold"/>
    <tableColumn id="6" xr3:uid="{8DE468CE-30B6-4777-8159-9348790A7551}" name="Amount unit" totalsRowDxfId="439" dataCellStyle="Input number general calculated" totalsRowCellStyle="Input text calculated"/>
    <tableColumn id="5" xr3:uid="{EBDE2965-D3C5-4040-9A7D-7D3F6D6AC20F}" name="Percent consumed" totalsRowDxfId="438" totalsRowCellStyle="Input percent">
      <calculatedColumnFormula>1</calculatedColumnFormula>
    </tableColumn>
    <tableColumn id="1" xr3:uid="{9F74E2E6-F45F-45A6-8B28-A2CB8BBFEE09}" name="Amount consumed" totalsRowFunction="custom" totalsRowDxfId="437"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7CEFAC66-1392-4EB6-B7AC-6392F1DF5C92}" name="Amount consumed unit" totalsRowDxfId="436" dataCellStyle="Input number general calculated"/>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C022277D-5639-4BD9-9A9C-EBA2CE42BC94}"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B9CB187D-CCF7-47F8-B3C6-3F9EBC45783B}" name="Description"/>
    <tableColumn id="5" xr3:uid="{767470AC-2706-44B0-92E1-AE79174F2B1A}" name="Source (select)" dataCellStyle="Input select"/>
    <tableColumn id="2" xr3:uid="{A29AD59F-1FBB-4DBB-93E8-701B5F6D2BC7}" name="Generation date" dataDxfId="435"/>
    <tableColumn id="3" xr3:uid="{830B1A38-39CC-41DA-9481-4CE7D43CDA1C}" name="Number of certificates"/>
    <tableColumn id="4" xr3:uid="{38578B2F-AA5C-403D-9846-401191F3FCD2}" name="MWh" dataCellStyle="Input number general calculated">
      <calculatedColumnFormula>Table_Input_RECSurrendered[[#This Row],[Number of certificates]]</calculatedColumnFormula>
    </tableColumn>
    <tableColumn id="7" xr3:uid="{4256F969-6C3B-4C8B-89FF-6334976B98FB}"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84FBFF1A-57FD-4D28-9F1E-C4FF9B0E3234}"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D1DD2056-E74B-4D90-8079-813665F32F1A}" name="Description"/>
    <tableColumn id="5" xr3:uid="{C1D97450-4F07-4E04-A5EB-58F315DE5A7C}" name="Source" dataCellStyle="Input text calculated">
      <calculatedColumnFormula>"Issued for generated electricity"</calculatedColumnFormula>
    </tableColumn>
    <tableColumn id="2" xr3:uid="{40F3CEBB-A614-4D8D-93B7-6209694C76E2}" name="Generation date" dataDxfId="434"/>
    <tableColumn id="3" xr3:uid="{F830B598-1944-4CAE-80E9-5BFFA0FB71D6}" name="Number of certificates"/>
    <tableColumn id="4" xr3:uid="{3EBAC7CF-1A4E-4208-8AEC-5EE3B3F651C3}" name="MWh" dataCellStyle="Input number general calculated">
      <calculatedColumnFormula>Table_Input_RECConsumedByEntity[[#This Row],[Number of certificates]]</calculatedColumnFormula>
    </tableColumn>
    <tableColumn id="7" xr3:uid="{6174C284-7791-4CB7-97C6-FF4AB33BCC0F}"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F76119FE-7A84-4F47-AFB7-67D9EFE6EDC4}"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3854610A-4794-46C4-ADAA-2B0629FA3807}" name="Product name" dataCellStyle="Input text"/>
    <tableColumn id="1" xr3:uid="{D5E1040A-1C25-41EB-9194-013F8E35BC10}" name="Type (select)" dataCellStyle="Input select"/>
    <tableColumn id="2" xr3:uid="{97E5179A-EB30-42F4-B555-2DF59EF0D18E}" name="Quantity purchased (kg)" dataCellStyle="Input number general"/>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329FE1BE-9704-4C5F-B863-9C17674AF5A4}"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69019ED8-A018-4C6B-BB03-F85977A5C46D}" name="Product / service name" dataCellStyle="Input text"/>
    <tableColumn id="2" xr3:uid="{D1702581-09A2-46DE-9DCB-EF86156BA8A9}" name="Amount" dataCellStyle="Input number general"/>
    <tableColumn id="3" xr3:uid="{AD0050A8-1C62-412C-B879-3565F113A7B0}" name="Amount unit" dataCellStyle="Input text"/>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55C28B22-F185-441E-9F23-C84306CF398F}"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90116CC8-2039-4C9D-B5BA-EEE6A72C1A6B}" name="Service provider / contractor" dataCellStyle="Input text"/>
    <tableColumn id="4" xr3:uid="{AEB7437C-4266-4855-A6AB-40A477FD6B48}" name="Activity" dataCellStyle="Input text"/>
    <tableColumn id="2" xr3:uid="{540B0746-A60B-4AC6-943E-932E3C3D8627}" name="Total amount" dataCellStyle="Input number general"/>
    <tableColumn id="3" xr3:uid="{EEF0A8F6-CB5D-4D8A-954C-8A5D1AAA1A3C}" name="Amount unit" dataCellStyle="Input select"/>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4C836F14-5195-4BF0-8FA9-8E630C6365E3}" name="Table_Input_Pesticides" displayName="Table_Input_Pesticides" ref="D9:R19" totalsRowShown="0" headerRowDxfId="433">
  <autoFilter ref="D9:R19" xr:uid="{BA52E4BB-C3D1-441A-A568-0AD50449E880}"/>
  <tableColumns count="15">
    <tableColumn id="1" xr3:uid="{D097A01D-3405-4E37-ACF1-EA9E8AF35A8B}" name="Product name"/>
    <tableColumn id="2" xr3:uid="{DB5C5B39-59AA-4DB1-A710-7F0300BE093E}" name="Amount applied per ha"/>
    <tableColumn id="7" xr3:uid="{45AAF9C7-DBA1-4F71-84CD-57D2FCB70391}" name="Application unit (select)" dataCellStyle="Input select"/>
    <tableColumn id="6" xr3:uid="{BA643F42-1719-4BC8-9760-9B2B1684DDE9}" name="Application area (ha)" dataCellStyle="Input number general"/>
    <tableColumn id="3" xr3:uid="{24187401-15F6-4F33-A84E-8EED8E297853}" name="Total applied" dataCellStyle="Input number general calculated">
      <calculatedColumnFormula>Table_Input_Pesticides[[#This Row],[Amount applied per ha]]*Table_Input_Pesticides[[#This Row],[Application area (ha)]]</calculatedColumnFormula>
    </tableColumn>
    <tableColumn id="5" xr3:uid="{62391E72-82A9-4598-8F9F-69A84069B8BA}" name="Constituent unit (select)" dataCellStyle="Input select"/>
    <tableColumn id="4" xr3:uid="{C5BBD41C-CE13-4C20-824C-24CBF824467C}" name="Active ingredient 1 (select)" dataCellStyle="Input select"/>
    <tableColumn id="8" xr3:uid="{361E9020-D29C-4732-8EFC-23F0E8FFBCCF}" name="Active ingredient 1 amount" dataCellStyle="Input number general"/>
    <tableColumn id="16" xr3:uid="{9A3C39F0-CFE0-4385-9086-E1E0E1119115}"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5FA5E0F5-6BE0-4418-B45A-69260CC6491A}" name="Active ingredient 2 (select)" dataCellStyle="Input select"/>
    <tableColumn id="11" xr3:uid="{18D5DBF6-2043-4188-B9FB-9C3859A36A79}" name="Active ingredient 2 amount" dataCellStyle="Input number general"/>
    <tableColumn id="17" xr3:uid="{0257327E-3F8B-4504-A64F-EE1A6DECB3D3}"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5380B3DF-C148-42CB-8E23-DABB238F7E35}" name="Active ingredient 3 (select)" dataCellStyle="Input select"/>
    <tableColumn id="14" xr3:uid="{0FE3C3C3-8DFE-4CBB-8E65-2C085D82367B}" name="Active ingredient 3 amount" dataCellStyle="Input number general"/>
    <tableColumn id="18" xr3:uid="{60DA1F61-BA4E-4CB2-8C8B-EF3A2C3D7C2D}"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0415A267-3120-4F66-A71A-0486526D2527}" name="Table_Input_FeedBlends" displayName="Table_Input_FeedBlends" ref="D18:Q28" totalsRowShown="0">
  <autoFilter ref="D18:Q28" xr:uid="{6EC3622A-9CA1-4931-8AAA-6FC289090D20}"/>
  <tableColumns count="14">
    <tableColumn id="1" xr3:uid="{617D17BD-6FF6-4EEE-8991-C7A2775ED38F}" name="Feed blend name" dataCellStyle="Input text"/>
    <tableColumn id="2" xr3:uid="{70D47262-8634-4D9F-95C3-8C881F78DBF2}" name="Amount fed (kg)"/>
    <tableColumn id="4" xr3:uid="{83A1A224-4F24-419A-AEFD-B626E08D1CB8}" name="Ingredient 1 (select)" dataCellStyle="Input select"/>
    <tableColumn id="3" xr3:uid="{E6F8D8C2-F73C-4A80-93AA-37199E671BD3}" name="Ingredient 1 source region" dataCellStyle="Input select"/>
    <tableColumn id="5" xr3:uid="{5DB6404F-7A70-4C66-A712-77A1BF432D4D}" name="Ingredient 1 percent"/>
    <tableColumn id="6" xr3:uid="{D0F8DD94-5201-4139-B7B0-5148B1EC3F6F}" name="Ingredient 2 (select)" dataCellStyle="Input select"/>
    <tableColumn id="14" xr3:uid="{3013A8F9-DE6E-464F-8955-B730B06D3905}" name="Ingredient 2 source region" dataCellStyle="Input select"/>
    <tableColumn id="7" xr3:uid="{1809FF2C-4C2A-4757-ACE5-B73B1CD9AAC3}" name="Ingredient 2 percent"/>
    <tableColumn id="8" xr3:uid="{BD2EC121-690E-49C0-BABB-CD7617FBD708}" name="Ingredient 3 (select)" dataCellStyle="Input select"/>
    <tableColumn id="15" xr3:uid="{0B4CABDC-C6AE-4EFC-B602-29C0060A7089}" name="Ingredient 3 source region" dataCellStyle="Input select"/>
    <tableColumn id="9" xr3:uid="{5F585DC9-0230-4E1C-8C1A-04CF0B057DBA}" name="Ingredient 3 percent"/>
    <tableColumn id="10" xr3:uid="{565879DB-078E-49DC-A08E-837E8C7A275D}" name="Ingredient 4 (select)" dataCellStyle="Input select"/>
    <tableColumn id="16" xr3:uid="{8E4DB9E7-4720-42C1-B515-D140D7BD1CDE}" name="Ingredient 4 source region" dataCellStyle="Input select"/>
    <tableColumn id="11" xr3:uid="{DE484589-5E26-4E5C-A88E-0606519474EC}" name="Ingredient 4 percen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368775C6-D773-44FC-B703-C8A4C193CD24}" name="Table_Input_ChemicalsPharmacy" displayName="Table_Input_ChemicalsPharmacy" ref="D32:F42" totalsRowShown="0" headerRowCellStyle="Input table column header">
  <autoFilter ref="D32:F42" xr:uid="{F7DA8543-C7DE-49A8-A739-D82C85B7B828}"/>
  <tableColumns count="3">
    <tableColumn id="3" xr3:uid="{CE9DA1E6-D03D-44EF-83A2-AFD79C00FACD}" name="Product name" dataCellStyle="Input text"/>
    <tableColumn id="1" xr3:uid="{313D74DB-4C92-4D38-BD3E-335E52FC99F4}" name="Type (select)" dataDxfId="432" dataCellStyle="Input select"/>
    <tableColumn id="2" xr3:uid="{206B3561-D661-4D99-BC8E-B84BC2A7EDFC}" name="Number of head treated" dataDxfId="431" dataCellStyle="Input number general"/>
  </tableColumns>
  <tableStyleInfo name="Editable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61BB7073-44BB-466A-B449-6E8A25802D1C}"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58E6FD34-00D6-435C-B0D4-9C61C030DCAB}" name="Route name" dataCellStyle="Input text"/>
    <tableColumn id="2" xr3:uid="{1FEFD9C7-7B99-4BBF-9E76-B0AE4B84570F}" name="Freight type (select)" dataCellStyle="Input select"/>
    <tableColumn id="3" xr3:uid="{44FBBA77-FC98-4E10-B5A5-85BCC0078D09}" name="Route distance (km)"/>
    <tableColumn id="4" xr3:uid="{E3AD9522-DB4D-4F53-ACB0-5D17BA7AA120}" name="Average weight of freight per trip (t)"/>
    <tableColumn id="5" xr3:uid="{0670FA41-6580-4BFF-9B20-F71BB4047B2A}" name="Number of trips taken"/>
  </tableColumns>
  <tableStyleInfo name="Editable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4D3B4A1-E34C-448A-A8BA-CE49C303B19A}"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071EE761-9743-4ED9-AA58-076690F3903A}" name="Route name" dataCellStyle="Input text"/>
    <tableColumn id="2" xr3:uid="{A63213E5-B9CF-40F9-8283-66BD4ED7EB1B}" name="Freight type (select)" dataCellStyle="Input select"/>
    <tableColumn id="3" xr3:uid="{10934611-8EC1-4629-8325-3E798A04B583}" name="Route distance (km)"/>
    <tableColumn id="4" xr3:uid="{B5FD90FE-10FA-41F3-989F-8133986BE8EF}" name="Average weight of freight per trip (t)"/>
    <tableColumn id="5" xr3:uid="{47938265-65DD-4E18-8CB4-8B8708D50A2D}" name="Number of trips taken"/>
  </tableColumns>
  <tableStyleInfo name="Editable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7BD66509-D810-4940-8ABE-72B4F01F6446}"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8C2126DC-CF07-437F-93B1-7C70D4123EF0}" name="Description" dataCellStyle="Input text"/>
    <tableColumn id="5" xr3:uid="{ED426980-3548-4910-873A-A0D172E3FBAC}" name="Treatment type (select)" dataCellStyle="Input select"/>
    <tableColumn id="2" xr3:uid="{84B9C0A3-A853-4160-985A-4C79F20D34D4}" name="Waste type (select)" dataCellStyle="Input select"/>
    <tableColumn id="3" xr3:uid="{2331B270-673D-40A2-9937-6D9FF2863785}" name="Treatment location (select)" dataCellStyle="Input select"/>
    <tableColumn id="4" xr3:uid="{2B209826-B11D-46DE-A6D5-5867E5357B43}" name="Amount" dataCellStyle="Input number general"/>
    <tableColumn id="7" xr3:uid="{5C3F079F-2387-413C-84F6-BF83731D99FA}" name="Amount unit (select)" dataCellStyle="Input select"/>
  </tableColumns>
  <tableStyleInfo name="Editable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8FE180D-09B2-462D-A75A-30AF5B040FF4}" name="Table_Input_DataQuality_Enterprise" displayName="Table_Input_DataQuality_Enterprise" ref="D7:J13" totalsRowShown="0" headerRowCellStyle="Input table column header">
  <autoFilter ref="D7:J13" xr:uid="{28FE180D-09B2-462D-A75A-30AF5B040FF4}"/>
  <tableColumns count="7">
    <tableColumn id="1" xr3:uid="{6891E09C-6D96-4827-89BC-323C45FF3013}" name="Data type" dataCellStyle="Content normal"/>
    <tableColumn id="2" xr3:uid="{68DFCF87-A6F7-4A80-91D7-A13481A1F22D}" name="When was the data sourced?" dataCellStyle="Input select"/>
    <tableColumn id="3" xr3:uid="{A40C00E6-56F7-4C78-BC6A-867F905FFAD9}" name="Where is the data sourced from?" dataCellStyle="Input select"/>
    <tableColumn id="4" xr3:uid="{4EEABB96-25B2-45E4-B55D-CC84B263097B}" name="How much of the data was from direct samples?" dataCellStyle="Input select"/>
    <tableColumn id="5" xr3:uid="{312AABBA-BFD5-4266-9524-F923958169B2}" name="Notes" dataDxfId="430"/>
    <tableColumn id="6" xr3:uid="{11350DC8-38DD-4ED1-9576-EFE00DF98F4A}" name="Evidence files" dataDxfId="429"/>
    <tableColumn id="7" xr3:uid="{CE5261A6-B4FC-4B62-A6AC-54C6FAAD82CB}" name="Score" dataCellStyle="Input number general calculated">
      <calculatedColumnFormula>IFERROR(_xlfn.XLOOKUP(Table_Input_DataQuality_Enterprise[[#This Row],[When was the data sourced?]],#REF!,#REF!)+_xlfn.XLOOKUP(Table_Input_DataQuality_Enterprise[[#This Row],[Where is the data sourced from?]],#REF!,#REF!)+_xlfn.XLOOKUP(Table_Input_DataQuality_Enterprise[[#This Row],[How much of the data was from direct samples?]],#REF!,#REF!), 0)</calculatedColumnFormula>
    </tableColumn>
  </tableColumns>
  <tableStyleInfo name="Editable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C575DA4-A4D3-41A2-B085-8B83737CAEC6}" name="Table_Input_DataQuality_Site" displayName="Table_Input_DataQuality_Site" ref="D18:J24" totalsRowShown="0" headerRowCellStyle="Input table column header">
  <autoFilter ref="D18:J24" xr:uid="{2C575DA4-A4D3-41A2-B085-8B83737CAEC6}"/>
  <tableColumns count="7">
    <tableColumn id="1" xr3:uid="{F4C76991-9400-47EC-8B69-3E0378128164}" name="Data type" dataCellStyle="Content normal"/>
    <tableColumn id="2" xr3:uid="{1143E7AA-62A8-44F3-B5BF-BE2379B4B905}" name="When was the data sourced?" dataCellStyle="Input select"/>
    <tableColumn id="3" xr3:uid="{828C0D88-9EF8-44A0-A6D3-0BE733D06B61}" name="Where is the data sourced from?" dataCellStyle="Input select"/>
    <tableColumn id="4" xr3:uid="{F8C7296B-21A2-4BA8-804A-1A97D5DE5C58}" name="How much of the data was from direct samples?" dataCellStyle="Input select"/>
    <tableColumn id="5" xr3:uid="{54570952-48C1-47E8-B45A-471C0BA7AD1C}" name="Notes" dataDxfId="428"/>
    <tableColumn id="6" xr3:uid="{AB44CE99-224A-437D-A5B1-932D9C46AAB8}" name="Evidence files" dataDxfId="427"/>
    <tableColumn id="7" xr3:uid="{1FE786EC-0690-4DC1-8777-E78069DC2895}" name="Score" dataCellStyle="Input number general calculated">
      <calculatedColumnFormula>IFERROR(_xlfn.XLOOKUP(Table_Input_DataQuality_Site[[#This Row],[When was the data sourced?]],#REF!,#REF!)+_xlfn.XLOOKUP(Table_Input_DataQuality_Site[[#This Row],[Where is the data sourced from?]],#REF!,#REF!)+_xlfn.XLOOKUP(Table_Input_DataQuality_Site[[#This Row],[How much of the data was from direct samples?]],#REF!,#REF!), 0)</calculatedColumnFormula>
    </tableColumn>
  </tableColumns>
  <tableStyleInfo name="Editable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DAF9A96-F977-441F-8621-B54D31D9D7F8}" name="Table_Input_DataQuality_PastureBeef" displayName="Table_Input_DataQuality_PastureBeef" ref="D29:J41" totalsRowShown="0" headerRowCellStyle="Input table column header">
  <autoFilter ref="D29:J41" xr:uid="{2DAF9A96-F977-441F-8621-B54D31D9D7F8}"/>
  <tableColumns count="7">
    <tableColumn id="1" xr3:uid="{7410CAF1-A32D-4D20-9E8D-20497565EE6C}" name="Data type" dataCellStyle="Content normal"/>
    <tableColumn id="2" xr3:uid="{AC0AD7C7-1285-46C1-8760-677E5A7A447B}" name="When was the data sourced?" dataCellStyle="Input select"/>
    <tableColumn id="3" xr3:uid="{E7C35A28-6D7F-443C-BE27-871888F6021C}" name="Where is the data sourced from?" dataCellStyle="Input select"/>
    <tableColumn id="4" xr3:uid="{7CE87797-11C2-4242-9B92-06262C7B78FB}" name="How much of the data was from direct samples?" dataCellStyle="Input select"/>
    <tableColumn id="5" xr3:uid="{FDAFFFA7-0A46-4B10-B5C5-9C9D3BF63530}" name="Notes" dataDxfId="426"/>
    <tableColumn id="6" xr3:uid="{8407DCE3-2C71-4594-89B2-6C5DC5A27F02}" name="Evidence files" dataDxfId="425"/>
    <tableColumn id="7" xr3:uid="{55D19874-2970-424B-BFAA-72F0A3A76D94}" name="Score" dataCellStyle="Input number general calculated">
      <calculatedColumnFormula>IFERROR(_xlfn.XLOOKUP(Table_Input_DataQuality_PastureBeef[[#This Row],[When was the data sourced?]],#REF!,#REF!)+_xlfn.XLOOKUP(Table_Input_DataQuality_PastureBeef[[#This Row],[Where is the data sourced from?]],#REF!,#REF!)+_xlfn.XLOOKUP(Table_Input_DataQuality_PastureBeef[[#This Row],[How much of the data was from direct samples?]],#REF!,#REF!), 0)</calculatedColumnFormula>
    </tableColumn>
  </tableColumns>
  <tableStyleInfo name="Editable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11B488B-482B-4D1F-B574-EC6A7C2A7963}" name="Table_Input_DataQuality_PastureManagement" displayName="Table_Input_DataQuality_PastureManagement" ref="D46:J51" totalsRowShown="0" headerRowCellStyle="Input table column header">
  <autoFilter ref="D46:J51" xr:uid="{311B488B-482B-4D1F-B574-EC6A7C2A7963}"/>
  <tableColumns count="7">
    <tableColumn id="1" xr3:uid="{1FF92347-2C85-4DFF-AD7B-1165C35BB5F4}" name="Data type" dataCellStyle="Content normal"/>
    <tableColumn id="2" xr3:uid="{1A35F5F3-7B50-427A-974B-341C1D9579E5}" name="When was the data sourced?" dataCellStyle="Input select"/>
    <tableColumn id="3" xr3:uid="{43931A0A-B807-40B1-9CFF-AB3981E9BF81}" name="Where is the data sourced from?" dataCellStyle="Input select"/>
    <tableColumn id="4" xr3:uid="{085426B4-0983-452B-ABF3-4650427E6FB2}" name="How much of the data was from direct samples?" dataCellStyle="Input select"/>
    <tableColumn id="5" xr3:uid="{540CDA6F-B045-4E43-B004-48C29A66E6C7}" name="Notes" dataDxfId="424"/>
    <tableColumn id="6" xr3:uid="{4E8DFB0B-42BF-4238-AE47-4694D0ABF414}" name="Evidence files" dataDxfId="423"/>
    <tableColumn id="7" xr3:uid="{99FD6CF0-B6A4-43E3-9E7B-C0828CA99963}" name="Score" dataCellStyle="Input number general calculated">
      <calculatedColumnFormula>IFERROR(_xlfn.XLOOKUP(Table_Input_DataQuality_PastureManagement[[#This Row],[When was the data sourced?]],#REF!,#REF!)+_xlfn.XLOOKUP(Table_Input_DataQuality_PastureManagement[[#This Row],[Where is the data sourced from?]],#REF!,#REF!)+_xlfn.XLOOKUP(Table_Input_DataQuality_PastureManagement[[#This Row],[How much of the data was from direct samples?]],#REF!,#REF!), 0)</calculatedColumnFormula>
    </tableColumn>
  </tableColumns>
  <tableStyleInfo name="Editable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934DC06-981B-4CDD-9E4F-DD2783BC3739}" name="Table_Input_DataQuality_FertiliserApplications" displayName="Table_Input_DataQuality_FertiliserApplications" ref="D56:J60" totalsRowShown="0" headerRowCellStyle="Input table column header">
  <autoFilter ref="D56:J60" xr:uid="{A934DC06-981B-4CDD-9E4F-DD2783BC3739}"/>
  <tableColumns count="7">
    <tableColumn id="1" xr3:uid="{C0D29A74-4487-4BD6-B5EC-A6090FC2A710}" name="Data type" dataCellStyle="Content normal"/>
    <tableColumn id="2" xr3:uid="{69E55B12-88FD-4BFF-856B-A38450A42351}" name="When was the data sourced?" dataCellStyle="Input select"/>
    <tableColumn id="3" xr3:uid="{B055C1AD-6B83-432C-9F45-11C649F30314}" name="Where is the data sourced from?" dataCellStyle="Input select"/>
    <tableColumn id="4" xr3:uid="{BF029F0D-7D8D-4D09-A265-6DD56CC2395F}" name="How much of the data was from direct samples?" dataCellStyle="Input select"/>
    <tableColumn id="5" xr3:uid="{719E0D1E-E7A3-4744-BEE9-0CDED15EECF4}" name="Notes" dataDxfId="422"/>
    <tableColumn id="6" xr3:uid="{59BA769D-6DE0-45F8-9AE4-CE630F78ADD3}" name="Evidence files" dataDxfId="421"/>
    <tableColumn id="7" xr3:uid="{AAA07962-65D6-499A-961F-5DA90E26C83A}" name="Score" dataCellStyle="Input number general calculated">
      <calculatedColumnFormula>IFERROR(_xlfn.XLOOKUP(Table_Input_DataQuality_FertiliserApplications[[#This Row],[When was the data sourced?]],#REF!,#REF!)+_xlfn.XLOOKUP(Table_Input_DataQuality_FertiliserApplications[[#This Row],[Where is the data sourced from?]],#REF!,#REF!)+_xlfn.XLOOKUP(Table_Input_DataQuality_FertiliserApplications[[#This Row],[How much of the data was from direct samples?]],#REF!,#REF!), 0)</calculatedColumnFormula>
    </tableColumn>
  </tableColumns>
  <tableStyleInfo name="Editable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9A539BB-F05B-4456-BA41-5371F02C7A22}" name="Table_Input_DataQuality_FuelElectricity" displayName="Table_Input_DataQuality_FuelElectricity" ref="D65:J69" totalsRowShown="0" headerRowCellStyle="Input table column header">
  <autoFilter ref="D65:J69" xr:uid="{19A539BB-F05B-4456-BA41-5371F02C7A22}"/>
  <tableColumns count="7">
    <tableColumn id="1" xr3:uid="{6A7C792A-607C-4FD4-96D7-7504D4E4B802}" name="Data type" dataCellStyle="Content normal"/>
    <tableColumn id="2" xr3:uid="{52C64A20-79AA-4425-85FA-8095D6843A30}" name="When was the data sourced?" dataCellStyle="Input select"/>
    <tableColumn id="3" xr3:uid="{1CB192FD-80D3-400C-BB36-D4F7EF70D27C}" name="Where is the data sourced from?" dataCellStyle="Input select"/>
    <tableColumn id="4" xr3:uid="{3B9B8CC5-F3E8-4E1A-8F68-1416E7572F47}" name="How much of the data was from direct samples?" dataCellStyle="Input select"/>
    <tableColumn id="5" xr3:uid="{008AC1CB-FE9D-4303-9F4F-22C168CC47A0}" name="Notes" dataDxfId="420"/>
    <tableColumn id="6" xr3:uid="{5014AEED-6FC3-4D88-9D37-146835135CBE}" name="Evidence files" dataDxfId="419"/>
    <tableColumn id="7" xr3:uid="{1B5A6979-2182-4CA3-8C33-274D46A3229F}"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673E621-7DB1-4295-9961-C61CC800B135}" name="Table_Input_DataQuality_FarmInputsFreightWaste" displayName="Table_Input_DataQuality_FarmInputsFreightWaste" ref="D75:J80" totalsRowShown="0" headerRowCellStyle="Input table column header">
  <autoFilter ref="D75:J80" xr:uid="{B673E621-7DB1-4295-9961-C61CC800B135}"/>
  <tableColumns count="7">
    <tableColumn id="1" xr3:uid="{25477CEA-09D1-4F2E-858D-E5B2B52CA880}" name="Data type" dataCellStyle="Content normal"/>
    <tableColumn id="2" xr3:uid="{8C7E7881-1860-4180-B538-825A80D47FF5}" name="When was the data sourced?" dataCellStyle="Input select"/>
    <tableColumn id="3" xr3:uid="{27F48332-E1B6-4C4D-BBAA-CBFB23977161}" name="Where is the data sourced from?" dataCellStyle="Input select"/>
    <tableColumn id="4" xr3:uid="{BBFCE3B0-5D6C-410D-9626-0A3427B2279C}" name="How much of the data was from direct samples?" dataCellStyle="Input select"/>
    <tableColumn id="5" xr3:uid="{6F18E8CD-2E03-497F-AEA7-2F9200F34478}" name="Notes" dataDxfId="418"/>
    <tableColumn id="6" xr3:uid="{A8148FCB-F76E-4E6E-A140-C2F5CA96A211}" name="Evidence files" dataDxfId="417"/>
    <tableColumn id="7" xr3:uid="{80B2DAE6-FCD5-49CC-8620-FFFC3957CF38}"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F4876C3-913D-467A-831D-71DDEC55C395}" name="Table_SourceData_PastureBeef_CropProdSystems" displayName="Table_SourceData_PastureBeef_CropProdSystems" ref="D7:D9" totalsRowShown="0">
  <autoFilter ref="D7:D9" xr:uid="{B6F3FE3A-A0B5-47E7-85B2-8426FB75A7C8}">
    <filterColumn colId="0" hiddenButton="1"/>
  </autoFilter>
  <tableColumns count="1">
    <tableColumn id="1" xr3:uid="{1F4713DA-F37F-4B4F-AE1D-63B3E62DC174}" name="Production system">
      <calculatedColumnFormula>#REF!</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4878283-49AB-48E6-A417-0A4D31D6FD9A}"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6F992C46-EFEA-476F-9345-4A6795700401}" name="Irrigation method"/>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098C346-CC93-45A4-935F-9418B5ABE704}"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FC29678-2E73-4E76-A78B-ADAAC3C72BE2}" name="State">
      <calculatedColumnFormula array="1">Common_InputFunctions.Utility_DisplayArrayInTable(SourceData_PastureBeef.SourceData_PastureBeef_Liveweight_Data(), Table_SourceData_PastureBeef_Liveweight[[#Headers],[State]], 0)</calculatedColumnFormula>
    </tableColumn>
    <tableColumn id="2" xr3:uid="{30FD3DE6-F076-4C54-914D-4F72F16FE4CB}" name="Region" dataDxfId="416" dataCellStyle="Content normal">
      <calculatedColumnFormula array="1">Common_InputFunctions.Utility_DisplayArrayInTable(SourceData_PastureBeef.SourceData_PastureBeef_Liveweight_Data(), Table_SourceData_PastureBeef_Liveweight[[#Headers],[State]], 0)</calculatedColumnFormula>
    </tableColumn>
    <tableColumn id="3" xr3:uid="{C1A0DCCB-7402-43B1-96DD-261618CD05BA}" name="Season" dataDxfId="415" dataCellStyle="Content normal">
      <calculatedColumnFormula array="1">Common_InputFunctions.Utility_DisplayArrayInTable(SourceData_PastureBeef.SourceData_PastureBeef_Liveweight_Data(), Table_SourceData_PastureBeef_Liveweight[[#Headers],[State]], 0)</calculatedColumnFormula>
    </tableColumn>
    <tableColumn id="4" xr3:uid="{0200B2D7-6E4F-4CD5-A9A1-0E7E8A7EAC6F}" name="Bull &lt; 1" dataDxfId="414" dataCellStyle="Content normal">
      <calculatedColumnFormula array="1">Common_InputFunctions.Utility_DisplayArrayInTable(SourceData_PastureBeef.SourceData_PastureBeef_Liveweight_Data(), Table_SourceData_PastureBeef_Liveweight[[#Headers],[State]], 0)</calculatedColumnFormula>
    </tableColumn>
    <tableColumn id="5" xr3:uid="{2F72CDB4-3319-40EE-B7CD-466AA3E3630C}" name="Bull &gt; 1" dataDxfId="413" dataCellStyle="Content normal">
      <calculatedColumnFormula array="1">Common_InputFunctions.Utility_DisplayArrayInTable(SourceData_PastureBeef.SourceData_PastureBeef_Liveweight_Data(), Table_SourceData_PastureBeef_Liveweight[[#Headers],[State]], 0)</calculatedColumnFormula>
    </tableColumn>
    <tableColumn id="6" xr3:uid="{E1EAEDF8-F1A6-444B-959A-1A6A45BFAF19}" name="Cow &lt; 1" dataDxfId="412" dataCellStyle="Content normal">
      <calculatedColumnFormula array="1">Common_InputFunctions.Utility_DisplayArrayInTable(SourceData_PastureBeef.SourceData_PastureBeef_Liveweight_Data(), Table_SourceData_PastureBeef_Liveweight[[#Headers],[State]], 0)</calculatedColumnFormula>
    </tableColumn>
    <tableColumn id="7" xr3:uid="{D6E69564-E3D9-4579-9EA4-D5B553AAAF4E}" name="Cow 1-2" dataDxfId="411" dataCellStyle="Content normal">
      <calculatedColumnFormula array="1">Common_InputFunctions.Utility_DisplayArrayInTable(SourceData_PastureBeef.SourceData_PastureBeef_Liveweight_Data(), Table_SourceData_PastureBeef_Liveweight[[#Headers],[State]], 0)</calculatedColumnFormula>
    </tableColumn>
    <tableColumn id="8" xr3:uid="{4829091F-B31A-4381-8BEA-40DC369C5E31}" name="Cow &gt; 2" dataDxfId="410" dataCellStyle="Content normal">
      <calculatedColumnFormula array="1">Common_InputFunctions.Utility_DisplayArrayInTable(SourceData_PastureBeef.SourceData_PastureBeef_Liveweight_Data(), Table_SourceData_PastureBeef_Liveweight[[#Headers],[State]], 0)</calculatedColumnFormula>
    </tableColumn>
    <tableColumn id="9" xr3:uid="{5BB9AD32-63AE-445F-B775-AA699131605B}" name="Steer &lt; 1" dataDxfId="409"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2A28F4D0-238E-4B9D-8E80-BFB0F855572E}" name="Steer &gt; 1" dataDxfId="408"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D73E497-8708-41A1-84E5-8D35DB576EB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54FE5FD6-06A9-4753-ADA8-159E3BB71757}" name="State">
      <calculatedColumnFormula array="1">Common_InputFunctions.Utility_DisplayArrayInTable(SourceData_PastureBeef.SourceData_PastureBeef_LiveweightNTQLD_Data(),Table_SourceData_PastureBeef_LiveweightNTQD[[#Headers],[State]], 0)</calculatedColumnFormula>
    </tableColumn>
    <tableColumn id="2" xr3:uid="{5FF86CF3-33CB-4233-B412-F49A9E57E89A}" name="Region" dataDxfId="40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C27D37E8-DAE8-4B74-B69E-EEAE0A8FD6D8}" name="Season" dataDxfId="40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DDD43EA4-D661-47A6-A611-F18F93F5D619}" name="Bull &lt;1" dataDxfId="40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00510168-6B2A-4F7F-8FE0-CD57DC65F163}" name="Bull &gt;1" dataDxfId="40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2C17FE2-E477-4A4A-9B61-0F5830291277}" name="Cows &lt;1" dataDxfId="40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EF394ABD-DA71-499E-B039-D4381294F569}" name="Cows 1-2" dataDxfId="40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D5FE89A9-80C6-41E9-873B-8E01263137CE}" name="Cows 2-3" dataDxfId="40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489ED9FA-B69E-4598-A2F4-CBE731760B31}" name="Cows &gt;3" dataDxfId="40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AD0498-B62C-4A2E-9957-3CB43B5DA75D}" name="Steer &lt;1" dataDxfId="39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D78AF8DB-27BF-4CC0-932A-B6257CC06E8A}" name="Steer 1-2" dataDxfId="39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420B32C2-72E1-4DCA-B9DC-E3C095C1D356}" name="Steer 2-3" dataDxfId="39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05520F84-D7AC-43CF-AB4E-02D405949B04}" name="Steer &gt;3" dataDxfId="396"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4A955EB-43CB-4F9E-9B0E-063622D718B0}" name="Table_SourceData_PastureBeef_LiveweightAllStates" displayName="Table_SourceData_PastureBeef_LiveweightAllStates" ref="D85:P153" totalsRowShown="0">
  <autoFilter ref="D85:P153"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340D28EA-A431-4154-973E-8BDD051C0C1E}" name="State"/>
    <tableColumn id="2" xr3:uid="{64B2A4BD-3C6E-414E-887D-4EB8BF316B91}" name="Region">
      <calculatedColumnFormula>E22</calculatedColumnFormula>
    </tableColumn>
    <tableColumn id="3" xr3:uid="{FAE9ECB5-D40B-4807-84BE-445D303A2D8A}" name="Season">
      <calculatedColumnFormula>F22</calculatedColumnFormula>
    </tableColumn>
    <tableColumn id="4" xr3:uid="{20E50BA1-33A4-42F7-B929-C254B63471DF}" name="Bulls &lt; 1 year">
      <calculatedColumnFormula>G22</calculatedColumnFormula>
    </tableColumn>
    <tableColumn id="5" xr3:uid="{E159C417-0FC9-493E-A17B-FC1C2E9ABE13}" name="Bulls &gt; 1 year">
      <calculatedColumnFormula>H22</calculatedColumnFormula>
    </tableColumn>
    <tableColumn id="6" xr3:uid="{DE887E66-3907-44CC-AC4C-84FC79B6F494}" name="Cows &lt; 1 year">
      <calculatedColumnFormula>I22</calculatedColumnFormula>
    </tableColumn>
    <tableColumn id="7" xr3:uid="{DF7EE89C-67C2-4252-BEE8-E85FD7FC01F4}" name="Cows 1-2 years">
      <calculatedColumnFormula>J22</calculatedColumnFormula>
    </tableColumn>
    <tableColumn id="8" xr3:uid="{488528AA-3543-47FA-8907-AD353D438256}" name="Cows 2-3 years">
      <calculatedColumnFormula>K22</calculatedColumnFormula>
    </tableColumn>
    <tableColumn id="9" xr3:uid="{B01304EB-7A16-41AB-8744-2C45736BBADC}" name="Cows &gt; 3 years">
      <calculatedColumnFormula>L22</calculatedColumnFormula>
    </tableColumn>
    <tableColumn id="10" xr3:uid="{A56B777E-6B9B-45B9-8685-DA44D792452B}" name="Steers &lt; 1 year">
      <calculatedColumnFormula>M22</calculatedColumnFormula>
    </tableColumn>
    <tableColumn id="11" xr3:uid="{23D43A78-BF3A-45DF-830A-7352798CD00D}" name="Steers 1-2 years">
      <calculatedColumnFormula>N22</calculatedColumnFormula>
    </tableColumn>
    <tableColumn id="12" xr3:uid="{657A43E1-03BF-4BB5-A340-0D840E391418}" name="Steers 2-3 years">
      <calculatedColumnFormula>#REF!</calculatedColumnFormula>
    </tableColumn>
    <tableColumn id="13" xr3:uid="{5DE7944D-8E73-4CDA-81F8-7B03D818D793}" name="Steers &gt;3 years">
      <calculatedColumnFormula>P22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D0EF6E3-09EA-4434-ADC2-B4510F3AC566}"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48EB987-590A-4644-8128-76F27DC24E35}" name="Regio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EA755FC-BB83-415A-BFD1-02CEFD14AAA1}"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2122BA5D-E879-4485-800E-9991BCA9789B}" name="Regio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004DD37-0362-49B4-9FAB-0E5CCBB86499}"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B14D5F50-9996-4DA0-ABE5-256F61015839}" name="Regio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D6ED599-3A6D-4639-8B2C-EA6484F9ADEC}" name="Table_SourceData_PastureBeef_Region_Victoria" displayName="Table_SourceData_PastureBeef_Region_Victoria" ref="S7:S8" totalsRowShown="0">
  <autoFilter ref="S7:S8" xr:uid="{7D474D93-C1E0-4898-A434-69585070D0B9}">
    <filterColumn colId="0" hiddenButton="1"/>
  </autoFilter>
  <tableColumns count="1">
    <tableColumn id="1" xr3:uid="{A753CFB0-3FEE-452D-88DF-DB6493BDB95C}" name="Regio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FBD919E-963D-484E-939A-961D2AB63C60}"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7F3CF8ED-217C-49E2-B939-12EBCA3C0CC3}" name="Regio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4B604E3C-E52C-4C59-9A10-04328AC8BE18}"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F9908355-D2BE-4772-B466-D11BEDEAE871}" name="Regio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775AF4C-3668-437D-B08D-4F3E73BB1500}" name="Table_SourceData_PastureBeef_Region_Tasmania" displayName="Table_SourceData_PastureBeef_Region_Tasmania" ref="S22:S23" totalsRowShown="0">
  <autoFilter ref="S22:S23" xr:uid="{4E5A7E40-F6AE-4323-873A-9AB20571A18A}">
    <filterColumn colId="0" hiddenButton="1"/>
  </autoFilter>
  <tableColumns count="1">
    <tableColumn id="1" xr3:uid="{6C1A590C-0B8A-4203-BEF0-C7717769DAED}" name="Regio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CCCD57-7E6B-4BEE-984C-694093B64B1B}" name="Table_SourceData_PastureBeef_Region_ACT" displayName="Table_SourceData_PastureBeef_Region_ACT" ref="S27:S28" totalsRowShown="0">
  <autoFilter ref="S27:S28" xr:uid="{3655B7FD-A2CC-4B05-9668-16F7A54ED6C1}">
    <filterColumn colId="0" hiddenButton="1"/>
  </autoFilter>
  <tableColumns count="1">
    <tableColumn id="1" xr3:uid="{4E742F6C-8718-4114-91D1-4A1738C43AA6}" name="Regio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510F5D3-6E43-460E-A7BF-F87107D72175}"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BF6F418-B630-44D1-86B9-0D76CEE485EC}" name="State">
      <calculatedColumnFormula array="1">Common_InputFunctions.Utility_DisplayArrayInTable(SourceData_PastureBeef.SourceData_PastureBeef_LiveweightGain_Data(), Table_SourceData_PastureBeef_LiveweightGain[[#Headers],[State]],0)</calculatedColumnFormula>
    </tableColumn>
    <tableColumn id="2" xr3:uid="{A401C5AE-B20E-47F0-AF65-B8AC5264F5C4}" name="Region" dataDxfId="395"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CEA5C9B3-30A1-4FB4-905A-82F6F84F403E}" name="Season" dataDxfId="394"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1F7F96E4-871D-42F7-B69E-57766C36A3AE}" name="Bull &lt;1" dataDxfId="393"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3166E7E9-E691-4D9B-8418-4AC358CC994C}" name="Bull &gt;1" dataDxfId="392"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FC225637-0681-4F2D-8F4F-CFCE8E41E87E}" name="Cow &lt;1" dataDxfId="391"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5619AA91-3B8B-4FE8-A613-B5B92C06AD8A}" name="Cow 1-2" dataDxfId="390"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4BF45C88-459C-4EC6-82C1-70C799524EBF}" name="Cow &gt;2" dataDxfId="389"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207551A7-3146-40BD-AB5A-DB6CE3826219}" name="Steer &lt;1" dataDxfId="388"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35C98AEF-B4D1-4B70-B313-57CBB54A09AD}" name="Steer &gt;1" dataDxfId="387"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AC92B6E-93CA-4B37-935D-77E540DC4B01}"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B800B0F0-4185-49A8-B62D-931E59F0D606}" name="State">
      <calculatedColumnFormula array="1">Common_InputFunctions.Utility_DisplayArrayInTable(SourceData_PastureBeef.SourceData_PastureBeef_LiveweightGainNTQLD_Data(),Table_SourceData_PastureBeef_LiveweightGainNTQLD[[#Headers],[State]],0)</calculatedColumnFormula>
    </tableColumn>
    <tableColumn id="2" xr3:uid="{71554789-7EB2-4474-9BD9-59FDDD7898A9}" name="Region" dataDxfId="38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E3445539-6788-4882-B671-5B1352081D0E}" name="Season" dataDxfId="38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35608E71-3E67-4C47-B663-F8739DAD6D4F}" name="Bull &lt;1" dataDxfId="38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AF382FA1-A28F-4CC4-818B-C09C5554CCAE}" name="Bull &gt;1" dataDxfId="38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799C6C6F-4AAA-4409-B6BD-D71CCCB11304}" name="Cow &lt;1" dataDxfId="38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2DD5F71D-6354-4827-A9F6-15679950847F}" name="Cow 1-2" dataDxfId="38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A91E9C3E-25C4-488F-901C-8BF7DE233E37}" name="Cow 2-3" dataDxfId="38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45DEAE2D-94B0-49EC-99C6-9309D7DB750A}" name="Cow &gt;3" dataDxfId="37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386F8037-7F3C-478D-B731-583ED2DBD9BE}" name="Steer &lt;1" dataDxfId="37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C2113C31-CD30-4C8A-B9A4-4B3EE790C539}" name="Steer 1-2" dataDxfId="37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AC358121-4667-4DFB-B2B6-766E4DA5BB9C}" name="Steer 2-3" dataDxfId="37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FAB44C18-B7ED-4DFC-8F84-11B45F3A27B8}" name="Steer &gt;3" dataDxfId="37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40FE5BC-0661-4FD1-AB77-10A115A8C3C2}"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97D4B561-4283-4F92-80C8-FF3F3A341F0C}" name="State"/>
    <tableColumn id="2" xr3:uid="{23E3F0A0-9C19-4E99-90C1-4CB0D50815DB}" name="Region">
      <calculatedColumnFormula>E159</calculatedColumnFormula>
    </tableColumn>
    <tableColumn id="3" xr3:uid="{BCAF16BE-0F0A-4D96-933A-850F6895FC66}" name="Season">
      <calculatedColumnFormula>F159</calculatedColumnFormula>
    </tableColumn>
    <tableColumn id="4" xr3:uid="{F63CDC6D-10F9-4F05-8B43-43B7F7D4074E}" name="Bulls &lt; 1 year">
      <calculatedColumnFormula>G159</calculatedColumnFormula>
    </tableColumn>
    <tableColumn id="5" xr3:uid="{8E29D582-DBA1-47EE-80BB-F04992EB15BF}" name="Bulls &gt; 1 year">
      <calculatedColumnFormula>H159</calculatedColumnFormula>
    </tableColumn>
    <tableColumn id="6" xr3:uid="{B87761E8-8D18-421E-9BC6-A57D0C578267}" name="Cows &lt; 1 year">
      <calculatedColumnFormula>I159</calculatedColumnFormula>
    </tableColumn>
    <tableColumn id="7" xr3:uid="{91A9723B-84A7-4910-81C1-550BE954919C}" name="Cows 1-2 years">
      <calculatedColumnFormula>J159</calculatedColumnFormula>
    </tableColumn>
    <tableColumn id="8" xr3:uid="{495F43E2-B2B8-4717-8E98-000A2139AB4C}" name="Cows 2-3 years">
      <calculatedColumnFormula>K159</calculatedColumnFormula>
    </tableColumn>
    <tableColumn id="9" xr3:uid="{CDEA9B45-A1D9-49E9-A4AE-C433FCD0EBCA}" name="Cows &gt; 3 years">
      <calculatedColumnFormula>L159</calculatedColumnFormula>
    </tableColumn>
    <tableColumn id="10" xr3:uid="{D42E900D-978C-48FF-8DE2-F3DDBF862406}" name="Steers &lt; 1 year">
      <calculatedColumnFormula>M159</calculatedColumnFormula>
    </tableColumn>
    <tableColumn id="11" xr3:uid="{E63DCCE9-494D-4DF9-8A9F-D29C3A13CEB5}" name="Steers 1-2 years">
      <calculatedColumnFormula>N159</calculatedColumnFormula>
    </tableColumn>
    <tableColumn id="12" xr3:uid="{FB9E8B35-A251-442C-950E-7F833ACECF65}" name="Steers 2-3 years">
      <calculatedColumnFormula>O159</calculatedColumnFormula>
    </tableColumn>
    <tableColumn id="13" xr3:uid="{C3423384-360E-4E79-847F-19249575109A}" name="Steers &gt;3 years">
      <calculatedColumnFormula>P159</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0CFAD36-45D5-48D5-ABCD-206EC0EA069A}"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3D7B9CCA-B339-4686-A9C8-C0C005B9C1BD}"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18AB5981-5879-4AE8-A573-AA95D30953A3}" name="Region" dataDxfId="374"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7E2C4EF-0CCB-4301-B514-20B30F25DCC2}" name="Spring" dataDxfId="37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C9045D28-78CE-4315-B5C8-EF3F5B9D167A}" name="Summer" dataDxfId="37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DEF84E42-C0F7-49E6-8749-3D10DBB48F1E}" name="Autumn" dataDxfId="37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51AF1E8-98AD-4B23-9677-48B4650ACD5E}" name="Winter" dataDxfId="37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B4EC827-8F90-4204-97E8-6395F72E660E}" name="Table_SourceData_PastureBeef_CrudeProtein" displayName="Table_SourceData_PastureBeef_CrudeProtein" ref="D313:I328" totalsRowShown="0" dataDxfId="369"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26E86444-7042-4259-8B1D-41907C9E95DB}" name="State" dataDxfId="368"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E46D54D2-701F-40A2-A91F-4508B317C0A7}" name="Region" dataDxfId="36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64F35FFE-869B-4F05-9804-FC5640C34E5C}" name="Spring" dataDxfId="36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F090A113-626F-4F6D-9F97-363346A6329F}" name="Summer" dataDxfId="36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C6749C3B-B589-43EA-8E6A-5F3A0CDF55A4}" name="Autumn" dataDxfId="36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B77AE171-36D4-4ED9-95CF-3AB53007E9D4}" name="Winter" dataDxfId="36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BA15F796-65A4-4252-8984-D107F1D87C98}"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5D64D2D4-73EB-424B-97A6-0FD1DB3B0175}"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D857279E-C523-4F50-B4F2-BE5523FDE8A7}" name="Season" dataDxfId="362"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0B7F0F37-72DC-4A1F-96E2-BB5CC174DBA4}" name="Feed adjustment" dataDxfId="36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BB69DE77-3855-466B-8245-94773D071224}" name="Milk intake/production" dataDxfId="36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7F8198C4-BE05-4718-81CC-3E3735CECC3F}"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D76CBAEE-262F-4BC6-9458-C757DD260D39}"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9DC60E75-110A-409C-9617-372B72A6EBBF}" name="Bulls &lt;1" dataDxfId="359"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ED9764F2-7B0C-451D-9307-8182C5472C25}" name="Bulls &gt;1" dataDxfId="35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B38C9D8D-A1CD-4A3E-B7E2-D30D9B987FDE}" name="Cows &lt;1" dataDxfId="35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97AEE7B9-D004-4DF5-9EED-5A859B724B33}" name="Cows 1-2" dataDxfId="35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EE1BBDF2-996B-4980-926F-D4F5E1E862FD}" name="Cows &gt;2" dataDxfId="35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3381E158-7AD3-4509-9695-7C4C85E06D2D}" name="Steer &lt;1" dataDxfId="35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26C28270-5C82-4653-B6D7-B71319110262}" name="Steer &gt;1" dataDxfId="35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5B53720E-6876-4398-9150-6FD33ED5E64C}" name="State abbreviation" dataDxfId="35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FB47659E-58D2-497A-A090-00DA057DF082}"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F51F5BA6-FAF6-4A1D-B3C4-0E34A29BACF6}" name="State" dataDxfId="351" dataCellStyle="Content normal">
      <calculatedColumnFormula>D351</calculatedColumnFormula>
    </tableColumn>
    <tableColumn id="2" xr3:uid="{7054F722-2E21-449C-B572-D3AB0BF3C778}" name="Bulls &lt; 1 year" dataDxfId="350" dataCellStyle="Content normal">
      <calculatedColumnFormula>E351</calculatedColumnFormula>
    </tableColumn>
    <tableColumn id="3" xr3:uid="{385F2B9C-CF50-469D-9FDA-8A9CA4541C7F}" name="Bulls &gt; 1 year" dataDxfId="349" dataCellStyle="Content normal">
      <calculatedColumnFormula>F351</calculatedColumnFormula>
    </tableColumn>
    <tableColumn id="4" xr3:uid="{1868BA7E-9DD9-4819-B746-A26A10166122}" name="Cows &lt; 1 year" dataDxfId="348" dataCellStyle="Content normal">
      <calculatedColumnFormula>G351</calculatedColumnFormula>
    </tableColumn>
    <tableColumn id="5" xr3:uid="{5E26D571-3A95-495A-A27B-4D57D96F3A96}" name="Cows 1-2 years" dataDxfId="347" dataCellStyle="Content normal">
      <calculatedColumnFormula>H351</calculatedColumnFormula>
    </tableColumn>
    <tableColumn id="6" xr3:uid="{07A6E515-D6C9-4E0E-886B-628FB9951E09}" name="Cows 2-3 years" dataDxfId="346" dataCellStyle="Content normal">
      <calculatedColumnFormula>I351</calculatedColumnFormula>
    </tableColumn>
    <tableColumn id="7" xr3:uid="{AE7C4246-0177-496A-9C4C-EE964BA0BA61}" name="Cows &gt; 3 years" dataDxfId="345" dataCellStyle="Content normal">
      <calculatedColumnFormula>I351</calculatedColumnFormula>
    </tableColumn>
    <tableColumn id="8" xr3:uid="{18DD9397-4973-4ACE-B3A5-77871B227BEF}" name="Steers &lt; 1 year" dataDxfId="344" dataCellStyle="Content normal">
      <calculatedColumnFormula>J351</calculatedColumnFormula>
    </tableColumn>
    <tableColumn id="9" xr3:uid="{26923898-4CC2-4EAE-BEFF-6541E772A3CF}" name="Steers 1-2 years" dataDxfId="343" dataCellStyle="Content normal">
      <calculatedColumnFormula>K351</calculatedColumnFormula>
    </tableColumn>
    <tableColumn id="10" xr3:uid="{BE253544-1B89-40AD-989C-8BE2C7DEB212}" name="Steers 2-3 years" dataDxfId="342" dataCellStyle="Content normal">
      <calculatedColumnFormula>K351</calculatedColumnFormula>
    </tableColumn>
    <tableColumn id="11" xr3:uid="{CA24C7BE-5DE5-4766-B8ED-E21E05FEB522}" name="Steers &gt;3 years" dataDxfId="341" dataCellStyle="Content normal">
      <calculatedColumnFormula>K351</calculatedColumnFormula>
    </tableColumn>
    <tableColumn id="12" xr3:uid="{3B10FC58-8471-4BE2-9FDA-2E1E04AE780A}" name="State abbreviation" dataDxfId="340" dataCellStyle="Content normal">
      <calculatedColumnFormula>L351</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D505B3DF-4A1B-4587-8CC3-94AF051DB7D5}"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A25A978E-6D3C-436F-A68F-AFCA77F8F5F7}"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5E51B7C5-F95B-47BA-839E-5782E1C64EF5}" name="Region" dataDxfId="339"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B98DCE96-83E2-4C76-8703-7D3156BB87EF}" name="Pasture range and paddock" dataDxfId="33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AF5B8F37-7B8B-4BF2-B181-0A8AC8734D5A}" name="Uncovered Anaerobic lagoon" dataDxfId="33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81AFE795-DADF-4EE9-9746-5FA29A24AD58}" name="Table_SourceData_PastureBeef_MethaneConversionFactor" displayName="Table_SourceData_PastureBeef_MethaneConversionFactor" ref="D400:G415" totalsRowShown="0" dataDxfId="336"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2497898-5C47-44E2-86FC-3CF011CB7753}" name="State" dataDxfId="335"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7922F7D9-6762-470D-B0BF-2C1D92959056}" name="Region" dataDxfId="33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A3E21C0A-CAE8-4CCA-8A3C-531123F54FFB}" name="Pasture range and paddock" dataDxfId="33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2701081A-5920-4CCD-9667-7E8F732AE364}" name="Uncovered Anaerobic lagoon" dataDxfId="33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4CA56B1F-2CAE-405F-ADC8-BA5A0AA0A591}"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8EB5D1AB-4009-485B-93A2-BF6CFB9758F3}"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6235A954-7EB7-44BB-A805-E08B67B7444E}" name="Season" dataDxfId="331"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B51688B2-3369-4909-B2D8-83B51C7F20B0}" name="Feed adjustment" dataDxfId="33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F66B823-B1FD-43A7-B7E1-16E908E7FF5B}" name="Milk intake/production" dataDxfId="32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692001D9-7BD9-4D99-A44C-66A44FAF7091}" name="Table_LivestockClasses_Beefcattle" displayName="Table_LivestockClasses_Beefcattle" ref="O18:O28" totalsRowShown="0">
  <autoFilter ref="O18:O28" xr:uid="{13BB371D-1A6A-420B-8F76-A006E7FBF483}">
    <filterColumn colId="0" hiddenButton="1"/>
  </autoFilter>
  <tableColumns count="1">
    <tableColumn id="1" xr3:uid="{D319788D-9EF2-47DE-ACD9-6E93CDD9163D}" name="Livestock class"/>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9D216ED8-C763-4B2C-AC68-A6C730351B8A}" name="Table_ProductRegions_Beefcattle" displayName="Table_ProductRegions_Beefcattle" ref="O32:P48" totalsRowShown="0">
  <autoFilter ref="O32:P48" xr:uid="{7E277F33-A0AF-471E-A609-92C95103FA9F}">
    <filterColumn colId="0" hiddenButton="1"/>
    <filterColumn colId="1" hiddenButton="1"/>
  </autoFilter>
  <tableColumns count="2">
    <tableColumn id="1" xr3:uid="{C7CC0C30-6197-4D15-B459-0C7CB6C21D08}" name="Region"/>
    <tableColumn id="2" xr3:uid="{E3C7566B-EE22-4009-8B2F-4EC8A0661FBB}" name="Scope3 region"/>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21CC02D6-22B6-4C4C-BB87-5B2C87BFA8DC}" name="Table_SourceData_Scope3_Animals" displayName="Table_SourceData_Scope3_Animals"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A32CD839-9E92-44CC-AD29-D1D69D1475D1}" name="Category" dataDxfId="328" dataCellStyle="Content normal">
      <calculatedColumnFormula array="1">Common_InputFunctions.Utility_DisplayArrayInTable(Scope3_SourceData.Scope3_Livestock_Data(), Table_SourceData_Scope3_Animals[[#Headers],[Category]], 0, 2)</calculatedColumnFormula>
    </tableColumn>
    <tableColumn id="2" xr3:uid="{003A2F1C-706D-49ED-AE26-EECC63C2C91C}" name="Product" dataDxfId="327" dataCellStyle="Content normal">
      <calculatedColumnFormula array="1">Common_InputFunctions.Utility_DisplayArrayInTable(Scope3_SourceData.Scope3_Livestock_Data(), Table_SourceData_Scope3_Animals[[#Headers],[Category]], 0, 2)</calculatedColumnFormula>
    </tableColumn>
    <tableColumn id="3" xr3:uid="{91D7C475-244E-4873-85DC-98D657BD3459}" name="Region of origin" dataDxfId="326" dataCellStyle="Content normal">
      <calculatedColumnFormula array="1">Common_InputFunctions.Utility_DisplayArrayInTable(Scope3_SourceData.Scope3_Livestock_Data(), Table_SourceData_Scope3_Animals[[#Headers],[Category]], 0, 2)</calculatedColumnFormula>
    </tableColumn>
    <tableColumn id="8" xr3:uid="{8B020FE6-B1F4-4E34-8FFB-CE9BD8D9A2DF}" name="Quantity Unit" dataDxfId="325" dataCellStyle="Content normal">
      <calculatedColumnFormula array="1">Common_InputFunctions.Utility_DisplayArrayInTable(Scope3_SourceData.Scope3_Livestock_Data(), Table_SourceData_Scope3_Animals[[#Headers],[Category]], 0, 2)</calculatedColumnFormula>
    </tableColumn>
    <tableColumn id="9" xr3:uid="{349C4324-B0BE-4A70-868F-BD50D81A64E8}" name="AusLCI Emissions intensity" dataDxfId="324" dataCellStyle="Content normal">
      <calculatedColumnFormula array="1">Common_InputFunctions.Utility_DisplayArrayInTable(Scope3_SourceData.Scope3_Livestock_Data(), Table_SourceData_Scope3_Animals[[#Headers],[Category]], 0, 2)</calculatedColumnFormula>
    </tableColumn>
    <tableColumn id="10" xr3:uid="{62561AEA-53ED-4764-BDC0-7950349EEA41}" name="System boundary" dataDxfId="323"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EE5BE218-985B-4A1A-B19D-B07938C28FBD}"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3AF262B-ECE5-4B7E-9C7C-B9AE54D37FF2}" name="Crop type">
      <calculatedColumnFormula array="1">Common_InputFunctions.Utility_DisplayArrayInTable(Agresidue_SourceData.CropAttributes_Data(),Table_SourceData_CropAttributes[[#Headers],[Crop type]], -1)</calculatedColumnFormula>
    </tableColumn>
    <tableColumn id="2" xr3:uid="{4C1A0A64-1F13-420C-BF61-56CE134912EC}" name="Residue: Crop ratio">
      <calculatedColumnFormula array="1">Common_InputFunctions.Utility_DisplayArrayInTable(Agresidue_SourceData.CropAttributes_Data(),Table_SourceData_CropAttributes[[#Headers],[Crop type]], -1)</calculatedColumnFormula>
    </tableColumn>
    <tableColumn id="3" xr3:uid="{E0758490-DBC3-4A12-9A86-57B1B1780CE3}" name="Below-ground: above-ground residue ratio">
      <calculatedColumnFormula array="1">Common_InputFunctions.Utility_DisplayArrayInTable(Agresidue_SourceData.CropAttributes_Data(),Table_SourceData_CropAttributes[[#Headers],[Crop type]], -1)</calculatedColumnFormula>
    </tableColumn>
    <tableColumn id="4" xr3:uid="{A988BEDE-4CB6-4A20-B7F5-A30341D6E2FD}" name="Dry matter content">
      <calculatedColumnFormula array="1">Common_InputFunctions.Utility_DisplayArrayInTable(Agresidue_SourceData.CropAttributes_Data(),Table_SourceData_CropAttributes[[#Headers],[Crop type]], -1)</calculatedColumnFormula>
    </tableColumn>
    <tableColumn id="5" xr3:uid="{5090873C-0016-403F-A886-298C5200F6B1}" name="Carbon fraction in dry matter">
      <calculatedColumnFormula array="1">Common_InputFunctions.Utility_DisplayArrayInTable(Agresidue_SourceData.CropAttributes_Data(),Table_SourceData_CropAttributes[[#Headers],[Crop type]], -1)</calculatedColumnFormula>
    </tableColumn>
    <tableColumn id="6" xr3:uid="{B67B9E13-A32F-45C5-A280-675810D71A82}" name="N content above-ground">
      <calculatedColumnFormula array="1">Common_InputFunctions.Utility_DisplayArrayInTable(Agresidue_SourceData.CropAttributes_Data(),Table_SourceData_CropAttributes[[#Headers],[Crop type]], -1)</calculatedColumnFormula>
    </tableColumn>
    <tableColumn id="7" xr3:uid="{6B254F19-9290-452F-9C7A-140838CAB7CB}" name="N content below-ground">
      <calculatedColumnFormula array="1">Common_InputFunctions.Utility_DisplayArrayInTable(Agresidue_SourceData.CropAttributes_Data(),Table_SourceData_CropAttributes[[#Headers],[Crop type]], -1)</calculatedColumnFormula>
    </tableColumn>
    <tableColumn id="8" xr3:uid="{13F05853-192C-4F4D-A6EF-58A0E9257F01}"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2D2A0D31-F7EF-47A5-A53A-3905D52F88AB}"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194D082F-9E16-4AEA-8AAD-7963D9190747}" name="Table76" displayName="Table76" ref="D73:F89" totalsRowShown="0">
  <autoFilter ref="D73:F89" xr:uid="{7CD0B032-9881-4EF1-81E3-483C7C16D9D0}">
    <filterColumn colId="0" hiddenButton="1"/>
    <filterColumn colId="1" hiddenButton="1"/>
    <filterColumn colId="2" hiddenButton="1"/>
  </autoFilter>
  <tableColumns count="3">
    <tableColumn id="1" xr3:uid="{D959AAE8-53DD-48DB-9F65-18CDE9B83632}" name="Crop type c">
      <calculatedColumnFormula array="1">Common_InputFunctions.Utility_DisplayArrayInTable(Agresidue_SourceData.CropFractionRemoved_Data(), Table76[[#Headers],[Crop type c]], 0)</calculatedColumnFormula>
    </tableColumn>
    <tableColumn id="2" xr3:uid="{1D8007DD-0E3D-4804-8532-31088D851E82}" name="State" dataDxfId="322">
      <calculatedColumnFormula array="1">Common_InputFunctions.Utility_DisplayArrayInTable(Agresidue_SourceData.CropFractionRemoved_Data(), Table76[[#Headers],[Crop type c]], 0)</calculatedColumnFormula>
    </tableColumn>
    <tableColumn id="3" xr3:uid="{622194A0-766B-405D-A276-A713BF3F65C1}" name="Fraction removed" dataDxfId="321">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47E58-2AB2-4DF5-A038-1C7109325F91}" name="Table77" displayName="Table77" ref="D92:F235" totalsRowShown="0">
  <autoFilter ref="D92:F235" xr:uid="{1FA7CC86-1C1E-41FA-9AA1-AAD48AA2EEF0}">
    <filterColumn colId="0" hiddenButton="1"/>
    <filterColumn colId="1" hiddenButton="1"/>
    <filterColumn colId="2" hiddenButton="1"/>
  </autoFilter>
  <tableColumns count="3">
    <tableColumn id="1" xr3:uid="{A3F89B23-DFBD-4151-AC20-2AE626FC308D}" name="Crop type c">
      <calculatedColumnFormula array="1">Common_InputFunctions.Utility_DisplayArrayInTable(Agresidue_SourceData.CropFractionRemoved_CustomisedData(), Table77[[#Headers],[Crop type c]], 0)</calculatedColumnFormula>
    </tableColumn>
    <tableColumn id="2" xr3:uid="{DEA55FF9-746B-462E-82BB-3CB6E0D16A2C}" name="State" dataDxfId="320">
      <calculatedColumnFormula array="1">Common_InputFunctions.Utility_DisplayArrayInTable(Agresidue_SourceData.CropFractionRemoved_CustomisedData(), Table77[[#Headers],[Crop type c]], 0)</calculatedColumnFormula>
    </tableColumn>
    <tableColumn id="3" xr3:uid="{FD42C211-0A1E-46C9-BC16-F0EE2A51D9DF}" name="Fraction removed" dataDxfId="319">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808EE313-0418-4023-9182-C48121083250}" name="Table_SourceData_N2OEFOrganicFert" displayName="Table_SourceData_N2OEFOrganicFert" ref="D43:E45" totalsRowShown="0" dataDxfId="318" dataCellStyle="Content bold">
  <autoFilter ref="D43:E45" xr:uid="{2270AB6D-D03A-4D71-95C0-00BA6BB02732}">
    <filterColumn colId="0" hiddenButton="1"/>
    <filterColumn colId="1" hiddenButton="1"/>
  </autoFilter>
  <tableColumns count="2">
    <tableColumn id="1" xr3:uid="{CC5BD7ED-E255-4AD9-AD5D-81CFE6704002}" name="Climate zone type i" dataDxfId="317" dataCellStyle="Content bold">
      <calculatedColumnFormula array="1">Common_InputFunctions.Utility_DisplayArrayInTable(Agresidue_SourceData.N2OEFOrganicFertiliser_Data(), Table_SourceData_N2OEFOrganicFert[[#Headers],[Climate zone type i]], 0)</calculatedColumnFormula>
    </tableColumn>
    <tableColumn id="2" xr3:uid="{DBB466DE-9CCA-4CF6-A36D-DC5480478395}" name="EF i N2O" dataDxfId="316"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94A84ABD-3378-46D4-9C82-5C26F7E11113}" name="Table_SourceData_PastureAttributes" displayName="Table_SourceData_PastureAttributes" ref="D51:I56" totalsRowShown="0" dataDxfId="315"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C9B4B561-8548-4D12-88EB-7FA29077F6F5}" name="Pasture type" dataDxfId="314" dataCellStyle="Content normal">
      <calculatedColumnFormula array="1">Common_InputFunctions.Utility_DisplayArrayInTable(Agresidue_SourceData.PastureAttributes_Data(), Table_SourceData_PastureAttributes[[#Headers],[Pasture type]], 0)</calculatedColumnFormula>
    </tableColumn>
    <tableColumn id="2" xr3:uid="{60829A8E-1D2C-43B1-A7D9-2E55DE4B4521}" name="Average Yield (t DM ha) Yp" dataDxfId="313" dataCellStyle="Content normal">
      <calculatedColumnFormula array="1">Common_InputFunctions.Utility_DisplayArrayInTable(Agresidue_SourceData.PastureAttributes_Data(), Table_SourceData_PastureAttributes[[#Headers],[Pasture type]], 0)</calculatedColumnFormula>
    </tableColumn>
    <tableColumn id="3" xr3:uid="{10E90311-DC7C-4779-B6D8-6C2091766790}" name="Below-ground: above-ground residue ratio RBGp" dataDxfId="312" dataCellStyle="Content normal">
      <calculatedColumnFormula array="1">Common_InputFunctions.Utility_DisplayArrayInTable(Agresidue_SourceData.PastureAttributes_Data(), Table_SourceData_PastureAttributes[[#Headers],[Pasture type]], 0)</calculatedColumnFormula>
    </tableColumn>
    <tableColumn id="4" xr3:uid="{06B65251-E489-4F0F-B34C-24CD6335DCD8}" name="N content Above-ground NCAGp" dataDxfId="311" dataCellStyle="Content normal">
      <calculatedColumnFormula array="1">Common_InputFunctions.Utility_DisplayArrayInTable(Agresidue_SourceData.PastureAttributes_Data(), Table_SourceData_PastureAttributes[[#Headers],[Pasture type]], 0)</calculatedColumnFormula>
    </tableColumn>
    <tableColumn id="5" xr3:uid="{8C5CE5E7-BB52-4287-80C2-5863A57FBEB2}" name="N content Below-ground NCBGp" dataDxfId="310" dataCellStyle="Content normal">
      <calculatedColumnFormula array="1">Common_InputFunctions.Utility_DisplayArrayInTable(Agresidue_SourceData.PastureAttributes_Data(), Table_SourceData_PastureAttributes[[#Headers],[Pasture type]], 0)</calculatedColumnFormula>
    </tableColumn>
    <tableColumn id="6" xr3:uid="{97759CBE-5F4A-43F1-9DAC-7F5FAFA161EB}" name="Fraction of pasture yield that is removed FFODp" dataDxfId="309"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A66C40A4-D86E-477A-AD78-DC1F12478E50}"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9BF3F7E7-8EAA-4C2B-A635-129050EF1857}" name="Gas species">
      <calculatedColumnFormula array="1">Common_InputFunctions.Utility_DisplayArrayInTable(AgResidues_SourceData.BurningOfAgriculturalResiduesEFs_Data(), Table_SourceData_BurningResidueEFs[[#Headers],[Gas species]], 0)</calculatedColumnFormula>
    </tableColumn>
    <tableColumn id="2" xr3:uid="{0C0EA1C4-BA01-4C1D-894B-4F03ED0E92CB}" name="Emission factor EFg (Gg element in species/ Gg element in fuel burnt)" dataDxfId="308" dataCellStyle="Content normal">
      <calculatedColumnFormula array="1">Common_InputFunctions.Utility_DisplayArrayInTable(AgResidues_SourceData.BurningOfAgriculturalResiduesEFs_Data(), Table_SourceData_BurningResidueEFs[[#Headers],[Gas species]], 0)</calculatedColumnFormula>
    </tableColumn>
    <tableColumn id="3" xr3:uid="{54F642C1-4C1D-41BA-8729-EDB503F3ED28}" name="Elemental to molecular mass conversion factor (Cg)" dataDxfId="307"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6188E035-09D8-43A4-98F0-6EAC0DB8DDB4}" name="Table_SourceData_CropPurposeAndYields" displayName="Table_SourceData_CropPurposeAndYields" ref="D7:K10" totalsRowShown="0" headerRowDxfId="306">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FD051CF-50A8-498B-9653-FFF8F30C3443}" name="Purpose">
      <calculatedColumnFormula array="1">Common_InputFunctions.Utility_DisplayArrayInTable(Agresidue_SourceData.CropPurposeAndYield_Data(), Table_SourceData_CropPurposeAndYields[[#Headers],[Purpose]], 0)</calculatedColumnFormula>
    </tableColumn>
    <tableColumn id="2" xr3:uid="{82F15406-CB18-4250-9C96-C3783C36F048}" name="Per hectare unit">
      <calculatedColumnFormula array="1">Common_InputFunctions.Utility_DisplayArrayInTable(Agresidue_SourceData.CropPurposeAndYield_Data(), Table_SourceData_CropPurposeAndYields[[#Headers],[Purpose]], 0)</calculatedColumnFormula>
    </tableColumn>
    <tableColumn id="3" xr3:uid="{E5DD66F5-9F43-427E-B637-0D041A651E39}" name="harvest term">
      <calculatedColumnFormula array="1">Common_InputFunctions.Utility_DisplayArrayInTable(Agresidue_SourceData.CropPurposeAndYield_Data(), Table_SourceData_CropPurposeAndYields[[#Headers],[Purpose]], 0)</calculatedColumnFormula>
    </tableColumn>
    <tableColumn id="4" xr3:uid="{0A265333-5F68-4D67-943F-693DD4270D58}" name="harvest endpoint">
      <calculatedColumnFormula array="1">Common_InputFunctions.Utility_DisplayArrayInTable(Agresidue_SourceData.CropPurposeAndYield_Data(), Table_SourceData_CropPurposeAndYields[[#Headers],[Purpose]], 0)</calculatedColumnFormula>
    </tableColumn>
    <tableColumn id="5" xr3:uid="{F5C5FFFC-979C-4834-8CA7-4F46D56738E5}" name="Harvest uit">
      <calculatedColumnFormula array="1">Common_InputFunctions.Utility_DisplayArrayInTable(Agresidue_SourceData.CropPurposeAndYield_Data(), Table_SourceData_CropPurposeAndYields[[#Headers],[Purpose]], 0)</calculatedColumnFormula>
    </tableColumn>
    <tableColumn id="6" xr3:uid="{A6FF4F9C-288D-48E6-BE24-BDFF800085FC}" name="Yield note">
      <calculatedColumnFormula array="1">Common_InputFunctions.Utility_DisplayArrayInTable(Agresidue_SourceData.CropPurposeAndYield_Data(), Table_SourceData_CropPurposeAndYields[[#Headers],[Purpose]], 0)</calculatedColumnFormula>
    </tableColumn>
    <tableColumn id="8" xr3:uid="{519D0997-71F3-42C6-AEC2-A02EC3B2923A}" name="Residue crop ratio note">
      <calculatedColumnFormula array="1">Common_InputFunctions.Utility_DisplayArrayInTable(Agresidue_SourceData.CropPurposeAndYield_Data(), Table_SourceData_CropPurposeAndYields[[#Headers],[Purpose]], 0)</calculatedColumnFormula>
    </tableColumn>
    <tableColumn id="9" xr3:uid="{0703A051-26F1-42E7-A4C4-AEB4FDCD1FF8}"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AD427831-8715-43AD-9787-3BC55E9FBC16}" name="Table_SourceData_Fertiliser_IrrigationMethods100" displayName="Table_SourceData_Fertiliser_IrrigationMethods100" ref="N21:N26" totalsRowShown="0">
  <autoFilter ref="N21:N26" xr:uid="{1AC5909E-E06C-4A79-81E9-C25A0B6D9E90}">
    <filterColumn colId="0" hiddenButton="1"/>
  </autoFilter>
  <tableColumns count="1">
    <tableColumn id="1" xr3:uid="{B557599A-4F78-4D9D-8B36-2A6A757057E0}" name="Irrigation method"/>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0" xr:uid="{09F18608-B726-4431-8AB1-7192B3E5E12C}"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3FC02B5B-D22B-4871-B799-AFEF14975DC4}" name="Symbol">
      <calculatedColumnFormula array="1">Common_InputFunctions.Utility_DisplayArrayInTable(CommonLivestock_SourceData.SourceData_Livestock_Common_SymbolsMMS_Data(), Table_Data_MMSSymbols[[#Headers],[Symbol]], 0)</calculatedColumnFormula>
    </tableColumn>
    <tableColumn id="2" xr3:uid="{ADFD3B4D-7349-41D9-A1A2-9EE71B7F9CD9}" name="Manure management system">
      <calculatedColumnFormula array="1">Common_InputFunctions.Utility_DisplayArrayInTable(CommonLivestock_SourceData.SourceData_Livestock_Common_SymbolsMMS_Data(), Table_Data_MMSSymbols[[#Headers],[Symbol]], 0)</calculatedColumnFormula>
    </tableColumn>
    <tableColumn id="3" xr3:uid="{DCD43930-7B94-4751-89DF-FAF2F11140E1}"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1" xr:uid="{7EA1AA54-07F8-4C0C-A48E-BFED458F20A2}" name="Table_SourceData_LivestockProduct_Beefcattle" displayName="Table_SourceData_LivestockProduct_Beefcattle" ref="D31:E39" totalsRowShown="0">
  <autoFilter ref="D31:E39" xr:uid="{953E8E36-CE90-4001-9CFA-9307A0C836A9}"/>
  <tableColumns count="2">
    <tableColumn id="1" xr3:uid="{64EAB357-F85E-47E8-9DF8-DE789A78806E}" name="Product">
      <calculatedColumnFormula array="1">Common_InputFunctions.Utility_DisplayArrayInTable(CommonLivestock_SourceData.SourceData_Livestock_Product_BeefCattle_Data(),Table_SourceData_LivestockProduct_Beefcattle[[#Headers],[Product]],0)</calculatedColumnFormula>
    </tableColumn>
    <tableColumn id="2" xr3:uid="{46E63B98-A19F-4182-8C76-EEC9D3570991}" name="Source region" dataDxfId="30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2" xr:uid="{2E96CCB7-7239-48AA-A27E-E96593BFADDA}" name="Table_SourceData_LivestockProduct_Sheep" displayName="Table_SourceData_LivestockProduct_Sheep" ref="D43:E50" totalsRowShown="0" dataDxfId="304" dataCellStyle="Content normal">
  <autoFilter ref="D43:E50" xr:uid="{995536B5-6CA5-4D7D-A704-9B6B595C2491}"/>
  <tableColumns count="2">
    <tableColumn id="1" xr3:uid="{7C2E7DF3-0AEE-41A2-90F8-B554EEB8472F}" name="Product" dataDxfId="30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64D3C78A-24AA-49CC-AFAD-350FE6C49852}" name="Source region" dataDxfId="30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3" xr:uid="{C2018B1E-D089-4CAE-B671-D5E6A8CA60A1}" name="Table_SourceData_LivestockProduct_Chickens" displayName="Table_SourceData_LivestockProduct_Chickens" ref="D54:E55" totalsRowShown="0" dataDxfId="301" dataCellStyle="Content normal">
  <autoFilter ref="D54:E55" xr:uid="{257D8456-031C-4EEF-A8C4-474F215C3208}"/>
  <tableColumns count="2">
    <tableColumn id="1" xr3:uid="{82DC7046-286F-4D03-B2AF-6EEC6B0C3B6A}" name="Product" dataDxfId="300" dataCellStyle="Content normal"/>
    <tableColumn id="2" xr3:uid="{A01CE8C2-4E08-47AA-8EEE-708929A0552C}" name="Source region" dataDxfId="299" dataCellStyle="Content normal"/>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4" xr:uid="{C368E3C6-B690-491D-8AFE-B0B1938E6F8F}" name="Table_SourceData_LivestockProduct_Dairycattle" displayName="Table_SourceData_LivestockProduct_Dairycattle" ref="D59:E60" totalsRowShown="0" dataDxfId="298" dataCellStyle="Content normal">
  <autoFilter ref="D59:E60" xr:uid="{71833C62-BA2B-4519-92E0-B189E393D12F}"/>
  <tableColumns count="2">
    <tableColumn id="1" xr3:uid="{6C4C515F-AFFE-499F-B283-33557BD27E1C}" name="Product" dataDxfId="297" dataCellStyle="Content normal"/>
    <tableColumn id="2" xr3:uid="{E5FF04E5-743F-4E7B-AFA9-F8F11179BB72}" name="Source region" dataDxfId="296" dataCellStyle="Content normal"/>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5" xr:uid="{9331206A-18D0-4A0D-9210-934D3C917A72}" name="Table_SourceData_LivestockProduct_Pigs" displayName="Table_SourceData_LivestockProduct_Pigs" ref="D64:E65" totalsRowShown="0" dataDxfId="295" dataCellStyle="Content normal">
  <autoFilter ref="D64:E65" xr:uid="{65FF5EF6-2A75-4137-9345-8328E2DA8F9C}"/>
  <tableColumns count="2">
    <tableColumn id="1" xr3:uid="{F4BEBFB4-9046-4177-9BD8-B8B0350D6124}" name="Product" dataDxfId="294" dataCellStyle="Content normal"/>
    <tableColumn id="2" xr3:uid="{896245CF-7255-4168-A6CA-F7DF99BE429B}" name="Source region" dataDxfId="293" dataCellStyle="Content normal"/>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F1706B36-5859-42BA-838D-D12726259C28}" name="Table_SourceData_ElectricityEFs" displayName="Table_SourceData_ElectricityEFs" ref="D9:F19" totalsRowShown="0" headerRowDxfId="292">
  <autoFilter ref="D9:F19" xr:uid="{3144A982-7A4D-4CF2-8790-1A30DAE3E0A4}">
    <filterColumn colId="0" hiddenButton="1"/>
    <filterColumn colId="1" hiddenButton="1"/>
    <filterColumn colId="2" hiddenButton="1"/>
  </autoFilter>
  <tableColumns count="3">
    <tableColumn id="1" xr3:uid="{4FF8F342-52BD-45F5-9A89-8B7DA1577F68}"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D2E5BC45-E309-4081-9C89-B96CBC0666E8}"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F9D407E9-FAC7-43C4-9112-5F5B967EB105}"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C01DD325-AB93-4221-AAA4-1EB01CC85C16}"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8F1065DF-C739-4200-AA90-48C794ED33E1}" name="State, Territory or grid description"/>
    <tableColumn id="2" xr3:uid="{E9659C96-2E74-48C1-8C9E-35A0335F3A5F}" name="Scope 2 EF (kg CO2-e/kWh)"/>
    <tableColumn id="3" xr3:uid="{5827079D-CC48-46B6-B3F7-D1508B2D7F3E}" name="Scope 2 EF (kg CO2-e/GJ)"/>
    <tableColumn id="4" xr3:uid="{14A63052-3B86-4DFE-90B4-625803DEE4A5}" name="Scope 3 EF (kg CO2-e/kWh)"/>
    <tableColumn id="5" xr3:uid="{5A5105DA-C940-4890-9AD4-B5FF98253C28}" name="Scope 3 EF (kg CO2-e/GJ)"/>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AF0304E2-2CAB-4D3D-A966-B31BDE0BACB0}"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199861BB-A578-4AAA-95E6-584368D03EDF}"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DD802204-DEF1-4FE3-B727-AA71D9EC44C3}" name="FNinorganic f">
      <calculatedColumnFormula array="1">Common_InputFunctions.Utility_DisplayArrayInTable(Fertiliser_SourceData.Fertiliser_ChemicalCompoundElements_Data(),Table_Fertiliser_ChemicalCompounds[[#Headers],[Fertiliser type f]], 0)</calculatedColumnFormula>
    </tableColumn>
    <tableColumn id="3" xr3:uid="{96DD54FA-3CB5-404D-AA2F-333B4B25F845}" name="FU f">
      <calculatedColumnFormula array="1">Common_InputFunctions.Utility_DisplayArrayInTable(Fertiliser_SourceData.Fertiliser_ChemicalCompoundElements_Data(),Table_Fertiliser_ChemicalCompounds[[#Headers],[Fertiliser type f]], 0)</calculatedColumnFormula>
    </tableColumn>
    <tableColumn id="4" xr3:uid="{117D551E-A29F-4D60-A3AA-F97C3CB4CCFF}" name="Basis">
      <calculatedColumnFormula array="1">Common_InputFunctions.Utility_DisplayArrayInTable(Fertiliser_SourceData.Fertiliser_ChemicalCompoundElements_Data(),Table_Fertiliser_ChemicalCompounds[[#Headers],[Fertiliser type f]], 0)</calculatedColumnFormula>
    </tableColumn>
    <tableColumn id="5" xr3:uid="{ECC7DBF7-66E6-4DE5-9A8B-50175C2D79E4}"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3614F739-BA9D-427D-84B7-DB15A4370328}"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CDA1CE34-0419-42AA-99AF-DF07C65389A3}"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628DF2E5-BEDC-4917-948F-B990D3F5FCA5}" name="Company" totalsRowFunction="custom" totalsRowDxfId="529">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FB5D890B-BD41-400E-BB13-3B949A722004}"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2BA565D6-C486-4E13-9FCD-E207DA6C4221}"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12B731E9-C434-4314-BBCA-C7F21F068474}"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0E43634F-2DAC-48D6-9D94-5A347F22319C}"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400B4B38-6156-4ECF-A515-83721939FE91}"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B77C95E3-E126-484F-AC2F-33BA38F48F9E}"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CC31FFD5-DA12-478A-8EAC-5AE85DBE69E1}"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F6C9F0F8-6987-4E92-97FB-FD09267115D2}"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7B5A78B0-5A53-4FA7-A11E-F8D4FBF33311}"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27D24CB7-9C13-4451-A660-A9F6AD2A1438}"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50E33428-CFFB-46FC-B82D-7D6360340797}" name="Ingredient 1" totalsRowFunction="custom" totalsRowCellStyle="Content normal">
      <totalsRowFormula array="1">Common_InputFunctions.Utility_DisplayArrayInTable(Fertiliser_SourceData.Fertiliser_Products_Data3(), FertiliserProducts[[#Headers],[Company]],61)</totalsRowFormula>
    </tableColumn>
    <tableColumn id="22" xr3:uid="{F58F75C6-3DF0-4B50-A0BA-CA63BE19C623}"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DF61872D-76DA-4B85-A089-07AB44C23A78}"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BD82FA2A-6F32-4642-9987-174846839B4E}"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31F6A18B-B8B8-4A55-8201-FF55E5A42FE6}"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3F08C45C-0148-4411-BC76-31A717C4ADFD}"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6F9A968A-5780-431D-A174-CABAD0DBB4D7}"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10C89E36-1968-47E5-8832-C8D4AC01BAA9}"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14F52809-44CC-4B18-9CD9-668E97A6A949}"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ECACE513-0E92-40BF-8ADC-71AFFFD0ACA0}"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C7566152-2C77-4DA5-B9F6-BF4DD52D7417}"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84A47B04-BE05-4517-B97C-BB852B44BF03}"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911A86C7-1D61-498A-81E6-ACC8862F2062}"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47A6B5C9-74C4-47C0-A739-7EFA28B525B8}"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A151C03C-8163-4907-BC1E-EB7FD1596B86}"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62CB6773-62FC-4053-854C-01444B299D9E}"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C8515C54-17A2-4F52-80FE-F24B12C362F9}"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2396C97F-F397-4EF2-AF4F-4EAD0B497B32}"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B4547F07-0777-4257-9F56-398EC36739FF}"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0A373136-1C83-4DAE-9D92-C7728BE19702}" name="Ingredient 10 percent" totalsRowCellStyle="Content normal"/>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E1B06DD5-35C2-4410-A05D-BAA936EF9AA2}"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5C687C55-5F2C-4C0B-9DCA-01F74A38C042}" name="Fertiliser type f">
      <calculatedColumnFormula array="1">Common_InputFunctions.Utility_DisplayArrayInTable(Fertiliser_SourceData.Fertiliser_FracGASF_Data(), Table_SourceData_Fertiliser_FracGASF[[#Headers],[Fertiliser type f]], 0)</calculatedColumnFormula>
    </tableColumn>
    <tableColumn id="2" xr3:uid="{AFE4D10D-5D2C-447D-B5B4-83A5B687BCE0}" name="FracGASF f" dataDxfId="528"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E5E48FE5-42F3-42C9-85CD-00B03BD16AB3}" name="Table_SourceData_Fertiliser_CropProdSystems" displayName="Table_SourceData_Fertiliser_CropProdSystems" ref="D41:D43" totalsRowShown="0">
  <autoFilter ref="D41:D43" xr:uid="{24F3A11E-40F5-4BB9-BFF4-A71FA2ADA0EF}">
    <filterColumn colId="0" hiddenButton="1"/>
  </autoFilter>
  <tableColumns count="1">
    <tableColumn id="1" xr3:uid="{3E610CA4-02C2-4D79-B574-912EB3249AE6}" name="Production system">
      <calculatedColumnFormula>#REF!</calculatedColumnFormula>
    </tableColum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A0FC29D9-E8F6-4A6A-8E73-8705E16EC387}"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D93124AE-1801-4246-91A8-C2F8F82A90C5}" name="Irrigation method"/>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7EB6032D-55C8-4FE0-BBB9-FFCC2237E3D1}" name="Table_SourceData_Fertiliser_CropTypes" displayName="Table_SourceData_Fertiliser_CropTypes" ref="F41:F45" totalsRowShown="0">
  <autoFilter ref="F41:F45" xr:uid="{CB5044B5-FA3C-4AA2-B1AB-72F7E61D072F}">
    <filterColumn colId="0" hiddenButton="1"/>
  </autoFilter>
  <tableColumns count="1">
    <tableColumn id="1" xr3:uid="{E51E549B-F545-4744-AA50-ACF48CB7DA89}" name="Production system"/>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8735645A-9951-48CF-8FCF-7E7A99234C42}" name="Table_SourceData_OrganicFertiliserTypes" displayName="Table_SourceData_OrganicFertiliserTypes" ref="J41:J46" totalsRowShown="0">
  <autoFilter ref="J41:J46" xr:uid="{B44627B1-537E-4ABC-92C3-57282CEE5B40}">
    <filterColumn colId="0" hiddenButton="1"/>
  </autoFilter>
  <tableColumns count="1">
    <tableColumn id="1" xr3:uid="{471B1026-5E67-408B-877C-48C5AE7294A8}" name="Organic fertiliser type"/>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432568-7C45-4663-B6E4-1EF34708C6BA}"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1246CF30-D8DC-4B07-87DF-53D9EFEC3603}" name="Element">
      <calculatedColumnFormula array="1">Common_InputFunctions.Utility_DisplayArrayInTable(Fertiliser_SourceData.Fertiliser_LimeDolomiteGypsumConstants_Data(), Table_SourceData_Fertiliser_LimeDolomiteConstants[[#Headers],[Element]], 0)</calculatedColumnFormula>
    </tableColumn>
    <tableColumn id="2" xr3:uid="{F38809D3-39F6-418A-9306-E98382CBD60B}" name="P" dataDxfId="52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64B8D0AF-015D-4ADB-9CB0-7D02A6DA2D98}" name="EF" dataDxfId="526"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2AF0B8FC-C40D-4215-B3F5-298443EEED00}" name="Table2" displayName="Table2" ref="K19:L28" totalsRowShown="0" dataDxfId="525" dataCellStyle="Content normal">
  <autoFilter ref="K19:L28" xr:uid="{27B93029-EB1F-4C4A-A946-CD673A8A6C46}">
    <filterColumn colId="0" hiddenButton="1"/>
    <filterColumn colId="1" hiddenButton="1"/>
  </autoFilter>
  <tableColumns count="2">
    <tableColumn id="1" xr3:uid="{1A79C260-D030-4523-8BCF-A70E45000990}" name="Fertiliser type f" dataDxfId="524" dataCellStyle="Content normal">
      <calculatedColumnFormula array="1">Common_InputFunctions.Utility_DisplayArrayInTable(Fertiliser_SourceData.Fertiliser_FractionNCommonFertilisers_Data(), Table2[[#Headers],[Fertiliser type f]], 0)</calculatedColumnFormula>
    </tableColumn>
    <tableColumn id="2" xr3:uid="{9D47CD1B-0B46-4DDA-923B-FA814CB58840}" name="FNinorganic f" dataDxfId="523"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34A8A55E-A028-4C80-BF33-0BE4F361A6F9}" name="Table28" displayName="Table28" ref="Q19:R28" totalsRowShown="0" dataDxfId="522" dataCellStyle="Content normal">
  <autoFilter ref="Q19:R28" xr:uid="{791CEA59-796C-47AB-86BC-41E8F699030C}">
    <filterColumn colId="0" hiddenButton="1"/>
    <filterColumn colId="1" hiddenButton="1"/>
  </autoFilter>
  <tableColumns count="2">
    <tableColumn id="1" xr3:uid="{AB282085-C376-426B-BFB8-63D5DC64A727}" name="Fertiliser type f" dataDxfId="521" dataCellStyle="Content normal">
      <calculatedColumnFormula array="1">Common_InputFunctions.Utility_DisplayArrayInTable(Fertiliser_SourceData.Fertiliser_FractionUreaCommonFertilisers_Data(), Table28[[#Headers],[Fertiliser type f]], 0)</calculatedColumnFormula>
    </tableColumn>
    <tableColumn id="2" xr3:uid="{4C0060A1-8B83-4804-A748-93EBCD4125E7}" name="FNinorganic f" dataDxfId="520"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7212F133-B46E-450B-A15E-462791D78C41}"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06004268-E292-442F-8FEA-58C0F8773E05}"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5E6473C4-7004-4EF1-BE38-60BE7A6DDF3A}" name="Table_Fuel_EFs_StationaryLiquid" displayName="Table_Fuel_EFs_StationaryLiquid" ref="D53:K77" totalsRowShown="0" headerRowDxfId="291" dataDxfId="290">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89E7BDE-33E7-404E-A6E5-2A1E2E07DE6E}" name="Fuel combusted" dataDxfId="289">
      <calculatedColumnFormula array="1">Common_InputFunctions.Utility_DisplayArrayInTable(Fuel_SourceData.Fuel_Scope1Scope3EmissionFactorsStationaryLiquid_Data(), Table_Fuel_EFs_StationaryLiquid[[#Headers],[Fuel combusted]],0)</calculatedColumnFormula>
    </tableColumn>
    <tableColumn id="2" xr3:uid="{7B653142-AF1F-4055-8432-914EC70FB235}" name="Energy Content Factor (GJ per unit of fuel)" dataDxfId="288">
      <calculatedColumnFormula array="1">Common_InputFunctions.Utility_DisplayArrayInTable(Fuel_SourceData.Fuel_Scope1Scope3EmissionFactorsStationaryLiquid_Data(), Table_Fuel_EFs_StationaryLiquid[[#Headers],[Fuel combusted]],0)</calculatedColumnFormula>
    </tableColumn>
    <tableColumn id="3" xr3:uid="{FF020E37-A108-4F78-8AE4-4FD84782CBF7}" name="Fuel unit" dataDxfId="287">
      <calculatedColumnFormula array="1">Common_InputFunctions.Utility_DisplayArrayInTable(Fuel_SourceData.Fuel_Scope1Scope3EmissionFactorsStationaryLiquid_Data(), Table_Fuel_EFs_StationaryLiquid[[#Headers],[Fuel combusted]],0)</calculatedColumnFormula>
    </tableColumn>
    <tableColumn id="4" xr3:uid="{095CBEEC-A2CC-40A0-A668-DE36ACF98CC4}" name="Scope 1 Emission Factor (kg CO2 - e / GJ) CO2" dataDxfId="286">
      <calculatedColumnFormula array="1">Common_InputFunctions.Utility_DisplayArrayInTable(Fuel_SourceData.Fuel_Scope1Scope3EmissionFactorsStationaryLiquid_Data(), Table_Fuel_EFs_StationaryLiquid[[#Headers],[Fuel combusted]],0)</calculatedColumnFormula>
    </tableColumn>
    <tableColumn id="5" xr3:uid="{41EE03A8-A1DB-4B74-812B-240A21338250}" name="Scope 1 Emission Factor (kg CO2 - e / GJ) CH4" dataDxfId="285">
      <calculatedColumnFormula array="1">Common_InputFunctions.Utility_DisplayArrayInTable(Fuel_SourceData.Fuel_Scope1Scope3EmissionFactorsStationaryLiquid_Data(), Table_Fuel_EFs_StationaryLiquid[[#Headers],[Fuel combusted]],0)</calculatedColumnFormula>
    </tableColumn>
    <tableColumn id="6" xr3:uid="{67E8B644-33DC-4F1E-881A-23749CE55C6F}" name="Scope 1 Emission Factor (kg CO2 - e / GJ) N2O" dataDxfId="284">
      <calculatedColumnFormula array="1">Common_InputFunctions.Utility_DisplayArrayInTable(Fuel_SourceData.Fuel_Scope1Scope3EmissionFactorsStationaryLiquid_Data(), Table_Fuel_EFs_StationaryLiquid[[#Headers],[Fuel combusted]],0)</calculatedColumnFormula>
    </tableColumn>
    <tableColumn id="7" xr3:uid="{8854A33B-0941-4BF0-8F7D-37B36B485FCD}" name="Scope 1 Emission Factor (kg CO2 - e / GJ) Combined gases" dataDxfId="283">
      <calculatedColumnFormula array="1">Common_InputFunctions.Utility_DisplayArrayInTable(Fuel_SourceData.Fuel_Scope1Scope3EmissionFactorsStationaryLiquid_Data(), Table_Fuel_EFs_StationaryLiquid[[#Headers],[Fuel combusted]],0)</calculatedColumnFormula>
    </tableColumn>
    <tableColumn id="8" xr3:uid="{F7B7CEAB-E7D9-46A0-92F9-7FE001D6DAA5}" name="Scope 3 Emission Factor (kg CO2 - e / GJ)" dataDxfId="282">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70861B6A-9E24-41CF-B0B7-C8DF7D6A3B9E}" name="Table_Fuel_EFs_Transport" displayName="Table_Fuel_EFs_Transport" ref="D9:L34" totalsRowShown="0" headerRowDxfId="281" dataDxfId="280">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6CED360E-E2DF-4E97-A605-B29AB3B2B8BF}" name="Transport type" dataDxfId="279">
      <calculatedColumnFormula array="1">Common_InputFunctions.Utility_DisplayArrayInTable(Fuel_SourceData.Fuel_Scope1Scope3EmissionFactorsTransport_Data(), Table_Fuel_EFs_Transport[[#Headers],[Transport type]], 0)</calculatedColumnFormula>
    </tableColumn>
    <tableColumn id="2" xr3:uid="{49F690E4-2A2F-426C-A30A-06969721B63A}" name="Fuel combusted" dataDxfId="278">
      <calculatedColumnFormula array="1">Common_InputFunctions.Utility_DisplayArrayInTable(Fuel_SourceData.Fuel_Scope1Scope3EmissionFactorsTransport_Data(), Table_Fuel_EFs_Transport[[#Headers],[Transport type]], 0)</calculatedColumnFormula>
    </tableColumn>
    <tableColumn id="3" xr3:uid="{9A0DDBAD-9BC2-4C45-99E6-2438E76C1509}" name="Energy Content Factor (GJ per unit of fuel)" dataDxfId="277">
      <calculatedColumnFormula array="1">Common_InputFunctions.Utility_DisplayArrayInTable(Fuel_SourceData.Fuel_Scope1Scope3EmissionFactorsTransport_Data(), Table_Fuel_EFs_Transport[[#Headers],[Transport type]], 0)</calculatedColumnFormula>
    </tableColumn>
    <tableColumn id="4" xr3:uid="{73D3470D-2ADA-4343-99ED-B2E9AAE04D22}" name="Fuel unit" dataDxfId="276">
      <calculatedColumnFormula array="1">Common_InputFunctions.Utility_DisplayArrayInTable(Fuel_SourceData.Fuel_Scope1Scope3EmissionFactorsTransport_Data(), Table_Fuel_EFs_Transport[[#Headers],[Transport type]], 0)</calculatedColumnFormula>
    </tableColumn>
    <tableColumn id="8" xr3:uid="{3E749233-6990-4A2E-9BC1-7344EAA4CEDA}" name="Scope 1 Emission Factor (kg CO2 - e / GJ) CO2" dataDxfId="275">
      <calculatedColumnFormula array="1">Common_InputFunctions.Utility_DisplayArrayInTable(Fuel_SourceData.Fuel_Scope1Scope3EmissionFactorsTransport_Data(), Table_Fuel_EFs_Transport[[#Headers],[Transport type]], 0)</calculatedColumnFormula>
    </tableColumn>
    <tableColumn id="9" xr3:uid="{E25D929D-3A4F-40B0-994A-FC7E1E9FA18D}" name="Scope 1 Emission Factor (kg CO2 - e / GJ) CH4" dataDxfId="274">
      <calculatedColumnFormula array="1">Common_InputFunctions.Utility_DisplayArrayInTable(Fuel_SourceData.Fuel_Scope1Scope3EmissionFactorsTransport_Data(), Table_Fuel_EFs_Transport[[#Headers],[Transport type]], 0)</calculatedColumnFormula>
    </tableColumn>
    <tableColumn id="10" xr3:uid="{4F3EE36F-DBD5-44BE-B1E4-C27EC4FA4088}" name="Scope 1 Emission Factor (kg CO2 - e / GJ) N2O" dataDxfId="273">
      <calculatedColumnFormula array="1">Common_InputFunctions.Utility_DisplayArrayInTable(Fuel_SourceData.Fuel_Scope1Scope3EmissionFactorsTransport_Data(), Table_Fuel_EFs_Transport[[#Headers],[Transport type]], 0)</calculatedColumnFormula>
    </tableColumn>
    <tableColumn id="11" xr3:uid="{77F043C8-0396-4DF8-8742-A3BC15AA3631}" name="Scope 1 Emission Factor (kg CO2 - e / GJ) Combined gases" dataDxfId="272">
      <calculatedColumnFormula array="1">Common_InputFunctions.Utility_DisplayArrayInTable(Fuel_SourceData.Fuel_Scope1Scope3EmissionFactorsTransport_Data(), Table_Fuel_EFs_Transport[[#Headers],[Transport type]], 0)</calculatedColumnFormula>
    </tableColumn>
    <tableColumn id="12" xr3:uid="{CC322FBA-423B-4A99-8CF2-1E121041CEED}" name="Scope 3 Emission Factor (kg CO2 - e / GJ)" dataDxfId="271">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A77F1F1-172D-477A-B24D-9840A71F7868}" name="Table_FuelTypesPerUse" displayName="Table_FuelTypesPerUse" ref="D130:I139" totalsRowShown="0" headerRowDxfId="270" dataDxfId="269">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B01D0651-9C53-4BD4-B74C-CF700ABF003C}" name="Generators" dataDxfId="268"/>
    <tableColumn id="2" xr3:uid="{E6084648-E3CE-4C5A-9073-98597021CF83}" name="Power standalone machinery or heating" dataDxfId="267"/>
    <tableColumn id="3" xr3:uid="{BD6F6641-4775-481F-9A69-5A008FAE80F4}" name="Aviation" dataDxfId="266"/>
    <tableColumn id="5" xr3:uid="{2F753009-40E6-4C37-9184-E5F2994157A5}" name="Cars and light commercial vehicles" dataDxfId="265"/>
    <tableColumn id="7" xr3:uid="{34C797E2-AAE3-4FD6-B2BF-BAA8C9DADBC0}" name="Off-road Agriculture and forestry equipment" dataDxfId="264" dataCellStyle="Content bold"/>
    <tableColumn id="8" xr3:uid="{870C0EF8-9FE8-4B64-AF00-4E5C9554AFFB}" name="Vessels" dataDxfId="263" dataCellStyle="Content bold"/>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9B31C4A4-10DF-4E39-A1A6-139EB7F52782}" name="Table_Fuel_EFs_StationaryGaseous" displayName="Table_Fuel_EFs_StationaryGaseous" ref="D86:J104" totalsRowShown="0" headerRowDxfId="262" dataDxfId="261">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3EDB188-5668-4BDB-BA10-A9960C693875}" name="Fuel combusted" dataDxfId="260">
      <calculatedColumnFormula array="1">Common_InputFunctions.Utility_DisplayArrayInTable(Fuel_SourceData.Fuel_Scope1EmissionFactorsStationaryGaseous_Data(), Table_Fuel_EFs_StationaryGaseous[[#Headers],[Fuel combusted]],0)</calculatedColumnFormula>
    </tableColumn>
    <tableColumn id="2" xr3:uid="{DBC7E92A-60FD-4346-B568-2C1EC769F2B5}" name="Energy Content Factor (GJ per unit of fuel)" dataDxfId="259">
      <calculatedColumnFormula array="1">Common_InputFunctions.Utility_DisplayArrayInTable(Fuel_SourceData.Fuel_Scope1EmissionFactorsStationaryGaseous_Data(), Table_Fuel_EFs_StationaryGaseous[[#Headers],[Fuel combusted]],0)</calculatedColumnFormula>
    </tableColumn>
    <tableColumn id="3" xr3:uid="{E05A4804-8CA2-4025-85E8-5C8635FB7600}" name="Fuel unit" dataDxfId="258">
      <calculatedColumnFormula array="1">Common_InputFunctions.Utility_DisplayArrayInTable(Fuel_SourceData.Fuel_Scope1EmissionFactorsStationaryGaseous_Data(), Table_Fuel_EFs_StationaryGaseous[[#Headers],[Fuel combusted]],0)</calculatedColumnFormula>
    </tableColumn>
    <tableColumn id="4" xr3:uid="{878BEC27-E825-461F-AF6D-F3E75CC588F4}" name="Scope 1 Emission Factor (kg CO2 - e / GJ) CO2" dataDxfId="257">
      <calculatedColumnFormula array="1">Common_InputFunctions.Utility_DisplayArrayInTable(Fuel_SourceData.Fuel_Scope1EmissionFactorsStationaryGaseous_Data(), Table_Fuel_EFs_StationaryGaseous[[#Headers],[Fuel combusted]],0)</calculatedColumnFormula>
    </tableColumn>
    <tableColumn id="5" xr3:uid="{55742EAF-C28E-4D85-BDDA-972DD48F7347}" name="Scope 1 Emission Factor (kg CO2 - e / GJ) CH4" dataDxfId="256">
      <calculatedColumnFormula array="1">Common_InputFunctions.Utility_DisplayArrayInTable(Fuel_SourceData.Fuel_Scope1EmissionFactorsStationaryGaseous_Data(), Table_Fuel_EFs_StationaryGaseous[[#Headers],[Fuel combusted]],0)</calculatedColumnFormula>
    </tableColumn>
    <tableColumn id="6" xr3:uid="{B677DE32-8221-44A3-A24C-ED0B3AB5EA08}" name="Scope 1 Emission Factor (kg CO2 - e / GJ) N2O" dataDxfId="255">
      <calculatedColumnFormula array="1">Common_InputFunctions.Utility_DisplayArrayInTable(Fuel_SourceData.Fuel_Scope1EmissionFactorsStationaryGaseous_Data(), Table_Fuel_EFs_StationaryGaseous[[#Headers],[Fuel combusted]],0)</calculatedColumnFormula>
    </tableColumn>
    <tableColumn id="7" xr3:uid="{281B0ACB-B288-42F6-9C44-6500873DE6FB}" name="Scope 1 Emission Factor (kg CO2 - e / GJ) Combined gases" dataDxfId="254">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FA565A8C-5230-4538-8E45-E1E9A6043CD6}" name="Table_Fuel_EFs_StationaryGaseous34" displayName="Table_Fuel_EFs_StationaryGaseous34" ref="D112:G120" headerRowDxfId="253" totalsRowDxfId="252">
  <autoFilter ref="D112:G120" xr:uid="{7D6CE29D-2354-4FAC-9965-9A66FFA42416}">
    <filterColumn colId="0" hiddenButton="1"/>
    <filterColumn colId="1" hiddenButton="1"/>
    <filterColumn colId="2" hiddenButton="1"/>
    <filterColumn colId="3" hiddenButton="1"/>
  </autoFilter>
  <tableColumns count="4">
    <tableColumn id="1" xr3:uid="{5A368BCE-A0B4-46E9-95AA-AB73F42ADE40}" name="State or territory" totalsRowDxfId="251">
      <calculatedColumnFormula array="1">Common_InputFunctions.Utility_DisplayArrayInTable(Fuel_SourceData.Fuel_Scope3EmissionFactorsStationaryGaseous_Data(), Table_Fuel_EFs_StationaryGaseous34[[#Headers],[State or territory]],0)</calculatedColumnFormula>
    </tableColumn>
    <tableColumn id="2" xr3:uid="{20D0BA65-A2DE-465C-941F-582102FE3335}" name="Metro" totalsRowDxfId="250">
      <calculatedColumnFormula array="1">Common_InputFunctions.Utility_DisplayArrayInTable(Fuel_SourceData.Fuel_Scope3EmissionFactorsStationaryGaseous_Data(), Table_Fuel_EFs_StationaryGaseous34[[#Headers],[State or territory]],0)</calculatedColumnFormula>
    </tableColumn>
    <tableColumn id="3" xr3:uid="{D09DBEEE-658E-437B-B986-6CEC3EF9D806}" name="Non-metro" totalsRowDxfId="249">
      <calculatedColumnFormula array="1">Common_InputFunctions.Utility_DisplayArrayInTable(Fuel_SourceData.Fuel_Scope3EmissionFactorsStationaryGaseous_Data(), Table_Fuel_EFs_StationaryGaseous34[[#Headers],[State or territory]],0)</calculatedColumnFormula>
    </tableColumn>
    <tableColumn id="4" xr3:uid="{21FEADA2-13FB-4674-9133-8649EF9BCFE2}" name="Column1" dataDxfId="0" totalsRowDxfId="1" dataCellStyle="Content normal"/>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B6C80A5-1FBF-4F90-A4BF-9ADAD437B5BE}"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B7DE2E52-0421-4418-98E7-908221714AC4}" name="Fuel type"/>
    <tableColumn id="2" xr3:uid="{4F019446-B48E-4BB8-B33D-EE7C7A7AF1DF}" name="Unit"/>
    <tableColumn id="3" xr3:uid="{EAC6A41D-0419-47EB-97B7-AC3BF5B9D215}" name="Input Unit" dataDxfId="248"/>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84EAB66-F34E-4D2D-8DEC-A162815D0759}"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B816F39-614A-4163-9D82-6A8949CD6A3F}"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D97B5C36-919C-4D02-9A3C-8CADAF4E726E}" name="Fuel type q" dataDxfId="24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09D46A6B-C299-4F5A-8554-EFCEC8B46F5C}" name="ECTrans,q (GJ/kL)" dataDxfId="24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9FE8FF1E-050A-463D-8801-1A47FD86D36B}" name="Scope 1 CO2 EFTran,1,tqg (kg CO2-e/GJ)" dataDxfId="24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3FFEE448-2E35-41EA-8C6B-4BC68A9844FE}" name="Scope 1 CH4 EFTran,1,tgg (kg CO2-e/GJ)" dataDxfId="24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E4143325-50CE-4528-AF96-A4A71EB950B0}" name="Scope 1 N2O EFTran,1,tgg (kg CO2-e/GJ)" dataDxfId="24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BF2AE473-0EAF-4086-9278-DE9DC9FEAF17}" name="Scope 3 EFTrans,3,q (kg CO2-e/GJ)" dataDxfId="24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D0A7FBB9-569A-48D8-A612-4D21AA7332A4}" name="Table_SourceData_Scope3_Animals110" displayName="Table_SourceData_Scope3_Animals110"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5CCD8F9-AFED-4BAC-B57A-532B7CF0DFB2}" name="Category" dataDxfId="241" dataCellStyle="Content normal">
      <calculatedColumnFormula array="1">Common_InputFunctions.Utility_DisplayArrayInTable(Scope3_SourceData.Scope3_Livestock_Data(), Table_SourceData_Scope3_Animals110[[#Headers],[Category]], 0, 2)</calculatedColumnFormula>
    </tableColumn>
    <tableColumn id="2" xr3:uid="{F4FE57B1-F824-4196-B4D8-A8C7A1EBE4A9}" name="Product" dataDxfId="240" dataCellStyle="Content normal">
      <calculatedColumnFormula array="1">Common_InputFunctions.Utility_DisplayArrayInTable(Scope3_SourceData.Scope3_Livestock_Data(), Table_SourceData_Scope3_Animals110[[#Headers],[Category]], 0, 2)</calculatedColumnFormula>
    </tableColumn>
    <tableColumn id="3" xr3:uid="{FB653B75-DDA9-4E62-8D91-CC2727C3DA30}" name="Region of origin" dataDxfId="239" dataCellStyle="Content normal">
      <calculatedColumnFormula array="1">Common_InputFunctions.Utility_DisplayArrayInTable(Scope3_SourceData.Scope3_Livestock_Data(), Table_SourceData_Scope3_Animals110[[#Headers],[Category]], 0, 2)</calculatedColumnFormula>
    </tableColumn>
    <tableColumn id="8" xr3:uid="{E1417604-F964-45ED-829A-150F538DF343}" name="Quantity Unit" dataDxfId="238" dataCellStyle="Content normal">
      <calculatedColumnFormula array="1">Common_InputFunctions.Utility_DisplayArrayInTable(Scope3_SourceData.Scope3_Livestock_Data(), Table_SourceData_Scope3_Animals110[[#Headers],[Category]], 0, 2)</calculatedColumnFormula>
    </tableColumn>
    <tableColumn id="9" xr3:uid="{3D847A64-FD75-4B38-94B9-B02C4303C4B4}" name="Emissions intensity" dataDxfId="237" dataCellStyle="Content normal">
      <calculatedColumnFormula array="1">Common_InputFunctions.Utility_DisplayArrayInTable(Scope3_SourceData.Scope3_Livestock_Data(), Table_SourceData_Scope3_Animals110[[#Headers],[Category]], 0, 2)</calculatedColumnFormula>
    </tableColumn>
    <tableColumn id="10" xr3:uid="{FE4333D5-ACB5-418D-AE60-4EC15EB40438}" name="System boundary" dataDxfId="236" dataCellStyle="Content normal">
      <calculatedColumnFormula array="1">Common_InputFunctions.Utility_DisplayArrayInTable(Scope3_SourceData.Scope3_Livestock_Data(), Table_SourceData_Scope3_Animals110[[#Headers],[Category]], 0, 2)</calculatedColumnFormula>
    </tableColumn>
    <tableColumn id="4" xr3:uid="{AF5746A8-F9C8-4DD9-88EF-5929DEF5C8EE}" name="Source" dataDxfId="235" dataCellStyle="Content normal"/>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41F11C8E-6D22-4B2F-9399-9826DA402492}"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7939300-194F-4D36-AE9F-8794ECAA57F1}" name="Category" dataDxfId="234" dataCellStyle="Content normal">
      <calculatedColumnFormula array="1">Common_InputFunctions.Utility_DisplayArrayInTable(Scope3_SourceData.Scope3_Chemicals_Data(), Table_SourceData_Scope3_ChemicalsCleaning[[#Headers],[Category]], 0, 2)</calculatedColumnFormula>
    </tableColumn>
    <tableColumn id="2" xr3:uid="{D5F4E54A-0A8E-4A81-AE61-72269DBC52AE}" name="Product" dataDxfId="233" dataCellStyle="Content normal">
      <calculatedColumnFormula array="1">Common_InputFunctions.Utility_DisplayArrayInTable(Scope3_SourceData.Scope3_Chemicals_Data(), Table_SourceData_Scope3_ChemicalsCleaning[[#Headers],[Category]], 0, 2)</calculatedColumnFormula>
    </tableColumn>
    <tableColumn id="3" xr3:uid="{ECDFC56A-9CF6-419F-9762-AA77A70CAE73}" name="Region of origin" dataDxfId="232" dataCellStyle="Content normal">
      <calculatedColumnFormula array="1">Common_InputFunctions.Utility_DisplayArrayInTable(Scope3_SourceData.Scope3_Chemicals_Data(), Table_SourceData_Scope3_ChemicalsCleaning[[#Headers],[Category]], 0, 2)</calculatedColumnFormula>
    </tableColumn>
    <tableColumn id="8" xr3:uid="{F5E61D81-DA52-4000-8A36-03BA744B5EFF}" name="Quantity Unit" dataDxfId="231" dataCellStyle="Content normal">
      <calculatedColumnFormula array="1">Common_InputFunctions.Utility_DisplayArrayInTable(Scope3_SourceData.Scope3_Chemicals_Data(), Table_SourceData_Scope3_ChemicalsCleaning[[#Headers],[Category]], 0, 2)</calculatedColumnFormula>
    </tableColumn>
    <tableColumn id="9" xr3:uid="{60F1B21C-5EAA-4640-85FF-D7E291C96CC6}" name="Emissions intensity" dataDxfId="230" dataCellStyle="Content normal">
      <calculatedColumnFormula array="1">Common_InputFunctions.Utility_DisplayArrayInTable(Scope3_SourceData.Scope3_Chemicals_Data(), Table_SourceData_Scope3_ChemicalsCleaning[[#Headers],[Category]], 0, 2)</calculatedColumnFormula>
    </tableColumn>
    <tableColumn id="10" xr3:uid="{CFC49D9E-B17A-41C7-A8A0-5103544CE46C}" name="System boundary" dataDxfId="229" dataCellStyle="Content normal">
      <calculatedColumnFormula array="1">Common_InputFunctions.Utility_DisplayArrayInTable(Scope3_SourceData.Scope3_Chemicals_Data(), Table_SourceData_Scope3_ChemicalsCleaning[[#Headers],[Category]], 0, 2)</calculatedColumnFormula>
    </tableColumn>
    <tableColumn id="4" xr3:uid="{C903F121-0F77-40AF-ACEE-179E05C3260D}" name="Source" dataDxfId="228" dataCellStyle="Content normal"/>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C1BCBA7A-9260-46E3-8E2E-5D4078787EE2}" name="Table_SourceData_Scope3_Feed" displayName="Table_SourceData_Scope3_Feed" ref="D89:J158" dataDxfId="227"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A952008-29FF-439B-8B4D-746C89F0E3F7}" name="Category" totalsRowFunction="custom" dataDxfId="226" totalsRowDxfId="225"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B5AE3EB8-A7A0-4677-A28B-195D8BFA3C1A}" name="Product" totalsRowFunction="custom" dataDxfId="224" totalsRowDxfId="22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BDDCE8B5-726F-4D47-8D86-3A0FE056A3A5}" name="Region of origin" totalsRowFunction="custom" dataDxfId="222" totalsRowDxfId="221"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9BDFD7E1-0015-4282-BB4F-3B12CDCAC5A5}" name="Quantity Unit" totalsRowFunction="custom" dataDxfId="220" totalsRowDxfId="219"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D0F08B66-1D3D-4881-BE5E-3AE5874D6D8A}" name="Emissions intensity" totalsRowFunction="custom" dataDxfId="218" totalsRowDxfId="217"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A99F8BC0-2FAE-455C-BA07-B7E96138E471}" name="System boundary" totalsRowFunction="custom" dataDxfId="216" totalsRowDxfId="215"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1DC44221-AE11-401C-9DD9-93CC2BEB122F}" name="Source" totalsRowLabel="GHGEI-MIAFF" dataDxfId="214" totalsRowDxfId="213" dataCellStyle="Content normal"/>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2D63B616-EEF1-43A1-ADAE-0384E0AF4902}"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BB82FC69-5929-4294-B1A4-9F59457FBC55}" name="Category">
      <calculatedColumnFormula array="1">Common_InputFunctions.Utility_DisplayArrayInTable(Scope3_SourceData.Scope3_InorganicFertilisers_Data(), Table_SourceData_Scope3_InorganicFertiliser[[#Headers],[Category]], 0, 2)</calculatedColumnFormula>
    </tableColumn>
    <tableColumn id="2" xr3:uid="{6CB33AEA-5A18-47DC-A0FF-742107AC7F9A}" name="Product">
      <calculatedColumnFormula array="1">Common_InputFunctions.Utility_DisplayArrayInTable(Scope3_SourceData.Scope3_InorganicFertilisers_Data(), Table_SourceData_Scope3_InorganicFertiliser[[#Headers],[Category]], 0, 2)</calculatedColumnFormula>
    </tableColumn>
    <tableColumn id="3" xr3:uid="{124E6480-1134-4AF9-94B6-D6F447D90B0B}" name="Region of origin">
      <calculatedColumnFormula array="1">Common_InputFunctions.Utility_DisplayArrayInTable(Scope3_SourceData.Scope3_InorganicFertilisers_Data(), Table_SourceData_Scope3_InorganicFertiliser[[#Headers],[Category]], 0, 2)</calculatedColumnFormula>
    </tableColumn>
    <tableColumn id="4" xr3:uid="{D202CE2B-AC1A-4C22-9968-779D670D36B4}" name="Chemical compound"/>
    <tableColumn id="5" xr3:uid="{CB7647A5-737C-4DA4-8EDF-A4176AA3226A}" name="Urea source"/>
    <tableColumn id="6" xr3:uid="{2FCF48AD-634A-4B47-97F9-9C6363628537}" name="Ammonia source"/>
    <tableColumn id="7" xr3:uid="{5D10051D-7D9F-49A6-9AD4-0249296A9F5B}" name="Quantity"/>
    <tableColumn id="8" xr3:uid="{213C87AC-BF9F-4C75-A403-FF4D3437AC0D}" name="Quantity Unit">
      <calculatedColumnFormula array="1">Common_InputFunctions.Utility_DisplayArrayInTable(Scope3_SourceData.Scope3_InorganicFertilisers_Data(), Table_SourceData_Scope3_InorganicFertiliser[[#Headers],[Category]], 0, -2)</calculatedColumnFormula>
    </tableColumn>
    <tableColumn id="9" xr3:uid="{B44ECD13-5803-40AE-A215-B75718D19ABB}" name="Emissions intensity">
      <calculatedColumnFormula array="1">Common_InputFunctions.Utility_DisplayArrayInTable(Scope3_SourceData.Scope3_InorganicFertilisers_Data(), Table_SourceData_Scope3_InorganicFertiliser[[#Headers],[Category]], 0, -2)</calculatedColumnFormula>
    </tableColumn>
    <tableColumn id="10" xr3:uid="{368BA1DC-9CA1-4ABC-92A7-A7A96A347F89}" name="System boundary" dataDxfId="212" dataCellStyle="Content normal">
      <calculatedColumnFormula array="1">Common_InputFunctions.Utility_DisplayArrayInTable(Scope3_SourceData.Scope3_InorganicFertilisers_Data(), Table_SourceData_Scope3_InorganicFertiliser[[#Headers],[Category]], 0, -2)</calculatedColumnFormula>
    </tableColumn>
    <tableColumn id="11" xr3:uid="{927BEB6A-6003-4158-BD87-DC9C5752EA31}" name="Source" dataDxfId="211" dataCellStyle="Content normal"/>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62D215E3-9660-4462-B08C-3E351EFAF4FC}" name="Table_SourceData_Scope3_Other" displayName="Table_SourceData_Scope3_Other" ref="D201:J209" totalsRowShown="0" dataDxfId="210"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94914DC-BF03-4A63-8D45-FAD815F69895}" name="Category" dataDxfId="209" dataCellStyle="Content normal">
      <calculatedColumnFormula array="1">Common_InputFunctions.Utility_DisplayArrayInTable(Scope3_SourceData.Scope3_Other_Data(), Table_SourceData_Scope3_Other[[#Headers],[Category]], 0, 2)</calculatedColumnFormula>
    </tableColumn>
    <tableColumn id="2" xr3:uid="{7A200A2A-F7EF-4007-8DCF-229CA500BD3D}" name="Product" dataDxfId="208" dataCellStyle="Content normal">
      <calculatedColumnFormula array="1">Common_InputFunctions.Utility_DisplayArrayInTable(Scope3_SourceData.Scope3_Other_Data(), Table_SourceData_Scope3_Other[[#Headers],[Category]], 0, 2)</calculatedColumnFormula>
    </tableColumn>
    <tableColumn id="3" xr3:uid="{196344AF-2F2F-4232-9202-8FD88DA27FDE}" name="Region of origin" dataDxfId="207" dataCellStyle="Content normal">
      <calculatedColumnFormula array="1">Common_InputFunctions.Utility_DisplayArrayInTable(Scope3_SourceData.Scope3_Other_Data(), Table_SourceData_Scope3_Other[[#Headers],[Category]], 0, 2)</calculatedColumnFormula>
    </tableColumn>
    <tableColumn id="8" xr3:uid="{6D661C9F-2319-425B-B810-9C0B8C158BB0}" name="Quantity Unit" dataDxfId="206" dataCellStyle="Content normal">
      <calculatedColumnFormula array="1">Common_InputFunctions.Utility_DisplayArrayInTable(Scope3_SourceData.Scope3_Other_Data(), Table_SourceData_Scope3_Other[[#Headers],[Category]], 0, 2)</calculatedColumnFormula>
    </tableColumn>
    <tableColumn id="9" xr3:uid="{9B73F6FE-1B8C-4816-8FB7-EC9207F14F2F}" name="Emissions intensity" dataDxfId="205" dataCellStyle="Content normal">
      <calculatedColumnFormula array="1">Common_InputFunctions.Utility_DisplayArrayInTable(Scope3_SourceData.Scope3_Other_Data(), Table_SourceData_Scope3_Other[[#Headers],[Category]], 0, 2)</calculatedColumnFormula>
    </tableColumn>
    <tableColumn id="10" xr3:uid="{404F3035-1294-4081-8908-924B49BEA8D5}" name="System boundary" dataDxfId="204" dataCellStyle="Content normal">
      <calculatedColumnFormula array="1">Common_InputFunctions.Utility_DisplayArrayInTable(Scope3_SourceData.Scope3_Other_Data(), Table_SourceData_Scope3_Other[[#Headers],[Category]], 0, 2)</calculatedColumnFormula>
    </tableColumn>
    <tableColumn id="4" xr3:uid="{B4C8A30D-CCA2-472E-8CBD-4287AADCEB52}" name="Source" dataDxfId="203" dataCellStyle="Content normal"/>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20C5D5A5-0662-4DAD-B438-3FC2A946E7BC}" name="Table_SourceData_Scope3_Packaging" displayName="Table_SourceData_Scope3_Packaging" ref="D212:J216" totalsRowShown="0" dataDxfId="202"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735184E-F9B8-4B67-BB68-F2CE89E6AE0C}" name="Category" dataDxfId="201" dataCellStyle="Content normal">
      <calculatedColumnFormula array="1">Common_InputFunctions.Utility_DisplayArrayInTable(Scope3_SourceData.Scope3_Packaging_Data(), Table_SourceData_Scope3_Packaging[[#Headers],[Category]], 0, 2)</calculatedColumnFormula>
    </tableColumn>
    <tableColumn id="2" xr3:uid="{F64CCD97-211B-48C6-A65E-D04C8C892D0D}" name="Product" dataDxfId="200" dataCellStyle="Content normal">
      <calculatedColumnFormula array="1">Common_InputFunctions.Utility_DisplayArrayInTable(Scope3_SourceData.Scope3_Packaging_Data(), Table_SourceData_Scope3_Packaging[[#Headers],[Category]], 0, 2)</calculatedColumnFormula>
    </tableColumn>
    <tableColumn id="3" xr3:uid="{5E60E165-155C-4001-A459-679B1F87ADFE}" name="Region of origin" dataDxfId="199" dataCellStyle="Content normal">
      <calculatedColumnFormula array="1">Common_InputFunctions.Utility_DisplayArrayInTable(Scope3_SourceData.Scope3_Packaging_Data(), Table_SourceData_Scope3_Packaging[[#Headers],[Category]], 0, 2)</calculatedColumnFormula>
    </tableColumn>
    <tableColumn id="8" xr3:uid="{E93F9677-FD02-4272-A656-11CD5F7C2455}" name="Quantity Unit" dataDxfId="198" dataCellStyle="Content normal">
      <calculatedColumnFormula array="1">Common_InputFunctions.Utility_DisplayArrayInTable(Scope3_SourceData.Scope3_Packaging_Data(), Table_SourceData_Scope3_Packaging[[#Headers],[Category]], 0, 2)</calculatedColumnFormula>
    </tableColumn>
    <tableColumn id="9" xr3:uid="{D344BA90-CAD7-4EFA-9DDC-AE361FF4604B}" name="Emissions intensity" dataDxfId="197" dataCellStyle="Content normal">
      <calculatedColumnFormula array="1">Common_InputFunctions.Utility_DisplayArrayInTable(Scope3_SourceData.Scope3_Packaging_Data(), Table_SourceData_Scope3_Packaging[[#Headers],[Category]], 0, 2)</calculatedColumnFormula>
    </tableColumn>
    <tableColumn id="10" xr3:uid="{05A63221-4F3F-473E-AF29-A76FCB409077}" name="System boundary" dataDxfId="196" dataCellStyle="Content normal">
      <calculatedColumnFormula array="1">Common_InputFunctions.Utility_DisplayArrayInTable(Scope3_SourceData.Scope3_Packaging_Data(), Table_SourceData_Scope3_Packaging[[#Headers],[Category]], 0, 2)</calculatedColumnFormula>
    </tableColumn>
    <tableColumn id="4" xr3:uid="{08E72CD1-AB9C-46F5-8E66-005B4A8F4C15}" name="Source" dataDxfId="195" dataCellStyle="Content normal"/>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39519BFA-7DF0-4A5F-9208-22833A59F265}" name="Table_SourceData_Scope3_Pesticides" displayName="Table_SourceData_Scope3_Pesticides" ref="D219:J231" totalsRowShown="0" dataDxfId="194"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08D0B0D-0E16-44F1-9000-4445DC7CFF57}" name="Category" dataDxfId="193" dataCellStyle="Content normal">
      <calculatedColumnFormula array="1">Common_InputFunctions.Utility_DisplayArrayInTable(Scope3_SourceData.Scope3_Pesticides_Data(), Table_SourceData_Scope3_Pesticides[[#Headers],[Category]], 0, 2)</calculatedColumnFormula>
    </tableColumn>
    <tableColumn id="2" xr3:uid="{B773F82F-3FE0-4C73-84BC-7B7C9C78F008}" name="Product" dataDxfId="192" dataCellStyle="Content normal">
      <calculatedColumnFormula array="1">Common_InputFunctions.Utility_DisplayArrayInTable(Scope3_SourceData.Scope3_Pesticides_Data(), Table_SourceData_Scope3_Pesticides[[#Headers],[Category]], 0, 2)</calculatedColumnFormula>
    </tableColumn>
    <tableColumn id="3" xr3:uid="{6C5532DD-51C1-43DF-BD8C-8375F104B282}" name="Region of origin" dataDxfId="191" dataCellStyle="Content normal">
      <calculatedColumnFormula array="1">Common_InputFunctions.Utility_DisplayArrayInTable(Scope3_SourceData.Scope3_Pesticides_Data(), Table_SourceData_Scope3_Pesticides[[#Headers],[Category]], 0, 2)</calculatedColumnFormula>
    </tableColumn>
    <tableColumn id="8" xr3:uid="{A1CD563E-1F12-4F08-8BC7-C785B8A6CB8E}" name="Quantity Unit" dataDxfId="190" dataCellStyle="Content normal">
      <calculatedColumnFormula array="1">Common_InputFunctions.Utility_DisplayArrayInTable(Scope3_SourceData.Scope3_Pesticides_Data(), Table_SourceData_Scope3_Pesticides[[#Headers],[Category]], 0, 2)</calculatedColumnFormula>
    </tableColumn>
    <tableColumn id="9" xr3:uid="{481C8F6F-CFA4-4018-A210-AF6B2881F592}" name="Emissions intensity" dataDxfId="189" dataCellStyle="Content normal">
      <calculatedColumnFormula array="1">Common_InputFunctions.Utility_DisplayArrayInTable(Scope3_SourceData.Scope3_Pesticides_Data(), Table_SourceData_Scope3_Pesticides[[#Headers],[Category]], 0, 2)</calculatedColumnFormula>
    </tableColumn>
    <tableColumn id="10" xr3:uid="{8BF8F1F3-FF23-4273-A9B5-12E200CCC3EB}" name="System boundary" dataDxfId="188" dataCellStyle="Content normal">
      <calculatedColumnFormula array="1">Common_InputFunctions.Utility_DisplayArrayInTable(Scope3_SourceData.Scope3_Pesticides_Data(), Table_SourceData_Scope3_Pesticides[[#Headers],[Category]], 0, 2)</calculatedColumnFormula>
    </tableColumn>
    <tableColumn id="4" xr3:uid="{14B962D4-D2C2-4C4B-97F3-C1BBDA55E7C9}" name="Source" dataDxfId="187" dataCellStyle="Content normal"/>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AFB34510-5EEF-4525-AA9E-C0460C88B77D}" name="Table_SourceData_Scope3_SoilAmeliorants" displayName="Table_SourceData_Scope3_SoilAmeliorants" ref="D234:J237" totalsRowShown="0" dataDxfId="186"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B2E216C-8AA6-40F8-AE62-CACDEF04A47A}" name="Category" dataDxfId="185" dataCellStyle="Content normal">
      <calculatedColumnFormula array="1">Common_InputFunctions.Utility_DisplayArrayInTable(Scope3_SourceData.Scope3_SoilAmendments_Data(), Table_SourceData_Scope3_SoilAmeliorants[[#Headers],[Category]], 0, 2)</calculatedColumnFormula>
    </tableColumn>
    <tableColumn id="2" xr3:uid="{0F47FB31-BA9D-41A6-BEDE-1D8657989C80}" name="Product" dataDxfId="184" dataCellStyle="Content normal">
      <calculatedColumnFormula array="1">Common_InputFunctions.Utility_DisplayArrayInTable(Scope3_SourceData.Scope3_SoilAmendments_Data(), Table_SourceData_Scope3_SoilAmeliorants[[#Headers],[Category]], 0, 2)</calculatedColumnFormula>
    </tableColumn>
    <tableColumn id="3" xr3:uid="{DFC66D73-282E-4109-8E04-1B9E84719D8B}" name="Region of origin" dataDxfId="183" dataCellStyle="Content normal">
      <calculatedColumnFormula array="1">Common_InputFunctions.Utility_DisplayArrayInTable(Scope3_SourceData.Scope3_SoilAmendments_Data(), Table_SourceData_Scope3_SoilAmeliorants[[#Headers],[Category]], 0, 2)</calculatedColumnFormula>
    </tableColumn>
    <tableColumn id="8" xr3:uid="{48C71071-EA79-4A61-AD2C-6D983AD77482}" name="Quantity Unit" dataDxfId="182" dataCellStyle="Content normal">
      <calculatedColumnFormula array="1">Common_InputFunctions.Utility_DisplayArrayInTable(Scope3_SourceData.Scope3_SoilAmendments_Data(), Table_SourceData_Scope3_SoilAmeliorants[[#Headers],[Category]], 0, 2)</calculatedColumnFormula>
    </tableColumn>
    <tableColumn id="9" xr3:uid="{0343BDBD-EBDD-40B5-A13C-86AA467AD21B}" name="Emissions intensity" dataDxfId="181" dataCellStyle="Content normal">
      <calculatedColumnFormula array="1">Common_InputFunctions.Utility_DisplayArrayInTable(Scope3_SourceData.Scope3_SoilAmendments_Data(), Table_SourceData_Scope3_SoilAmeliorants[[#Headers],[Category]], 0, 2)</calculatedColumnFormula>
    </tableColumn>
    <tableColumn id="10" xr3:uid="{4AB5EF82-947A-4873-9F7D-5D93316332BC}" name="System boundary" dataDxfId="180" dataCellStyle="Content normal">
      <calculatedColumnFormula array="1">Common_InputFunctions.Utility_DisplayArrayInTable(Scope3_SourceData.Scope3_SoilAmendments_Data(), Table_SourceData_Scope3_SoilAmeliorants[[#Headers],[Category]], 0, 2)</calculatedColumnFormula>
    </tableColumn>
    <tableColumn id="4" xr3:uid="{0B36A2AB-14E2-46F5-9727-C4D17C6A11DA}" name="Source" dataDxfId="179" dataCellStyle="Content normal"/>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88CF0280-E731-4DB7-8670-B8390499458A}" name="Table_SourceData_Scope3_ChemicalsPharmacy" displayName="Table_SourceData_Scope3_ChemicalsPharmacy" ref="D82:J86" totalsRowShown="0" dataDxfId="178"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953DA3C-3BC6-47BF-9ED8-25EA5BD2A5F3}" name="Category" dataDxfId="177" dataCellStyle="Content normal">
      <calculatedColumnFormula array="1">Common_InputFunctions.Utility_DisplayArrayInTable(Scope3_SourceData.Scope3_Chemicals_Data(), Table_SourceData_Scope3_ChemicalsPharmacy[[#Headers],[Category]], -3, 2)</calculatedColumnFormula>
    </tableColumn>
    <tableColumn id="2" xr3:uid="{32DAAE1D-DF8D-427A-9F57-8888519326CD}" name="Product" dataDxfId="176" dataCellStyle="Content normal">
      <calculatedColumnFormula array="1">Common_InputFunctions.Utility_DisplayArrayInTable(Scope3_SourceData.Scope3_Chemicals_Data(), Table_SourceData_Scope3_ChemicalsPharmacy[[#Headers],[Category]], -3, 2)</calculatedColumnFormula>
    </tableColumn>
    <tableColumn id="3" xr3:uid="{0AFAE9E4-D5FA-4F16-9251-622714C5D2ED}" name="Region of origin" dataDxfId="175" dataCellStyle="Content normal">
      <calculatedColumnFormula array="1">Common_InputFunctions.Utility_DisplayArrayInTable(Scope3_SourceData.Scope3_Chemicals_Data(), Table_SourceData_Scope3_ChemicalsPharmacy[[#Headers],[Category]], -3, 2)</calculatedColumnFormula>
    </tableColumn>
    <tableColumn id="8" xr3:uid="{6A4F0C21-092C-422F-AFBF-110E81EBEFC9}" name="Quantity Unit" dataDxfId="174" dataCellStyle="Content normal">
      <calculatedColumnFormula array="1">Common_InputFunctions.Utility_DisplayArrayInTable(Scope3_SourceData.Scope3_Chemicals_Data(), Table_SourceData_Scope3_ChemicalsPharmacy[[#Headers],[Category]], -3, 2)</calculatedColumnFormula>
    </tableColumn>
    <tableColumn id="9" xr3:uid="{87A5E260-1C38-4A5B-B5D9-00040C2EC617}" name="Emissions intensity" dataDxfId="173" dataCellStyle="Content normal">
      <calculatedColumnFormula array="1">Common_InputFunctions.Utility_DisplayArrayInTable(Scope3_SourceData.Scope3_Chemicals_Data(), Table_SourceData_Scope3_ChemicalsPharmacy[[#Headers],[Category]], -3, 2)</calculatedColumnFormula>
    </tableColumn>
    <tableColumn id="10" xr3:uid="{B139DE22-5F26-4DA6-A096-3C110800BB40}" name="System boundary" dataDxfId="172" dataCellStyle="Content normal">
      <calculatedColumnFormula array="1">Common_InputFunctions.Utility_DisplayArrayInTable(Scope3_SourceData.Scope3_Chemicals_Data(), Table_SourceData_Scope3_ChemicalsPharmacy[[#Headers],[Category]], -3, 2)</calculatedColumnFormula>
    </tableColumn>
    <tableColumn id="4" xr3:uid="{0818E23A-C7A8-4EF8-9FA7-F794F605F44D}" name="Source" dataDxfId="171" dataCellStyle="Content normal"/>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C073796E-0579-44E2-A4F1-BF9B5103C718}" name="Table_SourceData_Scope3_LickBlocks" displayName="Table_SourceData_Scope3_LickBlocks" ref="D167:J170" totalsRowShown="0" headerRowDxfId="170"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34447F2-4E96-44C5-883D-4AC19AC15F8F}" name="Category" dataDxfId="169" dataCellStyle="Content normal">
      <calculatedColumnFormula array="1">Common_InputFunctions.Utility_DisplayArrayInTable(Scope3_SourceData.Scope3_Feed_Data(), Table_SourceData_Scope3_LickBlocks[[#Headers],[Category]], -73, 2)</calculatedColumnFormula>
    </tableColumn>
    <tableColumn id="2" xr3:uid="{1D209DC4-528A-4DCA-8127-E484F323A91A}" name="Product" dataDxfId="168" dataCellStyle="Content normal">
      <calculatedColumnFormula array="1">Common_InputFunctions.Utility_DisplayArrayInTable(Scope3_SourceData.Scope3_Feed_Data(), Table_SourceData_Scope3_LickBlocks[[#Headers],[Category]], -73, 2)</calculatedColumnFormula>
    </tableColumn>
    <tableColumn id="3" xr3:uid="{51BC3511-EE65-4BCF-906B-3DDD2815342D}" name="Region of origin" dataDxfId="167" dataCellStyle="Content normal">
      <calculatedColumnFormula array="1">Common_InputFunctions.Utility_DisplayArrayInTable(Scope3_SourceData.Scope3_Feed_Data(), Table_SourceData_Scope3_LickBlocks[[#Headers],[Category]], -73, 2)</calculatedColumnFormula>
    </tableColumn>
    <tableColumn id="4" xr3:uid="{2612B804-195D-4339-83A6-A3B45D55BC51}" name="Quantity Unit" dataDxfId="166" dataCellStyle="Content normal">
      <calculatedColumnFormula array="1">Common_InputFunctions.Utility_DisplayArrayInTable(Scope3_SourceData.Scope3_Feed_Data(), Table_SourceData_Scope3_LickBlocks[[#Headers],[Category]], -73, 2)</calculatedColumnFormula>
    </tableColumn>
    <tableColumn id="5" xr3:uid="{86E67ECA-6DA6-4EEC-A51C-9381B69596E2}" name="Emissions intensity" dataDxfId="165" dataCellStyle="Content normal">
      <calculatedColumnFormula array="1">Common_InputFunctions.Utility_DisplayArrayInTable(Scope3_SourceData.Scope3_Feed_Data(), Table_SourceData_Scope3_LickBlocks[[#Headers],[Category]], -73, 2)</calculatedColumnFormula>
    </tableColumn>
    <tableColumn id="6" xr3:uid="{E42FA9B3-83C5-46DF-AE5A-5FD65072A4A2}" name="System boundary" dataDxfId="164" dataCellStyle="Content normal">
      <calculatedColumnFormula array="1">Common_InputFunctions.Utility_DisplayArrayInTable(Scope3_SourceData.Scope3_Feed_Data(), Table_SourceData_Scope3_LickBlocks[[#Headers],[Category]], -73, 2)</calculatedColumnFormula>
    </tableColumn>
    <tableColumn id="7" xr3:uid="{F3CC9DBD-F196-47CC-8842-7C48DA8B77BD}" name="Source" dataDxfId="163" dataCellStyle="Content normal"/>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3C0E2E9D-B91D-425D-907B-9D953CB0DB2D}" name="Table_SourceData_Scope3_MixedRations" displayName="Table_SourceData_Scope3_MixedRations" ref="D161:J165" totalsRowShown="0" headerRowDxfId="162"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4ACB9E2-875D-4236-BE49-46E2C5B629A1}" name="Category" dataDxfId="161" dataCellStyle="Content normal">
      <calculatedColumnFormula array="1">Common_InputFunctions.Utility_DisplayArrayInTable(Scope3_SourceData.Scope3_Feed_Data(), Table_SourceData_Scope3_MixedRations[[#Headers],[Category]], -66, 2)</calculatedColumnFormula>
    </tableColumn>
    <tableColumn id="2" xr3:uid="{68D45EF5-B194-4095-88C9-B4525F39BC76}" name="Product" dataDxfId="160" dataCellStyle="Content normal">
      <calculatedColumnFormula array="1">Common_InputFunctions.Utility_DisplayArrayInTable(Scope3_SourceData.Scope3_Feed_Data(), Table_SourceData_Scope3_MixedRations[[#Headers],[Category]], -66, 2)</calculatedColumnFormula>
    </tableColumn>
    <tableColumn id="3" xr3:uid="{745A4A9B-B1F4-4071-B06E-B779D96D2F79}" name="Region of origin" dataDxfId="159" dataCellStyle="Content normal">
      <calculatedColumnFormula array="1">Common_InputFunctions.Utility_DisplayArrayInTable(Scope3_SourceData.Scope3_Feed_Data(), Table_SourceData_Scope3_MixedRations[[#Headers],[Category]], -66, 2)</calculatedColumnFormula>
    </tableColumn>
    <tableColumn id="4" xr3:uid="{BA26842B-EE74-4FF6-8BA7-23165943ADE0}" name="Quantity Unit" dataDxfId="158" dataCellStyle="Content normal">
      <calculatedColumnFormula array="1">Common_InputFunctions.Utility_DisplayArrayInTable(Scope3_SourceData.Scope3_Feed_Data(), Table_SourceData_Scope3_MixedRations[[#Headers],[Category]], -66, 2)</calculatedColumnFormula>
    </tableColumn>
    <tableColumn id="5" xr3:uid="{3262D331-901C-4B7C-9C16-486C82E09CB9}" name="Emissions intensity" dataDxfId="157" dataCellStyle="Content normal">
      <calculatedColumnFormula array="1">Common_InputFunctions.Utility_DisplayArrayInTable(Scope3_SourceData.Scope3_Feed_Data(), Table_SourceData_Scope3_MixedRations[[#Headers],[Category]], -66, 2)</calculatedColumnFormula>
    </tableColumn>
    <tableColumn id="6" xr3:uid="{EE3C67AA-6645-4F9E-8736-28F0BCF7F6CC}" name="System boundary" dataDxfId="156" dataCellStyle="Content normal">
      <calculatedColumnFormula array="1">Common_InputFunctions.Utility_DisplayArrayInTable(Scope3_SourceData.Scope3_Feed_Data(), Table_SourceData_Scope3_MixedRations[[#Headers],[Category]], -66, 2)</calculatedColumnFormula>
    </tableColumn>
    <tableColumn id="7" xr3:uid="{A1278088-FE14-4B40-A5E4-B8AFA1DD5055}" name="Source" dataDxfId="155" dataCellStyle="Content normal"/>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BD406903-6F1D-4498-B5C9-A2626FF26D2D}"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F1CB2AB3-6B84-4C2E-932C-44E2DDF2A0C7}" name="Product">
      <calculatedColumnFormula>Table_SourceData_Scope3_FishFeedAndBait[[#This Row],[Product]]</calculatedColumnFormula>
    </tableColumn>
    <tableColumn id="2" xr3:uid="{2484BA0D-191B-423B-8ACD-049D8D3BD00A}"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3B39B7E1-45D7-4866-B0B7-933FF2586722}"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1872435A-BE80-475B-BB3C-E2CD0C72E026}" name="Product">
      <calculatedColumnFormula>Table_SourceData_Scope3_Feed[[#This Row],[Product]]</calculatedColumnFormula>
    </tableColumn>
    <tableColumn id="2" xr3:uid="{4CA880FB-5FEF-44ED-927B-D50AC4449924}" name="Region">
      <calculatedColumnFormula>Table_SourceData_Scope3_Feed[[#This Row],[Region of origin]]</calculatedColumnFormula>
    </tableColumn>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91458FE2-C672-4446-8358-DA6680D78C88}" name="Table_ProductRegions_Maizegrain" displayName="Table_ProductRegions_Maizegrain" ref="L97:M104" totalsRowShown="0" headerRowDxfId="154" headerRowCellStyle="Content normal">
  <autoFilter ref="L97:M104" xr:uid="{70F320A7-5DBE-4A83-91E4-C9B3BDA564BD}">
    <filterColumn colId="0" hiddenButton="1"/>
    <filterColumn colId="1" hiddenButton="1"/>
  </autoFilter>
  <tableColumns count="2">
    <tableColumn id="1" xr3:uid="{771B05C2-3955-4238-B248-F978DB5DEBD3}" name="Product">
      <calculatedColumnFormula>Table_SourceData_Scope3_Feed[[#This Row],[Product]]</calculatedColumnFormula>
    </tableColumn>
    <tableColumn id="2" xr3:uid="{08804F99-295F-4671-BFA0-C2E26F1FBEC2}" name="Region">
      <calculatedColumnFormula>Table_SourceData_Scope3_Feed[[#This Row],[Region of origin]]</calculatedColumnFormula>
    </tableColumn>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A45E5970-D58A-45D9-9B7F-CE59E56585E3}" name="Table_ProductRegions_Sorghumgrain" displayName="Table_ProductRegions_Sorghumgrain" ref="O104:P109" totalsRowShown="0" headerRowDxfId="153" headerRowCellStyle="Content normal">
  <autoFilter ref="O104:P109" xr:uid="{90205417-8A77-41A3-A4E2-624BD92B7269}">
    <filterColumn colId="0" hiddenButton="1"/>
    <filterColumn colId="1" hiddenButton="1"/>
  </autoFilter>
  <tableColumns count="2">
    <tableColumn id="1" xr3:uid="{54B9762D-0BE1-451A-9B75-37232F7645E9}" name="Product">
      <calculatedColumnFormula>Table_SourceData_Scope3_Feed[[#This Row],[Product]]</calculatedColumnFormula>
    </tableColumn>
    <tableColumn id="2" xr3:uid="{11CD08E8-EAF7-4C59-A17C-05145055BAD3}" name="Region">
      <calculatedColumnFormula>Table_SourceData_Scope3_Feed[[#This Row],[Region of origin]]</calculatedColumnFormula>
    </tableColumn>
  </tableColumns>
  <tableStyleInfo name="Equation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BD1ECD27-AB03-445D-A652-E4AC0A08BD31}" name="Table_ProductRegions_Wheatgrain" displayName="Table_ProductRegions_Wheatgrain" ref="L109:M117" totalsRowShown="0" headerRowDxfId="152" headerRowCellStyle="Content normal">
  <autoFilter ref="L109:M117" xr:uid="{9DD7D3AD-59A1-48FC-B80D-99C25A2A79F5}">
    <filterColumn colId="0" hiddenButton="1"/>
    <filterColumn colId="1" hiddenButton="1"/>
  </autoFilter>
  <tableColumns count="2">
    <tableColumn id="1" xr3:uid="{B4803330-8CB7-46B6-83D0-1E15A80AC694}" name="Product">
      <calculatedColumnFormula>Table_SourceData_Scope3_Feed[[#This Row],[Product]]</calculatedColumnFormula>
    </tableColumn>
    <tableColumn id="2" xr3:uid="{1751BC88-7E92-4F55-927F-867786D87E96}" name="Region">
      <calculatedColumnFormula>Table_SourceData_Scope3_Feed[[#This Row],[Region of origin]]</calculatedColumnFormula>
    </tableColumn>
  </tableColumns>
  <tableStyleInfo name="Equation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0DDAA1B0-8DF0-4AE7-B03B-895501BD5DEB}"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9584ACCB-7976-4CAB-9038-A71A2B933195}" name="Product">
      <calculatedColumnFormula>Table_SourceData_Scope3_Feed[[#This Row],[Product]]</calculatedColumnFormula>
    </tableColumn>
    <tableColumn id="2" xr3:uid="{DA8866F1-0F02-4548-9AE8-BD54190C1BB2}" name="Region">
      <calculatedColumnFormula>Table_SourceData_Scope3_Feed[[#This Row],[Region of origin]]</calculatedColumnFormula>
    </tableColumn>
  </tableColumns>
  <tableStyleInfo name="Equation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C82DA1F3-4543-4AA5-9BAD-1FA30F021DC4}"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986083EC-D283-442B-9C48-CDC49AEA02C1}" name="Product">
      <calculatedColumnFormula>Table_SourceData_Scope3_Feed[[#This Row],[Product]]</calculatedColumnFormula>
    </tableColumn>
    <tableColumn id="2" xr3:uid="{955D284C-9E02-4ECB-B010-9EF000033D71}" name="Region">
      <calculatedColumnFormula>Table_SourceData_Scope3_Feed[[#This Row],[Region of origin]]</calculatedColumnFormula>
    </tableColumn>
  </tableColumns>
  <tableStyleInfo name="Equation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946B70B9-02A1-49B0-9901-135562277C7B}"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1C601CCC-B260-43D2-92EF-BEA1B1F14403}" name="Product">
      <calculatedColumnFormula>Table_SourceData_Scope3_Feed[[#This Row],[Product]]</calculatedColumnFormula>
    </tableColumn>
    <tableColumn id="2" xr3:uid="{DF937048-107D-406B-BC8F-3C792D4844AD}" name="Region">
      <calculatedColumnFormula>Table_SourceData_Scope3_Feed[[#This Row],[Region of origin]]</calculatedColumnFormula>
    </tableColumn>
  </tableColumns>
  <tableStyleInfo name="Equation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A7FB6B36-A612-45C5-8DF9-DD761F0ABB9C}"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33530E41-FCC0-4319-A856-27E45DE793E2}" name="Product">
      <calculatedColumnFormula>Table_SourceData_Scope3_Feed[[#This Row],[Product]]</calculatedColumnFormula>
    </tableColumn>
    <tableColumn id="2" xr3:uid="{63BC855A-786A-4530-BEF2-5F72EE2E7FB8}" name="Region">
      <calculatedColumnFormula>Table_SourceData_Scope3_Feed[[#This Row],[Region of origin]]</calculatedColumnFormula>
    </tableColumn>
  </tableColumns>
  <tableStyleInfo name="Equation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D4954804-D51D-4A50-8F48-24F6A174EF58}"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A6FC36E3-D8C8-47C3-8F68-575AC5BFED8D}" name="Product">
      <calculatedColumnFormula>Table_SourceData_Scope3_Feed[[#This Row],[Product]]</calculatedColumnFormula>
    </tableColumn>
    <tableColumn id="2" xr3:uid="{729CCD14-E254-4696-BF1C-57C839E93DD3}" name="Region">
      <calculatedColumnFormula>Table_SourceData_Scope3_Feed[[#This Row],[Region of origin]]</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1B80E0B2-1A12-46B2-AB74-44A0D4820D41}" name="Table_ProductRegions_Canolameal" displayName="Table_ProductRegions_Canolameal" ref="L150:M151" totalsRowShown="0" headerRowDxfId="151" headerRowCellStyle="Content normal" dataCellStyle="Content normal">
  <autoFilter ref="L150:M151" xr:uid="{58F78B6F-294E-4D4E-8E3B-BFE4FA85583E}">
    <filterColumn colId="0" hiddenButton="1"/>
    <filterColumn colId="1" hiddenButton="1"/>
  </autoFilter>
  <tableColumns count="2">
    <tableColumn id="1" xr3:uid="{B262A10D-7B4C-47AC-87A0-86939FA34391}" name="Product" dataCellStyle="Content normal">
      <calculatedColumnFormula>Table_SourceData_Scope3_Feed[[#This Row],[Product]]</calculatedColumnFormula>
    </tableColumn>
    <tableColumn id="2" xr3:uid="{F6E029B3-0DBC-4537-ABFA-8591821A368B}"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FDC08A6C-BDE1-40F5-8449-75702E1A3A57}"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FD4D0F6E-BA0D-4720-BF09-89E0235D4948}" name="Product">
      <calculatedColumnFormula>Table_SourceData_Scope3_Feed[[#This Row],[Product]]</calculatedColumnFormula>
    </tableColumn>
    <tableColumn id="2" xr3:uid="{1DC83173-3A78-44A8-9694-E6BD503FCC36}" name="Region">
      <calculatedColumnFormula>Table_SourceData_Scope3_Feed[[#This Row],[Region of origin]]</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FE4337A3-C292-4C45-8F6A-C7945438C4FA}"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F10FA36D-49F6-4964-B201-F24693FC2179}" name="Product">
      <calculatedColumnFormula>Table_SourceData_Scope3_Feed[[#This Row],[Product]]</calculatedColumnFormula>
    </tableColumn>
    <tableColumn id="2" xr3:uid="{216AB01C-5B9D-494B-9A44-9FC61C769896}" name="Region">
      <calculatedColumnFormula>Table_SourceData_Scope3_Feed[[#This Row],[Region of origin]]</calculatedColumnFormula>
    </tableColumn>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3" xr:uid="{130ECC4B-C073-4698-A230-697F3DB5A2B4}"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231463F4-F919-4FAB-BFEE-FBB98EEB9262}" name="Product">
      <calculatedColumnFormula>Table_SourceData_Scope3_Feed[[#This Row],[Product]]</calculatedColumnFormula>
    </tableColumn>
    <tableColumn id="2" xr3:uid="{4459E13D-B2C5-4940-8DFB-7A4EFD366A23}" name="Region">
      <calculatedColumnFormula>Table_SourceData_Scope3_Feed[[#This Row],[Region of origin]]</calculatedColumnFormula>
    </tableColumn>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4" xr:uid="{A60E7A91-450F-4276-8FF9-9FF2BBB7F76B}"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CBC848FB-2690-4EFB-9E63-DB192C2A56AD}" name="Product">
      <calculatedColumnFormula>Table_SourceData_Scope3_Feed[[#This Row],[Product]]</calculatedColumnFormula>
    </tableColumn>
    <tableColumn id="2" xr3:uid="{181F653F-DE7E-40CE-B279-B1DFDAD9D96F}" name="Region">
      <calculatedColumnFormula>Table_SourceData_Scope3_Feed[[#This Row],[Region of origin]]</calculatedColumnFormula>
    </tableColumn>
  </tableColumns>
  <tableStyleInfo name="Equation table" showFirstColumn="0" showLastColumn="0" showRowStripes="1" showColumnStripes="0"/>
</table>
</file>

<file path=xl/tables/table1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5" xr:uid="{14FF178A-5A4D-411A-9D7E-DF27426E237B}"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6F2FDB4C-09B1-4954-8B0B-AAA4CCB74BD1}" name="Product">
      <calculatedColumnFormula>Table_SourceData_Scope3_Feed[[#This Row],[Product]]</calculatedColumnFormula>
    </tableColumn>
    <tableColumn id="2" xr3:uid="{E8F0996B-17B3-4D22-B761-0CE3A353FCEF}" name="Region">
      <calculatedColumnFormula>Table_SourceData_Scope3_Feed[[#This Row],[Region of origin]]</calculatedColumnFormula>
    </tableColumn>
  </tableColumns>
  <tableStyleInfo name="Equation table" showFirstColumn="0" showLastColumn="0" showRowStripes="1" showColumnStripes="0"/>
</table>
</file>

<file path=xl/tables/table1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6" xr:uid="{B2A1D259-14EB-4070-A897-371F63EA6237}"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16DCAC49-FC05-447B-B892-6477D4775247}" name="Product">
      <calculatedColumnFormula>Table_SourceData_Scope3_Feed[[#This Row],[Product]]</calculatedColumnFormula>
    </tableColumn>
    <tableColumn id="2" xr3:uid="{76F4BFC3-F24B-4906-9908-0F5B82E3CE7F}" name="Region">
      <calculatedColumnFormula>Table_SourceData_Scope3_Feed[[#This Row],[Region of origin]]</calculatedColumnFormula>
    </tableColumn>
  </tableColumns>
  <tableStyleInfo name="Equation table" showFirstColumn="0" showLastColumn="0" showRowStripes="1" showColumnStripes="0"/>
</table>
</file>

<file path=xl/tables/table1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7" xr:uid="{A3A80B74-12F5-4D1B-8E62-52B449D51B2E}"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FA73D6E8-4B85-4F6B-B1AB-F727E697DF9E}" name="Product">
      <calculatedColumnFormula>Table_SourceData_Scope3_Feed[[#This Row],[Product]]</calculatedColumnFormula>
    </tableColumn>
    <tableColumn id="2" xr3:uid="{0CE8F581-706E-4E47-9D39-B23BE6FE2432}" name="Region">
      <calculatedColumnFormula>Table_SourceData_Scope3_Feed[[#This Row],[Region of origin]]</calculatedColumnFormula>
    </tableColumn>
  </tableColumns>
  <tableStyleInfo name="Equation table" showFirstColumn="0" showLastColumn="0" showRowStripes="1" showColumnStripes="0"/>
</table>
</file>

<file path=xl/tables/table1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8" xr:uid="{E27F82CE-A142-4CE7-9E8E-F4B091EDCE51}" name="Table_ProductRegions_Beefcattle139" displayName="Table_ProductRegions_Beefcattle139" ref="L33:M49" totalsRowShown="0">
  <autoFilter ref="L33:M49" xr:uid="{77539992-728B-4655-965B-FB28372E4BBC}">
    <filterColumn colId="0" hiddenButton="1"/>
    <filterColumn colId="1" hiddenButton="1"/>
  </autoFilter>
  <tableColumns count="2">
    <tableColumn id="1" xr3:uid="{C0EF3020-9B42-4AA6-B207-690D886CFC2D}" name="Region"/>
    <tableColumn id="2" xr3:uid="{C76ACE23-FE23-4108-A002-15398FC5628E}" name="Scope3 region"/>
  </tableColumns>
  <tableStyleInfo name="Equation table" showFirstColumn="0" showLastColumn="0" showRowStripes="1" showColumnStripes="0"/>
</table>
</file>

<file path=xl/tables/table1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9" xr:uid="{87F09794-F9DA-494C-8E64-322B772BF228}" name="Table_SourceData_Scope3_FishFeedAndBait" displayName="Table_SourceData_Scope3_FishFeedAndBait" ref="D241:J247" totalsRowShown="0" dataDxfId="150"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D267EA37-9D97-4B36-ADCE-AF060E65C375}" name="Category" dataDxfId="149" dataCellStyle="Content normal">
      <calculatedColumnFormula array="1">Common_InputFunctions.Utility_DisplayArrayInTable(Scope3_SourceData.Scope3_FishFeedAndBait_Data(), Table_SourceData_Scope3_FishFeedAndBait[[#Headers],[Category]], 0, 1)</calculatedColumnFormula>
    </tableColumn>
    <tableColumn id="1" xr3:uid="{5A760EB6-4472-4D5D-A953-5FAEC6ACAA0C}" name="Product" dataDxfId="148" dataCellStyle="Content normal">
      <calculatedColumnFormula array="1">Common_InputFunctions.Utility_DisplayArrayInTable(Scope3_SourceData.Scope3_FishFeedAndBait_Data(), Table_SourceData_Scope3_FishFeedAndBait[[#Headers],[Category]], 0, 1)</calculatedColumnFormula>
    </tableColumn>
    <tableColumn id="2" xr3:uid="{AB979C34-E977-46C7-9716-E2D8F160F97F}" name="Region of origin" dataDxfId="147" dataCellStyle="Content normal">
      <calculatedColumnFormula array="1">Common_InputFunctions.Utility_DisplayArrayInTable(Scope3_SourceData.Scope3_FishFeedAndBait_Data(), Table_SourceData_Scope3_FishFeedAndBait[[#Headers],[Category]], 0, 1)</calculatedColumnFormula>
    </tableColumn>
    <tableColumn id="3" xr3:uid="{BB7D786C-2A25-4030-89A6-30DE690B9E33}" name="Quantity Unit" dataDxfId="146" dataCellStyle="Content normal">
      <calculatedColumnFormula array="1">Common_InputFunctions.Utility_DisplayArrayInTable(Scope3_SourceData.Scope3_FishFeedAndBait_Data(), Table_SourceData_Scope3_FishFeedAndBait[[#Headers],[Category]], 0, 1)</calculatedColumnFormula>
    </tableColumn>
    <tableColumn id="4" xr3:uid="{26AF66BD-A07C-4FFE-A213-E4CD901183BD}" name="Emissions intensity" dataDxfId="145" dataCellStyle="Content normal">
      <calculatedColumnFormula array="1">Common_InputFunctions.Utility_DisplayArrayInTable(Scope3_SourceData.Scope3_FishFeedAndBait_Data(), Table_SourceData_Scope3_FishFeedAndBait[[#Headers],[Category]], 0, 1)</calculatedColumnFormula>
    </tableColumn>
    <tableColumn id="5" xr3:uid="{BF5D3A0C-16F9-4FA3-A87B-064674015B96}" name="System boundary" dataDxfId="144" dataCellStyle="Content normal">
      <calculatedColumnFormula array="1">Common_InputFunctions.Utility_DisplayArrayInTable(Scope3_SourceData.Scope3_FishFeedAndBait_Data(), Table_SourceData_Scope3_FishFeedAndBait[[#Headers],[Category]], 0, 1)</calculatedColumnFormula>
    </tableColumn>
    <tableColumn id="8" xr3:uid="{D78665BB-19FB-4986-B83E-1C35DF52EBA8}" name="Source" dataDxfId="143" dataCellStyle="Content normal"/>
  </tableColumns>
  <tableStyleInfo name="Equation table" showFirstColumn="0" showLastColumn="0" showRowStripes="1" showColumnStripes="0"/>
</table>
</file>

<file path=xl/tables/table1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403B4E24-9D16-4138-98F3-47F2A1FEF471}"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D49830BA-264F-443B-AA6B-6D76D61356B4}"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EE695796-5339-450C-8E50-B831CCB2D343}" name="Waste type w" dataDxfId="142"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90030B66-CE65-4783-891C-72E485AC7527}" name="EFwt" dataDxfId="14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9CA61A2D-ABC7-4332-8C9B-D40B6EE4E880}" name="EF source" dataDxfId="140"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1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CC2F5BD5-768E-4318-A8E7-B7F2FE80C156}"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15E11364-C82F-4BD3-BC97-943D39142F04}"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E1FC587B-5C7A-458D-A7B6-6AAB45F8EB0A}" name="VTMw" dataDxfId="139"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1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0F4C6969-016F-42F1-9974-00CB28623DFA}" name="Table_WasteTypes_Landfill" displayName="Table_WasteTypes_Landfill" ref="I16:I27" totalsRowShown="0">
  <autoFilter ref="I16:I27" xr:uid="{99B942E3-1D24-4166-921C-DCC10960718D}">
    <filterColumn colId="0" hiddenButton="1"/>
  </autoFilter>
  <tableColumns count="1">
    <tableColumn id="1" xr3:uid="{5A6AEBCA-AB42-4AAD-BF05-7DEA60289D6D}"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1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0A2ADF65-3365-4F9D-BA15-812991A3E63B}" name="Table_WasteTypes_Incineration" displayName="Table_WasteTypes_Incineration" ref="K16:K26" totalsRowShown="0" headerRowDxfId="138" headerRowCellStyle="Content normal" dataCellStyle="Content normal">
  <autoFilter ref="K16:K26" xr:uid="{9A900595-7035-4239-9059-ACC16835BF72}">
    <filterColumn colId="0" hiddenButton="1"/>
  </autoFilter>
  <tableColumns count="1">
    <tableColumn id="1" xr3:uid="{F3062997-B334-45A4-84BE-689A5DC3D750}" name="Waste type w" dataCellStyle="Content normal">
      <calculatedColumnFormula>E29</calculatedColumnFormula>
    </tableColumn>
  </tableColumns>
  <tableStyleInfo name="Equation table" showFirstColumn="0" showLastColumn="0" showRowStripes="1" showColumnStripes="0"/>
</table>
</file>

<file path=xl/tables/table1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A95BDBED-6353-4D3C-8A81-1E7F91BCBA8B}" name="Table_WasteTypes_Composting" displayName="Table_WasteTypes_Composting" ref="M16:M21" totalsRowShown="0" headerRowDxfId="137" headerRowCellStyle="Content normal" dataCellStyle="Content normal">
  <autoFilter ref="M16:M21" xr:uid="{5C8D39D3-1330-49EB-B431-1B2B8C8238DC}">
    <filterColumn colId="0" hiddenButton="1"/>
  </autoFilter>
  <tableColumns count="1">
    <tableColumn id="1" xr3:uid="{C7C41360-6677-4539-AF0F-5D3A59B55BFE}" name="Waste type w" totalsRowDxfId="136" dataCellStyle="Content normal">
      <calculatedColumnFormula>E40</calculatedColumnFormula>
    </tableColumn>
  </tableColumns>
  <tableStyleInfo name="Equation table" showFirstColumn="0" showLastColumn="0" showRowStripes="1" showColumnStripes="0"/>
</table>
</file>

<file path=xl/tables/table1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BBC30B41-B7F8-4BF7-8B8D-2A43DB13F590}" name="Table_WasteTypes_Anaerobicdigestion" displayName="Table_WasteTypes_Anaerobicdigestion" ref="O16:O21" totalsRowShown="0" headerRowDxfId="135" headerRowCellStyle="Content normal" dataCellStyle="Content normal">
  <autoFilter ref="O16:O21" xr:uid="{331EC43E-DF68-429F-A2A4-58BFE6216EC3}">
    <filterColumn colId="0" hiddenButton="1"/>
  </autoFilter>
  <tableColumns count="1">
    <tableColumn id="1" xr3:uid="{5B854852-502B-4154-A935-79439E6356F5}" name="Waste type w" totalsRowDxfId="134" dataCellStyle="Content normal">
      <calculatedColumnFormula>E46</calculatedColumnFormula>
    </tableColumn>
  </tableColumns>
  <tableStyleInfo name="Equation table" showFirstColumn="0" showLastColumn="0" showRowStripes="1" showColumnStripes="0"/>
</table>
</file>

<file path=xl/tables/table1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C720952-9573-49DC-AE17-42B5E4717C7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C6BB80F-2FBD-4189-9CFF-6AB5D66A7738}" name="State/Territory">
      <calculatedColumnFormula array="1">Common_InputFunctions.Utility_DisplayArrayInTable(Common_SourceData.Common_SourceData_AustralianStatesTerritories_Data(),Table_AustralianStates[[#Headers],[State/Territory]],0)</calculatedColumnFormula>
    </tableColumn>
    <tableColumn id="2" xr3:uid="{0C42CDB9-C65B-407F-867C-B8581218C179}" name="Common Name">
      <calculatedColumnFormula array="1">Common_InputFunctions.Utility_DisplayArrayInTable(Common_SourceData.Common_SourceData_AustralianStatesTerritories_Data(),Table_AustralianStates[[#Headers],[State/Territory]],0)</calculatedColumnFormula>
    </tableColumn>
    <tableColumn id="3" xr3:uid="{393D1B98-31B0-48DC-BEE3-2D1FF09DAD5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5347D19-8517-44DD-A1D0-08213C68A9AD}" name="Table_WASA4Areas" displayName="Table_WASA4Areas" ref="D20:D30" totalsRowShown="0">
  <autoFilter ref="D20:D30" xr:uid="{5FA81339-C6C8-4D36-BEEA-6C4AEDD9E676}">
    <filterColumn colId="0" hiddenButton="1"/>
  </autoFilter>
  <tableColumns count="1">
    <tableColumn id="1" xr3:uid="{B79AC01B-AD9D-42AB-AE54-83A8143EDB2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43446F9-8BAA-41C9-9D82-4D4B2E3388F4}" name="Table_GWPData" displayName="Table_GWPData" ref="D36:E43" totalsRowShown="0">
  <autoFilter ref="D36:E43" xr:uid="{B8E87A66-3E41-4AD3-925D-01EE21B43D7A}">
    <filterColumn colId="0" hiddenButton="1"/>
    <filterColumn colId="1" hiddenButton="1"/>
  </autoFilter>
  <tableColumns count="2">
    <tableColumn id="1" xr3:uid="{3B2AA825-0B55-4971-BB6C-BE8CA13C072B}" name="Gas">
      <calculatedColumnFormula array="1">Common_InputFunctions.Utility_DisplayArrayInTable(Common_SourceData.Common_SourceData_GWP_Data(), Table_GWPData[[#Headers],[Gas]], 0)</calculatedColumnFormula>
    </tableColumn>
    <tableColumn id="2" xr3:uid="{91B57224-483E-453D-8C90-2289203554C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82ED490-9500-460F-B609-3C1110E2B69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B93A9B8-28D8-4CC1-BCA3-DBC30FFF7CC8}" name="Gas">
      <calculatedColumnFormula array="1">Common_InputFunctions.Utility_DisplayArrayInTable(Common_SourceData.Common_SourceData_ConvertGasElementalToMolecular_Data(),Table_GasToMolecularConversionFactor[[#Headers],[Gas]], 0)</calculatedColumnFormula>
    </tableColumn>
    <tableColumn id="5" xr3:uid="{3A0B26F5-7F8E-4633-B799-B9F17383CD69}" name="Conversion factor">
      <calculatedColumnFormula array="1">Common_InputFunctions.Utility_DisplayArrayInTable(Common_SourceData.Common_SourceData_ConvertGasElementalToMolecular_Data(),Table_GasToMolecularConversionFactor[[#Headers],[Gas]], 0)</calculatedColumnFormula>
    </tableColumn>
    <tableColumn id="2" xr3:uid="{AF072F9B-4B19-411A-9998-A3D08C62C429}" name="Conversion factor 1">
      <calculatedColumnFormula array="1">Common_InputFunctions.Utility_DisplayArrayInTable(Common_SourceData.Common_SourceData_ConvertGasElementalToMolecular_Data(),Table_GasToMolecularConversionFactor[[#Headers],[Gas]], 0)</calculatedColumnFormula>
    </tableColumn>
    <tableColumn id="3" xr3:uid="{020CDD08-9BCA-4B6F-B811-FDAD125373B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14E2E0C-882D-4C71-9209-12865667B0BE}"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EC03F0C-FF22-407F-9796-8168294B5EEC}"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8BB8466-D7CA-45B4-AC88-D0751E36E8E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4C1C41D4-653F-4E49-A6A7-F05E5236EF25}" name="MAT" totalsRowDxfId="133" totalsRowCellStyle="Content bold">
      <calculatedColumnFormula array="1">Common_InputFunctions.Utility_DisplayArrayInTable(Common_SourceData.Common_SourceData_ClimateZones_Data(), Table_SourceData_ClimateZones[[#Headers],[Climate zone]], 0)</calculatedColumnFormula>
    </tableColumn>
    <tableColumn id="3" xr3:uid="{5379A94F-0EDF-4426-9BFA-DAED807DA7C1}" name="MAP" totalsRowDxfId="132" totalsRowCellStyle="Content bold">
      <calculatedColumnFormula array="1">Common_InputFunctions.Utility_DisplayArrayInTable(Common_SourceData.Common_SourceData_ClimateZones_Data(), Table_SourceData_ClimateZones[[#Headers],[Climate zone]], 0)</calculatedColumnFormula>
    </tableColumn>
    <tableColumn id="4" xr3:uid="{E6A06D4F-4AAA-4F0C-A247-F00F53686281}" name="Frost days per year" totalsRowDxfId="131" totalsRowCellStyle="Content bold">
      <calculatedColumnFormula array="1">Common_InputFunctions.Utility_DisplayArrayInTable(Common_SourceData.Common_SourceData_ClimateZones_Data(), Table_SourceData_ClimateZones[[#Headers],[Climate zone]], 0)</calculatedColumnFormula>
    </tableColumn>
    <tableColumn id="5" xr3:uid="{08EBF8F6-53FE-4006-A4C0-B098DC45673D}" name="Elevation" totalsRowDxfId="130" totalsRowCellStyle="Content bold">
      <calculatedColumnFormula array="1">Common_InputFunctions.Utility_DisplayArrayInTable(Common_SourceData.Common_SourceData_ClimateZones_Data(), Table_SourceData_ClimateZones[[#Headers],[Climate zone]], 0)</calculatedColumnFormula>
    </tableColumn>
    <tableColumn id="6" xr3:uid="{BCB4110B-8D19-4649-B51F-2612B4C23752}" name="MAP:PET" totalsRowDxfId="129" totalsRowCellStyle="Content bold">
      <calculatedColumnFormula array="1">Common_InputFunctions.Utility_DisplayArrayInTable(Common_SourceData.Common_SourceData_ClimateZones_Data(), Table_SourceData_ClimateZones[[#Headers],[Climate zone]], 0)</calculatedColumnFormula>
    </tableColumn>
    <tableColumn id="7" xr3:uid="{B42B2105-CFEB-4AEB-8E2F-43F80732FDA0}" name="Min temp" totalsRowDxfId="128" totalsRowCellStyle="Content bold">
      <calculatedColumnFormula array="1">Common_InputFunctions.Utility_DisplayArrayInTable(Common_SourceData.Common_SourceData_ClimateZones_Data(), Table_SourceData_ClimateZones[[#Headers],[Climate zone]], 0)</calculatedColumnFormula>
    </tableColumn>
    <tableColumn id="8" xr3:uid="{B73F0F92-06DA-4E97-8F81-DF24FF23C6AE}" name="Max temp" totalsRowDxfId="127" totalsRowCellStyle="Content bold">
      <calculatedColumnFormula array="1">Common_InputFunctions.Utility_DisplayArrayInTable(Common_SourceData.Common_SourceData_ClimateZones_Data(), Table_SourceData_ClimateZones[[#Headers],[Climate zone]], 0)</calculatedColumnFormula>
    </tableColumn>
    <tableColumn id="9" xr3:uid="{CD8AF126-C330-4BBD-AEF8-CD0E4D054E3D}" name="Min rainfall" totalsRowDxfId="126" totalsRowCellStyle="Content bold">
      <calculatedColumnFormula array="1">Common_InputFunctions.Utility_DisplayArrayInTable(Common_SourceData.Common_SourceData_ClimateZones_Data(), Table_SourceData_ClimateZones[[#Headers],[Climate zone]], 0)</calculatedColumnFormula>
    </tableColumn>
    <tableColumn id="10" xr3:uid="{532985AB-0B3A-47DF-B0D6-F257A88ADB07}" name="Max rainfall" totalsRowDxfId="125" totalsRowCellStyle="Content bold">
      <calculatedColumnFormula array="1">Common_InputFunctions.Utility_DisplayArrayInTable(Common_SourceData.Common_SourceData_ClimateZones_Data(), Table_SourceData_ClimateZones[[#Headers],[Climate zone]], 0)</calculatedColumnFormula>
    </tableColumn>
    <tableColumn id="11" xr3:uid="{75116F98-219B-4E23-B88C-05E5BE44A8C8}" name="Min frost days" totalsRowDxfId="124" totalsRowCellStyle="Content bold">
      <calculatedColumnFormula array="1">Common_InputFunctions.Utility_DisplayArrayInTable(Common_SourceData.Common_SourceData_ClimateZones_Data(), Table_SourceData_ClimateZones[[#Headers],[Climate zone]], 0)</calculatedColumnFormula>
    </tableColumn>
    <tableColumn id="15" xr3:uid="{EB3A0B83-1556-4A52-B561-F1C477FE82A3}" name="Max frost days" totalsRowDxfId="123" totalsRowCellStyle="Content bold">
      <calculatedColumnFormula array="1">Common_InputFunctions.Utility_DisplayArrayInTable(Common_SourceData.Common_SourceData_ClimateZones_Data(), Table_SourceData_ClimateZones[[#Headers],[Climate zone]], 0)</calculatedColumnFormula>
    </tableColumn>
    <tableColumn id="12" xr3:uid="{A0C8EF52-24EB-49B7-A21E-AE71B166B735}" name="Min elevation" totalsRowDxfId="122" totalsRowCellStyle="Content bold">
      <calculatedColumnFormula array="1">Common_InputFunctions.Utility_DisplayArrayInTable(Common_SourceData.Common_SourceData_ClimateZones_Data(), Table_SourceData_ClimateZones[[#Headers],[Climate zone]], 0)</calculatedColumnFormula>
    </tableColumn>
    <tableColumn id="16" xr3:uid="{3D0F61E1-59E6-4B05-80AC-67F9B04BF0B0}" name="Max elevation" totalsRowDxfId="121" totalsRowCellStyle="Content bold">
      <calculatedColumnFormula array="1">Common_InputFunctions.Utility_DisplayArrayInTable(Common_SourceData.Common_SourceData_ClimateZones_Data(), Table_SourceData_ClimateZones[[#Headers],[Climate zone]], 0)</calculatedColumnFormula>
    </tableColumn>
    <tableColumn id="13" xr3:uid="{E1D367ED-4C69-451C-A4C2-A7D9D04C2C00}" name="Min MAP:PET" totalsRowDxfId="120" totalsRowCellStyle="Content bold">
      <calculatedColumnFormula array="1">Common_InputFunctions.Utility_DisplayArrayInTable(Common_SourceData.Common_SourceData_ClimateZones_Data(), Table_SourceData_ClimateZones[[#Headers],[Climate zone]], 0)</calculatedColumnFormula>
    </tableColumn>
    <tableColumn id="17" xr3:uid="{A16257E5-CB70-4141-ADFC-9F07F40D4D6E}" name="Max MAP:PET" totalsRowDxfId="11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B1FBBD1-DF6D-4ABA-9661-65271F24FFF7}"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8989BD9-AEF4-497A-9908-F768654AAB3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A19B872-FB37-48B8-9489-88BEBF884297}" name="Wet or Dry Zone" totalsRowDxfId="11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5C3254F-969E-4F23-BFEE-B8B2D8E7D6CB}"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739EA7CD-71E1-4988-984B-15DB8D0DE01A}" name="Temperature Zone">
      <calculatedColumnFormula array="1">Common_InputFunctions.Utility_DisplayArrayInTable(Common_SourceData.Common_SourceData_TemperatureZones_Data(),Table_SourceData_TemperatureZones[[#Headers],[Temperature Zone]],0)</calculatedColumnFormula>
    </tableColumn>
    <tableColumn id="2" xr3:uid="{D9D81061-255F-491A-8C85-8C6425E90E49}" name="MAT">
      <calculatedColumnFormula array="1">Common_InputFunctions.Utility_DisplayArrayInTable(Common_SourceData.Common_SourceData_TemperatureZones_Data(),Table_SourceData_TemperatureZones[[#Headers],[Temperature Zone]],0)</calculatedColumnFormula>
    </tableColumn>
    <tableColumn id="3" xr3:uid="{116CB086-2F02-436C-BE8C-4F10687F05A2}" name="Min MAT">
      <calculatedColumnFormula array="1">Common_InputFunctions.Utility_DisplayArrayInTable(Common_SourceData.Common_SourceData_TemperatureZones_Data(),Table_SourceData_TemperatureZones[[#Headers],[Temperature Zone]],0)</calculatedColumnFormula>
    </tableColumn>
    <tableColumn id="4" xr3:uid="{175827B5-1C09-4025-B7A6-78EA00E8A220}"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7E4EC19-12EC-4534-BA6E-FF6E8E989128}"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8236EFA-AD23-4F28-8BB9-36AD6FB48737}" name="Rainfall Zone">
      <calculatedColumnFormula array="1">Common_InputFunctions.Utility_DisplayArrayInTable(Common_SourceData.Common_SourceData_RainfallZones_Data(),Table_SourceData_RainfallZones[[#Headers],[Rainfall Zone]],0)</calculatedColumnFormula>
    </tableColumn>
    <tableColumn id="2" xr3:uid="{053CE2E4-656E-4DF0-80E9-713C86453636}" name="Annual rainfall">
      <calculatedColumnFormula array="1">Common_InputFunctions.Utility_DisplayArrayInTable(Common_SourceData.Common_SourceData_RainfallZones_Data(),Table_SourceData_RainfallZones[[#Headers],[Rainfall Zone]],0)</calculatedColumnFormula>
    </tableColumn>
    <tableColumn id="3" xr3:uid="{6ABAD44B-42E6-49C9-9D06-E4D927E3FC2D}" name="Min rainfall">
      <calculatedColumnFormula array="1">Common_InputFunctions.Utility_DisplayArrayInTable(Common_SourceData.Common_SourceData_RainfallZones_Data(),Table_SourceData_RainfallZones[[#Headers],[Rainfall Zone]],0)</calculatedColumnFormula>
    </tableColumn>
    <tableColumn id="4" xr3:uid="{8128E778-32A6-40F5-B3FF-A36C733C0FD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F183465-FC50-4283-BE83-5B1A778BA6B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258EA5E-29F0-4F71-9EF2-63A68C24D6E6}" name="Leaching Zone">
      <calculatedColumnFormula array="1">Common_InputFunctions.Utility_DisplayArrayInTable(Common_SourceData.Common_SourceData_LeachingZones_Data(), Table_SourceData_LeachingZones[[#Headers],[Leaching Zone]], 0)</calculatedColumnFormula>
    </tableColumn>
    <tableColumn id="2" xr3:uid="{16A007DF-3E06-4D5C-99FC-2FA1A74E7958}"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AE32112-65CD-4D1B-A9A2-15A68D3200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9CB32AE6-7894-4FCA-9F6C-07F05AB46621}" name="Data source">
      <calculatedColumnFormula array="1">Common_InputFunctions.Utility_DisplayArrayInTable(Common_SourceData.Common_SourceData_DataScores_Scope3_Data(), Table_SourceData_DataScores_Scope3[[#Headers],[Data source]], 0)</calculatedColumnFormula>
    </tableColumn>
    <tableColumn id="2" xr3:uid="{85604825-49E8-43B9-909C-18E46E7DEC2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2BBF5D-DA92-4264-AD9D-9F5CFFF15CAA}" name="Table_SourceData_FracWET" displayName="Table_SourceData_FracWET" ref="D134:E136" totalsRowShown="0">
  <autoFilter ref="D134:E136" xr:uid="{308E99BE-FE1F-47A4-B2CA-97217277C4E9}">
    <filterColumn colId="0" hiddenButton="1"/>
    <filterColumn colId="1" hiddenButton="1"/>
  </autoFilter>
  <tableColumns count="2">
    <tableColumn id="1" xr3:uid="{CF98DBD3-9591-417B-965C-0B525EC6DBAE}" name="Is in leaching zone">
      <calculatedColumnFormula array="1">Common_InputFunctions.Utility_DisplayArrayInTable(Common_SourceData.Common_SourceData_FracWET_Data(),Table_SourceData_FracWET[[#Headers],[Is in leaching zone]],0)</calculatedColumnFormula>
    </tableColumn>
    <tableColumn id="2" xr3:uid="{5336914D-9858-44A0-8BB8-74081214E619}" name="FracWET" dataDxfId="11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18488E-2D7D-439C-B8D2-56CA39859E5D}"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EA639D26-E0EC-42F1-AA33-B27EA51FDEC7}" name="Production system j">
      <calculatedColumnFormula array="1">Common_InputFunctions.Utility_DisplayArrayInTable(Common_SourceData.Common_SourceData_EFN2O_Data(), Table_SourceData_Common_EFN2O[[#Headers],[Production system j]], 0)</calculatedColumnFormula>
    </tableColumn>
    <tableColumn id="2" xr3:uid="{A9523266-7CD1-4931-9A5C-A497FD079104}" name="EFN2O">
      <calculatedColumnFormula array="1">Common_InputFunctions.Utility_DisplayArrayInTable(Common_SourceData.Common_SourceData_EFN2O_Data(), Table_SourceData_Common_EFN2O[[#Headers],[Production system j]], 0)</calculatedColumnFormula>
    </tableColumn>
    <tableColumn id="3" xr3:uid="{5D50F0E2-2A38-4AB7-9374-699B662BC3E8}" name="Production system only">
      <calculatedColumnFormula array="1">Common_InputFunctions.Utility_DisplayArrayInTable(Common_SourceData.Common_SourceData_EFN2O_Data(), Table_SourceData_Common_EFN2O[[#Headers],[Production system j]], 0)</calculatedColumnFormula>
    </tableColumn>
    <tableColumn id="4" xr3:uid="{00101D00-D208-4EC9-8026-CD6B2675535F}" name="Irrigation method">
      <calculatedColumnFormula array="1">Common_InputFunctions.Utility_DisplayArrayInTable(Common_SourceData.Common_SourceData_EFN2O_Data(), Table_SourceData_Common_EFN2O[[#Headers],[Production system j]], 0)</calculatedColumnFormula>
    </tableColumn>
    <tableColumn id="5" xr3:uid="{F756819C-2D33-45FF-B6CB-8674C3BC3A7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13356D3-62E2-43A6-B994-DF33A725CC9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2CF089F-9220-4CAC-9C36-4B26C49BA6D7}" name="Irrigation type i">
      <calculatedColumnFormula array="1">Common_InputFunctions.Utility_DisplayArrayInTable(Common_SourceData.Common_SourceData_FracWETIrrigation_Data(), Table_SourceData_FracWETIrrigation[[#Headers],[Irrigation type i]], 0)</calculatedColumnFormula>
    </tableColumn>
    <tableColumn id="2" xr3:uid="{F21CFD53-D797-4F63-871C-90B319E85125}" name="FracWET" dataDxfId="11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C2BC3359-B887-4B92-BA60-37C0DF4B482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E28C5760-728E-4EE9-AFCB-5C464A6A12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2F4118D-7FF1-4279-9E30-379764DA8CBD}" name="EFPRP" dataDxfId="11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27A6E9A-B90C-453F-809E-9BF272D1F902}"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CB58693-2CD1-4651-AFBC-81E165DF5F4B}" name="Month">
      <calculatedColumnFormula array="1">Common_InputFunctions.Utility_DisplayArrayInTable(Common_SourceData.Common_SourceData_MonthsToSeasons_Data(), Table_SourceData_Common_MonthToSeason[[#Headers],[Month]], 0)</calculatedColumnFormula>
    </tableColumn>
    <tableColumn id="2" xr3:uid="{E2330CF6-9F69-47B0-88DB-D3C86E1928ED}" name="Season" dataDxfId="11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3FDB8C6-8199-4079-A733-9CABFC45C778}"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1F7059D-1B40-4000-8EBB-FAFE398EB87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AEC9A89-0D07-41DF-86F4-B26E31E88835}" name="MAT (ºC)" dataDxfId="1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6F91884-5AF4-447A-8520-68A37028F0F0}" name="Anaerobic lagoon" dataDxfId="1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5B15192-3151-43E0-97CA-541421A207F6}" name="Digester / covered lagoons" dataDxfId="1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598F438-3373-4E2C-8BF3-CB86BAEB79C0}" name="Liquid systems" dataDxfId="1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F6AD1AB-0114-4923-B5EF-4DCE74757E4C}" name="Daily spread" dataDxfId="10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FD3FE3A-59E1-4EE8-A27D-E212869F1CAD}" name="Composting (passive windrow)" dataDxfId="10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6D44CDF-4B93-4D5F-BEC5-B67FBB794EB6}" name="Solid storage" dataDxfId="10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FC413AF-8D15-4345-BAD0-EEE54875709E}" name="Pit storage" dataDxfId="10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B790608F-2E65-437F-8796-CC39216C5B45}" name="Deep litter" dataDxfId="10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2EC7D1A-E957-4AB9-8493-A794424A2347}" name="Poultry manure with bedding" dataDxfId="10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945446A-E7FC-48E3-9216-2B02178DD373}" name="Poultry manure without bedding" dataDxfId="10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B0473E9-EA83-4451-9EFA-5B9B54991D93}" name="Direct processing" dataDxfId="10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2C54652-DFAC-452A-8C36-450CDF488E63}" name="Direct application" dataDxfId="10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85298AB-9442-4C84-B82C-B84C6E9730EE}" name="Pasture range and paddock" dataDxfId="10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B2CE94B-AD18-40F0-A08E-BDB803D88F8F}" name="MAT raw" dataDxfId="9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37485C14-9323-435F-B0B7-47C0D0D9537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41406DCD-6ABE-4B56-BF50-D3BC23E1941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71BCC44-6C22-4C4F-915C-2193AD5D8685}" name="EFNi &amp; EFN2Oi" dataDxfId="9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1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D650809D-8099-4FBA-B745-76E447C33E18}"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FC6515F2-F743-4534-9BA5-E78D8E2F4021}" name="User friendly description" dataDxfId="97" dataCellStyle="Content normal"/>
    <tableColumn id="2" xr3:uid="{FB5C0130-8C56-4920-AC12-9A8601CC1D07}" name="Description" dataDxfId="96" dataCellStyle="Content normal"/>
    <tableColumn id="1" xr3:uid="{0A459D12-E751-4E2E-8CE5-4EF42557A83B}" name="ID"/>
    <tableColumn id="3" xr3:uid="{A0E1B015-C463-41C0-A994-92DCD94CC175}" name="Score"/>
  </tableColumns>
  <tableStyleInfo name="Equation table" showFirstColumn="0" showLastColumn="0" showRowStripes="1" showColumnStripes="0"/>
</table>
</file>

<file path=xl/tables/table1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2D28BB68-385A-4176-892F-EF130CB60F30}"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84845BE1-D964-448F-8FDA-ADC321E2D81D}" name="User friendly description" dataDxfId="95" dataCellStyle="Content normal"/>
    <tableColumn id="1" xr3:uid="{34EC183C-370B-4DFE-9065-4F9ACAA38F60}" name="Description"/>
    <tableColumn id="2" xr3:uid="{107DA8AE-2247-4881-880C-EEBC8C15B8B3}" name="ID"/>
    <tableColumn id="3" xr3:uid="{AA26A711-CA9E-45E6-A092-5D0A4E1B94B8}" name="Score"/>
  </tableColumns>
  <tableStyleInfo name="Equation table" showFirstColumn="0" showLastColumn="0" showRowStripes="1" showColumnStripes="0"/>
</table>
</file>

<file path=xl/tables/table1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011D9C8-D9BF-4EC1-8EE4-9FD3825918F4}"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BA922920-2934-4E0E-AE24-99194D9AB260}" name="User friendly description" dataDxfId="94" dataCellStyle="Content normal"/>
    <tableColumn id="1" xr3:uid="{BFFF9069-1343-490C-B526-48F6B2753CEC}" name="Description"/>
    <tableColumn id="2" xr3:uid="{BD5206D4-06B4-453B-8520-FEAEDFA43CF6}" name="ID"/>
    <tableColumn id="3" xr3:uid="{C6F41987-4496-4931-B11B-073A5D1BCE2E}" name="Score"/>
  </tableColumns>
  <tableStyleInfo name="Equation table" showFirstColumn="0" showLastColumn="0" showRowStripes="1" showColumnStripes="0"/>
</table>
</file>

<file path=xl/tables/table1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47FCB4AD-32D8-44C1-AD86-01B250CA056A}"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A94E71AD-9B2C-4435-97A1-F274F1BE2322}" name="User friendly description" dataDxfId="93" dataCellStyle="Content normal"/>
    <tableColumn id="1" xr3:uid="{A275EC0A-2497-4B55-93B7-86FE5C31EA4B}" name="Description"/>
    <tableColumn id="2" xr3:uid="{040B03E7-03D1-4742-A40A-05FC6DF73B1F}" name="ID"/>
    <tableColumn id="3" xr3:uid="{3189ACBE-E25E-4F4A-A8F4-71E3D4EB3829}"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7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4.bin"/><Relationship Id="rId5" Type="http://schemas.openxmlformats.org/officeDocument/2006/relationships/table" Target="../tables/table7.xml"/><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7.bin"/><Relationship Id="rId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22.xml"/><Relationship Id="rId7" Type="http://schemas.openxmlformats.org/officeDocument/2006/relationships/table" Target="../tables/table26.xml"/><Relationship Id="rId2" Type="http://schemas.openxmlformats.org/officeDocument/2006/relationships/table" Target="../tables/table21.xml"/><Relationship Id="rId1" Type="http://schemas.openxmlformats.org/officeDocument/2006/relationships/table" Target="../tables/table20.xml"/><Relationship Id="rId6" Type="http://schemas.openxmlformats.org/officeDocument/2006/relationships/table" Target="../tables/table25.xml"/><Relationship Id="rId5" Type="http://schemas.openxmlformats.org/officeDocument/2006/relationships/table" Target="../tables/table24.xml"/><Relationship Id="rId4"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1.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5.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6.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0.xml.rels><?xml version="1.0" encoding="UTF-8" standalone="yes"?>
<Relationships xmlns="http://schemas.openxmlformats.org/package/2006/relationships"><Relationship Id="rId8" Type="http://schemas.openxmlformats.org/officeDocument/2006/relationships/table" Target="../tables/table34.xml"/><Relationship Id="rId13" Type="http://schemas.openxmlformats.org/officeDocument/2006/relationships/table" Target="../tables/table39.xml"/><Relationship Id="rId18" Type="http://schemas.openxmlformats.org/officeDocument/2006/relationships/table" Target="../tables/table44.xml"/><Relationship Id="rId26" Type="http://schemas.openxmlformats.org/officeDocument/2006/relationships/table" Target="../tables/table52.xml"/><Relationship Id="rId3" Type="http://schemas.openxmlformats.org/officeDocument/2006/relationships/table" Target="../tables/table29.xml"/><Relationship Id="rId21" Type="http://schemas.openxmlformats.org/officeDocument/2006/relationships/table" Target="../tables/table47.xml"/><Relationship Id="rId7" Type="http://schemas.openxmlformats.org/officeDocument/2006/relationships/table" Target="../tables/table33.xml"/><Relationship Id="rId12" Type="http://schemas.openxmlformats.org/officeDocument/2006/relationships/table" Target="../tables/table38.xml"/><Relationship Id="rId17" Type="http://schemas.openxmlformats.org/officeDocument/2006/relationships/table" Target="../tables/table43.xml"/><Relationship Id="rId25" Type="http://schemas.openxmlformats.org/officeDocument/2006/relationships/table" Target="../tables/table51.xml"/><Relationship Id="rId2" Type="http://schemas.openxmlformats.org/officeDocument/2006/relationships/table" Target="../tables/table28.xml"/><Relationship Id="rId16" Type="http://schemas.openxmlformats.org/officeDocument/2006/relationships/table" Target="../tables/table42.xml"/><Relationship Id="rId20" Type="http://schemas.openxmlformats.org/officeDocument/2006/relationships/table" Target="../tables/table46.xml"/><Relationship Id="rId1" Type="http://schemas.openxmlformats.org/officeDocument/2006/relationships/table" Target="../tables/table27.xml"/><Relationship Id="rId6" Type="http://schemas.openxmlformats.org/officeDocument/2006/relationships/table" Target="../tables/table32.xml"/><Relationship Id="rId11" Type="http://schemas.openxmlformats.org/officeDocument/2006/relationships/table" Target="../tables/table37.xml"/><Relationship Id="rId24" Type="http://schemas.openxmlformats.org/officeDocument/2006/relationships/table" Target="../tables/table50.xml"/><Relationship Id="rId5" Type="http://schemas.openxmlformats.org/officeDocument/2006/relationships/table" Target="../tables/table31.xml"/><Relationship Id="rId15" Type="http://schemas.openxmlformats.org/officeDocument/2006/relationships/table" Target="../tables/table41.xml"/><Relationship Id="rId23" Type="http://schemas.openxmlformats.org/officeDocument/2006/relationships/table" Target="../tables/table49.xml"/><Relationship Id="rId10" Type="http://schemas.openxmlformats.org/officeDocument/2006/relationships/table" Target="../tables/table36.xml"/><Relationship Id="rId19" Type="http://schemas.openxmlformats.org/officeDocument/2006/relationships/table" Target="../tables/table45.xml"/><Relationship Id="rId4" Type="http://schemas.openxmlformats.org/officeDocument/2006/relationships/table" Target="../tables/table30.xml"/><Relationship Id="rId9" Type="http://schemas.openxmlformats.org/officeDocument/2006/relationships/table" Target="../tables/table35.xml"/><Relationship Id="rId14" Type="http://schemas.openxmlformats.org/officeDocument/2006/relationships/table" Target="../tables/table40.xml"/><Relationship Id="rId22" Type="http://schemas.openxmlformats.org/officeDocument/2006/relationships/table" Target="../tables/table48.xml"/><Relationship Id="rId27" Type="http://schemas.openxmlformats.org/officeDocument/2006/relationships/table" Target="../tables/table53.xml"/></Relationships>
</file>

<file path=xl/worksheets/_rels/sheet41.xml.rels><?xml version="1.0" encoding="UTF-8" standalone="yes"?>
<Relationships xmlns="http://schemas.openxmlformats.org/package/2006/relationships"><Relationship Id="rId8" Type="http://schemas.openxmlformats.org/officeDocument/2006/relationships/table" Target="../tables/table60.xml"/><Relationship Id="rId3" Type="http://schemas.openxmlformats.org/officeDocument/2006/relationships/table" Target="../tables/table55.xml"/><Relationship Id="rId7" Type="http://schemas.openxmlformats.org/officeDocument/2006/relationships/table" Target="../tables/table59.xml"/><Relationship Id="rId2" Type="http://schemas.openxmlformats.org/officeDocument/2006/relationships/table" Target="../tables/table54.xml"/><Relationship Id="rId1" Type="http://schemas.openxmlformats.org/officeDocument/2006/relationships/printerSettings" Target="../printerSettings/printerSettings26.bin"/><Relationship Id="rId6" Type="http://schemas.openxmlformats.org/officeDocument/2006/relationships/table" Target="../tables/table58.xml"/><Relationship Id="rId5" Type="http://schemas.openxmlformats.org/officeDocument/2006/relationships/table" Target="../tables/table57.xml"/><Relationship Id="rId4" Type="http://schemas.openxmlformats.org/officeDocument/2006/relationships/table" Target="../tables/table56.xml"/><Relationship Id="rId9" Type="http://schemas.openxmlformats.org/officeDocument/2006/relationships/table" Target="../tables/table61.xml"/></Relationships>
</file>

<file path=xl/worksheets/_rels/sheet42.xml.rels><?xml version="1.0" encoding="UTF-8" standalone="yes"?>
<Relationships xmlns="http://schemas.openxmlformats.org/package/2006/relationships"><Relationship Id="rId3" Type="http://schemas.openxmlformats.org/officeDocument/2006/relationships/table" Target="../tables/table63.xml"/><Relationship Id="rId7" Type="http://schemas.openxmlformats.org/officeDocument/2006/relationships/table" Target="../tables/table67.xml"/><Relationship Id="rId2" Type="http://schemas.openxmlformats.org/officeDocument/2006/relationships/table" Target="../tables/table62.xml"/><Relationship Id="rId1" Type="http://schemas.openxmlformats.org/officeDocument/2006/relationships/printerSettings" Target="../printerSettings/printerSettings27.bin"/><Relationship Id="rId6" Type="http://schemas.openxmlformats.org/officeDocument/2006/relationships/table" Target="../tables/table66.xml"/><Relationship Id="rId5" Type="http://schemas.openxmlformats.org/officeDocument/2006/relationships/table" Target="../tables/table65.xml"/><Relationship Id="rId4" Type="http://schemas.openxmlformats.org/officeDocument/2006/relationships/table" Target="../tables/table64.xml"/></Relationships>
</file>

<file path=xl/worksheets/_rels/sheet43.xml.rels><?xml version="1.0" encoding="UTF-8" standalone="yes"?>
<Relationships xmlns="http://schemas.openxmlformats.org/package/2006/relationships"><Relationship Id="rId2" Type="http://schemas.openxmlformats.org/officeDocument/2006/relationships/table" Target="../tables/table69.xml"/><Relationship Id="rId1" Type="http://schemas.openxmlformats.org/officeDocument/2006/relationships/table" Target="../tables/table68.xml"/></Relationships>
</file>

<file path=xl/worksheets/_rels/sheet44.xml.rels><?xml version="1.0" encoding="UTF-8" standalone="yes"?>
<Relationships xmlns="http://schemas.openxmlformats.org/package/2006/relationships"><Relationship Id="rId8" Type="http://schemas.openxmlformats.org/officeDocument/2006/relationships/table" Target="../tables/table76.xml"/><Relationship Id="rId3" Type="http://schemas.openxmlformats.org/officeDocument/2006/relationships/table" Target="../tables/table71.xml"/><Relationship Id="rId7" Type="http://schemas.openxmlformats.org/officeDocument/2006/relationships/table" Target="../tables/table75.xml"/><Relationship Id="rId12" Type="http://schemas.openxmlformats.org/officeDocument/2006/relationships/table" Target="../tables/table80.xml"/><Relationship Id="rId2" Type="http://schemas.openxmlformats.org/officeDocument/2006/relationships/table" Target="../tables/table70.xml"/><Relationship Id="rId1" Type="http://schemas.openxmlformats.org/officeDocument/2006/relationships/printerSettings" Target="../printerSettings/printerSettings28.bin"/><Relationship Id="rId6" Type="http://schemas.openxmlformats.org/officeDocument/2006/relationships/table" Target="../tables/table74.xml"/><Relationship Id="rId11" Type="http://schemas.openxmlformats.org/officeDocument/2006/relationships/table" Target="../tables/table79.xml"/><Relationship Id="rId5" Type="http://schemas.openxmlformats.org/officeDocument/2006/relationships/table" Target="../tables/table73.xml"/><Relationship Id="rId10" Type="http://schemas.openxmlformats.org/officeDocument/2006/relationships/table" Target="../tables/table78.xml"/><Relationship Id="rId4" Type="http://schemas.openxmlformats.org/officeDocument/2006/relationships/table" Target="../tables/table72.xml"/><Relationship Id="rId9" Type="http://schemas.openxmlformats.org/officeDocument/2006/relationships/table" Target="../tables/table77.xml"/></Relationships>
</file>

<file path=xl/worksheets/_rels/sheet45.xml.rels><?xml version="1.0" encoding="UTF-8" standalone="yes"?>
<Relationships xmlns="http://schemas.openxmlformats.org/package/2006/relationships"><Relationship Id="rId3" Type="http://schemas.openxmlformats.org/officeDocument/2006/relationships/table" Target="../tables/table83.xml"/><Relationship Id="rId7" Type="http://schemas.openxmlformats.org/officeDocument/2006/relationships/table" Target="../tables/table87.xml"/><Relationship Id="rId2" Type="http://schemas.openxmlformats.org/officeDocument/2006/relationships/table" Target="../tables/table82.xml"/><Relationship Id="rId1" Type="http://schemas.openxmlformats.org/officeDocument/2006/relationships/table" Target="../tables/table81.xml"/><Relationship Id="rId6" Type="http://schemas.openxmlformats.org/officeDocument/2006/relationships/table" Target="../tables/table86.xml"/><Relationship Id="rId5" Type="http://schemas.openxmlformats.org/officeDocument/2006/relationships/table" Target="../tables/table85.xml"/><Relationship Id="rId4" Type="http://schemas.openxmlformats.org/officeDocument/2006/relationships/table" Target="../tables/table84.xml"/></Relationships>
</file>

<file path=xl/worksheets/_rels/sheet46.xml.rels><?xml version="1.0" encoding="UTF-8" standalone="yes"?>
<Relationships xmlns="http://schemas.openxmlformats.org/package/2006/relationships"><Relationship Id="rId8" Type="http://schemas.openxmlformats.org/officeDocument/2006/relationships/table" Target="../tables/table95.xml"/><Relationship Id="rId13" Type="http://schemas.openxmlformats.org/officeDocument/2006/relationships/table" Target="../tables/table100.xml"/><Relationship Id="rId18" Type="http://schemas.openxmlformats.org/officeDocument/2006/relationships/table" Target="../tables/table105.xml"/><Relationship Id="rId26" Type="http://schemas.openxmlformats.org/officeDocument/2006/relationships/table" Target="../tables/table113.xml"/><Relationship Id="rId3" Type="http://schemas.openxmlformats.org/officeDocument/2006/relationships/table" Target="../tables/table90.xml"/><Relationship Id="rId21" Type="http://schemas.openxmlformats.org/officeDocument/2006/relationships/table" Target="../tables/table108.xml"/><Relationship Id="rId7" Type="http://schemas.openxmlformats.org/officeDocument/2006/relationships/table" Target="../tables/table94.xml"/><Relationship Id="rId12" Type="http://schemas.openxmlformats.org/officeDocument/2006/relationships/table" Target="../tables/table99.xml"/><Relationship Id="rId17" Type="http://schemas.openxmlformats.org/officeDocument/2006/relationships/table" Target="../tables/table104.xml"/><Relationship Id="rId25" Type="http://schemas.openxmlformats.org/officeDocument/2006/relationships/table" Target="../tables/table112.xml"/><Relationship Id="rId2" Type="http://schemas.openxmlformats.org/officeDocument/2006/relationships/table" Target="../tables/table89.xml"/><Relationship Id="rId16" Type="http://schemas.openxmlformats.org/officeDocument/2006/relationships/table" Target="../tables/table103.xml"/><Relationship Id="rId20" Type="http://schemas.openxmlformats.org/officeDocument/2006/relationships/table" Target="../tables/table107.xml"/><Relationship Id="rId29" Type="http://schemas.openxmlformats.org/officeDocument/2006/relationships/table" Target="../tables/table116.xml"/><Relationship Id="rId1" Type="http://schemas.openxmlformats.org/officeDocument/2006/relationships/table" Target="../tables/table88.xml"/><Relationship Id="rId6" Type="http://schemas.openxmlformats.org/officeDocument/2006/relationships/table" Target="../tables/table93.xml"/><Relationship Id="rId11" Type="http://schemas.openxmlformats.org/officeDocument/2006/relationships/table" Target="../tables/table98.xml"/><Relationship Id="rId24" Type="http://schemas.openxmlformats.org/officeDocument/2006/relationships/table" Target="../tables/table111.xml"/><Relationship Id="rId5" Type="http://schemas.openxmlformats.org/officeDocument/2006/relationships/table" Target="../tables/table92.xml"/><Relationship Id="rId15" Type="http://schemas.openxmlformats.org/officeDocument/2006/relationships/table" Target="../tables/table102.xml"/><Relationship Id="rId23" Type="http://schemas.openxmlformats.org/officeDocument/2006/relationships/table" Target="../tables/table110.xml"/><Relationship Id="rId28" Type="http://schemas.openxmlformats.org/officeDocument/2006/relationships/table" Target="../tables/table115.xml"/><Relationship Id="rId10" Type="http://schemas.openxmlformats.org/officeDocument/2006/relationships/table" Target="../tables/table97.xml"/><Relationship Id="rId19" Type="http://schemas.openxmlformats.org/officeDocument/2006/relationships/table" Target="../tables/table106.xml"/><Relationship Id="rId31" Type="http://schemas.openxmlformats.org/officeDocument/2006/relationships/table" Target="../tables/table118.xml"/><Relationship Id="rId4" Type="http://schemas.openxmlformats.org/officeDocument/2006/relationships/table" Target="../tables/table91.xml"/><Relationship Id="rId9" Type="http://schemas.openxmlformats.org/officeDocument/2006/relationships/table" Target="../tables/table96.xml"/><Relationship Id="rId14" Type="http://schemas.openxmlformats.org/officeDocument/2006/relationships/table" Target="../tables/table101.xml"/><Relationship Id="rId22" Type="http://schemas.openxmlformats.org/officeDocument/2006/relationships/table" Target="../tables/table109.xml"/><Relationship Id="rId27" Type="http://schemas.openxmlformats.org/officeDocument/2006/relationships/table" Target="../tables/table114.xml"/><Relationship Id="rId30" Type="http://schemas.openxmlformats.org/officeDocument/2006/relationships/table" Target="../tables/table117.xml"/></Relationships>
</file>

<file path=xl/worksheets/_rels/sheet47.xml.rels><?xml version="1.0" encoding="UTF-8" standalone="yes"?>
<Relationships xmlns="http://schemas.openxmlformats.org/package/2006/relationships"><Relationship Id="rId3" Type="http://schemas.openxmlformats.org/officeDocument/2006/relationships/table" Target="../tables/table120.xml"/><Relationship Id="rId7" Type="http://schemas.openxmlformats.org/officeDocument/2006/relationships/table" Target="../tables/table124.xml"/><Relationship Id="rId2" Type="http://schemas.openxmlformats.org/officeDocument/2006/relationships/table" Target="../tables/table119.xml"/><Relationship Id="rId1" Type="http://schemas.openxmlformats.org/officeDocument/2006/relationships/printerSettings" Target="../printerSettings/printerSettings29.bin"/><Relationship Id="rId6" Type="http://schemas.openxmlformats.org/officeDocument/2006/relationships/table" Target="../tables/table123.xml"/><Relationship Id="rId5" Type="http://schemas.openxmlformats.org/officeDocument/2006/relationships/table" Target="../tables/table122.xml"/><Relationship Id="rId4" Type="http://schemas.openxmlformats.org/officeDocument/2006/relationships/table" Target="../tables/table121.xml"/></Relationships>
</file>

<file path=xl/worksheets/_rels/sheet48.xml.rels><?xml version="1.0" encoding="UTF-8" standalone="yes"?>
<Relationships xmlns="http://schemas.openxmlformats.org/package/2006/relationships"><Relationship Id="rId8" Type="http://schemas.openxmlformats.org/officeDocument/2006/relationships/table" Target="../tables/table131.xml"/><Relationship Id="rId13" Type="http://schemas.openxmlformats.org/officeDocument/2006/relationships/table" Target="../tables/table136.xml"/><Relationship Id="rId18" Type="http://schemas.openxmlformats.org/officeDocument/2006/relationships/table" Target="../tables/table141.xml"/><Relationship Id="rId3" Type="http://schemas.openxmlformats.org/officeDocument/2006/relationships/table" Target="../tables/table126.xml"/><Relationship Id="rId21" Type="http://schemas.openxmlformats.org/officeDocument/2006/relationships/table" Target="../tables/table144.xml"/><Relationship Id="rId7" Type="http://schemas.openxmlformats.org/officeDocument/2006/relationships/table" Target="../tables/table130.xml"/><Relationship Id="rId12" Type="http://schemas.openxmlformats.org/officeDocument/2006/relationships/table" Target="../tables/table135.xml"/><Relationship Id="rId17" Type="http://schemas.openxmlformats.org/officeDocument/2006/relationships/table" Target="../tables/table140.xml"/><Relationship Id="rId2" Type="http://schemas.openxmlformats.org/officeDocument/2006/relationships/table" Target="../tables/table125.xml"/><Relationship Id="rId16" Type="http://schemas.openxmlformats.org/officeDocument/2006/relationships/table" Target="../tables/table139.xml"/><Relationship Id="rId20" Type="http://schemas.openxmlformats.org/officeDocument/2006/relationships/table" Target="../tables/table143.xml"/><Relationship Id="rId1" Type="http://schemas.openxmlformats.org/officeDocument/2006/relationships/printerSettings" Target="../printerSettings/printerSettings30.bin"/><Relationship Id="rId6" Type="http://schemas.openxmlformats.org/officeDocument/2006/relationships/table" Target="../tables/table129.xml"/><Relationship Id="rId11" Type="http://schemas.openxmlformats.org/officeDocument/2006/relationships/table" Target="../tables/table134.xml"/><Relationship Id="rId5" Type="http://schemas.openxmlformats.org/officeDocument/2006/relationships/table" Target="../tables/table128.xml"/><Relationship Id="rId15" Type="http://schemas.openxmlformats.org/officeDocument/2006/relationships/table" Target="../tables/table138.xml"/><Relationship Id="rId10" Type="http://schemas.openxmlformats.org/officeDocument/2006/relationships/table" Target="../tables/table133.xml"/><Relationship Id="rId19" Type="http://schemas.openxmlformats.org/officeDocument/2006/relationships/table" Target="../tables/table142.xml"/><Relationship Id="rId4" Type="http://schemas.openxmlformats.org/officeDocument/2006/relationships/table" Target="../tables/table127.xml"/><Relationship Id="rId9" Type="http://schemas.openxmlformats.org/officeDocument/2006/relationships/table" Target="../tables/table132.xml"/><Relationship Id="rId14" Type="http://schemas.openxmlformats.org/officeDocument/2006/relationships/table" Target="../tables/table137.xml"/><Relationship Id="rId22" Type="http://schemas.openxmlformats.org/officeDocument/2006/relationships/table" Target="../tables/table1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60"/>
  <sheetViews>
    <sheetView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257"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Emissions Intensity")</f>
        <v>Results - Product Emissions Intensity</v>
      </c>
    </row>
    <row r="8" spans="1:1" ht="20.100000000000001" customHeight="1" x14ac:dyDescent="0.2">
      <c r="A8" s="7" t="s">
        <v>0</v>
      </c>
    </row>
    <row r="9" spans="1:1" ht="20.100000000000001" customHeight="1" x14ac:dyDescent="0.2">
      <c r="A9" s="5" t="str">
        <f>HYPERLINK("#'Input - Enterprise'!A1", "Enterprise")</f>
        <v>Enterprise</v>
      </c>
    </row>
    <row r="10" spans="1:1" ht="20.100000000000001" customHeight="1" x14ac:dyDescent="0.2">
      <c r="A10" s="5" t="str">
        <f>HYPERLINK("#'Input - Site'!A1", "Site")</f>
        <v>Site</v>
      </c>
    </row>
    <row r="11" spans="1:1" ht="20.100000000000001" customHeight="1" x14ac:dyDescent="0.2">
      <c r="A11" s="5" t="str">
        <f>HYPERLINK("#'Input - Pasture Beef'!A1", "Pasture Beef")</f>
        <v>Pasture Beef</v>
      </c>
    </row>
    <row r="12" spans="1:1" ht="20.100000000000001" customHeight="1" x14ac:dyDescent="0.2">
      <c r="A12" s="5" t="str">
        <f>HYPERLINK("#'Input - Livestock sales'!A1", "Livestock sales")</f>
        <v>Livestock sales</v>
      </c>
    </row>
    <row r="13" spans="1:1" ht="20.100000000000001" customHeight="1" x14ac:dyDescent="0.2">
      <c r="A13" s="5" t="str">
        <f>HYPERLINK("#'Input - Beef cattle purchases'!A1", "Beef cattle purchases")</f>
        <v>Beef cattle purchases</v>
      </c>
    </row>
    <row r="14" spans="1:1" ht="20.100000000000001" customHeight="1" x14ac:dyDescent="0.2">
      <c r="A14" s="5" t="str">
        <f>HYPERLINK("#'Input - Pasture'!A1", "Pasture")</f>
        <v>Pasture</v>
      </c>
    </row>
    <row r="15" spans="1:1" ht="20.100000000000001" customHeight="1" x14ac:dyDescent="0.2">
      <c r="A15" s="5" t="str">
        <f>HYPERLINK("#'Input - Fert Prod System'!A1", "Fert Prod System")</f>
        <v>Fert Prod System</v>
      </c>
    </row>
    <row r="16" spans="1:1" ht="20.100000000000001" customHeight="1" x14ac:dyDescent="0.2">
      <c r="A16" s="5" t="str">
        <f>HYPERLINK("#'Input - Fertiliser'!A1", "Fertiliser")</f>
        <v>Fertiliser</v>
      </c>
    </row>
    <row r="17" spans="1:1" ht="20.100000000000001" customHeight="1" x14ac:dyDescent="0.2">
      <c r="A17" s="5" t="str">
        <f>HYPERLINK("#'Input - Fuel'!A1", "Fuel")</f>
        <v>Fuel</v>
      </c>
    </row>
    <row r="18" spans="1:1" ht="20.100000000000001" customHeight="1" x14ac:dyDescent="0.2">
      <c r="A18" s="5" t="str">
        <f>HYPERLINK("#'Input - Electricity'!A1", "Electricity")</f>
        <v>Electricity</v>
      </c>
    </row>
    <row r="19" spans="1:1" ht="20.100000000000001" customHeight="1" x14ac:dyDescent="0.2">
      <c r="A19" s="5" t="str">
        <f>HYPERLINK("#'Input - Common farm inputs'!A1", "Common farm inputs")</f>
        <v>Common farm inputs</v>
      </c>
    </row>
    <row r="20" spans="1:1" ht="20.100000000000001" customHeight="1" x14ac:dyDescent="0.2">
      <c r="A20" s="5" t="str">
        <f>HYPERLINK("#'Input - Crop pasture farm input'!A1", "Crop pasture farm input")</f>
        <v>Crop pasture farm input</v>
      </c>
    </row>
    <row r="21" spans="1:1" ht="20.100000000000001" customHeight="1" x14ac:dyDescent="0.2">
      <c r="A21" s="5" t="str">
        <f>HYPERLINK("#'Input - Livestock farm Inputs'!A1", "Livestock farm Inputs")</f>
        <v>Livestock farm Inputs</v>
      </c>
    </row>
    <row r="22" spans="1:1" ht="20.100000000000001" customHeight="1" x14ac:dyDescent="0.2">
      <c r="A22" s="5" t="str">
        <f>HYPERLINK("#'Input - Freight'!A1", "Freight")</f>
        <v>Freight</v>
      </c>
    </row>
    <row r="23" spans="1:1" ht="20.100000000000001" customHeight="1" x14ac:dyDescent="0.2">
      <c r="A23" s="5" t="str">
        <f>HYPERLINK("#'Input - Solid waste'!A1", "Solid waste")</f>
        <v>Solid waste</v>
      </c>
    </row>
    <row r="24" spans="1:1" ht="20.100000000000001" customHeight="1" x14ac:dyDescent="0.2">
      <c r="A24" s="5" t="str">
        <f>HYPERLINK("#'Input - Manure sent off-site'!A1", "Manure sent off-site")</f>
        <v>Manure sent off-site</v>
      </c>
    </row>
    <row r="25" spans="1:1" ht="20.100000000000001" customHeight="1" x14ac:dyDescent="0.2">
      <c r="A25" s="5" t="str">
        <f>HYPERLINK("#'Input - Data quality'!A1", "Data quality")</f>
        <v>Data quality</v>
      </c>
    </row>
    <row r="28" spans="1:1" ht="20.100000000000001" customHeight="1" x14ac:dyDescent="0.2">
      <c r="A28" s="6" t="s">
        <v>2</v>
      </c>
    </row>
    <row r="29" spans="1:1" ht="20.100000000000001" customHeight="1" x14ac:dyDescent="0.2">
      <c r="A29" s="5" t="str">
        <f>HYPERLINK("#'3.2.1.1-2 Enteric Methane'!A1", "3.2.1.1-2 Enteric Methane")</f>
        <v>3.2.1.1-2 Enteric Methane</v>
      </c>
    </row>
    <row r="30" spans="1:1" ht="20.100000000000001" customHeight="1" x14ac:dyDescent="0.2">
      <c r="A30" s="5" t="str">
        <f>HYPERLINK("#'4.2.1.1-2 Methane'!A1", "4.2.1.1-2 Manure methane")</f>
        <v>4.2.1.1-2 Manure methane</v>
      </c>
    </row>
    <row r="31" spans="1:1" ht="20.100000000000001" customHeight="1" x14ac:dyDescent="0.2">
      <c r="A31" s="5" t="str">
        <f>HYPERLINK("#'4.2.1.3-4 Soil direct N20'!A1", "4.2.1.3-4 Soil direct N2O")</f>
        <v>4.2.1.3-4 Soil direct N2O</v>
      </c>
    </row>
    <row r="32" spans="1:1"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68"/>
  <sheetViews>
    <sheetView showGridLines="0" topLeftCell="A24"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2.7109375" customWidth="1"/>
    <col min="3" max="3" width="2.7109375" style="1" customWidth="1"/>
    <col min="4" max="4" width="78.42578125" style="1" customWidth="1"/>
    <col min="5" max="10" width="30.7109375" style="1" customWidth="1"/>
    <col min="11" max="11" width="7.42578125" style="1" customWidth="1"/>
    <col min="12" max="26" width="28.7109375" customWidth="1"/>
  </cols>
  <sheetData>
    <row r="1" spans="1:11" s="10" customFormat="1" ht="30" customHeight="1" x14ac:dyDescent="0.35">
      <c r="A1" s="10" t="e" vm="1">
        <v>#VALUE!</v>
      </c>
      <c r="C1" s="93" t="s">
        <v>275</v>
      </c>
      <c r="D1" s="93"/>
      <c r="E1" s="93"/>
      <c r="F1" s="93"/>
      <c r="G1" s="93"/>
      <c r="H1" s="93"/>
      <c r="I1" s="93"/>
      <c r="J1" s="93"/>
      <c r="K1" s="93"/>
    </row>
    <row r="2" spans="1:11" s="3" customFormat="1" ht="20.100000000000001" customHeight="1" x14ac:dyDescent="0.2">
      <c r="A2"/>
    </row>
    <row r="3" spans="1:11" ht="20.100000000000001" customHeight="1" x14ac:dyDescent="0.2">
      <c r="A3" s="5" t="str">
        <f>HYPERLINK("#'Home'!A1", "Home")</f>
        <v>Home</v>
      </c>
    </row>
    <row r="4" spans="1:11" ht="20.100000000000001" customHeight="1" x14ac:dyDescent="0.2">
      <c r="A4" s="257" t="str">
        <f>HYPERLINK("#'Results - Activity period'!A1", "Results - Activity period")</f>
        <v>Results - Activity period</v>
      </c>
      <c r="D4" s="2" t="str">
        <f>"Emissions breakdown for activities running between " &amp; TEXT(X_Cell_Site_StartDate, "d mmmm yyyy") &amp; " and " &amp; TEXT(X_Cell_Site_EndDate, "d mmmm yyyy")</f>
        <v>Emissions breakdown for activities running between 1 January 2024 and 31 December 2024</v>
      </c>
    </row>
    <row r="5" spans="1:11" ht="20.100000000000001" customHeight="1" x14ac:dyDescent="0.2">
      <c r="A5" s="5" t="str">
        <f>HYPERLINK("#'Results - Product EI'!A1", "Results - Product Emissions Intensity")</f>
        <v>Results - Product Emissions Intensity</v>
      </c>
    </row>
    <row r="6" spans="1:11" ht="20.100000000000001" customHeight="1" x14ac:dyDescent="0.2">
      <c r="D6" s="79" t="s">
        <v>292</v>
      </c>
    </row>
    <row r="8" spans="1:11" ht="20.100000000000001" customHeight="1" x14ac:dyDescent="0.2">
      <c r="A8" s="7" t="s">
        <v>0</v>
      </c>
      <c r="D8" s="11" t="s">
        <v>3</v>
      </c>
      <c r="E8" s="11" t="s">
        <v>7</v>
      </c>
      <c r="F8" s="11" t="s">
        <v>8</v>
      </c>
      <c r="G8" s="11" t="s">
        <v>4</v>
      </c>
      <c r="H8" s="11" t="s">
        <v>9</v>
      </c>
      <c r="I8" s="11" t="s">
        <v>10</v>
      </c>
      <c r="J8" s="11"/>
    </row>
    <row r="9" spans="1:11" ht="20.100000000000001" customHeight="1" x14ac:dyDescent="0.2">
      <c r="A9" s="5" t="str">
        <f>HYPERLINK("#'Input - Enterprise'!A1", "Enterprise")</f>
        <v>Enterprise</v>
      </c>
      <c r="D9" s="1" t="s">
        <v>146</v>
      </c>
      <c r="E9" s="1" cm="1">
        <f t="array" aca="1" ref="E9" ca="1">VEERG_3_2_1_1__1_TotalAnnualMethaneFromEntericFermentation_Result_Method1</f>
        <v>55.578115647711897</v>
      </c>
      <c r="F9" s="1" cm="1">
        <f t="array" aca="1" ref="F9" ca="1">VEERG_3_2_1_1__1_TotalAnnualMethaneFromEntericFermentation_Result_Method2</f>
        <v>55.938175390210084</v>
      </c>
      <c r="G9" s="9" t="s">
        <v>5</v>
      </c>
      <c r="H9" s="1" cm="1">
        <f t="array" aca="1" ref="H9" ca="1">Common_Equations.Common_ConvertCH4ToCO2e(E9,_xlfn.XLOOKUP("CH4", Table_GWPData[Gas],Table_GWPData[CO2-e factor]))</f>
        <v>1556.1872381359331</v>
      </c>
      <c r="I9" s="1" cm="1">
        <f t="array" aca="1" ref="I9" ca="1">Common_Equations.Common_ConvertCH4ToCO2e(F9,_xlfn.XLOOKUP("CH4", Table_GWPData[Gas],Table_GWPData[CO2-e factor]))</f>
        <v>1566.2689109258824</v>
      </c>
      <c r="J9" s="9" t="s">
        <v>6</v>
      </c>
    </row>
    <row r="10" spans="1:11" ht="20.100000000000001" customHeight="1" x14ac:dyDescent="0.2">
      <c r="A10" s="5" t="str">
        <f>HYPERLINK("#'Input - Site'!A1", "Site")</f>
        <v>Site</v>
      </c>
      <c r="D10" s="1" t="s">
        <v>11</v>
      </c>
      <c r="E10" s="1" cm="1">
        <f t="array" aca="1" ref="E10" ca="1">VEERG_4_2_1_1__1_TotalAnnualMethaneProductionFromManureManagement_Result_Method1</f>
        <v>0.88628531326724402</v>
      </c>
      <c r="F10" s="1" cm="1">
        <f t="array" aca="1" ref="F10" ca="1">VEERG_4_2_1_1__1_TotalAnnualMethaneProductionFromManureManagement_Result_Method2</f>
        <v>0.89029635334910784</v>
      </c>
      <c r="G10" s="9" t="s">
        <v>5</v>
      </c>
      <c r="H10" s="1" cm="1">
        <f t="array" aca="1" ref="H10" ca="1">Common_Equations.Common_ConvertCH4ToCO2e(E10,_xlfn.XLOOKUP("CH4", Table_GWPData[Gas],Table_GWPData[CO2-e factor]))</f>
        <v>24.815988771482832</v>
      </c>
      <c r="I10" s="1" cm="1">
        <f t="array" aca="1" ref="I10" ca="1">Common_Equations.Common_ConvertCH4ToCO2e(F10,_xlfn.XLOOKUP("CH4", Table_GWPData[Gas],Table_GWPData[CO2-e factor]))</f>
        <v>24.928297893775021</v>
      </c>
      <c r="J10" s="9" t="s">
        <v>6</v>
      </c>
    </row>
    <row r="11" spans="1:11" ht="20.100000000000001" customHeight="1" x14ac:dyDescent="0.2">
      <c r="A11" s="5" t="str">
        <f>HYPERLINK("#'Input - Pasture Beef'!A1", "Pasture Beef")</f>
        <v>Pasture Beef</v>
      </c>
      <c r="D11" s="1" t="s">
        <v>13</v>
      </c>
      <c r="E11" s="1" cm="1">
        <f t="array" aca="1" ref="E11" ca="1">VEERG_4_2_1_3__1_DirectNitrousOxideEmissionsOnPasture_Result_Method1</f>
        <v>0.19011252663030423</v>
      </c>
      <c r="F11" s="1" cm="1">
        <f t="array" aca="1" ref="F11" ca="1">VEERG_4_2_1_3__1_DirectNitrousOxideEmissionsOnPasture_Result_Method2</f>
        <v>0.18424525527410571</v>
      </c>
      <c r="G11" s="9" t="s">
        <v>12</v>
      </c>
      <c r="H11" s="1" cm="1">
        <f t="array" aca="1" ref="H11" ca="1">Common_Equations.Common_ConvertN2OToCO2e(E11,_xlfn.XLOOKUP("N2O", Table_GWPData[Gas],Table_GWPData[CO2-e factor]))</f>
        <v>50.379819557030622</v>
      </c>
      <c r="I11" s="1" cm="1">
        <f t="array" aca="1" ref="I11" ca="1">Common_Equations.Common_ConvertN2OToCO2e(F11,_xlfn.XLOOKUP("N2O", Table_GWPData[Gas],Table_GWPData[CO2-e factor]))</f>
        <v>48.824992647638012</v>
      </c>
      <c r="J11" s="9" t="s">
        <v>6</v>
      </c>
    </row>
    <row r="12" spans="1:11" ht="20.100000000000001" customHeight="1" x14ac:dyDescent="0.2">
      <c r="A12" s="5" t="str">
        <f>HYPERLINK("#'Input - Livestock sales'!A1", "Livestock sales")</f>
        <v>Livestock sales</v>
      </c>
      <c r="D12" s="1" t="s">
        <v>14</v>
      </c>
      <c r="E12" s="1" cm="1">
        <f t="array" aca="1" ref="E12" ca="1">VEERG_4_2_1_5__1_AtmosphericDepositionEmissionsFromUrineAndDungOnPasture_Result_Method1</f>
        <v>0.11777471024747345</v>
      </c>
      <c r="F12" s="1" cm="1">
        <f t="array" aca="1" ref="F12" ca="1">VEERG_4_2_1_5__1_AtmosphericDepositionEmissionsFromUrineAndDungOnPasture_Result_Method2</f>
        <v>0.11413993564230847</v>
      </c>
      <c r="G12" s="9" t="s">
        <v>12</v>
      </c>
      <c r="H12" s="1" cm="1">
        <f t="array" aca="1" ref="H12" ca="1">Common_Equations.Common_ConvertN2OToCO2e(E12,_xlfn.XLOOKUP("N2O", Table_GWPData[Gas],Table_GWPData[CO2-e factor]))</f>
        <v>31.210298215580465</v>
      </c>
      <c r="I12" s="1" cm="1">
        <f t="array" aca="1" ref="I12" ca="1">Common_Equations.Common_ConvertN2OToCO2e(F12,_xlfn.XLOOKUP("N2O", Table_GWPData[Gas],Table_GWPData[CO2-e factor]))</f>
        <v>30.247082945211744</v>
      </c>
      <c r="J12" s="9" t="s">
        <v>6</v>
      </c>
    </row>
    <row r="13" spans="1:11" ht="20.100000000000001" customHeight="1" x14ac:dyDescent="0.2">
      <c r="A13" s="5" t="str">
        <f>HYPERLINK("#'Input - Beef cattle purchases'!A1", "Beef cattle purchases")</f>
        <v>Beef cattle purchases</v>
      </c>
      <c r="D13" s="1" t="s">
        <v>15</v>
      </c>
      <c r="E13" s="1" cm="1">
        <f t="array" aca="1" ref="E13" ca="1">VEERG_4_2_1_7__1_LeachingAndRunoffEmissionsFromUrineAndDungOnPasture_Result_Method1</f>
        <v>0.2509485351520015</v>
      </c>
      <c r="F13" s="1" cm="1">
        <f t="array" aca="1" ref="F13" ca="1">VEERG_4_2_1_7__1_LeachingAndRunoffEmissionsFromUrineAndDungOnPasture_Result_Method2</f>
        <v>0.24320373696181949</v>
      </c>
      <c r="G13" s="9" t="s">
        <v>12</v>
      </c>
      <c r="H13" s="1" cm="1">
        <f t="array" aca="1" ref="H13" ca="1">Common_Equations.Common_ConvertN2OToCO2e(E13,_xlfn.XLOOKUP("N2O", Table_GWPData[Gas],Table_GWPData[CO2-e factor]))</f>
        <v>66.50136181528039</v>
      </c>
      <c r="I13" s="1" cm="1">
        <f t="array" aca="1" ref="I13" ca="1">Common_Equations.Common_ConvertN2OToCO2e(F13,_xlfn.XLOOKUP("N2O", Table_GWPData[Gas],Table_GWPData[CO2-e factor]))</f>
        <v>64.448990294882165</v>
      </c>
      <c r="J13" s="9" t="s">
        <v>6</v>
      </c>
    </row>
    <row r="14" spans="1:11" ht="20.100000000000001" customHeight="1" x14ac:dyDescent="0.2">
      <c r="A14" s="5" t="str">
        <f>HYPERLINK("#'Input - Pasture'!A1", "Pasture")</f>
        <v>Pasture</v>
      </c>
      <c r="D14" s="1" t="s">
        <v>147</v>
      </c>
      <c r="E14" s="1" cm="1">
        <f t="array" ref="E14">VEERG_5_1_1_1__1_InorganicFertiliserApplicationN2OEmissions_Result_Method1</f>
        <v>1.6950488729428572</v>
      </c>
      <c r="F14" s="1" cm="1">
        <f t="array" ref="F14">VEERG_5_1_1_1__1_InorganicFertiliserApplicationN2OEmissions_Result_Method2</f>
        <v>1.6950489285714287</v>
      </c>
      <c r="G14" s="9" t="s">
        <v>12</v>
      </c>
      <c r="H14" s="1" cm="1">
        <f t="array" ref="H14">Common_Equations.Common_ConvertN2OToCO2e(E14,_xlfn.XLOOKUP("N2O", Table_GWPData[Gas],Table_GWPData[CO2-e factor]))</f>
        <v>449.18795132985719</v>
      </c>
      <c r="I14" s="1" cm="1">
        <f t="array" ref="I14">Common_Equations.Common_ConvertN2OToCO2e(F14,_xlfn.XLOOKUP("N2O", Table_GWPData[Gas],Table_GWPData[CO2-e factor]))</f>
        <v>449.1879660714286</v>
      </c>
      <c r="J14" s="9" t="s">
        <v>6</v>
      </c>
    </row>
    <row r="15" spans="1:11" ht="20.100000000000001" customHeight="1" x14ac:dyDescent="0.2">
      <c r="A15" s="5" t="str">
        <f>HYPERLINK("#'Input - Fert Prod System'!A1", "Fert Prod System")</f>
        <v>Fert Prod System</v>
      </c>
      <c r="D15" s="1" t="s">
        <v>148</v>
      </c>
      <c r="E15" s="1" cm="1">
        <f t="array" ref="E15">VEERG_5_1_1_3__1_InorganicFertiliserApplicationCO2Emissions_Result_Method1</f>
        <v>184.92752666666664</v>
      </c>
      <c r="F15" s="1">
        <f>E15</f>
        <v>184.92752666666664</v>
      </c>
      <c r="G15" s="9" t="s">
        <v>138</v>
      </c>
      <c r="H15" s="1">
        <f>E15</f>
        <v>184.92752666666664</v>
      </c>
      <c r="I15" s="1">
        <f>F15</f>
        <v>184.92752666666664</v>
      </c>
      <c r="J15" s="9" t="s">
        <v>6</v>
      </c>
    </row>
    <row r="16" spans="1:11" ht="20.100000000000001" customHeight="1" x14ac:dyDescent="0.2">
      <c r="A16" s="5" t="str">
        <f>HYPERLINK("#'Input - Fertiliser'!A1", "Fertiliser")</f>
        <v>Fertiliser</v>
      </c>
      <c r="D16" s="1" t="s">
        <v>149</v>
      </c>
      <c r="E16" s="1" cm="1">
        <f t="array" ref="E16">VEERG_5_2_1_1__2_MassOfNitrogenInOrganicFertiliser_Result_Method1</f>
        <v>5.5785714285714286E-2</v>
      </c>
      <c r="F16" s="1">
        <f>E16</f>
        <v>5.5785714285714286E-2</v>
      </c>
      <c r="G16" s="9" t="s">
        <v>12</v>
      </c>
      <c r="H16" s="1" cm="1">
        <f t="array" ref="H16">Common_Equations.Common_ConvertN2OToCO2e(E16,_xlfn.XLOOKUP("N2O", Table_GWPData[Gas],Table_GWPData[CO2-e factor]))</f>
        <v>14.783214285714285</v>
      </c>
      <c r="I16" s="1" cm="1">
        <f t="array" ref="I16">Common_Equations.Common_ConvertN2OToCO2e(F16,_xlfn.XLOOKUP("N2O", Table_GWPData[Gas],Table_GWPData[CO2-e factor]))</f>
        <v>14.783214285714285</v>
      </c>
      <c r="J16" s="9" t="s">
        <v>6</v>
      </c>
    </row>
    <row r="17" spans="1:10" ht="20.100000000000001" customHeight="1" x14ac:dyDescent="0.2">
      <c r="A17" s="5" t="str">
        <f>HYPERLINK("#'Input - Fuel'!A1", "Fuel")</f>
        <v>Fuel</v>
      </c>
      <c r="D17" s="1" t="s">
        <v>150</v>
      </c>
      <c r="E17" s="1" cm="1">
        <f t="array" ref="E17">VEERG_5_3_1_1__1_LimeApplicationCO2Emissions_Result_Method1</f>
        <v>758.08333333333326</v>
      </c>
      <c r="F17" s="1">
        <f>E17</f>
        <v>758.08333333333326</v>
      </c>
      <c r="G17" s="9" t="s">
        <v>138</v>
      </c>
      <c r="H17" s="1">
        <f>E17</f>
        <v>758.08333333333326</v>
      </c>
      <c r="I17" s="1">
        <f>F17</f>
        <v>758.08333333333326</v>
      </c>
      <c r="J17" s="9" t="s">
        <v>6</v>
      </c>
    </row>
    <row r="18" spans="1:10" ht="20.100000000000001" customHeight="1" x14ac:dyDescent="0.2">
      <c r="A18" s="5" t="str">
        <f>HYPERLINK("#'Input - Electricity'!A1", "Electricity")</f>
        <v>Electricity</v>
      </c>
      <c r="D18" s="1" t="s">
        <v>151</v>
      </c>
      <c r="E18" s="1" cm="1">
        <f t="array" ref="E18">VEERG_5_4_1_3__1_OrganicFertiliserAtmosphericDepositionN2OEmissions_Result_Method1</f>
        <v>1.38237E-2</v>
      </c>
      <c r="F18" s="1">
        <f>E18</f>
        <v>1.38237E-2</v>
      </c>
      <c r="G18" s="9" t="s">
        <v>12</v>
      </c>
      <c r="H18" s="1" cm="1">
        <f t="array" ref="H18">Common_Equations.Common_ConvertN2OToCO2e(E18,_xlfn.XLOOKUP("N2O", Table_GWPData[Gas],Table_GWPData[CO2-e factor]))</f>
        <v>3.6632804999999999</v>
      </c>
      <c r="I18" s="1" cm="1">
        <f t="array" ref="I18">Common_Equations.Common_ConvertN2OToCO2e(F18,_xlfn.XLOOKUP("N2O", Table_GWPData[Gas],Table_GWPData[CO2-e factor]))</f>
        <v>3.6632804999999999</v>
      </c>
      <c r="J18" s="9" t="s">
        <v>6</v>
      </c>
    </row>
    <row r="19" spans="1:10" ht="20.100000000000001" customHeight="1" x14ac:dyDescent="0.2">
      <c r="A19" s="5" t="str">
        <f>HYPERLINK("#'Input - Common farm inputs'!A1", "Common farm inputs")</f>
        <v>Common farm inputs</v>
      </c>
      <c r="D19" s="1" t="s">
        <v>152</v>
      </c>
      <c r="E19" s="1" cm="1">
        <f t="array" ref="E19">VEERG_5_5_1_1__1_FertiliserLeachingAndRunoffN2OEmissions_Result_Method1</f>
        <v>0.78791740368000007</v>
      </c>
      <c r="F19" s="1">
        <f>E19</f>
        <v>0.78791740368000007</v>
      </c>
      <c r="G19" s="9" t="s">
        <v>12</v>
      </c>
      <c r="H19" s="1" cm="1">
        <f t="array" ref="H19">Common_Equations.Common_ConvertN2OToCO2e(E19,_xlfn.XLOOKUP("N2O", Table_GWPData[Gas],Table_GWPData[CO2-e factor]))</f>
        <v>208.79811197520002</v>
      </c>
      <c r="I19" s="1" cm="1">
        <f t="array" ref="I19">Common_Equations.Common_ConvertN2OToCO2e(F19,_xlfn.XLOOKUP("N2O", Table_GWPData[Gas],Table_GWPData[CO2-e factor]))</f>
        <v>208.79811197520002</v>
      </c>
      <c r="J19" s="9" t="s">
        <v>6</v>
      </c>
    </row>
    <row r="20" spans="1:10" ht="20.100000000000001" customHeight="1" x14ac:dyDescent="0.2">
      <c r="A20" s="5" t="str">
        <f>HYPERLINK("#'Input - Crop pasture farm input'!A1", "Crop pasture farm input")</f>
        <v>Crop pasture farm input</v>
      </c>
      <c r="D20" s="1" t="s">
        <v>153</v>
      </c>
      <c r="E20" s="1" cm="1">
        <f t="array" ref="E20">VEERG_6_2_1_1__1__NitrousOxideEmissionsFromPastureResidues_Result_Method1</f>
        <v>5.8320428571428569E-7</v>
      </c>
      <c r="F20" s="1" cm="1">
        <f t="array" ref="F20">VEERG_6_2_1_1__1__NitrousOxideEmissionsFromPastureResidues_Result_Method2</f>
        <v>5.8320428571428569E-7</v>
      </c>
      <c r="G20" s="9" t="s">
        <v>12</v>
      </c>
      <c r="H20" s="1" cm="1">
        <f t="array" ref="H20">Common_Equations.Common_ConvertN2OToCO2e(E20,_xlfn.XLOOKUP("N2O", Table_GWPData[Gas],Table_GWPData[CO2-e factor]))</f>
        <v>1.545491357142857E-4</v>
      </c>
      <c r="I20" s="1" cm="1">
        <f t="array" ref="I20">Common_Equations.Common_ConvertN2OToCO2e(F20,_xlfn.XLOOKUP("N2O", Table_GWPData[Gas],Table_GWPData[CO2-e factor]))</f>
        <v>1.545491357142857E-4</v>
      </c>
      <c r="J20" s="9" t="s">
        <v>6</v>
      </c>
    </row>
    <row r="21" spans="1:10" ht="20.100000000000001" customHeight="1" x14ac:dyDescent="0.2">
      <c r="A21" s="5" t="str">
        <f>HYPERLINK("#'Input - Livestock farm Inputs'!A1", "Livestock farm Inputs")</f>
        <v>Livestock farm Inputs</v>
      </c>
      <c r="D21" s="1" t="s">
        <v>154</v>
      </c>
      <c r="E21" s="1" cm="1">
        <f t="array" ref="E21">VEERG_6_3_1_1__1__LeachingAndRunoffEmissionsCropAndPastureResidue_PastureOnly_Result_Method1</f>
        <v>3.0793186285714277E-7</v>
      </c>
      <c r="F21" s="1" cm="1">
        <f t="array" ref="F21">VEERG_6_3_1_1__1__LeachingAndRunoffEmissionsCropAndPastureResidue_PastureOnly_Result_Method2</f>
        <v>3.0793186285714277E-7</v>
      </c>
      <c r="G21" s="9" t="s">
        <v>12</v>
      </c>
      <c r="H21" s="1" cm="1">
        <f t="array" ref="H21">Common_Equations.Common_ConvertN2OToCO2e(E21,_xlfn.XLOOKUP("N2O", Table_GWPData[Gas],Table_GWPData[CO2-e factor]))</f>
        <v>8.1601943657142831E-5</v>
      </c>
      <c r="I21" s="1" cm="1">
        <f t="array" ref="I21">Common_Equations.Common_ConvertN2OToCO2e(F21,_xlfn.XLOOKUP("N2O", Table_GWPData[Gas],Table_GWPData[CO2-e factor]))</f>
        <v>8.1601943657142831E-5</v>
      </c>
      <c r="J21" s="9" t="s">
        <v>6</v>
      </c>
    </row>
    <row r="22" spans="1:10" ht="20.100000000000001" customHeight="1" x14ac:dyDescent="0.2">
      <c r="A22" s="5" t="str">
        <f>HYPERLINK("#'Input - Freight'!A1", "Freight")</f>
        <v>Freight</v>
      </c>
      <c r="D22" s="1" t="s">
        <v>155</v>
      </c>
      <c r="E22" s="1" cm="1">
        <f t="array" ref="E22">VEERG_8_1_1_1__1_FuelCombustionTransport_Result_CO2</f>
        <v>83.182000000000002</v>
      </c>
      <c r="F22" s="1">
        <f>E22</f>
        <v>83.182000000000002</v>
      </c>
      <c r="G22" s="9" t="s">
        <v>138</v>
      </c>
      <c r="H22" s="1">
        <f>E22</f>
        <v>83.182000000000002</v>
      </c>
      <c r="I22" s="1">
        <f>F22</f>
        <v>83.182000000000002</v>
      </c>
      <c r="J22" s="9" t="s">
        <v>6</v>
      </c>
    </row>
    <row r="23" spans="1:10" ht="20.100000000000001" customHeight="1" x14ac:dyDescent="0.2">
      <c r="A23" s="5" t="str">
        <f>HYPERLINK("#'Input - Solid waste'!A1", "Solid waste")</f>
        <v>Solid waste</v>
      </c>
      <c r="D23" s="1" t="s">
        <v>157</v>
      </c>
      <c r="E23" s="1" cm="1">
        <f t="array" ref="E23">VEERG_8_1_1_1__1_FuelCombustionTransport_Result_CH4</f>
        <v>0.19906000000000001</v>
      </c>
      <c r="F23" s="1">
        <f>E23</f>
        <v>0.19906000000000001</v>
      </c>
      <c r="G23" s="9" t="s">
        <v>5</v>
      </c>
      <c r="H23" s="1" cm="1">
        <f t="array" ref="H23">Common_Equations.Common_ConvertCH4ToCO2e(E23,_xlfn.XLOOKUP("CH4", Table_GWPData[Gas],Table_GWPData[CO2-e factor]))</f>
        <v>5.5736800000000004</v>
      </c>
      <c r="I23" s="1" cm="1">
        <f t="array" ref="I23">Common_Equations.Common_ConvertCH4ToCO2e(F23,_xlfn.XLOOKUP("CH4", Table_GWPData[Gas],Table_GWPData[CO2-e factor]))</f>
        <v>5.5736800000000004</v>
      </c>
      <c r="J23" s="9" t="s">
        <v>6</v>
      </c>
    </row>
    <row r="24" spans="1:10" ht="20.100000000000001" customHeight="1" x14ac:dyDescent="0.2">
      <c r="A24" s="5" t="str">
        <f>HYPERLINK("#'Input - Manure sent off-site'!A1", "Manure sent off-site")</f>
        <v>Manure sent off-site</v>
      </c>
      <c r="D24" s="1" t="s">
        <v>156</v>
      </c>
      <c r="E24" s="1" cm="1">
        <f t="array" ref="E24">VEERG_8_1_1_1__1_FuelCombustionTransport_Result_N2O</f>
        <v>0.58450000000000002</v>
      </c>
      <c r="F24" s="1">
        <f>E24</f>
        <v>0.58450000000000002</v>
      </c>
      <c r="G24" s="9" t="s">
        <v>12</v>
      </c>
      <c r="H24" s="1" cm="1">
        <f t="array" ref="H24">Common_Equations.Common_ConvertN2OToCO2e(E24,_xlfn.XLOOKUP("N2O", Table_GWPData[Gas],Table_GWPData[CO2-e factor]))</f>
        <v>154.89250000000001</v>
      </c>
      <c r="I24" s="1" cm="1">
        <f t="array" ref="I24">Common_Equations.Common_ConvertN2OToCO2e(F24,_xlfn.XLOOKUP("N2O", Table_GWPData[Gas],Table_GWPData[CO2-e factor]))</f>
        <v>154.89250000000001</v>
      </c>
      <c r="J24" s="9" t="s">
        <v>6</v>
      </c>
    </row>
    <row r="25" spans="1:10" ht="20.100000000000001" customHeight="1" x14ac:dyDescent="0.2">
      <c r="A25" s="5" t="str">
        <f>HYPERLINK("#'Input - Data quality'!A1", "Data quality")</f>
        <v>Data quality</v>
      </c>
      <c r="D25" s="1" t="s">
        <v>158</v>
      </c>
      <c r="E25" s="1" cm="1">
        <f t="array" ref="E25">VEERG_8_2_1_1__1_FuelCombustionStationary_Result_CO2</f>
        <v>29.070800000000002</v>
      </c>
      <c r="F25" s="1">
        <f>E25</f>
        <v>29.070800000000002</v>
      </c>
      <c r="G25" s="9" t="s">
        <v>138</v>
      </c>
      <c r="H25" s="1">
        <f>E25</f>
        <v>29.070800000000002</v>
      </c>
      <c r="I25" s="1">
        <f>F25</f>
        <v>29.070800000000002</v>
      </c>
      <c r="J25" s="9" t="s">
        <v>6</v>
      </c>
    </row>
    <row r="26" spans="1:10" ht="20.100000000000001" customHeight="1" x14ac:dyDescent="0.2">
      <c r="D26" s="1" t="s">
        <v>159</v>
      </c>
      <c r="E26" s="1" cm="1">
        <f t="array" ref="E26">VEERG_8_2_1_1__1_FuelCombustionStationary_Result_CH4</f>
        <v>7.2400000000000006E-2</v>
      </c>
      <c r="F26" s="1">
        <f t="shared" ref="F26:F27" si="0">E26</f>
        <v>7.2400000000000006E-2</v>
      </c>
      <c r="G26" s="9" t="s">
        <v>5</v>
      </c>
      <c r="H26" s="1" cm="1">
        <f t="array" ref="H26">Common_Equations.Common_ConvertCH4ToCO2e(E26,_xlfn.XLOOKUP("CH4", Table_GWPData[Gas],Table_GWPData[CO2-e factor]))</f>
        <v>2.0272000000000001</v>
      </c>
      <c r="I26" s="1" cm="1">
        <f t="array" ref="I26">Common_Equations.Common_ConvertCH4ToCO2e(F26,_xlfn.XLOOKUP("CH4", Table_GWPData[Gas],Table_GWPData[CO2-e factor]))</f>
        <v>2.0272000000000001</v>
      </c>
      <c r="J26" s="9" t="s">
        <v>6</v>
      </c>
    </row>
    <row r="27" spans="1:10" ht="20.100000000000001" customHeight="1" x14ac:dyDescent="0.2">
      <c r="D27" s="1" t="s">
        <v>160</v>
      </c>
      <c r="E27" s="1" cm="1">
        <f t="array" ref="E27">VEERG_8_2_1_1__1_FuelCombustionStationary_Result_N2O</f>
        <v>7.1400000000000005E-2</v>
      </c>
      <c r="F27" s="1">
        <f t="shared" si="0"/>
        <v>7.1400000000000005E-2</v>
      </c>
      <c r="G27" s="9" t="s">
        <v>12</v>
      </c>
      <c r="H27" s="1" cm="1">
        <f t="array" ref="H27">Common_Equations.Common_ConvertN2OToCO2e(E27,_xlfn.XLOOKUP("N2O", Table_GWPData[Gas],Table_GWPData[CO2-e factor]))</f>
        <v>18.921000000000003</v>
      </c>
      <c r="I27" s="1" cm="1">
        <f t="array" ref="I27">Common_Equations.Common_ConvertN2OToCO2e(F27,_xlfn.XLOOKUP("N2O", Table_GWPData[Gas],Table_GWPData[CO2-e factor]))</f>
        <v>18.921000000000003</v>
      </c>
      <c r="J27" s="9" t="s">
        <v>6</v>
      </c>
    </row>
    <row r="28" spans="1:10" ht="20.100000000000001" customHeight="1" x14ac:dyDescent="0.2">
      <c r="A28" s="6" t="s">
        <v>2</v>
      </c>
      <c r="D28" s="91" t="s">
        <v>288</v>
      </c>
      <c r="E28" s="92"/>
      <c r="F28" s="92"/>
      <c r="G28" s="92"/>
      <c r="H28" s="91">
        <f ca="1">SUM(H9:H27)</f>
        <v>3642.2055407371577</v>
      </c>
      <c r="I28" s="91">
        <f ca="1">SUM(I9:I27)</f>
        <v>3647.8291236908112</v>
      </c>
      <c r="J28" s="96" t="s">
        <v>6</v>
      </c>
    </row>
    <row r="29" spans="1:10" ht="20.100000000000001" customHeight="1" x14ac:dyDescent="0.2">
      <c r="A29" s="5" t="str">
        <f>HYPERLINK("#'3.2.1.1-2 Enteric Methane'!A1", "3.2.1.1-2 Enteric Methane")</f>
        <v>3.2.1.1-2 Enteric Methane</v>
      </c>
    </row>
    <row r="30" spans="1:10" ht="20.100000000000001" customHeight="1" x14ac:dyDescent="0.2">
      <c r="A30" s="5" t="str">
        <f>HYPERLINK("#'4.2.1.1-2 Methane'!A1", "4.2.1.1-2 Manure methane")</f>
        <v>4.2.1.1-2 Manure methane</v>
      </c>
    </row>
    <row r="31" spans="1:10" ht="20.100000000000001" customHeight="1" x14ac:dyDescent="0.2">
      <c r="A31" s="5" t="str">
        <f>HYPERLINK("#'4.2.1.3-4 Soil direct N20'!A1", "4.2.1.3-4 Soil direct N2O")</f>
        <v>4.2.1.3-4 Soil direct N2O</v>
      </c>
      <c r="D31" s="79" t="s">
        <v>289</v>
      </c>
    </row>
    <row r="32" spans="1:10" ht="20.100000000000001" customHeight="1" x14ac:dyDescent="0.2">
      <c r="A32" s="5" t="str">
        <f>HYPERLINK("#'4.2.1.5-6 Soil Atmos Dep'!A1", "4.2.1.5-6 Soil atm. deposition")</f>
        <v>4.2.1.5-6 Soil atm. deposition</v>
      </c>
    </row>
    <row r="33" spans="1:10" ht="20.100000000000001" customHeight="1" x14ac:dyDescent="0.2">
      <c r="A33" s="5" t="str">
        <f>HYPERLINK("#'4.2.1.7-8 Soil leach runoff'!A1", "4.2.1.7-8 Soil leach &amp; runoff")</f>
        <v>4.2.1.7-8 Soil leach &amp; runoff</v>
      </c>
      <c r="D33" s="11" t="s">
        <v>290</v>
      </c>
      <c r="E33" s="11" t="s">
        <v>7</v>
      </c>
      <c r="F33" s="11" t="s">
        <v>8</v>
      </c>
      <c r="G33" s="11" t="s">
        <v>4</v>
      </c>
      <c r="H33" s="11" t="s">
        <v>9</v>
      </c>
      <c r="I33" s="11" t="s">
        <v>10</v>
      </c>
      <c r="J33" s="11"/>
    </row>
    <row r="34" spans="1:10" ht="20.100000000000001" customHeight="1" x14ac:dyDescent="0.2">
      <c r="A34" s="5" t="str">
        <f>HYPERLINK("#'5.1.1.1-2 Inorganic fert N2O'!A1", "5.1.1.1-2 Inorganic fert N2O")</f>
        <v>5.1.1.1-2 Inorganic fert N2O</v>
      </c>
      <c r="D34" s="1" t="str" cm="1">
        <f t="array" ref="D34">"14.1.1-2 Purchased electricity " &amp; IF(X_Cell_Electricity_CalculationMethod="Location-based (simpler)", "(Location-based)", "(Market-based)")</f>
        <v>14.1.1-2 Purchased electricity (Location-based)</v>
      </c>
      <c r="E34" s="1" cm="1">
        <f t="array" ref="E34">IF(X_Cell_Electricity_CalculationMethod="Location-based (simpler)", VEERG_14_1_1__1_LocationBasedScopeElectricityEmissions_Result_Method1, VEERG_14_1_2__1_MarketBasedScopeElectricityEmissionsVariation_Result_Method1)</f>
        <v>16.8</v>
      </c>
      <c r="F34" s="1">
        <f>E34</f>
        <v>16.8</v>
      </c>
      <c r="G34" s="9" t="s">
        <v>6</v>
      </c>
      <c r="H34" s="1">
        <f>E34</f>
        <v>16.8</v>
      </c>
      <c r="I34" s="1">
        <f>F34</f>
        <v>16.8</v>
      </c>
      <c r="J34" s="9" t="s">
        <v>6</v>
      </c>
    </row>
    <row r="35" spans="1:10" ht="20.100000000000001" customHeight="1" x14ac:dyDescent="0.2">
      <c r="A35" s="5" t="str">
        <f>HYPERLINK("#'5.1.1.3-4 Inorganic fert CO2'!A1", "5.1.1.3-4 Inorganic fert CO2")</f>
        <v>5.1.1.3-4 Inorganic fert CO2</v>
      </c>
      <c r="D35" s="91" t="s">
        <v>291</v>
      </c>
      <c r="E35" s="92"/>
      <c r="F35" s="92"/>
      <c r="G35" s="92"/>
      <c r="H35" s="91">
        <f>SUM(H34:H34)</f>
        <v>16.8</v>
      </c>
      <c r="I35" s="91">
        <f>SUM(I34:I34)</f>
        <v>16.8</v>
      </c>
      <c r="J35" s="96" t="s">
        <v>6</v>
      </c>
    </row>
    <row r="36" spans="1:10" ht="20.100000000000001" customHeight="1" x14ac:dyDescent="0.2">
      <c r="A36" s="5" t="str">
        <f>HYPERLINK("#'5.2.1.1-2 Organic Fert N2O'!A1", "5.2.1.1-2 Organic fert N2O")</f>
        <v>5.2.1.1-2 Organic fert N2O</v>
      </c>
    </row>
    <row r="37" spans="1:10" ht="20.100000000000001" customHeight="1" x14ac:dyDescent="0.2">
      <c r="A37" s="5" t="str">
        <f>HYPERLINK("#'5.3.1.1-2 Lime CO2'!A1", "5.3.1.1-2 Lime CO2")</f>
        <v>5.3.1.1-2 Lime CO2</v>
      </c>
    </row>
    <row r="38" spans="1:10" ht="20.100000000000001" customHeight="1" x14ac:dyDescent="0.2">
      <c r="A38" s="5" t="str">
        <f>HYPERLINK("#'5.4.1.1-4 Atmos deposition'!A1", "5.4.1.1-4 Atmos. deposition")</f>
        <v>5.4.1.1-4 Atmos. deposition</v>
      </c>
      <c r="D38" s="79" t="s">
        <v>293</v>
      </c>
    </row>
    <row r="39" spans="1:10" ht="20.100000000000001" customHeight="1" x14ac:dyDescent="0.2">
      <c r="A39" s="5" t="str">
        <f>HYPERLINK("#'5.5.1.1-2 Leaching and runoff'!A1", "5.5.1.1-2 Leaching &amp; runoff")</f>
        <v>5.5.1.1-2 Leaching &amp; runoff</v>
      </c>
      <c r="D39" s="11" t="s">
        <v>294</v>
      </c>
      <c r="E39" s="11" t="s">
        <v>7</v>
      </c>
      <c r="F39" s="11" t="s">
        <v>8</v>
      </c>
      <c r="G39" s="11" t="s">
        <v>4</v>
      </c>
      <c r="H39" s="11" t="s">
        <v>9</v>
      </c>
      <c r="I39" s="11" t="s">
        <v>10</v>
      </c>
      <c r="J39" s="11"/>
    </row>
    <row r="40" spans="1:10" ht="20.100000000000001" customHeight="1" x14ac:dyDescent="0.2">
      <c r="A40" s="5" t="str">
        <f>HYPERLINK("#'6.2.1.1-2 Pasture residue N2O'!A1", "6.2.1.1-2 Pasture residue N2O")</f>
        <v>6.2.1.1-2 Pasture residue N2O</v>
      </c>
      <c r="D40" s="1" t="s">
        <v>295</v>
      </c>
      <c r="E40" s="1" cm="1">
        <f t="array" ref="E40">VEERG_15_1_1_1__1_EmissionsFromPurchasedLivestock_Result_Method1</f>
        <v>1052.5</v>
      </c>
      <c r="F40" s="1" cm="1">
        <f t="array" ref="F40">VEERG_15_1_1_1__1_EmissionsFromPurchasedLivestock_Result_Method2</f>
        <v>1014.5</v>
      </c>
      <c r="G40" s="9" t="s">
        <v>6</v>
      </c>
      <c r="H40" s="1">
        <f>E40</f>
        <v>1052.5</v>
      </c>
      <c r="I40" s="1">
        <f t="shared" ref="I40:I52" si="1">F40</f>
        <v>1014.5</v>
      </c>
      <c r="J40" s="9" t="s">
        <v>6</v>
      </c>
    </row>
    <row r="41" spans="1:10" ht="20.100000000000001" customHeight="1" x14ac:dyDescent="0.2">
      <c r="A41" s="5" t="str">
        <f>HYPERLINK("#'6.3.1.1-2 Leach runoff pasture'!A1", "6.3.1.1-2 Leach &amp; runoff (pasture)")</f>
        <v>6.3.1.1-2 Leach &amp; runoff (pasture)</v>
      </c>
      <c r="D41" s="1" t="s">
        <v>296</v>
      </c>
      <c r="E41" s="1" cm="1">
        <f t="array" ref="E41">VEERG_15_2_1_1__1_EmissionsFromPurchasedFeed_Result_Method1</f>
        <v>0.78505200000000008</v>
      </c>
      <c r="F41" s="1" cm="1">
        <f t="array" ref="F41">VEERG_15_2_1_1__1_EmissionsFromPurchasedFeed_Result_Method2</f>
        <v>0.52978000000000003</v>
      </c>
      <c r="G41" s="9" t="s">
        <v>6</v>
      </c>
      <c r="H41" s="1">
        <f t="shared" ref="H41:H52" si="2">E41</f>
        <v>0.78505200000000008</v>
      </c>
      <c r="I41" s="1">
        <f t="shared" si="1"/>
        <v>0.52978000000000003</v>
      </c>
      <c r="J41" s="9" t="s">
        <v>6</v>
      </c>
    </row>
    <row r="42" spans="1:10" ht="20.100000000000001" customHeight="1" x14ac:dyDescent="0.2">
      <c r="A42" s="5" t="str">
        <f>HYPERLINK("#'8.1.1.1-2 Transport fuel'!A1", "8.1.1.1-2 Transport fuel")</f>
        <v>8.1.1.1-2 Transport fuel</v>
      </c>
      <c r="D42" s="1" t="s">
        <v>297</v>
      </c>
      <c r="E42" s="1" cm="1">
        <f t="array" ref="E42">VEERG_15_3_1_1__1_EmissionsFromPurchasedMineralSupplements_Result_Method1</f>
        <v>0.1789</v>
      </c>
      <c r="F42" s="1" cm="1">
        <f t="array" ref="F42">VEERG_15_3_1_1__1_EmissionsFromPurchasedMineralSupplements_Result_Method2</f>
        <v>0.16</v>
      </c>
      <c r="G42" s="9" t="s">
        <v>6</v>
      </c>
      <c r="H42" s="1">
        <f t="shared" si="2"/>
        <v>0.1789</v>
      </c>
      <c r="I42" s="1">
        <f t="shared" si="1"/>
        <v>0.16</v>
      </c>
      <c r="J42" s="9" t="s">
        <v>6</v>
      </c>
    </row>
    <row r="43" spans="1:10" ht="20.100000000000001" customHeight="1" x14ac:dyDescent="0.2">
      <c r="A43" s="5" t="str">
        <f>HYPERLINK("#'8.2.1.1-2 Stationary fuel'!A1", "8.2.1.1-2 Stationary fuel")</f>
        <v>8.2.1.1-2 Stationary fuel</v>
      </c>
      <c r="D43" s="1" t="s">
        <v>298</v>
      </c>
      <c r="E43" s="1" cm="1">
        <f t="array" ref="E43">VEERG_15_4_1_1__2_EmissionsFromPurchasedFertiliserComponentsVariation_Result_Method1</f>
        <v>518.80600000000004</v>
      </c>
      <c r="F43" s="1" cm="1">
        <f t="array" ref="F43">VEERG_15_4_1_1__2_EmissionsFromPurchasedFertiliserComponentsVariation_Result_Method2</f>
        <v>599.726</v>
      </c>
      <c r="G43" s="9" t="s">
        <v>6</v>
      </c>
      <c r="H43" s="1">
        <f t="shared" si="2"/>
        <v>518.80600000000004</v>
      </c>
      <c r="I43" s="1">
        <f t="shared" si="1"/>
        <v>599.726</v>
      </c>
      <c r="J43" s="9" t="s">
        <v>6</v>
      </c>
    </row>
    <row r="44" spans="1:10" ht="20.100000000000001" customHeight="1" x14ac:dyDescent="0.2">
      <c r="A44" s="5" t="str">
        <f>HYPERLINK("#'10.1.1-2 Solid waste treatment'!A1", "10.1.1.1-2 Solid waste")</f>
        <v>10.1.1.1-2 Solid waste</v>
      </c>
      <c r="D44" s="1" t="s">
        <v>299</v>
      </c>
      <c r="E44" s="1" cm="1">
        <f t="array" ref="E44">VEERG_15_5_1_1__1_EmissionsFromPurchasedAgrichemicals_Result_Method1</f>
        <v>7.5159999999999991</v>
      </c>
      <c r="F44" s="1" cm="1">
        <f t="array" ref="F44">VEERG_15_5_1_1__1_EmissionsFromPurchasedAgrichemicals_Result_Method2</f>
        <v>7.4959999999999996</v>
      </c>
      <c r="G44" s="9" t="s">
        <v>6</v>
      </c>
      <c r="H44" s="1">
        <f t="shared" si="2"/>
        <v>7.5159999999999991</v>
      </c>
      <c r="I44" s="1">
        <f t="shared" si="1"/>
        <v>7.4959999999999996</v>
      </c>
      <c r="J44" s="9" t="s">
        <v>6</v>
      </c>
    </row>
    <row r="45" spans="1:10" ht="20.100000000000001" customHeight="1" x14ac:dyDescent="0.2">
      <c r="A45" s="5" t="str">
        <f>HYPERLINK("#'14.1.1-2 Purchased electricity'!A1", "14.1.1-2 Purchased electricity")</f>
        <v>14.1.1-2 Purchased electricity</v>
      </c>
      <c r="D45" s="1" t="s">
        <v>300</v>
      </c>
      <c r="E45" s="1" cm="1">
        <f t="array" ref="E45">VEERG_15_6_1_1__1_EmissionsFromPurchasedLime_Result_Method1</f>
        <v>0.16553999999999999</v>
      </c>
      <c r="F45" s="1" cm="1">
        <f t="array" ref="F45">VEERG_15_6_1_1__1_EmissionsFromPurchasedLime_Result_Method2</f>
        <v>0.14399999999999999</v>
      </c>
      <c r="G45" s="9" t="s">
        <v>6</v>
      </c>
      <c r="H45" s="1">
        <f t="shared" si="2"/>
        <v>0.16553999999999999</v>
      </c>
      <c r="I45" s="1">
        <f t="shared" si="1"/>
        <v>0.14399999999999999</v>
      </c>
      <c r="J45" s="9" t="s">
        <v>6</v>
      </c>
    </row>
    <row r="46" spans="1:10" ht="20.100000000000001" customHeight="1" x14ac:dyDescent="0.2">
      <c r="A46" s="5" t="str">
        <f>HYPERLINK("#'15 Scope 3'!A1", "15 Scope 3")</f>
        <v>15 Scope 3</v>
      </c>
      <c r="D46" s="1" t="s">
        <v>301</v>
      </c>
      <c r="E46" s="1" t="str" cm="1">
        <f t="array" ref="E46">VEERG_15_7_1_1__1_EmissionsFromPurchasedServices_Result_Method1</f>
        <v>No data</v>
      </c>
      <c r="F46" s="1" cm="1">
        <f t="array" ref="F46">VEERG_15_7_1_1__1_EmissionsFromPurchasedServices_Result_Method2</f>
        <v>1.1000000000000001</v>
      </c>
      <c r="G46" s="9" t="s">
        <v>6</v>
      </c>
      <c r="H46" s="1" t="str">
        <f t="shared" si="2"/>
        <v>No data</v>
      </c>
      <c r="I46" s="1">
        <f t="shared" si="1"/>
        <v>1.1000000000000001</v>
      </c>
      <c r="J46" s="9" t="s">
        <v>6</v>
      </c>
    </row>
    <row r="47" spans="1:10" ht="20.100000000000001" customHeight="1" x14ac:dyDescent="0.2">
      <c r="A47" s="5" t="str">
        <f>HYPERLINK("#'Calcs - Manure sent off-site'!A1", "Calcs - Manure sent off-site")</f>
        <v>Calcs - Manure sent off-site</v>
      </c>
      <c r="D47" s="1" t="s">
        <v>302</v>
      </c>
      <c r="E47" s="1" cm="1">
        <f t="array" ref="E47">VEERG_15_10_1_1__1_OtherPurchasedGoodsAndServices_CleaningChemicals_Result_Method1</f>
        <v>0.50509999999999999</v>
      </c>
      <c r="F47" s="1" cm="1">
        <f t="array" ref="F47">VEERG_15_10_1_1__1_OtherPurchasedGoodsAndServices_CleaningChemicals_Result_Method2</f>
        <v>0.5</v>
      </c>
      <c r="G47" s="9" t="s">
        <v>6</v>
      </c>
      <c r="H47" s="1">
        <f t="shared" si="2"/>
        <v>0.50509999999999999</v>
      </c>
      <c r="I47" s="1">
        <f t="shared" si="1"/>
        <v>0.5</v>
      </c>
      <c r="J47" s="9" t="s">
        <v>6</v>
      </c>
    </row>
    <row r="48" spans="1:10" ht="20.100000000000001" customHeight="1" x14ac:dyDescent="0.2">
      <c r="D48" s="1" t="s">
        <v>303</v>
      </c>
      <c r="E48" s="1" cm="1">
        <f t="array" ref="E48">VEERG_15_10_1_1__1_OtherPurchasedGoodsAndServices_PharmacyChemicals_Result_Method1</f>
        <v>1.5636000000000001E-2</v>
      </c>
      <c r="F48" s="1" cm="1">
        <f t="array" ref="F48">VEERG_15_10_1_1__1_OtherPurchasedGoodsAndServices_PharmacyChemicals_Result_Method2</f>
        <v>1.3400000000000002E-2</v>
      </c>
      <c r="G48" s="9" t="s">
        <v>6</v>
      </c>
      <c r="H48" s="1">
        <f t="shared" si="2"/>
        <v>1.5636000000000001E-2</v>
      </c>
      <c r="I48" s="1">
        <f t="shared" si="1"/>
        <v>1.3400000000000002E-2</v>
      </c>
      <c r="J48" s="9" t="s">
        <v>6</v>
      </c>
    </row>
    <row r="49" spans="1:10" ht="20.100000000000001" customHeight="1" x14ac:dyDescent="0.2">
      <c r="D49" s="1" t="s">
        <v>304</v>
      </c>
      <c r="E49" s="1" cm="1">
        <f t="array" ref="E49">VEERG_15_10_1_1__1_OtherPurchasedGoodsAndServices_Misc_Result_Method1</f>
        <v>1.01E-2</v>
      </c>
      <c r="F49" s="1" cm="1">
        <f t="array" ref="F49">VEERG_15_10_1_1__1_OtherPurchasedGoodsAndServices_Misc_Result_Method2</f>
        <v>2.5860000000000001E-2</v>
      </c>
      <c r="G49" s="9" t="s">
        <v>6</v>
      </c>
      <c r="H49" s="1">
        <f t="shared" si="2"/>
        <v>1.01E-2</v>
      </c>
      <c r="I49" s="1">
        <f t="shared" si="1"/>
        <v>2.5860000000000001E-2</v>
      </c>
      <c r="J49" s="9" t="s">
        <v>6</v>
      </c>
    </row>
    <row r="50" spans="1:10" ht="20.100000000000001" customHeight="1" x14ac:dyDescent="0.2">
      <c r="A50" s="86" t="s">
        <v>1</v>
      </c>
      <c r="D50" s="1" t="s">
        <v>305</v>
      </c>
      <c r="E50" s="1" t="str" cm="1">
        <f t="array" ref="E50">VEERG_15_10_1_1__1_OtherPurchasedGoodsAndServices_Uncategorised_Result_Method1</f>
        <v>No data</v>
      </c>
      <c r="F50" s="1" cm="1">
        <f t="array" ref="F50">VEERG_15_10_1_1__1_OtherPurchasedGoodsAndServices_Uncategorised_Result_Method2</f>
        <v>4000</v>
      </c>
      <c r="G50" s="9" t="s">
        <v>6</v>
      </c>
      <c r="H50" s="1" t="str">
        <f t="shared" si="2"/>
        <v>No data</v>
      </c>
      <c r="I50" s="1">
        <f t="shared" si="1"/>
        <v>4000</v>
      </c>
      <c r="J50" s="9" t="s">
        <v>6</v>
      </c>
    </row>
    <row r="51" spans="1:10" ht="20.100000000000001" customHeight="1" x14ac:dyDescent="0.2">
      <c r="A51" s="5" t="str">
        <f>HYPERLINK("#'Constants - Pasture Beef'!A1", "Constants - Pasture Beef")</f>
        <v>Constants - Pasture Beef</v>
      </c>
      <c r="D51" s="1" t="s">
        <v>306</v>
      </c>
      <c r="E51" s="1" cm="1">
        <f t="array" ref="E51">VEERG_15_11_1_1__1_TotalUpstreamEmissionsFromFuel_Result</f>
        <v>26.794</v>
      </c>
      <c r="F51" s="1">
        <f>E51</f>
        <v>26.794</v>
      </c>
      <c r="G51" s="9" t="s">
        <v>6</v>
      </c>
      <c r="H51" s="1">
        <f t="shared" si="2"/>
        <v>26.794</v>
      </c>
      <c r="I51" s="1">
        <f t="shared" si="1"/>
        <v>26.794</v>
      </c>
      <c r="J51" s="9" t="s">
        <v>6</v>
      </c>
    </row>
    <row r="52" spans="1:10" ht="20.100000000000001" customHeight="1" x14ac:dyDescent="0.2">
      <c r="A52" s="5" t="str">
        <f>HYPERLINK("#'Constants - Ag Residue'!A1", "Constants - Ag residue")</f>
        <v>Constants - Ag residue</v>
      </c>
      <c r="D52" s="1" t="str" cm="1">
        <f t="array" ref="D52">"15.12.1.1 Purchased electricity " &amp; IF(X_Cell_Electricity_CalculationMethod="Location-based (simpler)", "(Location-based)", "(Market-based)")</f>
        <v>15.12.1.1 Purchased electricity (Location-based)</v>
      </c>
      <c r="E52" s="1" cm="1">
        <f t="array" ref="E52">IF(X_Cell_Electricity_CalculationMethod="Location-based (simpler)", VEERG_15_12_1_1__1_UpstreamPurchasedElectricityLocationBased_Result, VEERG_15_12_1_1__1_UpstreamPurchasedElectricityMarketBased_Result)</f>
        <v>2.7</v>
      </c>
      <c r="F52" s="1">
        <f>E52</f>
        <v>2.7</v>
      </c>
      <c r="G52" s="9" t="s">
        <v>6</v>
      </c>
      <c r="H52" s="1">
        <f t="shared" si="2"/>
        <v>2.7</v>
      </c>
      <c r="I52" s="1">
        <f t="shared" si="1"/>
        <v>2.7</v>
      </c>
      <c r="J52" s="9" t="s">
        <v>6</v>
      </c>
    </row>
    <row r="53" spans="1:10" ht="20.100000000000001" customHeight="1" x14ac:dyDescent="0.2">
      <c r="A53" s="5" t="str">
        <f>HYPERLINK("#'Constants - Common Livestock'!A1", "Constants - Common Livestock")</f>
        <v>Constants - Common Livestock</v>
      </c>
      <c r="D53" s="1" t="s">
        <v>307</v>
      </c>
      <c r="E53" s="1" t="str" cm="1">
        <f t="array" ref="E53">VEERG_15_14_1_1__1_EmbeddedEmissionsFromUpstreamFreight_Incoming_Result_Method1</f>
        <v>No data</v>
      </c>
      <c r="F53" s="1" cm="1">
        <f t="array" ref="F53">VEERG_15_14_1_1__1_EmbeddedEmissionsFromUpstreamFreight_Incoming_Result_Method2</f>
        <v>5166.2</v>
      </c>
      <c r="G53" s="9" t="s">
        <v>6</v>
      </c>
      <c r="H53" s="1" t="str">
        <f>E53</f>
        <v>No data</v>
      </c>
      <c r="I53" s="1">
        <f>F53</f>
        <v>5166.2</v>
      </c>
      <c r="J53" s="9" t="s">
        <v>6</v>
      </c>
    </row>
    <row r="54" spans="1:10" ht="20.100000000000001" customHeight="1" x14ac:dyDescent="0.2">
      <c r="A54" s="5" t="str">
        <f>HYPERLINK("#'Constants - Electricity'!A1", "Constants - Electricity")</f>
        <v>Constants - Electricity</v>
      </c>
      <c r="D54" s="1" t="s">
        <v>308</v>
      </c>
      <c r="E54" s="1" cm="1">
        <f t="array" ref="E54">VEERG_10_1_1_1__1_EmissionsFromWasteManagement_Scope3_Result_Method1</f>
        <v>441.15000000000003</v>
      </c>
      <c r="F54" s="1">
        <f>E54</f>
        <v>441.15000000000003</v>
      </c>
      <c r="G54" s="9" t="s">
        <v>6</v>
      </c>
      <c r="H54" s="1">
        <f t="shared" ref="H54:H55" si="3">E54</f>
        <v>441.15000000000003</v>
      </c>
      <c r="I54" s="1">
        <f t="shared" ref="I54:I55" si="4">F54</f>
        <v>441.15000000000003</v>
      </c>
      <c r="J54" s="9" t="s">
        <v>6</v>
      </c>
    </row>
    <row r="55" spans="1:10" ht="20.100000000000001" customHeight="1" x14ac:dyDescent="0.2">
      <c r="A55" s="5" t="str">
        <f>HYPERLINK("#'Constants - Fertiliser'!A1", "Constants - Fertiliser")</f>
        <v>Constants - Fertiliser</v>
      </c>
      <c r="D55" s="1" t="s">
        <v>309</v>
      </c>
      <c r="E55" s="1" t="str" cm="1">
        <f t="array" ref="E55">VEERG_15_14_1_1__1_EmbeddedEmissionsFromUpstreamFreight_Outgoing_Result_Method1</f>
        <v>No data</v>
      </c>
      <c r="F55" s="1" cm="1">
        <f t="array" ref="F55">VEERG_15_14_1_1__1_EmbeddedEmissionsFromUpstreamFreight_Outgoing_Result_Method2</f>
        <v>676</v>
      </c>
      <c r="G55" s="9" t="s">
        <v>6</v>
      </c>
      <c r="H55" s="1" t="str">
        <f t="shared" si="3"/>
        <v>No data</v>
      </c>
      <c r="I55" s="1">
        <f t="shared" si="4"/>
        <v>676</v>
      </c>
      <c r="J55" s="9" t="s">
        <v>6</v>
      </c>
    </row>
    <row r="56" spans="1:10" ht="20.100000000000001" customHeight="1" x14ac:dyDescent="0.2">
      <c r="A56" s="5" t="str">
        <f>HYPERLINK("#'Constants - Fuel'!A1", "Constants - Fuel")</f>
        <v>Constants - Fuel</v>
      </c>
      <c r="D56" s="91" t="s">
        <v>310</v>
      </c>
      <c r="E56" s="92"/>
      <c r="F56" s="92"/>
      <c r="G56" s="92"/>
      <c r="H56" s="91">
        <f>SUM(H40:H55)</f>
        <v>2051.1263280000003</v>
      </c>
      <c r="I56" s="91">
        <f>SUM(I40:I55)</f>
        <v>11937.039039999998</v>
      </c>
      <c r="J56" s="96" t="s">
        <v>6</v>
      </c>
    </row>
    <row r="57" spans="1:10" ht="20.100000000000001" customHeight="1" x14ac:dyDescent="0.2">
      <c r="A57" s="5" t="str">
        <f>HYPERLINK("#'Constants - Scope 3'!A1", "Constants - Scope 3")</f>
        <v>Constants - Scope 3</v>
      </c>
    </row>
    <row r="58" spans="1:10" ht="20.100000000000001" customHeight="1" x14ac:dyDescent="0.2">
      <c r="A58" s="5" t="str">
        <f>HYPERLINK("#'Constants - Solid Waste'!A1", "Constants - Solid Waste")</f>
        <v>Constants - Solid Waste</v>
      </c>
    </row>
    <row r="59" spans="1:10" ht="20.100000000000001" customHeight="1" x14ac:dyDescent="0.2">
      <c r="A59" s="5" t="str">
        <f>HYPERLINK("#'Constants - Common'!A1", "Constants - Common")</f>
        <v>Constants - Common</v>
      </c>
      <c r="D59" s="79" t="str">
        <f>"Carbon removals from plantings for the activity period " &amp; TEXT(X_Cell_Site_StartDate, "d mmmm yyyy") &amp; " and " &amp; TEXT(X_Cell_Site_EndDate, "d mmmm yyyy")</f>
        <v>Carbon removals from plantings for the activity period 1 January 2024 and 31 December 2024</v>
      </c>
    </row>
    <row r="60" spans="1:10" ht="20.100000000000001" customHeight="1" x14ac:dyDescent="0.2">
      <c r="A60" s="5" t="str">
        <f>HYPERLINK("#'Acknowledgements'!A1", "Acknowledgements")</f>
        <v>Acknowledgements</v>
      </c>
    </row>
    <row r="61" spans="1:10" ht="20.100000000000001" customHeight="1" x14ac:dyDescent="0.2">
      <c r="D61" s="91" t="s">
        <v>285</v>
      </c>
      <c r="E61" s="92">
        <f>SUM(Table_Input_Enterprise_PlantingRemovals[Removal allocated to this enterprise])</f>
        <v>0</v>
      </c>
      <c r="F61" s="96" t="s">
        <v>138</v>
      </c>
    </row>
    <row r="64" spans="1:10" ht="20.100000000000001" customHeight="1" x14ac:dyDescent="0.2">
      <c r="D64" s="79" t="str">
        <f>"Net emissions for the activity period " &amp; TEXT(X_Cell_Site_StartDate, "d mmmm yyyy") &amp; " and " &amp; TEXT(X_Cell_Site_EndDate, "d mmmm yyyy")</f>
        <v>Net emissions for the activity period 1 January 2024 and 31 December 2024</v>
      </c>
    </row>
    <row r="66" spans="4:7" ht="20.100000000000001" customHeight="1" x14ac:dyDescent="0.2">
      <c r="D66" s="11"/>
      <c r="E66" s="11" t="s">
        <v>141</v>
      </c>
      <c r="F66" s="11" t="s">
        <v>142</v>
      </c>
    </row>
    <row r="67" spans="4:7" ht="20.100000000000001" customHeight="1" x14ac:dyDescent="0.2">
      <c r="D67" s="89" t="s">
        <v>315</v>
      </c>
      <c r="E67" s="90">
        <f ca="1">Result_Enterprise_Scope1_Method1+Result_Enterprise_Scope2_Method1+Result_Enterprise_Scope3_Method1</f>
        <v>5710.1318687371586</v>
      </c>
      <c r="F67" s="90">
        <f ca="1">Result_Enterprise_Scope1_Method2+Result_Enterprise_Scope2_Method2+Result_Enterprise_Scope3_Method2</f>
        <v>15601.668163690809</v>
      </c>
      <c r="G67" s="97" t="s">
        <v>287</v>
      </c>
    </row>
    <row r="68" spans="4:7" ht="20.100000000000001" customHeight="1" x14ac:dyDescent="0.2">
      <c r="D68" s="89" t="s">
        <v>286</v>
      </c>
      <c r="E68" s="90">
        <f ca="1">Result_Enterprise_Gross_Method1-Result_Enterprise_Removals</f>
        <v>5710.1318687371586</v>
      </c>
      <c r="F68" s="90">
        <f ca="1">Result_Enterprise_Gross_Method2-Result_Enterprise_Removals</f>
        <v>15601.668163690809</v>
      </c>
      <c r="G68" s="97" t="s">
        <v>287</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3731B-2C8B-468C-A81B-20D996BF6F6B}">
  <sheetPr>
    <tabColor rgb="FF0C769E"/>
  </sheetPr>
  <dimension ref="A1:R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60" style="1" customWidth="1"/>
    <col min="5" max="12" width="30.7109375" style="1" customWidth="1"/>
    <col min="13" max="13" width="4.7109375" style="1" customWidth="1"/>
    <col min="14" max="18" width="9.140625" style="1"/>
  </cols>
  <sheetData>
    <row r="1" spans="1:18" s="93" customFormat="1" ht="30" customHeight="1" x14ac:dyDescent="0.35">
      <c r="C1" s="93" t="s">
        <v>274</v>
      </c>
    </row>
    <row r="2" spans="1:18" s="3" customFormat="1" ht="20.100000000000001" customHeight="1" x14ac:dyDescent="0.2">
      <c r="A2"/>
    </row>
    <row r="3" spans="1:18" ht="20.100000000000001" customHeight="1" x14ac:dyDescent="0.2">
      <c r="A3" s="5" t="str">
        <f>HYPERLINK("#'Home'!A1", "Home")</f>
        <v>Home</v>
      </c>
      <c r="C3" s="98"/>
      <c r="D3" s="98"/>
      <c r="E3" s="98"/>
      <c r="F3" s="98"/>
      <c r="G3" s="98"/>
      <c r="H3" s="98"/>
      <c r="I3" s="98"/>
      <c r="J3" s="98"/>
      <c r="K3" s="98"/>
      <c r="L3" s="98"/>
      <c r="M3" s="98"/>
      <c r="N3" s="98"/>
      <c r="O3" s="98"/>
      <c r="P3" s="98"/>
      <c r="Q3" s="98"/>
      <c r="R3" s="98"/>
    </row>
    <row r="4" spans="1:18" ht="20.100000000000001" customHeight="1" x14ac:dyDescent="0.2">
      <c r="A4" s="5" t="str">
        <f>HYPERLINK("#'Results - Activity period'!A1", "Results - Activity period")</f>
        <v>Results - Activity period</v>
      </c>
    </row>
    <row r="5" spans="1:18" ht="20.100000000000001" customHeight="1" x14ac:dyDescent="0.2">
      <c r="A5" s="257" t="str">
        <f>HYPERLINK("#'Results - Product EI'!A1", "Results - Product Emissions Intensity")</f>
        <v>Results - Product Emissions Intensity</v>
      </c>
    </row>
    <row r="8" spans="1:18" ht="20.100000000000001" customHeight="1" x14ac:dyDescent="0.2">
      <c r="A8" s="7" t="s">
        <v>0</v>
      </c>
    </row>
    <row r="9" spans="1:18" ht="20.100000000000001" customHeight="1" x14ac:dyDescent="0.2">
      <c r="A9" s="5" t="str">
        <f>HYPERLINK("#'Input - Enterprise'!A1", "Enterprise")</f>
        <v>Enterprise</v>
      </c>
    </row>
    <row r="10" spans="1:18" ht="20.100000000000001" customHeight="1" x14ac:dyDescent="0.2">
      <c r="A10" s="5" t="str">
        <f>HYPERLINK("#'Input - Site'!A1", "Site")</f>
        <v>Site</v>
      </c>
    </row>
    <row r="11" spans="1:18" ht="20.100000000000001" customHeight="1" x14ac:dyDescent="0.2">
      <c r="A11" s="5" t="str">
        <f>HYPERLINK("#'Input - Pasture Beef'!A1", "Pasture Beef")</f>
        <v>Pasture Beef</v>
      </c>
    </row>
    <row r="12" spans="1:18" ht="20.100000000000001" customHeight="1" x14ac:dyDescent="0.2">
      <c r="A12" s="5" t="str">
        <f>HYPERLINK("#'Input - Livestock sales'!A1", "Livestock sales")</f>
        <v>Livestock sales</v>
      </c>
    </row>
    <row r="13" spans="1:18" ht="20.100000000000001" customHeight="1" x14ac:dyDescent="0.2">
      <c r="A13" s="5" t="str">
        <f>HYPERLINK("#'Input - Beef cattle purchases'!A1", "Beef cattle purchases")</f>
        <v>Beef cattle purchases</v>
      </c>
    </row>
    <row r="14" spans="1:18" ht="20.100000000000001" customHeight="1" x14ac:dyDescent="0.2">
      <c r="A14" s="5" t="str">
        <f>HYPERLINK("#'Input - Pasture'!A1", "Pasture")</f>
        <v>Pasture</v>
      </c>
    </row>
    <row r="15" spans="1:18" ht="20.100000000000001" customHeight="1" x14ac:dyDescent="0.2">
      <c r="A15" s="5" t="str">
        <f>HYPERLINK("#'Input - Fert Prod System'!A1", "Fert Prod System")</f>
        <v>Fert Prod System</v>
      </c>
    </row>
    <row r="16" spans="1:18" ht="20.100000000000001" customHeight="1" x14ac:dyDescent="0.2">
      <c r="A16" s="5" t="str">
        <f>HYPERLINK("#'Input - Fertiliser'!A1", "Fertiliser")</f>
        <v>Fertiliser</v>
      </c>
    </row>
    <row r="17" spans="1:4" ht="20.100000000000001" customHeight="1" x14ac:dyDescent="0.2">
      <c r="A17" s="5" t="str">
        <f>HYPERLINK("#'Input - Fuel'!A1", "Fuel")</f>
        <v>Fuel</v>
      </c>
    </row>
    <row r="18" spans="1:4" ht="20.100000000000001" customHeight="1" x14ac:dyDescent="0.2">
      <c r="A18" s="5" t="str">
        <f>HYPERLINK("#'Input - Electricity'!A1", "Electricity")</f>
        <v>Electricity</v>
      </c>
    </row>
    <row r="19" spans="1:4" ht="20.100000000000001" customHeight="1" x14ac:dyDescent="0.2">
      <c r="A19" s="5" t="str">
        <f>HYPERLINK("#'Input - Common farm inputs'!A1", "Common farm inputs")</f>
        <v>Common farm inputs</v>
      </c>
    </row>
    <row r="20" spans="1:4" ht="20.100000000000001" customHeight="1" x14ac:dyDescent="0.2">
      <c r="A20" s="5" t="str">
        <f>HYPERLINK("#'Input - Crop pasture farm input'!A1", "Crop pasture farm input")</f>
        <v>Crop pasture farm input</v>
      </c>
    </row>
    <row r="21" spans="1:4" ht="20.100000000000001" customHeight="1" x14ac:dyDescent="0.2">
      <c r="A21" s="5" t="str">
        <f>HYPERLINK("#'Input - Livestock farm Inputs'!A1", "Livestock farm Inputs")</f>
        <v>Livestock farm Inputs</v>
      </c>
    </row>
    <row r="22" spans="1:4" ht="20.100000000000001" customHeight="1" x14ac:dyDescent="0.2">
      <c r="A22" s="5" t="str">
        <f>HYPERLINK("#'Input - Freight'!A1", "Freight")</f>
        <v>Freight</v>
      </c>
    </row>
    <row r="23" spans="1:4" ht="20.100000000000001" customHeight="1" x14ac:dyDescent="0.2">
      <c r="A23" s="5" t="str">
        <f>HYPERLINK("#'Input - Solid waste'!A1", "Solid waste")</f>
        <v>Solid waste</v>
      </c>
    </row>
    <row r="24" spans="1:4" ht="20.100000000000001" customHeight="1" x14ac:dyDescent="0.2">
      <c r="A24" s="5" t="str">
        <f>HYPERLINK("#'Input - Manure sent off-site'!A1", "Manure sent off-site")</f>
        <v>Manure sent off-site</v>
      </c>
    </row>
    <row r="25" spans="1:4" ht="20.100000000000001" customHeight="1" x14ac:dyDescent="0.2">
      <c r="A25" s="5" t="str">
        <f>HYPERLINK("#'Input - Data quality'!A1", "Data quality")</f>
        <v>Data quality</v>
      </c>
    </row>
    <row r="28" spans="1:4" ht="20.100000000000001" customHeight="1" x14ac:dyDescent="0.2">
      <c r="A28" s="6" t="s">
        <v>2</v>
      </c>
    </row>
    <row r="29" spans="1:4" ht="20.100000000000001" customHeight="1" x14ac:dyDescent="0.2">
      <c r="A29" s="5" t="str">
        <f>HYPERLINK("#'3.2.1.1-2 Enteric Methane'!A1", "3.2.1.1-2 Enteric Methane")</f>
        <v>3.2.1.1-2 Enteric Methane</v>
      </c>
    </row>
    <row r="30" spans="1:4" ht="20.100000000000001" customHeight="1" x14ac:dyDescent="0.2">
      <c r="A30" s="5" t="str">
        <f>HYPERLINK("#'4.2.1.1-2 Methane'!A1", "4.2.1.1-2 Manure methane")</f>
        <v>4.2.1.1-2 Manure methane</v>
      </c>
    </row>
    <row r="31" spans="1:4" ht="20.100000000000001" customHeight="1" x14ac:dyDescent="0.2">
      <c r="A31" s="5" t="str">
        <f>HYPERLINK("#'4.2.1.3-4 Soil direct N20'!A1", "4.2.1.3-4 Soil direct N2O")</f>
        <v>4.2.1.3-4 Soil direct N2O</v>
      </c>
    </row>
    <row r="32" spans="1:4" ht="20.100000000000001" customHeight="1" x14ac:dyDescent="0.2">
      <c r="A32" s="5" t="str">
        <f>HYPERLINK("#'4.2.1.5-6 Soil Atmos Dep'!A1", "4.2.1.5-6 Soil atm. deposition")</f>
        <v>4.2.1.5-6 Soil atm. deposition</v>
      </c>
      <c r="D32" s="2" t="str">
        <f>"Emissions for whole production cycle running between " &amp; TEXT(X_Cell_Enterprise_ProductionTimeframeStart, "d mmmm yyyy") &amp; " and " &amp; TEXT(X_Cell_Enterprise_ProductionTimeframeEnd, "d mmmm yyyy")</f>
        <v>Emissions for whole production cycle running between 1 November 2023 and 31 March 2025</v>
      </c>
    </row>
    <row r="33" spans="1:12" ht="20.100000000000001" customHeight="1" x14ac:dyDescent="0.2">
      <c r="A33" s="5" t="str">
        <f>HYPERLINK("#'4.2.1.7-8 Soil leach runoff'!A1", "4.2.1.7-8 Soil leach &amp; runoff")</f>
        <v>4.2.1.7-8 Soil leach &amp; runoff</v>
      </c>
    </row>
    <row r="34" spans="1:12" ht="20.100000000000001" customHeight="1" x14ac:dyDescent="0.2">
      <c r="A34" s="5" t="str">
        <f>HYPERLINK("#'5.1.1.1-2 Inorganic fert N2O'!A1", "5.1.1.1-2 Inorganic fert N2O")</f>
        <v>5.1.1.1-2 Inorganic fert N2O</v>
      </c>
    </row>
    <row r="35" spans="1:12" ht="20.100000000000001" customHeight="1" x14ac:dyDescent="0.2">
      <c r="A35" s="5" t="str">
        <f>HYPERLINK("#'5.1.1.3-4 Inorganic fert CO2'!A1", "5.1.1.3-4 Inorganic fert CO2")</f>
        <v>5.1.1.3-4 Inorganic fert CO2</v>
      </c>
      <c r="D35" s="11"/>
      <c r="E35" s="11" t="s">
        <v>141</v>
      </c>
      <c r="F35" s="11" t="s">
        <v>142</v>
      </c>
      <c r="G35" s="11"/>
    </row>
    <row r="36" spans="1:12" ht="20.100000000000001" customHeight="1" x14ac:dyDescent="0.2">
      <c r="A36" s="5" t="str">
        <f>HYPERLINK("#'5.2.1.1-2 Organic Fert N2O'!A1", "5.2.1.1-2 Organic fert N2O")</f>
        <v>5.2.1.1-2 Organic fert N2O</v>
      </c>
      <c r="D36" s="77" t="s">
        <v>284</v>
      </c>
      <c r="E36" s="1">
        <f ca="1">Result_EmissionsForWholeProductionCycle_Gross_Method1</f>
        <v>3642.2055407371577</v>
      </c>
      <c r="F36" s="1">
        <f ca="1">Result_EmissionsForWholeProductionCycle_Gross_Method2</f>
        <v>3647.8291236908112</v>
      </c>
      <c r="G36" s="9" t="s">
        <v>6</v>
      </c>
    </row>
    <row r="37" spans="1:12" ht="20.100000000000001" customHeight="1" x14ac:dyDescent="0.2">
      <c r="A37" s="5" t="str">
        <f>HYPERLINK("#'5.3.1.1-2 Lime CO2'!A1", "5.3.1.1-2 Lime CO2")</f>
        <v>5.3.1.1-2 Lime CO2</v>
      </c>
      <c r="D37" s="77" t="s">
        <v>276</v>
      </c>
      <c r="E37" s="1">
        <f ca="1">Result_EmissionsForWholeProductionCycle_Net_Method1</f>
        <v>3642.2055407371577</v>
      </c>
      <c r="F37" s="1">
        <f ca="1">Result_EmissionsForWholeProductionCycle_Net_Method2</f>
        <v>3647.8291236908112</v>
      </c>
      <c r="G37" s="9" t="s">
        <v>6</v>
      </c>
    </row>
    <row r="38" spans="1:12" ht="20.100000000000001" customHeight="1" x14ac:dyDescent="0.2">
      <c r="A38" s="5" t="str">
        <f>HYPERLINK("#'5.4.1.1-4 Atmos deposition'!A1", "5.4.1.1-4 Atmos. deposition")</f>
        <v>5.4.1.1-4 Atmos. deposition</v>
      </c>
    </row>
    <row r="39" spans="1:12" ht="20.100000000000001" customHeight="1" x14ac:dyDescent="0.2">
      <c r="A39" s="5" t="str">
        <f>HYPERLINK("#'5.5.1.1-2 Leaching and runoff'!A1", "5.5.1.1-2 Leaching &amp; runoff")</f>
        <v>5.5.1.1-2 Leaching &amp; runoff</v>
      </c>
      <c r="D39" s="88"/>
      <c r="E39" s="88"/>
      <c r="F39" s="88"/>
      <c r="G39" s="88"/>
      <c r="H39" s="88"/>
      <c r="I39" s="88"/>
      <c r="J39" s="88"/>
    </row>
    <row r="40" spans="1:12" ht="20.100000000000001" customHeight="1" x14ac:dyDescent="0.2">
      <c r="A40" s="5" t="str">
        <f>HYPERLINK("#'6.2.1.1-2 Pasture residue N2O'!A1", "6.2.1.1-2 Pasture residue N2O")</f>
        <v>6.2.1.1-2 Pasture residue N2O</v>
      </c>
      <c r="D40"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2023 and 31 March 2025</v>
      </c>
    </row>
    <row r="41" spans="1:12" ht="20.100000000000001" customHeight="1" x14ac:dyDescent="0.2">
      <c r="A41" s="5" t="str">
        <f>HYPERLINK("#'6.3.1.1-2 Leach runoff pasture'!A1", "6.3.1.1-2 Leach &amp; runoff (pasture)")</f>
        <v>6.3.1.1-2 Leach &amp; runoff (pasture)</v>
      </c>
    </row>
    <row r="42" spans="1:12" ht="20.100000000000001" customHeight="1" x14ac:dyDescent="0.2">
      <c r="A42" s="5" t="str">
        <f>HYPERLINK("#'8.1.1.1-2 Transport fuel'!A1", "8.1.1.1-2 Transport fuel")</f>
        <v>8.1.1.1-2 Transport fuel</v>
      </c>
      <c r="D42" s="79" t="s">
        <v>167</v>
      </c>
    </row>
    <row r="43" spans="1:12" ht="20.100000000000001" customHeight="1" x14ac:dyDescent="0.2">
      <c r="A43" s="5" t="str">
        <f>HYPERLINK("#'8.2.1.1-2 Stationary fuel'!A1", "8.2.1.1-2 Stationary fuel")</f>
        <v>8.2.1.1-2 Stationary fuel</v>
      </c>
      <c r="D43" s="11" t="s">
        <v>144</v>
      </c>
      <c r="E43" s="11" t="s">
        <v>131</v>
      </c>
      <c r="F43" s="11" t="s">
        <v>311</v>
      </c>
      <c r="G43" s="11" t="s">
        <v>312</v>
      </c>
      <c r="H43" s="11" t="s">
        <v>313</v>
      </c>
      <c r="I43" s="11" t="s">
        <v>314</v>
      </c>
      <c r="J43" s="11" t="s">
        <v>129</v>
      </c>
      <c r="K43" s="11" t="s">
        <v>130</v>
      </c>
      <c r="L43" s="11" t="s">
        <v>126</v>
      </c>
    </row>
    <row r="44" spans="1:12" ht="20.100000000000001" customHeight="1" x14ac:dyDescent="0.2">
      <c r="A44" s="5" t="str">
        <f>HYPERLINK("#'10.1.1-2 Solid waste treatment'!A1", "10.1.1.1-2 Solid waste")</f>
        <v>10.1.1.1-2 Solid waste</v>
      </c>
      <c r="D44" s="1" t="s">
        <v>171</v>
      </c>
      <c r="E44" s="1" t="s">
        <v>132</v>
      </c>
      <c r="F44" s="1">
        <f>X_Cell_Enterprise_LiveweightSold</f>
        <v>5</v>
      </c>
      <c r="G44" s="1">
        <f>X_Cell_Enterprise_LiveweightSold</f>
        <v>5</v>
      </c>
      <c r="H44" s="1">
        <f ca="1">F44/(F44+F46)</f>
        <v>5.2076933858382031E-2</v>
      </c>
      <c r="I44" s="1">
        <f ca="1">G44/(G44+G46)</f>
        <v>5.2100404269993579E-2</v>
      </c>
      <c r="J44" s="1">
        <f ca="1">(Result_EmissionsForWholeProductionCycle_Gross_Method1/F44)*H44</f>
        <v>37.934979408720309</v>
      </c>
      <c r="K44" s="1">
        <f ca="1">(Result_EmissionsForWholeProductionCycle_Gross_Method2/G44)*I44</f>
        <v>38.010674410429537</v>
      </c>
      <c r="L44" s="9" t="s">
        <v>127</v>
      </c>
    </row>
    <row r="45" spans="1:12" ht="20.100000000000001" customHeight="1" x14ac:dyDescent="0.2">
      <c r="A45" s="5" t="str">
        <f>HYPERLINK("#'14.1.1-2 Purchased electricity'!A1", "14.1.1-2 Purchased electricity")</f>
        <v>14.1.1-2 Purchased electricity</v>
      </c>
      <c r="D45" s="1" t="s">
        <v>172</v>
      </c>
      <c r="E45" s="1" t="s">
        <v>132</v>
      </c>
      <c r="F45" s="1">
        <f>F44</f>
        <v>5</v>
      </c>
      <c r="G45" s="1">
        <f>G44</f>
        <v>5</v>
      </c>
      <c r="H45" s="1">
        <f ca="1">H44</f>
        <v>5.2076933858382031E-2</v>
      </c>
      <c r="I45" s="1">
        <f ca="1">I44</f>
        <v>5.2100404269993579E-2</v>
      </c>
      <c r="J45" s="1">
        <f ca="1">(Result_NetEmissions_Method1/F45)*H45</f>
        <v>37.934979408720309</v>
      </c>
      <c r="K45" s="1">
        <f ca="1">(Result_NetEmissions_Method2/G45)*I45</f>
        <v>38.010674410429537</v>
      </c>
      <c r="L45" s="9" t="s">
        <v>127</v>
      </c>
    </row>
    <row r="46" spans="1:12" ht="20.100000000000001" customHeight="1" x14ac:dyDescent="0.2">
      <c r="A46" s="5" t="str">
        <f>HYPERLINK("#'15 Scope 3'!A1", "15 Scope 3")</f>
        <v>15 Scope 3</v>
      </c>
      <c r="D46" s="1" t="s">
        <v>173</v>
      </c>
      <c r="E46" s="1" t="s">
        <v>133</v>
      </c>
      <c r="F46" s="1">
        <f ca="1">X_Cell_Enteprise_ManureProduced_Method1*X_Cell_Enteprise_PercentManureSold</f>
        <v>91.01179696172197</v>
      </c>
      <c r="G46" s="1">
        <f ca="1">X_Cell_Enteprise_ManureProduced_Method2*X_Cell_Enteprise_PercentManureSold</f>
        <v>90.968545159248848</v>
      </c>
      <c r="H46" s="1">
        <f ca="1">F46/(F44+F46)</f>
        <v>0.94792306614161792</v>
      </c>
      <c r="I46" s="1">
        <f ca="1">G46/(G44+G46)</f>
        <v>0.94789959573000637</v>
      </c>
      <c r="J46" s="1">
        <f ca="1">(Result_EmissionsForWholeProductionCycle_Gross_Method1/F46)*H46</f>
        <v>37.934979408720302</v>
      </c>
      <c r="K46" s="1">
        <f ca="1">(Result_EmissionsForWholeProductionCycle_Gross_Method2/G46)*I46</f>
        <v>38.01067441042953</v>
      </c>
      <c r="L46" s="9" t="s">
        <v>128</v>
      </c>
    </row>
    <row r="47" spans="1:12" ht="20.100000000000001" customHeight="1" x14ac:dyDescent="0.2">
      <c r="A47" s="5" t="str">
        <f>HYPERLINK("#'Calcs - Manure sent off-site'!A1", "Calcs - Manure sent off-site")</f>
        <v>Calcs - Manure sent off-site</v>
      </c>
      <c r="D47" s="1" t="s">
        <v>174</v>
      </c>
      <c r="E47" s="1" t="s">
        <v>133</v>
      </c>
      <c r="F47" s="1">
        <f ca="1">F46</f>
        <v>91.01179696172197</v>
      </c>
      <c r="G47" s="1">
        <f ca="1">G46</f>
        <v>90.968545159248848</v>
      </c>
      <c r="H47" s="1">
        <f ca="1">H46</f>
        <v>0.94792306614161792</v>
      </c>
      <c r="I47" s="1">
        <f ca="1">I46</f>
        <v>0.94789959573000637</v>
      </c>
      <c r="J47" s="1">
        <f ca="1">(Result_NetEmissions_Method1/F47)*H47</f>
        <v>37.934979408720302</v>
      </c>
      <c r="K47" s="1">
        <f ca="1">(Result_NetEmissions_Method2/G47)*I47</f>
        <v>38.01067441042953</v>
      </c>
      <c r="L47" s="9" t="s">
        <v>128</v>
      </c>
    </row>
    <row r="48" spans="1:12" ht="20.100000000000001" customHeight="1" x14ac:dyDescent="0.2">
      <c r="D48" s="1" t="s">
        <v>134</v>
      </c>
      <c r="E48" s="1" t="s">
        <v>136</v>
      </c>
      <c r="F48" s="1">
        <f ca="1">X_Cell_Enteprise_ManureProduced_Method1*X_Cell_Enteprise_PercentManureAppliedAsFertiliserOwnFarm</f>
        <v>182.02359392344394</v>
      </c>
      <c r="G48" s="1">
        <f ca="1">X_Cell_Enteprise_ManureProduced_Method2*X_Cell_Enteprise_PercentManureAppliedAsFertiliserOwnFarm</f>
        <v>181.9370903184977</v>
      </c>
      <c r="H48" s="1" t="s">
        <v>135</v>
      </c>
      <c r="I48" s="1" t="s">
        <v>135</v>
      </c>
      <c r="J48" s="1" t="s">
        <v>135</v>
      </c>
      <c r="K48" s="1" t="s">
        <v>135</v>
      </c>
      <c r="L48" s="9"/>
    </row>
    <row r="50" spans="1:12" ht="20.100000000000001" customHeight="1" x14ac:dyDescent="0.2">
      <c r="A50" s="86" t="s">
        <v>1</v>
      </c>
      <c r="D50" s="79" t="s">
        <v>168</v>
      </c>
    </row>
    <row r="51" spans="1:12" ht="20.100000000000001" customHeight="1" x14ac:dyDescent="0.2">
      <c r="A51" s="5" t="str">
        <f>HYPERLINK("#'Constants - Pasture Beef'!A1", "Constants - Pasture Beef")</f>
        <v>Constants - Pasture Beef</v>
      </c>
      <c r="D51" s="11" t="s">
        <v>144</v>
      </c>
      <c r="E51" s="11" t="s">
        <v>131</v>
      </c>
      <c r="F51" s="11" t="s">
        <v>311</v>
      </c>
      <c r="G51" s="11" t="s">
        <v>312</v>
      </c>
      <c r="H51" s="11" t="s">
        <v>169</v>
      </c>
      <c r="I51" s="11"/>
      <c r="J51" s="11" t="s">
        <v>129</v>
      </c>
      <c r="K51" s="11" t="s">
        <v>130</v>
      </c>
      <c r="L51" s="11" t="s">
        <v>126</v>
      </c>
    </row>
    <row r="52" spans="1:12" ht="20.100000000000001" customHeight="1" x14ac:dyDescent="0.2">
      <c r="A52" s="5" t="str">
        <f>HYPERLINK("#'Constants - Ag Residue'!A1", "Constants - Ag residue")</f>
        <v>Constants - Ag residue</v>
      </c>
      <c r="D52" s="1" t="s">
        <v>171</v>
      </c>
      <c r="E52" s="1" t="s">
        <v>132</v>
      </c>
      <c r="F52" s="1">
        <f t="shared" ref="F52:G56" si="0">F44</f>
        <v>5</v>
      </c>
      <c r="G52" s="1">
        <f t="shared" si="0"/>
        <v>5</v>
      </c>
      <c r="H52" s="1">
        <f>X_Cell_Enteprise_PercentIncomeFromLiveweight</f>
        <v>0.8</v>
      </c>
      <c r="J52" s="1">
        <f ca="1">(Result_EmissionsForWholeProductionCycle_Gross_Method1/F52)*H52</f>
        <v>582.75288651794529</v>
      </c>
      <c r="K52" s="1">
        <f ca="1">(Result_EmissionsForWholeProductionCycle_Gross_Method2/G52)*H52</f>
        <v>583.65265979052981</v>
      </c>
      <c r="L52" s="9" t="s">
        <v>127</v>
      </c>
    </row>
    <row r="53" spans="1:12" ht="20.100000000000001" customHeight="1" x14ac:dyDescent="0.2">
      <c r="A53" s="5" t="str">
        <f>HYPERLINK("#'Constants - Common Livestock'!A1", "Constants - Common Livestock")</f>
        <v>Constants - Common Livestock</v>
      </c>
      <c r="D53" s="1" t="s">
        <v>172</v>
      </c>
      <c r="E53" s="1" t="s">
        <v>132</v>
      </c>
      <c r="F53" s="1">
        <f t="shared" si="0"/>
        <v>5</v>
      </c>
      <c r="G53" s="1">
        <f t="shared" si="0"/>
        <v>5</v>
      </c>
      <c r="H53" s="1">
        <f>H52</f>
        <v>0.8</v>
      </c>
      <c r="J53" s="1">
        <f ca="1">(Result_NetEmissions_Method1/F53)*H53</f>
        <v>582.75288651794529</v>
      </c>
      <c r="K53" s="1">
        <f ca="1">(Result_NetEmissions_Method2/G53)*H53</f>
        <v>583.65265979052981</v>
      </c>
      <c r="L53" s="9" t="s">
        <v>127</v>
      </c>
    </row>
    <row r="54" spans="1:12" ht="20.100000000000001" customHeight="1" x14ac:dyDescent="0.2">
      <c r="A54" s="5" t="str">
        <f>HYPERLINK("#'Constants - Electricity'!A1", "Constants - Electricity")</f>
        <v>Constants - Electricity</v>
      </c>
      <c r="D54" s="1" t="s">
        <v>173</v>
      </c>
      <c r="E54" s="1" t="s">
        <v>133</v>
      </c>
      <c r="F54" s="1">
        <f t="shared" ca="1" si="0"/>
        <v>91.01179696172197</v>
      </c>
      <c r="G54" s="1">
        <f t="shared" ca="1" si="0"/>
        <v>90.968545159248848</v>
      </c>
      <c r="H54" s="1">
        <f>X_Cell_Enteprise_PercentIncomeFromManure</f>
        <v>0.2</v>
      </c>
      <c r="J54" s="1">
        <f ca="1">(Result_EmissionsForWholeProductionCycle_Gross_Method1/F54)*H54</f>
        <v>8.0038097528587606</v>
      </c>
      <c r="K54" s="1">
        <f ca="1">(Result_EmissionsForWholeProductionCycle_Gross_Method2/G54)*H54</f>
        <v>8.0199790318839312</v>
      </c>
      <c r="L54" s="9" t="s">
        <v>128</v>
      </c>
    </row>
    <row r="55" spans="1:12" ht="20.100000000000001" customHeight="1" x14ac:dyDescent="0.2">
      <c r="A55" s="5" t="str">
        <f>HYPERLINK("#'Constants - Fertiliser'!A1", "Constants - Fertiliser")</f>
        <v>Constants - Fertiliser</v>
      </c>
      <c r="D55" s="1" t="s">
        <v>174</v>
      </c>
      <c r="E55" s="1" t="s">
        <v>133</v>
      </c>
      <c r="F55" s="1">
        <f t="shared" ca="1" si="0"/>
        <v>91.01179696172197</v>
      </c>
      <c r="G55" s="1">
        <f t="shared" ca="1" si="0"/>
        <v>90.968545159248848</v>
      </c>
      <c r="H55" s="1">
        <f>H54</f>
        <v>0.2</v>
      </c>
      <c r="J55" s="1">
        <f ca="1">(Result_NetEmissions_Method1/F55)*H55</f>
        <v>8.0038097528587606</v>
      </c>
      <c r="K55" s="1">
        <f ca="1">(Result_NetEmissions_Method2/G55)*H55</f>
        <v>8.0199790318839312</v>
      </c>
      <c r="L55" s="9" t="s">
        <v>128</v>
      </c>
    </row>
    <row r="56" spans="1:12" ht="20.100000000000001" customHeight="1" x14ac:dyDescent="0.2">
      <c r="A56" s="5" t="str">
        <f>HYPERLINK("#'Constants - Fuel'!A1", "Constants - Fuel")</f>
        <v>Constants - Fuel</v>
      </c>
      <c r="D56" s="1" t="s">
        <v>134</v>
      </c>
      <c r="E56" s="1" t="s">
        <v>136</v>
      </c>
      <c r="F56" s="1">
        <f t="shared" ca="1" si="0"/>
        <v>182.02359392344394</v>
      </c>
      <c r="G56" s="1">
        <f t="shared" ca="1" si="0"/>
        <v>181.9370903184977</v>
      </c>
      <c r="H56" s="1" t="s">
        <v>135</v>
      </c>
      <c r="J56" s="1" t="s">
        <v>135</v>
      </c>
      <c r="K56" s="1" t="s">
        <v>135</v>
      </c>
      <c r="L56" s="9"/>
    </row>
    <row r="57" spans="1:12" ht="20.100000000000001" customHeight="1" x14ac:dyDescent="0.2">
      <c r="A57" s="5" t="str">
        <f>HYPERLINK("#'Constants - Scope 3'!A1", "Constants - Scope 3")</f>
        <v>Constants - Scope 3</v>
      </c>
    </row>
    <row r="58" spans="1:12" ht="20.100000000000001" customHeight="1" x14ac:dyDescent="0.2">
      <c r="A58" s="5" t="str">
        <f>HYPERLINK("#'Constants - Solid Waste'!A1", "Constants - Solid Waste")</f>
        <v>Constants - Solid Waste</v>
      </c>
      <c r="D58" s="79" t="s">
        <v>170</v>
      </c>
    </row>
    <row r="59" spans="1:12" ht="20.100000000000001" customHeight="1" x14ac:dyDescent="0.2">
      <c r="A59" s="5" t="str">
        <f>HYPERLINK("#'Constants - Common'!A1", "Constants - Common")</f>
        <v>Constants - Common</v>
      </c>
      <c r="D59" s="11" t="s">
        <v>144</v>
      </c>
      <c r="E59" s="11" t="s">
        <v>131</v>
      </c>
      <c r="F59" s="11" t="s">
        <v>311</v>
      </c>
      <c r="G59" s="11" t="s">
        <v>312</v>
      </c>
      <c r="H59" s="11"/>
      <c r="I59" s="11"/>
      <c r="J59" s="11" t="s">
        <v>129</v>
      </c>
      <c r="K59" s="11" t="s">
        <v>130</v>
      </c>
      <c r="L59" s="11" t="s">
        <v>126</v>
      </c>
    </row>
    <row r="60" spans="1:12" ht="20.100000000000001" customHeight="1" x14ac:dyDescent="0.2">
      <c r="A60" s="5" t="str">
        <f>HYPERLINK("#'Acknowledgements'!A1", "Acknowledgements")</f>
        <v>Acknowledgements</v>
      </c>
      <c r="D60" s="1" t="s">
        <v>143</v>
      </c>
      <c r="E60" s="1" t="s">
        <v>135</v>
      </c>
      <c r="F60" s="1">
        <f>X_Cell_Enteprise_LiveweightGrown_Method1</f>
        <v>154.76</v>
      </c>
      <c r="G60" s="1">
        <f>X_Cell_Enteprise_LiveweightGrown_Method2</f>
        <v>154.86799999999999</v>
      </c>
      <c r="J60" s="1">
        <f ca="1">Result_NetEmissions_Method1/F60</f>
        <v>23.534540842188925</v>
      </c>
      <c r="K60" s="1">
        <f ca="1">Result_NetEmissions_Method1/G60</f>
        <v>23.518128604599774</v>
      </c>
      <c r="L60" s="9" t="s">
        <v>145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84"/>
  <sheetViews>
    <sheetView showGridLines="0" zoomScaleNormal="100" workbookViewId="0">
      <pane xSplit="1" topLeftCell="B1" activePane="topRight" state="frozenSplit"/>
      <selection pane="topRight" activeCell="A59" sqref="A59"/>
      <extLst>
        <ext xmlns:xlsdti="http://schemas.microsoft.com/office/spreadsheetml/2023/showDataTypeIcons" uri="{77bfe23e-c014-4d31-8a63-9c772dbf06b6}">
          <xlsdti:showDataTypeIcons visible="0"/>
        </ext>
      </extLst>
    </sheetView>
  </sheetViews>
  <sheetFormatPr defaultRowHeight="20.100000000000001" customHeight="1" x14ac:dyDescent="0.2"/>
  <cols>
    <col min="1" max="1" width="36.7109375" customWidth="1"/>
    <col min="2" max="2" width="4.7109375" customWidth="1"/>
    <col min="3" max="3" width="4.7109375" style="1" customWidth="1"/>
    <col min="4" max="4" width="69.28515625" style="1" customWidth="1"/>
    <col min="5" max="5" width="30.7109375" style="1" customWidth="1"/>
    <col min="6" max="6" width="36.28515625" style="1" customWidth="1"/>
    <col min="7" max="7" width="36.140625" style="1" customWidth="1"/>
    <col min="8" max="9" width="30.7109375" style="1" customWidth="1"/>
    <col min="10" max="10" width="4.7109375" style="1" customWidth="1"/>
    <col min="11" max="11" width="30.7109375" customWidth="1"/>
  </cols>
  <sheetData>
    <row r="1" spans="1:10" ht="30" customHeight="1" x14ac:dyDescent="0.35">
      <c r="A1" s="10" t="e" vm="1">
        <v>#VALUE!</v>
      </c>
      <c r="C1" s="28" t="s">
        <v>161</v>
      </c>
      <c r="D1" s="22"/>
      <c r="E1" s="22"/>
      <c r="F1" s="22"/>
      <c r="G1" s="22"/>
      <c r="H1" s="22"/>
      <c r="I1" s="22"/>
      <c r="J1" s="22"/>
    </row>
    <row r="2" spans="1:10" ht="20.100000000000001" customHeight="1" x14ac:dyDescent="0.2">
      <c r="C2" s="3"/>
      <c r="D2" s="3"/>
      <c r="E2" s="3"/>
      <c r="F2" s="3"/>
      <c r="G2" s="3"/>
      <c r="H2" s="3"/>
      <c r="I2" s="3"/>
      <c r="J2" s="3"/>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2" t="s">
        <v>96</v>
      </c>
      <c r="E5" s="25"/>
      <c r="F5" s="25"/>
      <c r="G5" s="25"/>
    </row>
    <row r="6" spans="1:10" ht="20.100000000000001" customHeight="1" x14ac:dyDescent="0.2">
      <c r="D6" s="32"/>
      <c r="E6" s="25"/>
      <c r="F6" s="25"/>
      <c r="G6" s="25"/>
    </row>
    <row r="7" spans="1:10" ht="20.100000000000001" customHeight="1" x14ac:dyDescent="0.2">
      <c r="D7" s="1" t="s">
        <v>97</v>
      </c>
      <c r="E7" s="34" t="s">
        <v>98</v>
      </c>
      <c r="F7" s="16"/>
      <c r="G7" s="25"/>
    </row>
    <row r="8" spans="1:10" ht="20.100000000000001" customHeight="1" x14ac:dyDescent="0.2">
      <c r="A8" s="7" t="s">
        <v>0</v>
      </c>
      <c r="D8" s="12" t="s">
        <v>99</v>
      </c>
      <c r="E8" s="34" t="s">
        <v>100</v>
      </c>
      <c r="F8" s="25"/>
      <c r="G8" s="25"/>
    </row>
    <row r="9" spans="1:10" ht="20.100000000000001" customHeight="1" x14ac:dyDescent="0.2">
      <c r="A9" s="100" t="str">
        <f>HYPERLINK("#'Input - Enterprise'!A1", "Enterprise")</f>
        <v>Enterprise</v>
      </c>
      <c r="D9" s="25"/>
      <c r="E9" s="25"/>
      <c r="F9" s="25"/>
      <c r="G9" s="25"/>
    </row>
    <row r="10" spans="1:10" ht="20.100000000000001" customHeight="1" x14ac:dyDescent="0.2">
      <c r="A10" s="5" t="str">
        <f>HYPERLINK("#'Input - Site'!A1", "Site")</f>
        <v>Site</v>
      </c>
      <c r="D10" s="36" t="s">
        <v>101</v>
      </c>
      <c r="E10" s="37"/>
      <c r="F10" s="38"/>
      <c r="G10" s="39"/>
    </row>
    <row r="11" spans="1:10" ht="20.100000000000001" customHeight="1" x14ac:dyDescent="0.2">
      <c r="A11" s="5" t="str">
        <f>HYPERLINK("#'Input - Pasture Beef'!A1", "Pasture Beef")</f>
        <v>Pasture Beef</v>
      </c>
      <c r="D11" s="25"/>
      <c r="E11" s="25"/>
      <c r="F11" s="25"/>
      <c r="G11" s="25"/>
    </row>
    <row r="12" spans="1:10" ht="20.100000000000001" customHeight="1" x14ac:dyDescent="0.2">
      <c r="A12" s="5" t="str">
        <f>HYPERLINK("#'Input - Livestock sales'!A1", "Livestock sales")</f>
        <v>Livestock sales</v>
      </c>
      <c r="D12" s="12" t="s">
        <v>19</v>
      </c>
      <c r="E12" s="14">
        <v>45292</v>
      </c>
      <c r="F12" s="16" t="s">
        <v>102</v>
      </c>
      <c r="G12" s="25"/>
    </row>
    <row r="13" spans="1:10" ht="20.100000000000001" customHeight="1" x14ac:dyDescent="0.2">
      <c r="A13" s="5" t="str">
        <f>HYPERLINK("#'Input - Beef cattle purchases'!A1", "Beef cattle purchases")</f>
        <v>Beef cattle purchases</v>
      </c>
      <c r="D13" s="12" t="s">
        <v>20</v>
      </c>
      <c r="E13" s="41">
        <f>DATE(YEAR(E12)+1,MONTH(E12),DAY(E12))-1</f>
        <v>45657</v>
      </c>
      <c r="F13" s="16" t="s">
        <v>103</v>
      </c>
      <c r="G13" s="25"/>
    </row>
    <row r="14" spans="1:10" ht="20.100000000000001" customHeight="1" x14ac:dyDescent="0.2">
      <c r="A14" s="5" t="str">
        <f>HYPERLINK("#'Input - Pasture'!A1", "Pasture")</f>
        <v>Pasture</v>
      </c>
      <c r="F14" s="25"/>
      <c r="G14" s="25"/>
    </row>
    <row r="15" spans="1:10" ht="20.100000000000001" customHeight="1" x14ac:dyDescent="0.2">
      <c r="A15" s="5" t="str">
        <f>HYPERLINK("#'Input - Fert Prod System'!A1", "Fert Prod System")</f>
        <v>Fert Prod System</v>
      </c>
    </row>
    <row r="16" spans="1:10" ht="20.100000000000001" customHeight="1" x14ac:dyDescent="0.2">
      <c r="A16" s="5" t="str">
        <f>HYPERLINK("#'Input - Fertiliser'!A1", "Fertiliser")</f>
        <v>Fertiliser</v>
      </c>
      <c r="D16" s="2" t="s">
        <v>21</v>
      </c>
    </row>
    <row r="17" spans="1:7" ht="20.100000000000001" customHeight="1" x14ac:dyDescent="0.2">
      <c r="A17" s="5" t="str">
        <f>HYPERLINK("#'Input - Fuel'!A1", "Fuel")</f>
        <v>Fuel</v>
      </c>
    </row>
    <row r="18" spans="1:7" ht="20.100000000000001" customHeight="1" x14ac:dyDescent="0.2">
      <c r="A18" s="5" t="str">
        <f>HYPERLINK("#'Input - Electricity'!A1", "Electricity")</f>
        <v>Electricity</v>
      </c>
      <c r="D18" s="1" t="s">
        <v>16</v>
      </c>
      <c r="E18" s="14">
        <v>45231</v>
      </c>
      <c r="F18" s="16" t="s">
        <v>102</v>
      </c>
    </row>
    <row r="19" spans="1:7" ht="20.100000000000001" customHeight="1" x14ac:dyDescent="0.2">
      <c r="A19" s="5" t="str">
        <f>HYPERLINK("#'Input - Common farm inputs'!A1", "Common farm inputs")</f>
        <v>Common farm inputs</v>
      </c>
      <c r="D19" s="1" t="s">
        <v>17</v>
      </c>
      <c r="E19" s="14">
        <v>45747</v>
      </c>
      <c r="F19" s="16" t="s">
        <v>102</v>
      </c>
    </row>
    <row r="20" spans="1:7" ht="20.100000000000001" customHeight="1" x14ac:dyDescent="0.2">
      <c r="A20" s="5" t="str">
        <f>HYPERLINK("#'Input - Crop pasture farm input'!A1", "Crop pasture farm input")</f>
        <v>Crop pasture farm input</v>
      </c>
      <c r="D20" s="1" t="s">
        <v>18</v>
      </c>
      <c r="E20" s="15">
        <f>DATEDIF(E18,E19+1,"m")</f>
        <v>17</v>
      </c>
      <c r="F20" s="16" t="s">
        <v>125</v>
      </c>
    </row>
    <row r="21" spans="1:7" ht="20.100000000000001" customHeight="1" x14ac:dyDescent="0.2">
      <c r="A21" s="5" t="str">
        <f>HYPERLINK("#'Input - Livestock farm Inputs'!A1", "Livestock farm Inputs")</f>
        <v>Livestock farm Inputs</v>
      </c>
    </row>
    <row r="22" spans="1:7" ht="20.100000000000001" customHeight="1" x14ac:dyDescent="0.2">
      <c r="A22" s="5" t="str">
        <f>HYPERLINK("#'Input - Freight'!A1", "Freight")</f>
        <v>Freight</v>
      </c>
      <c r="D22" s="1" t="s">
        <v>22</v>
      </c>
      <c r="E22" s="78">
        <f>SUM(Table_Input_LivestockSales[Total liveweight sold])*10^-3</f>
        <v>5</v>
      </c>
      <c r="G22" s="16" t="s">
        <v>28</v>
      </c>
    </row>
    <row r="23" spans="1:7" ht="20.100000000000001" customHeight="1" x14ac:dyDescent="0.2">
      <c r="A23" s="5" t="str">
        <f>HYPERLINK("#'Input - Solid waste'!A1", "Solid waste")</f>
        <v>Solid waste</v>
      </c>
      <c r="D23" s="1" t="s">
        <v>23</v>
      </c>
      <c r="E23" s="78">
        <f>SUM(Enterprise_PastureBeef_InputFunctions.multiplyCorrespondingCells([0]!X_Table_PastureBeef_Head_Method1, [0]!X_Table_PastureBeef_Duration_Method1, [0]!X_Table_PastureBeef_LiveweightGain_Method1))*10^-3</f>
        <v>154.76</v>
      </c>
      <c r="G23" s="16" t="s">
        <v>28</v>
      </c>
    </row>
    <row r="24" spans="1:7" ht="20.100000000000001" customHeight="1" x14ac:dyDescent="0.2">
      <c r="A24" s="5" t="str">
        <f>HYPERLINK("#'Input - Manure sent off-site'!A1", "Manure sent off-site")</f>
        <v>Manure sent off-site</v>
      </c>
      <c r="D24" s="1" t="s">
        <v>24</v>
      </c>
      <c r="E24" s="78">
        <f>SUM(Enterprise_PastureBeef_InputFunctions.multiplyCorrespondingCells([0]!X_Table_PastureBeef_Head_Method2, [0]!X_Table_PastureBeef_Duration_Method2, [0]!X_Table_PastureBeef_LiveweightGain_Method2))*10^-3</f>
        <v>154.86799999999999</v>
      </c>
      <c r="G24" s="16" t="s">
        <v>28</v>
      </c>
    </row>
    <row r="25" spans="1:7" ht="20.100000000000001" customHeight="1" x14ac:dyDescent="0.2">
      <c r="A25" s="5" t="str">
        <f>HYPERLINK("#'Input - Data quality'!A1", "Data quality")</f>
        <v>Data quality</v>
      </c>
      <c r="D25" s="1" t="s">
        <v>163</v>
      </c>
      <c r="E25" s="78">
        <f ca="1">SUM(Enterprise_PastureBeef_InputFunctions.multiplyCorrespondingCells([0]!X_Table_PastureBeef_Head_Method1, [0]!X_Table_PastureBeef_Duration_Method1, [0]!M1_Table_VS_j_k_l))*10^-3</f>
        <v>910.11796961721961</v>
      </c>
      <c r="G25" s="16" t="s">
        <v>28</v>
      </c>
    </row>
    <row r="26" spans="1:7" ht="20.100000000000001" customHeight="1" x14ac:dyDescent="0.2">
      <c r="D26" s="1" t="s">
        <v>164</v>
      </c>
      <c r="E26" s="78">
        <f ca="1">SUM(Enterprise_PastureBeef_InputFunctions.multiplyCorrespondingCells([0]!X_Table_PastureBeef_Head_Method2, [0]!X_Table_PastureBeef_Duration_Method2, M2_Table_VS_j_k_l))*10^-3</f>
        <v>909.68545159248845</v>
      </c>
      <c r="G26" s="16" t="s">
        <v>28</v>
      </c>
    </row>
    <row r="27" spans="1:7" ht="20.100000000000001" customHeight="1" x14ac:dyDescent="0.2">
      <c r="D27" s="1" t="s">
        <v>25</v>
      </c>
      <c r="E27" s="18">
        <v>0.1</v>
      </c>
      <c r="G27" s="16" t="s">
        <v>162</v>
      </c>
    </row>
    <row r="28" spans="1:7" ht="20.100000000000001" customHeight="1" x14ac:dyDescent="0.2">
      <c r="A28" s="6" t="s">
        <v>2</v>
      </c>
      <c r="D28" s="1" t="s">
        <v>26</v>
      </c>
      <c r="E28" s="18">
        <v>0.2</v>
      </c>
      <c r="G28" s="16" t="s">
        <v>162</v>
      </c>
    </row>
    <row r="29" spans="1:7" ht="20.100000000000001" customHeight="1" x14ac:dyDescent="0.2">
      <c r="A29" s="5" t="str">
        <f>HYPERLINK("#'3.2.1.1-2 Enteric Methane'!A1", "3.2.1.1-2 Enteric Methane")</f>
        <v>3.2.1.1-2 Enteric Methane</v>
      </c>
      <c r="D29" s="1" t="s">
        <v>27</v>
      </c>
      <c r="E29" s="19">
        <f>100%-E27-E28</f>
        <v>0.7</v>
      </c>
      <c r="G29" s="16" t="s">
        <v>162</v>
      </c>
    </row>
    <row r="30" spans="1:7" ht="20.100000000000001" customHeight="1" x14ac:dyDescent="0.2">
      <c r="A30" s="5" t="str">
        <f>HYPERLINK("#'4.2.1.1-2 Methane'!A1", "4.2.1.1-2 Manure methane")</f>
        <v>4.2.1.1-2 Manure methane</v>
      </c>
    </row>
    <row r="31" spans="1:7" ht="20.100000000000001" customHeight="1" x14ac:dyDescent="0.2">
      <c r="A31" s="5" t="str">
        <f>HYPERLINK("#'4.2.1.3-4 Soil direct N20'!A1", "4.2.1.3-4 Soil direct N2O")</f>
        <v>4.2.1.3-4 Soil direct N2O</v>
      </c>
      <c r="D31" s="1" t="s">
        <v>165</v>
      </c>
      <c r="E31" s="18">
        <v>0.8</v>
      </c>
      <c r="G31" s="16" t="s">
        <v>162</v>
      </c>
    </row>
    <row r="32" spans="1:7" ht="20.100000000000001" customHeight="1" x14ac:dyDescent="0.2">
      <c r="A32" s="5" t="str">
        <f>HYPERLINK("#'4.2.1.5-6 Soil Atmos Dep'!A1", "4.2.1.5-6 Soil atm. deposition")</f>
        <v>4.2.1.5-6 Soil atm. deposition</v>
      </c>
      <c r="D32" s="1" t="s">
        <v>166</v>
      </c>
      <c r="E32" s="18">
        <v>0.2</v>
      </c>
      <c r="G32" s="16" t="s">
        <v>162</v>
      </c>
    </row>
    <row r="33" spans="1:7" ht="20.100000000000001" customHeight="1" x14ac:dyDescent="0.2">
      <c r="A33" s="5" t="str">
        <f>HYPERLINK("#'4.2.1.7-8 Soil leach runoff'!A1", "4.2.1.7-8 Soil leach &amp; runoff")</f>
        <v>4.2.1.7-8 Soil leach &amp; runoff</v>
      </c>
    </row>
    <row r="34" spans="1:7" ht="20.100000000000001" customHeight="1" x14ac:dyDescent="0.2">
      <c r="A34" s="5" t="str">
        <f>HYPERLINK("#'5.1.1.1-2 Inorganic fert N2O'!A1", "5.1.1.1-2 Inorganic fert N2O")</f>
        <v>5.1.1.1-2 Inorganic fert N2O</v>
      </c>
    </row>
    <row r="35" spans="1:7" ht="20.100000000000001" customHeight="1" x14ac:dyDescent="0.2">
      <c r="A35" s="5" t="str">
        <f>HYPERLINK("#'5.1.1.3-4 Inorganic fert CO2'!A1", "5.1.1.3-4 Inorganic fert CO2")</f>
        <v>5.1.1.3-4 Inorganic fert CO2</v>
      </c>
    </row>
    <row r="36" spans="1:7" ht="20.100000000000001" customHeight="1" x14ac:dyDescent="0.2">
      <c r="A36" s="5" t="str">
        <f>HYPERLINK("#'5.2.1.1-2 Organic Fert N2O'!A1", "5.2.1.1-2 Organic fert N2O")</f>
        <v>5.2.1.1-2 Organic fert N2O</v>
      </c>
    </row>
    <row r="37" spans="1:7" ht="20.100000000000001" customHeight="1" x14ac:dyDescent="0.2">
      <c r="A37" s="5" t="str">
        <f>HYPERLINK("#'5.3.1.1-2 Lime CO2'!A1", "5.3.1.1-2 Lime CO2")</f>
        <v>5.3.1.1-2 Lime CO2</v>
      </c>
      <c r="D37" s="2" t="s">
        <v>282</v>
      </c>
    </row>
    <row r="38" spans="1:7" ht="20.100000000000001" customHeight="1" x14ac:dyDescent="0.2">
      <c r="A38" s="5" t="str">
        <f>HYPERLINK("#'5.4.1.1-4 Atmos deposition'!A1", "5.4.1.1-4 Atmos. deposition")</f>
        <v>5.4.1.1-4 Atmos. deposition</v>
      </c>
    </row>
    <row r="39" spans="1:7" ht="20.100000000000001" customHeight="1" x14ac:dyDescent="0.2">
      <c r="A39" s="5" t="str">
        <f>HYPERLINK("#'5.5.1.1-2 Leaching and runoff'!A1", "5.5.1.1-2 Leaching &amp; runoff")</f>
        <v>5.5.1.1-2 Leaching &amp; runoff</v>
      </c>
    </row>
    <row r="40" spans="1:7" ht="20.100000000000001" customHeight="1" x14ac:dyDescent="0.2">
      <c r="A40" s="5" t="str">
        <f>HYPERLINK("#'6.2.1.1-2 Pasture residue N2O'!A1", "6.2.1.1-2 Pasture residue N2O")</f>
        <v>6.2.1.1-2 Pasture residue N2O</v>
      </c>
      <c r="D40" s="79" t="str">
        <f>"Carbon captured from " &amp; TEXT(X_Cell_Site_StartDate, "d mmmm yyyy") &amp; " to " &amp; TEXT(X_Cell_Site_EndDate, "d, mmmm, yyyy") &amp; " from environmental plantings"</f>
        <v>Carbon captured from 1 January 2024 to 31, December, 2024 from environmental plantings</v>
      </c>
    </row>
    <row r="41" spans="1:7" ht="20.100000000000001" customHeight="1" x14ac:dyDescent="0.2">
      <c r="A41" s="5" t="str">
        <f>HYPERLINK("#'6.3.1.1-2 Leach runoff pasture'!A1", "6.3.1.1-2 Leach &amp; runoff (pasture)")</f>
        <v>6.3.1.1-2 Leach &amp; runoff (pasture)</v>
      </c>
    </row>
    <row r="42" spans="1:7" ht="20.100000000000001" customHeight="1" x14ac:dyDescent="0.2">
      <c r="A42" s="5" t="str">
        <f>HYPERLINK("#'8.1.1.1-2 Transport fuel'!A1", "8.1.1.1-2 Transport fuel")</f>
        <v>8.1.1.1-2 Transport fuel</v>
      </c>
      <c r="D42" s="20" t="s">
        <v>277</v>
      </c>
      <c r="E42" s="20" t="s">
        <v>278</v>
      </c>
      <c r="F42" s="20" t="s">
        <v>279</v>
      </c>
      <c r="G42" s="82" t="s">
        <v>281</v>
      </c>
    </row>
    <row r="43" spans="1:7" ht="20.100000000000001" customHeight="1" x14ac:dyDescent="0.2">
      <c r="A43" s="5" t="str">
        <f>HYPERLINK("#'8.2.1.1-2 Stationary fuel'!A1", "8.2.1.1-2 Stationary fuel")</f>
        <v>8.2.1.1-2 Stationary fuel</v>
      </c>
      <c r="D43" s="34"/>
      <c r="E43" s="76"/>
      <c r="F43" s="18"/>
      <c r="G43" s="1">
        <f>Table_Input_Enterprise_PlantingRemovals[[#This Row],[Total removed CO2]]*Table_Input_Enterprise_PlantingRemovals[[#This Row],[Percent allocated to this enterprise]]</f>
        <v>0</v>
      </c>
    </row>
    <row r="44" spans="1:7" ht="20.100000000000001" customHeight="1" x14ac:dyDescent="0.2">
      <c r="A44" s="5" t="str">
        <f>HYPERLINK("#'10.1.1-2 Solid waste treatment'!A1", "10.1.1.1-2 Solid waste")</f>
        <v>10.1.1.1-2 Solid waste</v>
      </c>
    </row>
    <row r="45" spans="1:7" ht="20.100000000000001" customHeight="1" x14ac:dyDescent="0.2">
      <c r="A45" s="5" t="str">
        <f>HYPERLINK("#'14.1.1-2 Purchased electricity'!A1", "14.1.1-2 Purchased electricity")</f>
        <v>14.1.1-2 Purchased electricity</v>
      </c>
    </row>
    <row r="46" spans="1:7" ht="20.100000000000001" customHeight="1" x14ac:dyDescent="0.2">
      <c r="A46" s="5" t="str">
        <f>HYPERLINK("#'15 Scope 3'!A1", "15 Scope 3")</f>
        <v>15 Scope 3</v>
      </c>
    </row>
    <row r="47" spans="1:7" ht="20.100000000000001" customHeight="1" x14ac:dyDescent="0.2">
      <c r="A47" s="5" t="str">
        <f>HYPERLINK("#'Calcs - Manure sent off-site'!A1", "Calcs - Manure sent off-site")</f>
        <v>Calcs - Manure sent off-site</v>
      </c>
      <c r="D47" s="2" t="s">
        <v>283</v>
      </c>
    </row>
    <row r="49" spans="1:7" ht="20.100000000000001" customHeight="1" x14ac:dyDescent="0.2">
      <c r="D49" s="79"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2023 to 31 March 2025</v>
      </c>
    </row>
    <row r="50" spans="1:7" ht="20.100000000000001" customHeight="1" x14ac:dyDescent="0.2">
      <c r="A50" s="86" t="s">
        <v>1</v>
      </c>
    </row>
    <row r="51" spans="1:7" ht="20.100000000000001" customHeight="1" x14ac:dyDescent="0.2">
      <c r="A51" s="5" t="str">
        <f>HYPERLINK("#'Constants - Pasture Beef'!A1", "Constants - Pasture Beef")</f>
        <v>Constants - Pasture Beef</v>
      </c>
      <c r="D51" s="80" t="str" cm="1">
        <f t="array" ref="D51">"There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3 emissions calculation periods that need to be completed before total product emissions can be determined.</v>
      </c>
    </row>
    <row r="52" spans="1:7" ht="20.100000000000001" customHeight="1" x14ac:dyDescent="0.2">
      <c r="A52" s="5" t="str">
        <f>HYPERLINK("#'Constants - Ag Residue'!A1", "Constants - Ag residue")</f>
        <v>Constants - Ag residue</v>
      </c>
      <c r="D52" s="1" t="s">
        <v>280</v>
      </c>
    </row>
    <row r="53" spans="1:7" ht="20.100000000000001" customHeight="1" x14ac:dyDescent="0.2">
      <c r="A53" s="5" t="str">
        <f>HYPERLINK("#'Constants - Common Livestock'!A1", "Constants - Common Livestock")</f>
        <v>Constants - Common Livestock</v>
      </c>
    </row>
    <row r="54" spans="1:7" ht="20.100000000000001" customHeight="1" x14ac:dyDescent="0.2">
      <c r="A54" s="5" t="str">
        <f>HYPERLINK("#'Constants - Electricity'!A1", "Constants - Electricity")</f>
        <v>Constants - Electricity</v>
      </c>
      <c r="D54" s="82" t="s">
        <v>124</v>
      </c>
      <c r="E54" s="82" t="s">
        <v>9</v>
      </c>
      <c r="F54" s="82" t="s">
        <v>10</v>
      </c>
    </row>
    <row r="55" spans="1:7" ht="20.100000000000001" customHeight="1" x14ac:dyDescent="0.2">
      <c r="A55" s="5" t="str">
        <f>HYPERLINK("#'Constants - Fertiliser'!A1", "Constants - Fertiliser")</f>
        <v>Constants - Fertiliser</v>
      </c>
      <c r="D55" s="1" t="str" cm="1">
        <f t="array" ref="D55:D57">Common_InputFunctions.getOverlappingReportingPeriods(X_Cell_Enterprise_ProductionTimeframeStart,X_Cell_Enterprise_ProductionTimeframeEnd,X_Cell_Site_StartDate)</f>
        <v>01 Jan 2023 to 31 Dec 2023</v>
      </c>
      <c r="E55" s="76" t="str">
        <f>IF(ISBLANK($D55), 0, IF(ISNUMBER(SEARCH("reporting", $D55)), Result_Enterprise_Scope1_Method1, "Enter value"))</f>
        <v>Enter value</v>
      </c>
      <c r="F55" s="76" t="str">
        <f>IF(ISBLANK($D55), 0, IF(ISNUMBER(SEARCH("reporting", $D55)), Result_Enterprise_Scope1_Method2, "Enter value"))</f>
        <v>Enter value</v>
      </c>
      <c r="G55" s="9" t="s">
        <v>6</v>
      </c>
    </row>
    <row r="56" spans="1:7" ht="20.100000000000001" customHeight="1" x14ac:dyDescent="0.2">
      <c r="A56" s="5" t="str">
        <f>HYPERLINK("#'Constants - Fuel'!A1", "Constants - Fuel")</f>
        <v>Constants - Fuel</v>
      </c>
      <c r="D56" s="1" t="str">
        <v>01 Jan 2024 to 31 Dec 2024 (This reporting cycle)</v>
      </c>
      <c r="E56" s="76">
        <f ca="1">IF(ISBLANK($D56), 0, IF(ISNUMBER(SEARCH("reporting", $D56)), Result_Enterprise_Scope1_Method1, "Enter value"))</f>
        <v>3642.2055407371577</v>
      </c>
      <c r="F56" s="76">
        <f ca="1">IF(ISBLANK($D56), 0, IF(ISNUMBER(SEARCH("reporting", $D56)), Result_Enterprise_Scope1_Method2, "Enter value"))</f>
        <v>3647.8291236908112</v>
      </c>
      <c r="G56" s="9" t="s">
        <v>6</v>
      </c>
    </row>
    <row r="57" spans="1:7" ht="20.100000000000001" customHeight="1" x14ac:dyDescent="0.2">
      <c r="A57" s="5" t="str">
        <f>HYPERLINK("#'Constants - Scope 3'!A1", "Constants - Scope 3")</f>
        <v>Constants - Scope 3</v>
      </c>
      <c r="D57" s="1" t="str">
        <v>01 Jan 2025 to 31 Dec 2025</v>
      </c>
      <c r="E57" s="76" t="str">
        <f>IF(ISBLANK($D57), 0, IF(ISNUMBER(SEARCH("reporting", $D57)), Result_Enterprise_Scope1_Method1, "Enter value"))</f>
        <v>Enter value</v>
      </c>
      <c r="F57" s="76" t="str">
        <f>IF(ISBLANK($D57), 0, IF(ISNUMBER(SEARCH("reporting", $D57)), Result_Enterprise_Scope1_Method2, "Enter value"))</f>
        <v>Enter value</v>
      </c>
      <c r="G57" s="9" t="s">
        <v>6</v>
      </c>
    </row>
    <row r="58" spans="1:7" ht="20.100000000000001" customHeight="1" x14ac:dyDescent="0.2">
      <c r="A58" s="5" t="str">
        <f>HYPERLINK("#'Constants - Solid Waste'!A1", "Constants - Solid Waste")</f>
        <v>Constants - Solid Waste</v>
      </c>
      <c r="E58" s="76">
        <f>IF(ISBLANK($D58), 0, IF(ISNUMBER(SEARCH("reporting", $D58)), Result_Enterprise_Scope1_Method1, "Enter value"))</f>
        <v>0</v>
      </c>
      <c r="F58" s="76">
        <f>IF(ISBLANK($D58), 0, IF(ISNUMBER(SEARCH("reporting", $D58)), Result_Enterprise_Scope1_Method2, "Enter value"))</f>
        <v>0</v>
      </c>
      <c r="G58" s="9" t="s">
        <v>6</v>
      </c>
    </row>
    <row r="59" spans="1:7" ht="20.100000000000001" customHeight="1" x14ac:dyDescent="0.2">
      <c r="A59" s="5" t="str">
        <f>HYPERLINK("#'Constants - Common'!A1", "Constants - Common")</f>
        <v>Constants - Common</v>
      </c>
      <c r="E59" s="76">
        <f>IF(ISBLANK($D59), 0, IF(ISNUMBER(SEARCH("reporting", $D59)), Result_Enterprise_Scope1_Method1, "Enter value"))</f>
        <v>0</v>
      </c>
      <c r="F59" s="76">
        <f>IF(ISBLANK($D59), 0, IF(ISNUMBER(SEARCH("reporting", $D59)), Result_Enterprise_Scope1_Method2, "Enter value"))</f>
        <v>0</v>
      </c>
      <c r="G59" s="9" t="s">
        <v>6</v>
      </c>
    </row>
    <row r="60" spans="1:7" ht="20.100000000000001" customHeight="1" x14ac:dyDescent="0.2">
      <c r="A60" s="5" t="str">
        <f>HYPERLINK("#'Acknowledgements'!A1", "Acknowledgements")</f>
        <v>Acknowledgements</v>
      </c>
      <c r="D60" s="94" t="s">
        <v>139</v>
      </c>
      <c r="E60" s="88">
        <f ca="1">SUM(E55:E59)</f>
        <v>3642.2055407371577</v>
      </c>
      <c r="F60" s="88">
        <f ca="1">SUM(F55:F59)</f>
        <v>3647.8291236908112</v>
      </c>
      <c r="G60" s="95" t="s">
        <v>6</v>
      </c>
    </row>
    <row r="65" spans="1:7" ht="20.100000000000001" customHeight="1" x14ac:dyDescent="0.2">
      <c r="D65" s="79"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2023 and 31 March 2025</v>
      </c>
    </row>
    <row r="67" spans="1:7" ht="20.100000000000001" customHeight="1" x14ac:dyDescent="0.2">
      <c r="D67" s="82" t="s">
        <v>124</v>
      </c>
      <c r="E67" s="82" t="s">
        <v>137</v>
      </c>
      <c r="F67" s="82"/>
    </row>
    <row r="68" spans="1:7" ht="20.100000000000001" customHeight="1" x14ac:dyDescent="0.2">
      <c r="D68" s="1" t="str" cm="1">
        <f t="array" ref="D68:D70">Common_InputFunctions.getOverlappingReportingPeriods(X_Cell_Enterprise_ProductionTimeframeStart,X_Cell_Enterprise_ProductionTimeframeEnd,X_Cell_Site_StartDate)</f>
        <v>01 Jan 2023 to 31 Dec 2023</v>
      </c>
      <c r="E68" s="76" t="str">
        <f>IF(ISBLANK($D68), 0, IF(ISNUMBER(SEARCH("reporting", $D68)), SUM(Table_Input_Enterprise_PlantingRemovals[Removal allocated to this enterprise]), "Enter value"))</f>
        <v>Enter value</v>
      </c>
      <c r="F68" s="9" t="s">
        <v>138</v>
      </c>
    </row>
    <row r="69" spans="1:7" ht="20.100000000000001" customHeight="1" x14ac:dyDescent="0.2">
      <c r="D69" s="1" t="str">
        <v>01 Jan 2024 to 31 Dec 2024 (This reporting cycle)</v>
      </c>
      <c r="E69" s="76">
        <f>IF(ISBLANK($D69), 0, IF(ISNUMBER(SEARCH("reporting", $D69)), SUM(Table_Input_Enterprise_PlantingRemovals[Removal allocated to this enterprise]), "Enter value"))</f>
        <v>0</v>
      </c>
      <c r="F69" s="9" t="s">
        <v>138</v>
      </c>
    </row>
    <row r="70" spans="1:7" ht="20.100000000000001" customHeight="1" x14ac:dyDescent="0.2">
      <c r="D70" s="1" t="str">
        <v>01 Jan 2025 to 31 Dec 2025</v>
      </c>
      <c r="E70" s="76" t="str">
        <f>IF(ISBLANK($D70), 0, IF(ISNUMBER(SEARCH("reporting", $D70)), SUM(Table_Input_Enterprise_PlantingRemovals[Removal allocated to this enterprise]), "Enter value"))</f>
        <v>Enter value</v>
      </c>
      <c r="F70" s="9" t="s">
        <v>138</v>
      </c>
    </row>
    <row r="71" spans="1:7" ht="20.100000000000001" customHeight="1" x14ac:dyDescent="0.2">
      <c r="A71" s="85" t="str">
        <f>HYPERLINK("#A1", "▲ Back to top")</f>
        <v>▲ Back to top</v>
      </c>
      <c r="E71" s="76">
        <f>IF(ISBLANK($D71), 0, IF(ISNUMBER(SEARCH("reporting", $D71)), SUM(Table_Input_Enterprise_PlantingRemovals[Removal allocated to this enterprise]), "Enter value"))</f>
        <v>0</v>
      </c>
      <c r="F71" s="9" t="s">
        <v>138</v>
      </c>
    </row>
    <row r="72" spans="1:7" ht="20.100000000000001" customHeight="1" x14ac:dyDescent="0.2">
      <c r="E72" s="76">
        <f>IF(ISBLANK($D72), 0, IF(ISNUMBER(SEARCH("reporting", $D72)), SUM(Table_Input_Enterprise_PlantingRemovals[Removal allocated to this enterprise]), "Enter value"))</f>
        <v>0</v>
      </c>
      <c r="F72" s="9" t="s">
        <v>138</v>
      </c>
    </row>
    <row r="73" spans="1:7" ht="20.100000000000001" customHeight="1" x14ac:dyDescent="0.2">
      <c r="D73" s="94" t="s">
        <v>140</v>
      </c>
      <c r="E73" s="88">
        <f>SUM(E68:E72)</f>
        <v>0</v>
      </c>
      <c r="F73" s="95" t="s">
        <v>138</v>
      </c>
    </row>
    <row r="76" spans="1:7" ht="20.100000000000001" customHeight="1" x14ac:dyDescent="0.2">
      <c r="D76" s="79"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2023 to 31 March 2025</v>
      </c>
    </row>
    <row r="78" spans="1:7" ht="20.100000000000001" customHeight="1" x14ac:dyDescent="0.2">
      <c r="D78" s="82" t="s">
        <v>124</v>
      </c>
      <c r="E78" s="82" t="s">
        <v>9</v>
      </c>
      <c r="F78" s="82" t="s">
        <v>10</v>
      </c>
    </row>
    <row r="79" spans="1:7" ht="20.100000000000001" customHeight="1" x14ac:dyDescent="0.2">
      <c r="D79" s="1" t="str" cm="1">
        <f t="array" ref="D79:D81">Common_InputFunctions.getOverlappingReportingPeriods(X_Cell_Enterprise_ProductionTimeframeStart,X_Cell_Enterprise_ProductionTimeframeEnd,X_Cell_Site_StartDate)</f>
        <v>01 Jan 2023 to 31 Dec 2023</v>
      </c>
      <c r="E79" s="76" t="str">
        <f>IF(ISBLANK($D79), 0, IF(ISNUMBER(SEARCH("reporting", $D79)), E55-$E$68, "Enter value"))</f>
        <v>Enter value</v>
      </c>
      <c r="F79" s="76" t="str">
        <f>IF(ISBLANK($D79), 0, IF(ISNUMBER(SEARCH("reporting", $D79)), F55-$E$68, "Enter value"))</f>
        <v>Enter value</v>
      </c>
      <c r="G79" s="9" t="s">
        <v>6</v>
      </c>
    </row>
    <row r="80" spans="1:7" ht="20.100000000000001" customHeight="1" x14ac:dyDescent="0.2">
      <c r="D80" s="1" t="str">
        <v>01 Jan 2024 to 31 Dec 2024 (This reporting cycle)</v>
      </c>
      <c r="E80" s="76">
        <f ca="1">IF(ISBLANK($D80), 0, IF(ISNUMBER(SEARCH("reporting", $D80)), E56-$E$69, "Enter value"))</f>
        <v>3642.2055407371577</v>
      </c>
      <c r="F80" s="76">
        <f ca="1">IF(ISBLANK($D80), 0, IF(ISNUMBER(SEARCH("reporting", $D80)), F56-$E$69, "Enter value"))</f>
        <v>3647.8291236908112</v>
      </c>
      <c r="G80" s="9" t="s">
        <v>6</v>
      </c>
    </row>
    <row r="81" spans="4:7" ht="20.100000000000001" customHeight="1" x14ac:dyDescent="0.2">
      <c r="D81" s="1" t="str">
        <v>01 Jan 2025 to 31 Dec 2025</v>
      </c>
      <c r="E81" s="76" t="str">
        <f>IF(ISBLANK($D81), 0, IF(ISNUMBER(SEARCH("reporting", $D81)), E57-$E$70, "Enter value"))</f>
        <v>Enter value</v>
      </c>
      <c r="F81" s="76" t="str">
        <f>IF(ISBLANK($D81), 0, IF(ISNUMBER(SEARCH("reporting", $D81)), F57-$E$70, "Enter value"))</f>
        <v>Enter value</v>
      </c>
      <c r="G81" s="9" t="s">
        <v>6</v>
      </c>
    </row>
    <row r="82" spans="4:7" ht="20.100000000000001" customHeight="1" x14ac:dyDescent="0.2">
      <c r="E82" s="76">
        <f>IF(ISBLANK($D82), 0, IF(ISNUMBER(SEARCH("reporting", $D82)), E58-$E$71, "Enter value"))</f>
        <v>0</v>
      </c>
      <c r="F82" s="76">
        <f>IF(ISBLANK($D82), 0, IF(ISNUMBER(SEARCH("reporting", $D82)), F58-$E$71, "Enter value"))</f>
        <v>0</v>
      </c>
      <c r="G82" s="9" t="s">
        <v>6</v>
      </c>
    </row>
    <row r="83" spans="4:7" ht="20.100000000000001" customHeight="1" x14ac:dyDescent="0.2">
      <c r="E83" s="76">
        <f>IF(ISBLANK($D83), 0, IF(ISNUMBER(SEARCH("reporting", $D83)), E59-$E$72, "Enter value"))</f>
        <v>0</v>
      </c>
      <c r="F83" s="76">
        <f>IF(ISBLANK($D83), 0, IF(ISNUMBER(SEARCH("reporting", $D83)), F59-$E$72, "Enter value"))</f>
        <v>0</v>
      </c>
      <c r="G83" s="9" t="s">
        <v>6</v>
      </c>
    </row>
    <row r="84" spans="4:7" ht="20.100000000000001" customHeight="1" x14ac:dyDescent="0.2">
      <c r="D84" s="94" t="s">
        <v>139</v>
      </c>
      <c r="E84" s="88">
        <f ca="1">SUM(E79:E83)</f>
        <v>3642.2055407371577</v>
      </c>
      <c r="F84" s="88">
        <f ca="1">SUM(F79:F83)</f>
        <v>3647.8291236908112</v>
      </c>
      <c r="G84" s="95" t="s">
        <v>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95"/>
  <sheetViews>
    <sheetView showGridLines="0" zoomScaleNormal="100" workbookViewId="0">
      <pane xSplit="1" topLeftCell="B1" activePane="topRight" state="frozenSplit"/>
      <selection pane="topRight" activeCell="A59" sqref="A59"/>
    </sheetView>
  </sheetViews>
  <sheetFormatPr defaultColWidth="9.140625" defaultRowHeight="20.100000000000001" customHeight="1" x14ac:dyDescent="0.2"/>
  <cols>
    <col min="1" max="1" width="36.7109375" style="4" customWidth="1"/>
    <col min="2" max="2" width="4.7109375" style="22" customWidth="1"/>
    <col min="3" max="3" width="4.7109375" style="25" customWidth="1"/>
    <col min="4" max="4" width="60.7109375" style="25" customWidth="1"/>
    <col min="5" max="5" width="50.7109375" style="25" customWidth="1"/>
    <col min="6" max="11" width="28.7109375" style="25" customWidth="1"/>
    <col min="12" max="25" width="28.7109375" style="22" customWidth="1"/>
    <col min="26" max="27" width="9.140625" style="22"/>
    <col min="28" max="16384" width="9.140625" style="25"/>
  </cols>
  <sheetData>
    <row r="1" spans="1:24" s="22" customFormat="1" ht="30" customHeight="1" x14ac:dyDescent="0.35">
      <c r="A1" s="10" t="e" vm="1">
        <v>#VALUE!</v>
      </c>
      <c r="C1" s="28" t="s">
        <v>95</v>
      </c>
    </row>
    <row r="2" spans="1:24" s="22" customFormat="1" ht="20.100000000000001" customHeight="1" x14ac:dyDescent="0.2">
      <c r="A2"/>
      <c r="C2" s="3"/>
      <c r="D2" s="3"/>
      <c r="E2" s="3"/>
      <c r="F2" s="3"/>
      <c r="G2" s="3"/>
      <c r="H2" s="3"/>
      <c r="I2" s="3"/>
      <c r="J2" s="3"/>
    </row>
    <row r="3" spans="1:24" ht="20.100000000000001" customHeight="1" x14ac:dyDescent="0.2">
      <c r="A3" s="5" t="str">
        <f>HYPERLINK("#'Home'!A1", "Home")</f>
        <v>Home</v>
      </c>
      <c r="C3" s="29"/>
      <c r="D3" s="29"/>
      <c r="E3" s="29"/>
      <c r="F3" s="29"/>
      <c r="G3" s="29"/>
      <c r="H3" s="29"/>
      <c r="I3" s="29"/>
      <c r="J3" s="29"/>
      <c r="K3" s="29"/>
      <c r="M3" s="24"/>
      <c r="N3" s="24"/>
      <c r="O3" s="24"/>
      <c r="P3" s="24"/>
      <c r="Q3" s="24"/>
      <c r="R3" s="24"/>
      <c r="S3" s="24"/>
      <c r="T3" s="24"/>
      <c r="U3" s="24"/>
      <c r="V3" s="24"/>
      <c r="W3" s="24"/>
      <c r="X3" s="24"/>
    </row>
    <row r="4" spans="1:24" ht="20.100000000000001" customHeight="1" x14ac:dyDescent="0.2">
      <c r="A4" s="5" t="str">
        <f>HYPERLINK("#'Results - Activity period'!A1", "Results - Activity period")</f>
        <v>Results - Activity period</v>
      </c>
      <c r="C4" s="30"/>
      <c r="D4" s="30"/>
      <c r="E4" s="30"/>
      <c r="F4" s="30"/>
      <c r="G4" s="30"/>
      <c r="H4" s="30"/>
      <c r="I4" s="30"/>
      <c r="J4" s="30"/>
      <c r="K4" s="30"/>
    </row>
    <row r="5" spans="1:24" ht="20.100000000000001" customHeight="1" x14ac:dyDescent="0.2">
      <c r="A5" s="5" t="str">
        <f>HYPERLINK("#'Results - Product EI'!A1", "Results - Product Emissions Intensity")</f>
        <v>Results - Product Emissions Intensity</v>
      </c>
      <c r="D5" s="2" t="s">
        <v>104</v>
      </c>
      <c r="N5" s="31"/>
    </row>
    <row r="6" spans="1:24" ht="20.100000000000001" customHeight="1" x14ac:dyDescent="0.2">
      <c r="A6"/>
      <c r="N6" s="33"/>
    </row>
    <row r="7" spans="1:24" ht="20.100000000000001" customHeight="1" x14ac:dyDescent="0.2">
      <c r="A7"/>
      <c r="D7" s="43" t="s">
        <v>105</v>
      </c>
      <c r="E7" s="44"/>
      <c r="F7" s="44"/>
      <c r="G7" s="45"/>
    </row>
    <row r="8" spans="1:24" ht="20.100000000000001" customHeight="1" x14ac:dyDescent="0.2">
      <c r="A8" s="7" t="s">
        <v>0</v>
      </c>
      <c r="D8" s="46" t="s">
        <v>106</v>
      </c>
      <c r="E8" s="47"/>
      <c r="F8" s="47"/>
      <c r="G8" s="48"/>
    </row>
    <row r="9" spans="1:24" ht="20.100000000000001" customHeight="1" x14ac:dyDescent="0.2">
      <c r="A9" s="5" t="str">
        <f>HYPERLINK("#'Input - Enterprise'!A1", "Enterprise")</f>
        <v>Enterprise</v>
      </c>
      <c r="D9" s="1"/>
      <c r="E9" s="49"/>
      <c r="F9" s="16"/>
      <c r="N9" s="35"/>
    </row>
    <row r="10" spans="1:24" ht="20.100000000000001" customHeight="1" x14ac:dyDescent="0.2">
      <c r="A10" s="100" t="str">
        <f>HYPERLINK("#'Input - Site'!A1", "Site")</f>
        <v>Site</v>
      </c>
      <c r="D10" s="1" t="s">
        <v>107</v>
      </c>
      <c r="E10" s="13" t="s">
        <v>108</v>
      </c>
      <c r="F10" s="16" t="s">
        <v>109</v>
      </c>
      <c r="N10" s="35"/>
    </row>
    <row r="11" spans="1:24" ht="20.100000000000001" customHeight="1" x14ac:dyDescent="0.2">
      <c r="A11" s="5" t="str">
        <f>HYPERLINK("#'Input - Pasture Beef'!A1", "Pasture Beef")</f>
        <v>Pasture Beef</v>
      </c>
      <c r="D11" s="1" t="s">
        <v>110</v>
      </c>
      <c r="E11" s="13" t="s">
        <v>111</v>
      </c>
      <c r="F11" s="16" t="s">
        <v>109</v>
      </c>
      <c r="G11" s="1"/>
      <c r="N11" s="40"/>
    </row>
    <row r="12" spans="1:24" ht="20.100000000000001" customHeight="1" x14ac:dyDescent="0.2">
      <c r="A12" s="5" t="str">
        <f>HYPERLINK("#'Input - Livestock sales'!A1", "Livestock sales")</f>
        <v>Livestock sales</v>
      </c>
      <c r="D12" s="1" t="s">
        <v>112</v>
      </c>
      <c r="E12" s="13" t="s">
        <v>113</v>
      </c>
      <c r="F12" s="16" t="s">
        <v>109</v>
      </c>
    </row>
    <row r="13" spans="1:24" ht="20.100000000000001" customHeight="1" x14ac:dyDescent="0.2">
      <c r="A13" s="5" t="str">
        <f>HYPERLINK("#'Input - Beef cattle purchases'!A1", "Beef cattle purchases")</f>
        <v>Beef cattle purchases</v>
      </c>
      <c r="D13" s="1" t="s">
        <v>45</v>
      </c>
      <c r="E13" s="34">
        <v>307.7</v>
      </c>
      <c r="F13" s="16" t="s">
        <v>114</v>
      </c>
      <c r="N13" s="42"/>
      <c r="O13" s="42"/>
    </row>
    <row r="14" spans="1:24" ht="20.100000000000001" customHeight="1" x14ac:dyDescent="0.2">
      <c r="A14" s="5" t="str">
        <f>HYPERLINK("#'Input - Pasture'!A1", "Pasture")</f>
        <v>Pasture</v>
      </c>
      <c r="D14" s="1" t="s">
        <v>115</v>
      </c>
      <c r="E14" s="34">
        <v>18</v>
      </c>
      <c r="F14" s="16" t="s">
        <v>116</v>
      </c>
      <c r="N14" s="42"/>
      <c r="O14" s="42"/>
    </row>
    <row r="15" spans="1:24" ht="20.100000000000001" customHeight="1" x14ac:dyDescent="0.2">
      <c r="A15" s="5" t="str">
        <f>HYPERLINK("#'Input - Fert Prod System'!A1", "Fert Prod System")</f>
        <v>Fert Prod System</v>
      </c>
      <c r="D15" s="1" t="s">
        <v>117</v>
      </c>
      <c r="E15" s="34">
        <v>601</v>
      </c>
      <c r="F15" s="16" t="s">
        <v>118</v>
      </c>
      <c r="N15" s="42"/>
      <c r="O15" s="42"/>
    </row>
    <row r="16" spans="1:24" ht="20.100000000000001" customHeight="1" x14ac:dyDescent="0.2">
      <c r="A16" s="5" t="str">
        <f>HYPERLINK("#'Input - Fertiliser'!A1", "Fertiliser")</f>
        <v>Fertiliser</v>
      </c>
      <c r="D16" s="12" t="s">
        <v>119</v>
      </c>
      <c r="E16" s="34">
        <v>1326</v>
      </c>
      <c r="F16" s="16" t="s">
        <v>118</v>
      </c>
      <c r="N16" s="42"/>
      <c r="O16" s="42"/>
    </row>
    <row r="17" spans="1:25" ht="20.100000000000001" customHeight="1" x14ac:dyDescent="0.2">
      <c r="A17" s="5" t="str">
        <f>HYPERLINK("#'Input - Fuel'!A1", "Fuel")</f>
        <v>Fuel</v>
      </c>
      <c r="D17" s="1" t="s">
        <v>120</v>
      </c>
      <c r="E17" s="34">
        <v>7</v>
      </c>
      <c r="F17" s="16" t="s">
        <v>121</v>
      </c>
    </row>
    <row r="18" spans="1:25" ht="20.100000000000001" customHeight="1" x14ac:dyDescent="0.2">
      <c r="A18" s="5" t="str">
        <f>HYPERLINK("#'Input - Electricity'!A1", "Electricity")</f>
        <v>Electricity</v>
      </c>
      <c r="D18" s="12" t="s">
        <v>122</v>
      </c>
      <c r="E18" s="15">
        <f>E15/E16</f>
        <v>0.45324283559577677</v>
      </c>
      <c r="F18" s="16"/>
    </row>
    <row r="19" spans="1:25" ht="20.100000000000001" customHeight="1" x14ac:dyDescent="0.2">
      <c r="A19" s="5" t="str">
        <f>HYPERLINK("#'Input - Common farm inputs'!A1", "Common farm inputs")</f>
        <v>Common farm inputs</v>
      </c>
      <c r="D19" s="12" t="s">
        <v>73</v>
      </c>
      <c r="E19" s="15" t="str">
        <f>Common_InputFunctions.Utility_LookupItemFromMinMax(E15,Table_SourceData_RainfallZones[Min rainfall],Table_SourceData_RainfallZones[Max rainfall],Table_SourceData_RainfallZones[Rainfall Zone])</f>
        <v>High rainfall</v>
      </c>
      <c r="G19" s="50"/>
      <c r="N19" s="31"/>
    </row>
    <row r="20" spans="1:25" ht="20.100000000000001" customHeight="1" x14ac:dyDescent="0.2">
      <c r="A20" s="5" t="str">
        <f>HYPERLINK("#'Input - Crop pasture farm input'!A1", "Crop pasture farm input")</f>
        <v>Crop pasture farm input</v>
      </c>
      <c r="D20" s="1" t="s">
        <v>40</v>
      </c>
      <c r="E20" s="1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9"/>
      <c r="N20" s="33"/>
    </row>
    <row r="21" spans="1:25" ht="20.100000000000001" customHeight="1" x14ac:dyDescent="0.2">
      <c r="A21" s="5" t="str">
        <f>HYPERLINK("#'Input - Livestock farm Inputs'!A1", "Livestock farm Inputs")</f>
        <v>Livestock farm Inputs</v>
      </c>
      <c r="D21" s="1" t="s">
        <v>123</v>
      </c>
      <c r="E21" s="15" t="str">
        <f>Common_InputFunctions.Utility_LookupValueInTable($E$20,Table_SourceData_WetDryZones[Climate zone],Table_SourceData_WetDryZones[Wet or Dry Zone])</f>
        <v>Dry climate zone</v>
      </c>
      <c r="F21" s="1"/>
      <c r="G21" s="49"/>
    </row>
    <row r="22" spans="1:25" ht="20.100000000000001" customHeight="1" x14ac:dyDescent="0.2">
      <c r="A22" s="5" t="str">
        <f>HYPERLINK("#'Input - Freight'!A1", "Freight")</f>
        <v>Freight</v>
      </c>
      <c r="D22" s="1" t="s">
        <v>77</v>
      </c>
      <c r="E22" s="15" t="str">
        <f>Common_InputFunctions.Utility_LookupItemFromMinMax(E14,Table_SourceData_TemperatureZones[Min MAT],Table_SourceData_TemperatureZones[Max MAT],Table_SourceData_TemperatureZones[Temperature Zone])</f>
        <v>Temperate</v>
      </c>
      <c r="G22" s="53"/>
    </row>
    <row r="23" spans="1:25" ht="20.100000000000001" customHeight="1" x14ac:dyDescent="0.2">
      <c r="A23" s="5" t="str">
        <f>HYPERLINK("#'Input - Solid waste'!A1", "Solid waste")</f>
        <v>Solid waste</v>
      </c>
    </row>
    <row r="24" spans="1:25" ht="20.100000000000001" customHeight="1" x14ac:dyDescent="0.2">
      <c r="A24" s="5" t="str">
        <f>HYPERLINK("#'Input - Manure sent off-site'!A1", "Manure sent off-site")</f>
        <v>Manure sent off-site</v>
      </c>
    </row>
    <row r="25" spans="1:25" ht="20.100000000000001" customHeight="1" x14ac:dyDescent="0.2">
      <c r="A25" s="5" t="str">
        <f>HYPERLINK("#'Input - Data quality'!A1", "Data quality")</f>
        <v>Data quality</v>
      </c>
      <c r="N25" s="33"/>
    </row>
    <row r="26" spans="1:25" ht="20.100000000000001" customHeight="1" x14ac:dyDescent="0.2">
      <c r="A26"/>
    </row>
    <row r="27" spans="1:25" ht="20.100000000000001" customHeight="1" x14ac:dyDescent="0.2">
      <c r="A27"/>
    </row>
    <row r="28" spans="1:25" ht="20.100000000000001" customHeight="1" x14ac:dyDescent="0.2">
      <c r="A28" s="6" t="s">
        <v>2</v>
      </c>
    </row>
    <row r="29" spans="1:25" ht="20.100000000000001" customHeight="1" x14ac:dyDescent="0.2">
      <c r="A29" s="5" t="str">
        <f>HYPERLINK("#'3.2.1.1-2 Enteric Methane'!A1", "3.2.1.1-2 Enteric Methane")</f>
        <v>3.2.1.1-2 Enteric Methane</v>
      </c>
    </row>
    <row r="30" spans="1:25" ht="20.100000000000001" customHeight="1" x14ac:dyDescent="0.2">
      <c r="A30" s="5" t="str">
        <f>HYPERLINK("#'4.2.1.1-2 Methane'!A1", "4.2.1.1-2 Manure methane")</f>
        <v>4.2.1.1-2 Manure methane</v>
      </c>
      <c r="L30" s="51"/>
      <c r="M30" s="51"/>
      <c r="N30" s="51"/>
      <c r="O30" s="51"/>
      <c r="P30" s="51"/>
      <c r="Q30" s="51"/>
      <c r="R30" s="51"/>
      <c r="S30" s="51"/>
      <c r="T30" s="51"/>
      <c r="U30" s="51"/>
      <c r="V30" s="51"/>
      <c r="W30" s="51"/>
      <c r="X30" s="51"/>
      <c r="Y30" s="51"/>
    </row>
    <row r="31" spans="1:25" ht="20.100000000000001" customHeight="1" x14ac:dyDescent="0.2">
      <c r="A31" s="5" t="str">
        <f>HYPERLINK("#'4.2.1.3-4 Soil direct N20'!A1", "4.2.1.3-4 Soil direct N2O")</f>
        <v>4.2.1.3-4 Soil direct N2O</v>
      </c>
      <c r="L31" s="52"/>
      <c r="M31" s="52"/>
      <c r="N31" s="52"/>
      <c r="O31" s="52"/>
      <c r="P31" s="52"/>
      <c r="Q31" s="52"/>
      <c r="R31" s="52"/>
      <c r="S31" s="52"/>
      <c r="T31" s="52"/>
      <c r="U31" s="52"/>
      <c r="V31" s="52"/>
      <c r="W31" s="52"/>
      <c r="X31" s="52"/>
      <c r="Y31" s="52"/>
    </row>
    <row r="32" spans="1:25" ht="20.100000000000001" customHeight="1" x14ac:dyDescent="0.2">
      <c r="A32" s="5" t="str">
        <f>HYPERLINK("#'4.2.1.5-6 Soil Atmos Dep'!A1", "4.2.1.5-6 Soil atm. deposition")</f>
        <v>4.2.1.5-6 Soil atm. deposition</v>
      </c>
      <c r="L32" s="52"/>
      <c r="M32" s="52"/>
      <c r="N32" s="52"/>
      <c r="O32" s="52"/>
      <c r="P32" s="52"/>
      <c r="Q32" s="52"/>
      <c r="R32" s="52"/>
      <c r="S32" s="52"/>
      <c r="T32" s="52"/>
      <c r="U32" s="52"/>
      <c r="V32" s="52"/>
      <c r="W32" s="52"/>
      <c r="X32" s="52"/>
      <c r="Y32" s="52"/>
    </row>
    <row r="33" spans="1:25" ht="20.100000000000001" customHeight="1" x14ac:dyDescent="0.2">
      <c r="A33" s="5" t="str">
        <f>HYPERLINK("#'4.2.1.7-8 Soil leach runoff'!A1", "4.2.1.7-8 Soil leach &amp; runoff")</f>
        <v>4.2.1.7-8 Soil leach &amp; runoff</v>
      </c>
      <c r="L33" s="52"/>
      <c r="M33" s="52"/>
      <c r="N33" s="52"/>
      <c r="O33" s="52"/>
      <c r="P33" s="52"/>
      <c r="Q33" s="52"/>
      <c r="R33" s="52"/>
      <c r="S33" s="52"/>
      <c r="T33" s="52"/>
      <c r="U33" s="52"/>
      <c r="V33" s="52"/>
      <c r="W33" s="52"/>
      <c r="X33" s="52"/>
      <c r="Y33" s="52"/>
    </row>
    <row r="34" spans="1:25" ht="20.100000000000001" customHeight="1" x14ac:dyDescent="0.2">
      <c r="A34" s="5" t="str">
        <f>HYPERLINK("#'5.1.1.1-2 Inorganic fert N2O'!A1", "5.1.1.1-2 Inorganic fert N2O")</f>
        <v>5.1.1.1-2 Inorganic fert N2O</v>
      </c>
      <c r="J34" s="54"/>
      <c r="K34" s="55"/>
      <c r="L34" s="52"/>
      <c r="M34" s="52"/>
      <c r="N34" s="52"/>
      <c r="O34" s="52"/>
      <c r="P34" s="52"/>
      <c r="Q34" s="52"/>
      <c r="R34" s="52"/>
      <c r="S34" s="52"/>
      <c r="T34" s="52"/>
      <c r="U34" s="52"/>
      <c r="V34" s="52"/>
      <c r="W34" s="52"/>
      <c r="X34" s="52"/>
      <c r="Y34" s="52"/>
    </row>
    <row r="35" spans="1:25" ht="20.100000000000001" customHeight="1" x14ac:dyDescent="0.2">
      <c r="A35" s="5" t="str">
        <f>HYPERLINK("#'5.1.1.3-4 Inorganic fert CO2'!A1", "5.1.1.3-4 Inorganic fert CO2")</f>
        <v>5.1.1.3-4 Inorganic fert CO2</v>
      </c>
      <c r="J35" s="54"/>
      <c r="K35" s="55"/>
      <c r="L35" s="52"/>
      <c r="M35" s="52"/>
      <c r="N35" s="52"/>
      <c r="O35" s="52"/>
      <c r="P35" s="52"/>
      <c r="Q35" s="52"/>
      <c r="R35" s="52"/>
      <c r="S35" s="52"/>
      <c r="T35" s="52"/>
      <c r="U35" s="52"/>
      <c r="V35" s="52"/>
      <c r="W35" s="52"/>
      <c r="X35" s="52"/>
      <c r="Y35" s="52"/>
    </row>
    <row r="36" spans="1:25" ht="20.100000000000001" customHeight="1" x14ac:dyDescent="0.2">
      <c r="A36" s="5" t="str">
        <f>HYPERLINK("#'5.2.1.1-2 Organic Fert N2O'!A1", "5.2.1.1-2 Organic fert N2O")</f>
        <v>5.2.1.1-2 Organic fert N2O</v>
      </c>
      <c r="D36" s="56"/>
      <c r="E36" s="56"/>
      <c r="F36" s="57"/>
      <c r="G36" s="54"/>
      <c r="H36" s="54"/>
      <c r="I36" s="58"/>
      <c r="J36" s="54"/>
      <c r="K36" s="55"/>
      <c r="L36" s="52"/>
      <c r="M36" s="52"/>
      <c r="N36" s="52"/>
      <c r="O36" s="52"/>
      <c r="P36" s="52"/>
      <c r="Q36" s="52"/>
      <c r="R36" s="52"/>
      <c r="S36" s="52"/>
      <c r="T36" s="52"/>
      <c r="U36" s="52"/>
      <c r="V36" s="52"/>
      <c r="W36" s="52"/>
      <c r="X36" s="52"/>
      <c r="Y36" s="52"/>
    </row>
    <row r="37" spans="1:25" ht="20.100000000000001" customHeight="1" x14ac:dyDescent="0.2">
      <c r="A37" s="5" t="str">
        <f>HYPERLINK("#'5.3.1.1-2 Lime CO2'!A1", "5.3.1.1-2 Lime CO2")</f>
        <v>5.3.1.1-2 Lime CO2</v>
      </c>
      <c r="D37" s="56"/>
      <c r="E37" s="56"/>
      <c r="F37" s="57"/>
      <c r="G37" s="54"/>
      <c r="H37" s="54"/>
      <c r="I37" s="58"/>
      <c r="J37" s="54"/>
      <c r="K37" s="55"/>
      <c r="L37" s="52"/>
      <c r="M37" s="52"/>
      <c r="N37" s="52"/>
      <c r="O37" s="52"/>
      <c r="P37" s="52"/>
      <c r="Q37" s="52"/>
      <c r="R37" s="52"/>
      <c r="S37" s="52"/>
      <c r="T37" s="52"/>
      <c r="U37" s="52"/>
      <c r="V37" s="52"/>
      <c r="W37" s="52"/>
      <c r="X37" s="52"/>
      <c r="Y37" s="52"/>
    </row>
    <row r="38" spans="1:25" ht="20.100000000000001" customHeight="1" x14ac:dyDescent="0.2">
      <c r="A38" s="5" t="str">
        <f>HYPERLINK("#'5.4.1.1-4 Atmos deposition'!A1", "5.4.1.1-4 Atmos. deposition")</f>
        <v>5.4.1.1-4 Atmos. deposition</v>
      </c>
      <c r="D38" s="56"/>
      <c r="E38" s="56"/>
      <c r="F38" s="57"/>
      <c r="G38" s="54"/>
      <c r="H38" s="54"/>
      <c r="I38" s="58"/>
      <c r="J38" s="54"/>
      <c r="K38" s="55"/>
      <c r="L38" s="52"/>
      <c r="M38" s="52"/>
      <c r="N38" s="52"/>
      <c r="O38" s="52"/>
      <c r="P38" s="52"/>
      <c r="Q38" s="52"/>
      <c r="R38" s="52"/>
      <c r="S38" s="52"/>
      <c r="T38" s="52"/>
      <c r="U38" s="52"/>
      <c r="V38" s="52"/>
      <c r="W38" s="52"/>
      <c r="X38" s="52"/>
      <c r="Y38" s="52"/>
    </row>
    <row r="39" spans="1:25" ht="20.100000000000001" customHeight="1" x14ac:dyDescent="0.2">
      <c r="A39" s="5" t="str">
        <f>HYPERLINK("#'5.5.1.1-2 Leaching and runoff'!A1", "5.5.1.1-2 Leaching &amp; runoff")</f>
        <v>5.5.1.1-2 Leaching &amp; runoff</v>
      </c>
      <c r="D39" s="56"/>
      <c r="E39" s="56"/>
      <c r="F39" s="57"/>
      <c r="G39" s="54"/>
      <c r="H39" s="54"/>
      <c r="I39" s="58"/>
      <c r="J39" s="54"/>
      <c r="K39" s="55"/>
      <c r="L39" s="52"/>
      <c r="M39" s="52"/>
      <c r="N39" s="52"/>
      <c r="O39" s="52"/>
      <c r="P39" s="52"/>
      <c r="Q39" s="52"/>
      <c r="R39" s="52"/>
      <c r="S39" s="52"/>
      <c r="T39" s="52"/>
      <c r="U39" s="52"/>
      <c r="V39" s="52"/>
      <c r="W39" s="52"/>
      <c r="X39" s="52"/>
      <c r="Y39" s="52"/>
    </row>
    <row r="40" spans="1:25" ht="20.100000000000001" customHeight="1" x14ac:dyDescent="0.2">
      <c r="A40" s="5" t="str">
        <f>HYPERLINK("#'6.2.1.1-2 Pasture residue N2O'!A1", "6.2.1.1-2 Pasture residue N2O")</f>
        <v>6.2.1.1-2 Pasture residue N2O</v>
      </c>
      <c r="D40" s="59"/>
      <c r="E40" s="59"/>
      <c r="F40" s="59"/>
      <c r="G40" s="60"/>
      <c r="H40" s="61"/>
      <c r="I40" s="61"/>
      <c r="J40" s="61"/>
      <c r="K40" s="61"/>
      <c r="L40" s="62"/>
      <c r="M40" s="62"/>
      <c r="N40" s="62"/>
      <c r="O40" s="62"/>
      <c r="P40" s="62"/>
      <c r="Q40" s="62"/>
      <c r="R40" s="62"/>
      <c r="S40" s="62"/>
      <c r="T40" s="62"/>
      <c r="U40" s="62"/>
      <c r="V40" s="62"/>
      <c r="W40" s="62"/>
      <c r="X40" s="62"/>
      <c r="Y40" s="62"/>
    </row>
    <row r="41" spans="1:25" ht="20.100000000000001" customHeight="1" x14ac:dyDescent="0.2">
      <c r="A41" s="5" t="str">
        <f>HYPERLINK("#'6.3.1.1-2 Leach runoff pasture'!A1", "6.3.1.1-2 Leach &amp; runoff (pasture)")</f>
        <v>6.3.1.1-2 Leach &amp; runoff (pasture)</v>
      </c>
    </row>
    <row r="42" spans="1:25" ht="20.100000000000001" customHeight="1" x14ac:dyDescent="0.2">
      <c r="A42" s="5" t="str">
        <f>HYPERLINK("#'8.1.1.1-2 Transport fuel'!A1", "8.1.1.1-2 Transport fuel")</f>
        <v>8.1.1.1-2 Transport fuel</v>
      </c>
    </row>
    <row r="43" spans="1:25" ht="20.100000000000001" customHeight="1" x14ac:dyDescent="0.2">
      <c r="A43" s="5" t="str">
        <f>HYPERLINK("#'8.2.1.1-2 Stationary fuel'!A1", "8.2.1.1-2 Stationary fuel")</f>
        <v>8.2.1.1-2 Stationary fuel</v>
      </c>
    </row>
    <row r="44" spans="1:25" ht="20.100000000000001" customHeight="1" x14ac:dyDescent="0.2">
      <c r="A44" s="5" t="str">
        <f>HYPERLINK("#'10.1.1-2 Solid waste treatment'!A1", "10.1.1.1-2 Solid waste")</f>
        <v>10.1.1.1-2 Solid waste</v>
      </c>
    </row>
    <row r="45" spans="1:25" ht="20.100000000000001" customHeight="1" x14ac:dyDescent="0.2">
      <c r="A45" s="5" t="str">
        <f>HYPERLINK("#'14.1.1-2 Purchased electricity'!A1", "14.1.1-2 Purchased electricity")</f>
        <v>14.1.1-2 Purchased electricity</v>
      </c>
      <c r="D45" s="2"/>
    </row>
    <row r="46" spans="1:25" ht="20.100000000000001" customHeight="1" x14ac:dyDescent="0.2">
      <c r="A46" s="5" t="str">
        <f>HYPERLINK("#'15 Scope 3'!A1", "15 Scope 3")</f>
        <v>15 Scope 3</v>
      </c>
      <c r="D46" s="2"/>
    </row>
    <row r="47" spans="1:25" ht="20.100000000000001" customHeight="1" x14ac:dyDescent="0.2">
      <c r="A47" s="5" t="str">
        <f>HYPERLINK("#'Calcs - Manure sent off-site'!A1", "Calcs - Manure sent off-site")</f>
        <v>Calcs - Manure sent off-site</v>
      </c>
      <c r="D47" s="63"/>
      <c r="E47" s="63"/>
      <c r="F47" s="63"/>
      <c r="G47" s="63"/>
      <c r="H47" s="63"/>
    </row>
    <row r="48" spans="1:25" ht="20.100000000000001" customHeight="1" x14ac:dyDescent="0.2">
      <c r="A48"/>
      <c r="D48" s="64"/>
      <c r="E48" s="64"/>
      <c r="F48" s="65"/>
      <c r="G48" s="65"/>
      <c r="H48" s="64"/>
    </row>
    <row r="49" spans="1:8" ht="20.100000000000001" customHeight="1" x14ac:dyDescent="0.2">
      <c r="A49"/>
      <c r="D49" s="64"/>
      <c r="E49" s="64"/>
      <c r="F49" s="65"/>
      <c r="G49" s="65"/>
      <c r="H49" s="64"/>
    </row>
    <row r="50" spans="1:8" ht="20.100000000000001" customHeight="1" x14ac:dyDescent="0.2">
      <c r="A50" s="86" t="s">
        <v>1</v>
      </c>
      <c r="D50" s="64"/>
      <c r="E50" s="64"/>
      <c r="F50" s="65"/>
      <c r="G50" s="65"/>
      <c r="H50" s="64"/>
    </row>
    <row r="51" spans="1:8" ht="20.100000000000001" customHeight="1" x14ac:dyDescent="0.2">
      <c r="A51" s="5" t="str">
        <f>HYPERLINK("#'Constants - Pasture Beef'!A1", "Constants - Pasture Beef")</f>
        <v>Constants - Pasture Beef</v>
      </c>
      <c r="D51" s="66"/>
      <c r="E51" s="67"/>
      <c r="F51" s="67"/>
      <c r="G51" s="67"/>
      <c r="H51" s="68"/>
    </row>
    <row r="52" spans="1:8" ht="20.100000000000001" customHeight="1" x14ac:dyDescent="0.2">
      <c r="A52" s="5" t="str">
        <f>HYPERLINK("#'Constants - Ag Residue'!A1", "Constants - Ag residue")</f>
        <v>Constants - Ag residue</v>
      </c>
    </row>
    <row r="53" spans="1:8" ht="20.100000000000001" customHeight="1" x14ac:dyDescent="0.2">
      <c r="A53" s="5" t="str">
        <f>HYPERLINK("#'Constants - Common Livestock'!A1", "Constants - Common Livestock")</f>
        <v>Constants - Common Livestock</v>
      </c>
    </row>
    <row r="54" spans="1:8" ht="20.100000000000001" customHeight="1" x14ac:dyDescent="0.2">
      <c r="A54" s="5" t="str">
        <f>HYPERLINK("#'Constants - Electricity'!A1", "Constants - Electricity")</f>
        <v>Constants - Electricity</v>
      </c>
      <c r="G54" s="69"/>
    </row>
    <row r="55" spans="1:8" ht="20.100000000000001" customHeight="1" x14ac:dyDescent="0.2">
      <c r="A55" s="5" t="str">
        <f>HYPERLINK("#'Constants - Fertiliser'!A1", "Constants - Fertiliser")</f>
        <v>Constants - Fertiliser</v>
      </c>
      <c r="D55" s="2"/>
    </row>
    <row r="56" spans="1:8" ht="20.100000000000001" customHeight="1" x14ac:dyDescent="0.2">
      <c r="A56" s="5" t="str">
        <f>HYPERLINK("#'Constants - Fuel'!A1", "Constants - Fuel")</f>
        <v>Constants - Fuel</v>
      </c>
    </row>
    <row r="57" spans="1:8" ht="20.100000000000001" customHeight="1" x14ac:dyDescent="0.2">
      <c r="A57" s="5" t="str">
        <f>HYPERLINK("#'Constants - Scope 3'!A1", "Constants - Scope 3")</f>
        <v>Constants - Scope 3</v>
      </c>
      <c r="D57" s="70"/>
      <c r="F57" s="71"/>
    </row>
    <row r="58" spans="1:8" ht="20.100000000000001" customHeight="1" x14ac:dyDescent="0.2">
      <c r="A58" s="5" t="str">
        <f>HYPERLINK("#'Constants - Solid Waste'!A1", "Constants - Solid Waste")</f>
        <v>Constants - Solid Waste</v>
      </c>
      <c r="D58" s="1"/>
      <c r="E58" s="72"/>
    </row>
    <row r="59" spans="1:8" ht="20.100000000000001" customHeight="1" x14ac:dyDescent="0.2">
      <c r="A59" s="5" t="str">
        <f>HYPERLINK("#'Constants - Common'!A1", "Constants - Common")</f>
        <v>Constants - Common</v>
      </c>
      <c r="D59" s="1"/>
      <c r="E59" s="72"/>
    </row>
    <row r="60" spans="1:8" ht="20.100000000000001" customHeight="1" x14ac:dyDescent="0.2">
      <c r="A60" s="5" t="str">
        <f>HYPERLINK("#'Acknowledgements'!A1", "Acknowledgements")</f>
        <v>Acknowledgements</v>
      </c>
      <c r="D60" s="1"/>
      <c r="E60" s="73"/>
    </row>
    <row r="61" spans="1:8" ht="20.100000000000001" customHeight="1" x14ac:dyDescent="0.2">
      <c r="A61"/>
      <c r="D61" s="1"/>
    </row>
    <row r="62" spans="1:8" ht="20.100000000000001" customHeight="1" x14ac:dyDescent="0.2">
      <c r="A62"/>
    </row>
    <row r="63" spans="1:8" ht="20.100000000000001" customHeight="1" x14ac:dyDescent="0.2">
      <c r="A63"/>
      <c r="D63" s="70"/>
    </row>
    <row r="64" spans="1:8" ht="20.100000000000001" customHeight="1" x14ac:dyDescent="0.2">
      <c r="A64"/>
      <c r="D64" s="1"/>
      <c r="E64" s="72"/>
    </row>
    <row r="65" spans="1:9" ht="20.100000000000001" customHeight="1" x14ac:dyDescent="0.2">
      <c r="A65"/>
      <c r="D65" s="1"/>
      <c r="E65" s="72"/>
    </row>
    <row r="66" spans="1:9" ht="20.100000000000001" customHeight="1" x14ac:dyDescent="0.2">
      <c r="A66"/>
      <c r="D66" s="1"/>
      <c r="E66" s="73"/>
    </row>
    <row r="67" spans="1:9" ht="20.100000000000001" customHeight="1" x14ac:dyDescent="0.2">
      <c r="A67"/>
    </row>
    <row r="68" spans="1:9" ht="20.100000000000001" customHeight="1" x14ac:dyDescent="0.2">
      <c r="A68"/>
    </row>
    <row r="69" spans="1:9" ht="20.100000000000001" customHeight="1" x14ac:dyDescent="0.2">
      <c r="A69"/>
      <c r="D69" s="74"/>
      <c r="E69" s="74"/>
      <c r="F69" s="74"/>
      <c r="G69" s="74"/>
      <c r="H69" s="74"/>
      <c r="I69" s="74"/>
    </row>
    <row r="70" spans="1:9" ht="20.100000000000001" customHeight="1" x14ac:dyDescent="0.2">
      <c r="A70"/>
      <c r="D70" s="74"/>
      <c r="E70" s="74"/>
      <c r="F70" s="74"/>
      <c r="G70" s="74"/>
      <c r="H70" s="74"/>
      <c r="I70" s="74"/>
    </row>
    <row r="71" spans="1:9" ht="20.100000000000001" customHeight="1" x14ac:dyDescent="0.2">
      <c r="A71"/>
      <c r="D71" s="74"/>
      <c r="E71" s="74"/>
      <c r="F71" s="74"/>
      <c r="G71" s="74"/>
      <c r="H71" s="74"/>
      <c r="I71" s="74"/>
    </row>
    <row r="72" spans="1:9" ht="20.100000000000001" customHeight="1" x14ac:dyDescent="0.2">
      <c r="A72"/>
      <c r="D72" s="74"/>
      <c r="E72" s="74"/>
      <c r="F72" s="74"/>
      <c r="G72" s="74"/>
      <c r="H72" s="74"/>
      <c r="I72" s="74"/>
    </row>
    <row r="73" spans="1:9" ht="20.100000000000001" customHeight="1" x14ac:dyDescent="0.2">
      <c r="A73"/>
    </row>
    <row r="74" spans="1:9" ht="20.100000000000001" customHeight="1" x14ac:dyDescent="0.2">
      <c r="A74"/>
    </row>
    <row r="75" spans="1:9" ht="20.100000000000001" customHeight="1" x14ac:dyDescent="0.2">
      <c r="A75"/>
    </row>
    <row r="76" spans="1:9" ht="20.100000000000001" customHeight="1" x14ac:dyDescent="0.2">
      <c r="A76"/>
    </row>
    <row r="77" spans="1:9" ht="20.100000000000001" customHeight="1" x14ac:dyDescent="0.2">
      <c r="A77"/>
    </row>
    <row r="78" spans="1:9" ht="20.100000000000001" customHeight="1" x14ac:dyDescent="0.2">
      <c r="A78"/>
      <c r="D78" s="75"/>
    </row>
    <row r="79" spans="1:9" ht="20.100000000000001" customHeight="1" x14ac:dyDescent="0.2">
      <c r="A79"/>
      <c r="D79" s="75"/>
    </row>
    <row r="80" spans="1:9" ht="20.100000000000001" customHeight="1" x14ac:dyDescent="0.2">
      <c r="A80"/>
      <c r="D80" s="75"/>
    </row>
    <row r="81" spans="1:4" ht="20.100000000000001" customHeight="1" x14ac:dyDescent="0.2">
      <c r="A81"/>
      <c r="D81" s="75"/>
    </row>
    <row r="82" spans="1:4" ht="20.100000000000001" customHeight="1" x14ac:dyDescent="0.2">
      <c r="A82"/>
      <c r="D82" s="75"/>
    </row>
    <row r="83" spans="1:4" ht="20.100000000000001" customHeight="1" x14ac:dyDescent="0.2">
      <c r="A83"/>
    </row>
    <row r="84" spans="1:4" ht="20.100000000000001" customHeight="1" x14ac:dyDescent="0.2">
      <c r="A84"/>
    </row>
    <row r="85" spans="1:4" ht="20.100000000000001" customHeight="1" x14ac:dyDescent="0.2">
      <c r="A85"/>
    </row>
    <row r="86" spans="1:4" ht="20.100000000000001" customHeight="1" x14ac:dyDescent="0.2">
      <c r="A86"/>
    </row>
    <row r="87" spans="1:4" ht="20.100000000000001" customHeight="1" x14ac:dyDescent="0.2">
      <c r="A87"/>
    </row>
    <row r="88" spans="1:4" ht="20.100000000000001" customHeight="1" x14ac:dyDescent="0.2">
      <c r="A88"/>
    </row>
    <row r="89" spans="1:4" ht="20.100000000000001" customHeight="1" x14ac:dyDescent="0.2">
      <c r="A89"/>
    </row>
    <row r="90" spans="1:4" ht="20.100000000000001" customHeight="1" x14ac:dyDescent="0.2">
      <c r="A90"/>
    </row>
    <row r="91" spans="1:4" ht="20.100000000000001" customHeight="1" x14ac:dyDescent="0.2">
      <c r="A91"/>
    </row>
    <row r="92" spans="1:4" ht="20.100000000000001" customHeight="1" x14ac:dyDescent="0.2">
      <c r="A92"/>
    </row>
    <row r="93" spans="1:4" ht="20.100000000000001" customHeight="1" x14ac:dyDescent="0.2">
      <c r="A93"/>
    </row>
    <row r="94" spans="1:4" ht="20.100000000000001" customHeight="1" x14ac:dyDescent="0.2">
      <c r="A94"/>
    </row>
    <row r="95" spans="1:4" ht="20.100000000000001" customHeight="1" x14ac:dyDescent="0.2">
      <c r="A95"/>
    </row>
    <row r="96" spans="1:4"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 ht="20.100000000000001" customHeight="1" x14ac:dyDescent="0.2">
      <c r="A161"/>
    </row>
    <row r="162" spans="1:1" ht="20.100000000000001" customHeight="1" x14ac:dyDescent="0.2">
      <c r="A162"/>
    </row>
    <row r="163" spans="1:1" ht="20.100000000000001" customHeight="1" x14ac:dyDescent="0.2">
      <c r="A163"/>
    </row>
    <row r="164" spans="1:1" ht="20.100000000000001" customHeight="1" x14ac:dyDescent="0.2">
      <c r="A164"/>
    </row>
    <row r="165" spans="1:1" ht="20.100000000000001" customHeight="1" x14ac:dyDescent="0.2">
      <c r="A165"/>
    </row>
    <row r="166" spans="1:1" ht="20.100000000000001" customHeight="1" x14ac:dyDescent="0.2">
      <c r="A166"/>
    </row>
    <row r="167" spans="1:1" ht="20.100000000000001" customHeight="1" x14ac:dyDescent="0.2">
      <c r="A167"/>
    </row>
    <row r="168" spans="1:1" ht="20.100000000000001" customHeight="1" x14ac:dyDescent="0.2">
      <c r="A168"/>
    </row>
    <row r="169" spans="1:1" ht="20.100000000000001" customHeight="1" x14ac:dyDescent="0.2">
      <c r="A169"/>
    </row>
    <row r="170" spans="1:1" ht="20.100000000000001" customHeight="1" x14ac:dyDescent="0.2">
      <c r="A170"/>
    </row>
    <row r="171" spans="1:1" ht="20.100000000000001" customHeight="1" x14ac:dyDescent="0.2">
      <c r="A171"/>
    </row>
    <row r="172" spans="1:1" ht="20.100000000000001" customHeight="1" x14ac:dyDescent="0.2">
      <c r="A172"/>
    </row>
    <row r="173" spans="1:1" ht="20.100000000000001" customHeight="1" x14ac:dyDescent="0.2">
      <c r="A173"/>
    </row>
    <row r="174" spans="1:1" ht="20.100000000000001" customHeight="1" x14ac:dyDescent="0.2">
      <c r="A174"/>
    </row>
    <row r="175" spans="1:1" ht="20.100000000000001" customHeight="1" x14ac:dyDescent="0.2">
      <c r="A175"/>
    </row>
    <row r="176" spans="1:1" ht="20.100000000000001" customHeight="1" x14ac:dyDescent="0.2">
      <c r="A176"/>
    </row>
    <row r="177" spans="1:1" ht="20.100000000000001" customHeight="1" x14ac:dyDescent="0.2">
      <c r="A177"/>
    </row>
    <row r="178" spans="1:1" ht="20.100000000000001" customHeight="1" x14ac:dyDescent="0.2">
      <c r="A178"/>
    </row>
    <row r="179" spans="1:1" ht="20.100000000000001" customHeight="1" x14ac:dyDescent="0.2">
      <c r="A179"/>
    </row>
    <row r="180" spans="1:1" ht="20.100000000000001" customHeight="1" x14ac:dyDescent="0.2">
      <c r="A180"/>
    </row>
    <row r="181" spans="1:1" ht="20.100000000000001" customHeight="1" x14ac:dyDescent="0.2">
      <c r="A181"/>
    </row>
    <row r="182" spans="1:1" ht="20.100000000000001" customHeight="1" x14ac:dyDescent="0.2">
      <c r="A182"/>
    </row>
    <row r="183" spans="1:1" ht="20.100000000000001" customHeight="1" x14ac:dyDescent="0.2">
      <c r="A183"/>
    </row>
    <row r="184" spans="1:1" ht="20.100000000000001" customHeight="1" x14ac:dyDescent="0.2">
      <c r="A184"/>
    </row>
    <row r="185" spans="1:1" ht="20.100000000000001" customHeight="1" x14ac:dyDescent="0.2">
      <c r="A185"/>
    </row>
    <row r="186" spans="1:1" ht="20.100000000000001" customHeight="1" x14ac:dyDescent="0.2">
      <c r="A186"/>
    </row>
    <row r="187" spans="1:1" ht="20.100000000000001" customHeight="1" x14ac:dyDescent="0.2">
      <c r="A187"/>
    </row>
    <row r="188" spans="1:1" ht="20.100000000000001" customHeight="1" x14ac:dyDescent="0.2">
      <c r="A188"/>
    </row>
    <row r="189" spans="1:1" ht="20.100000000000001" customHeight="1" x14ac:dyDescent="0.2">
      <c r="A189"/>
    </row>
    <row r="190" spans="1:1" ht="20.100000000000001" customHeight="1" x14ac:dyDescent="0.2">
      <c r="A190"/>
    </row>
    <row r="191" spans="1:1" ht="20.100000000000001" customHeight="1" x14ac:dyDescent="0.2">
      <c r="A191"/>
    </row>
    <row r="192" spans="1:1"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6990C-FC06-4861-BBB4-C8330F4AA942}">
  <sheetPr>
    <tabColor theme="5" tint="-0.249977111117893"/>
  </sheetPr>
  <dimension ref="A1:AA334"/>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99" customWidth="1"/>
    <col min="19" max="24" width="30.7109375" style="99" customWidth="1"/>
    <col min="25" max="25" width="4.7109375" style="99" customWidth="1"/>
  </cols>
  <sheetData>
    <row r="1" spans="1:25" s="10" customFormat="1" ht="30" customHeight="1" x14ac:dyDescent="0.35">
      <c r="A1" s="10" t="e" vm="1">
        <v>#VALUE!</v>
      </c>
      <c r="C1" s="10" t="s">
        <v>316</v>
      </c>
      <c r="Q1" s="99"/>
      <c r="R1" s="99"/>
      <c r="S1" s="99"/>
      <c r="T1" s="99"/>
      <c r="U1" s="99"/>
      <c r="V1" s="99"/>
      <c r="W1" s="99"/>
      <c r="X1" s="99"/>
      <c r="Y1" s="99"/>
    </row>
    <row r="2" spans="1:25" s="3" customFormat="1" ht="20.100000000000001" customHeight="1" x14ac:dyDescent="0.2">
      <c r="A2"/>
      <c r="Q2" s="99"/>
      <c r="R2" s="99"/>
      <c r="S2" s="99"/>
      <c r="T2" s="99"/>
      <c r="U2" s="99"/>
      <c r="V2" s="99"/>
      <c r="W2" s="99"/>
      <c r="X2" s="99"/>
      <c r="Y2" s="99"/>
    </row>
    <row r="3" spans="1:25" ht="20.100000000000001" customHeight="1" x14ac:dyDescent="0.2">
      <c r="A3" s="5" t="str">
        <f>HYPERLINK("#'Home'!A1", "Home")</f>
        <v>Home</v>
      </c>
      <c r="C3" s="29"/>
      <c r="D3" s="29"/>
      <c r="E3" s="29"/>
      <c r="F3" s="29"/>
      <c r="G3" s="29"/>
      <c r="H3" s="29"/>
      <c r="I3" s="29"/>
      <c r="J3" s="29"/>
      <c r="K3" s="29"/>
      <c r="L3" s="29"/>
      <c r="M3" s="29"/>
      <c r="N3" s="29"/>
      <c r="O3" s="29"/>
      <c r="P3" s="29"/>
    </row>
    <row r="4" spans="1:25" ht="20.100000000000001" customHeight="1" x14ac:dyDescent="0.2">
      <c r="A4" s="5" t="str">
        <f>HYPERLINK("#'Results - Activity period'!A1", "Results - Activity period")</f>
        <v>Results - Activity period</v>
      </c>
    </row>
    <row r="5" spans="1:25" ht="20.100000000000001" customHeight="1" x14ac:dyDescent="0.2">
      <c r="A5" s="5" t="str">
        <f>HYPERLINK("#'Results - Product EI'!A1", "Results - Product Emissions Intensity")</f>
        <v>Results - Product Emissions Intensity</v>
      </c>
      <c r="D5" s="2" t="s">
        <v>317</v>
      </c>
      <c r="P5" s="25"/>
      <c r="T5" s="22"/>
    </row>
    <row r="6" spans="1:25" ht="20.100000000000001" customHeight="1" x14ac:dyDescent="0.2">
      <c r="P6" s="25"/>
      <c r="T6" s="22"/>
    </row>
    <row r="7" spans="1:25" ht="20.100000000000001" customHeight="1" x14ac:dyDescent="0.2">
      <c r="D7" s="1" t="s">
        <v>107</v>
      </c>
      <c r="E7" s="15" t="str">
        <f>X_Cell_Site_State</f>
        <v>Western Australia</v>
      </c>
      <c r="P7" s="25"/>
      <c r="T7" s="22"/>
    </row>
    <row r="8" spans="1:25" ht="20.100000000000001" customHeight="1" x14ac:dyDescent="0.2">
      <c r="A8" s="7" t="s">
        <v>0</v>
      </c>
      <c r="D8" s="1" t="s">
        <v>318</v>
      </c>
      <c r="E8" s="13" t="s">
        <v>319</v>
      </c>
      <c r="F8" s="16" t="s">
        <v>109</v>
      </c>
      <c r="P8" s="25"/>
      <c r="T8" s="22"/>
    </row>
    <row r="9" spans="1:25" ht="20.100000000000001" customHeight="1" x14ac:dyDescent="0.2">
      <c r="A9" s="5" t="str">
        <f>HYPERLINK("#'Input - Enterprise'!A1", "Enterprise")</f>
        <v>Enterprise</v>
      </c>
      <c r="D9" s="1" t="s">
        <v>320</v>
      </c>
      <c r="E9" s="13" t="s">
        <v>321</v>
      </c>
      <c r="F9" s="16" t="s">
        <v>109</v>
      </c>
      <c r="T9" s="22"/>
    </row>
    <row r="10" spans="1:25" ht="20.100000000000001" customHeight="1" x14ac:dyDescent="0.2">
      <c r="A10" s="5" t="str">
        <f>HYPERLINK("#'Input - Site'!A1", "Site")</f>
        <v>Site</v>
      </c>
      <c r="T10" s="22"/>
    </row>
    <row r="11" spans="1:25" ht="20.100000000000001" customHeight="1" x14ac:dyDescent="0.2">
      <c r="A11" s="100" t="str">
        <f>HYPERLINK("#'Input - Pasture Beef'!A1", "Pasture Beef")</f>
        <v>Pasture Beef</v>
      </c>
      <c r="T11" s="22"/>
    </row>
    <row r="12" spans="1:25" ht="20.100000000000001" customHeight="1" x14ac:dyDescent="0.2">
      <c r="A12" s="5" t="str">
        <f>HYPERLINK("#'Input - Livestock sales'!A1", "Livestock sales")</f>
        <v>Livestock sales</v>
      </c>
      <c r="T12" s="22"/>
    </row>
    <row r="13" spans="1:25" ht="20.100000000000001" customHeight="1" x14ac:dyDescent="0.2">
      <c r="A13" s="5" t="str">
        <f>HYPERLINK("#'Input - Beef cattle purchases'!A1", "Beef cattle purchases")</f>
        <v>Beef cattle purchases</v>
      </c>
      <c r="D13" s="36" t="s">
        <v>322</v>
      </c>
      <c r="E13" s="38"/>
      <c r="F13" s="38"/>
      <c r="G13" s="39"/>
      <c r="T13" s="42"/>
    </row>
    <row r="14" spans="1:25" ht="20.100000000000001" customHeight="1" x14ac:dyDescent="0.2">
      <c r="A14" s="5" t="str">
        <f>HYPERLINK("#'Input - Pasture'!A1", "Pasture")</f>
        <v>Pasture</v>
      </c>
      <c r="T14" s="42"/>
    </row>
    <row r="15" spans="1:25" ht="20.100000000000001" customHeight="1" x14ac:dyDescent="0.2">
      <c r="A15" s="5" t="str">
        <f>HYPERLINK("#'Input - Fert Prod System'!A1", "Fert Prod System")</f>
        <v>Fert Prod System</v>
      </c>
      <c r="D15" s="79" t="s">
        <v>323</v>
      </c>
      <c r="T15" s="42"/>
    </row>
    <row r="16" spans="1:25" ht="20.100000000000001" customHeight="1" x14ac:dyDescent="0.2">
      <c r="A16" s="5" t="str">
        <f>HYPERLINK("#'Input - Fertiliser'!A1", "Fertiliser")</f>
        <v>Fertiliser</v>
      </c>
      <c r="D16" s="101" t="s">
        <v>324</v>
      </c>
      <c r="E16" s="101" t="s">
        <v>325</v>
      </c>
      <c r="F16" s="101" t="s">
        <v>189</v>
      </c>
      <c r="G16" s="101" t="s">
        <v>326</v>
      </c>
      <c r="H16" s="101" t="s">
        <v>327</v>
      </c>
      <c r="I16" s="101" t="s">
        <v>328</v>
      </c>
      <c r="J16" s="101" t="s">
        <v>329</v>
      </c>
      <c r="K16" s="101" t="s">
        <v>330</v>
      </c>
      <c r="L16" s="101" t="s">
        <v>331</v>
      </c>
      <c r="M16" s="101" t="s">
        <v>332</v>
      </c>
      <c r="N16" s="101" t="s">
        <v>333</v>
      </c>
      <c r="T16" s="42"/>
    </row>
    <row r="17" spans="1:20" ht="20.100000000000001" customHeight="1" x14ac:dyDescent="0.2">
      <c r="A17" s="5" t="str">
        <f>HYPERLINK("#'Input - Fuel'!A1", "Fuel")</f>
        <v>Fuel</v>
      </c>
      <c r="D17" s="1" t="s">
        <v>334</v>
      </c>
      <c r="E17" s="15">
        <f>91.25</f>
        <v>91.25</v>
      </c>
      <c r="F17" s="15">
        <f t="shared" ref="F17:N20" si="0">91.25</f>
        <v>91.25</v>
      </c>
      <c r="G17" s="15">
        <f t="shared" si="0"/>
        <v>91.25</v>
      </c>
      <c r="H17" s="15">
        <f t="shared" si="0"/>
        <v>91.25</v>
      </c>
      <c r="I17" s="15">
        <f t="shared" si="0"/>
        <v>91.25</v>
      </c>
      <c r="J17" s="15">
        <f t="shared" si="0"/>
        <v>91.25</v>
      </c>
      <c r="K17" s="15">
        <f t="shared" si="0"/>
        <v>91.25</v>
      </c>
      <c r="L17" s="15">
        <f t="shared" si="0"/>
        <v>91.25</v>
      </c>
      <c r="M17" s="15">
        <f t="shared" si="0"/>
        <v>91.25</v>
      </c>
      <c r="N17" s="15">
        <f t="shared" si="0"/>
        <v>91.25</v>
      </c>
      <c r="O17" s="16" t="s">
        <v>121</v>
      </c>
      <c r="T17" s="22"/>
    </row>
    <row r="18" spans="1:20" ht="20.100000000000001" customHeight="1" x14ac:dyDescent="0.2">
      <c r="A18" s="5" t="str">
        <f>HYPERLINK("#'Input - Electricity'!A1", "Electricity")</f>
        <v>Electricity</v>
      </c>
      <c r="D18" s="1" t="s">
        <v>335</v>
      </c>
      <c r="E18" s="15">
        <f t="shared" ref="E18:E20" si="1">91.25</f>
        <v>91.25</v>
      </c>
      <c r="F18" s="15">
        <f t="shared" si="0"/>
        <v>91.25</v>
      </c>
      <c r="G18" s="15">
        <f t="shared" si="0"/>
        <v>91.25</v>
      </c>
      <c r="H18" s="15">
        <f t="shared" si="0"/>
        <v>91.25</v>
      </c>
      <c r="I18" s="15">
        <f t="shared" si="0"/>
        <v>91.25</v>
      </c>
      <c r="J18" s="15">
        <f t="shared" si="0"/>
        <v>91.25</v>
      </c>
      <c r="K18" s="15">
        <f t="shared" si="0"/>
        <v>91.25</v>
      </c>
      <c r="L18" s="15">
        <f t="shared" si="0"/>
        <v>91.25</v>
      </c>
      <c r="M18" s="15">
        <f t="shared" si="0"/>
        <v>91.25</v>
      </c>
      <c r="N18" s="15">
        <f t="shared" si="0"/>
        <v>91.25</v>
      </c>
      <c r="O18" s="16" t="s">
        <v>121</v>
      </c>
      <c r="T18" s="22"/>
    </row>
    <row r="19" spans="1:20" ht="20.100000000000001" customHeight="1" x14ac:dyDescent="0.2">
      <c r="A19" s="5" t="str">
        <f>HYPERLINK("#'Input - Common farm inputs'!A1", "Common farm inputs")</f>
        <v>Common farm inputs</v>
      </c>
      <c r="D19" s="1" t="s">
        <v>336</v>
      </c>
      <c r="E19" s="15">
        <f t="shared" si="1"/>
        <v>91.25</v>
      </c>
      <c r="F19" s="15">
        <f t="shared" si="0"/>
        <v>91.25</v>
      </c>
      <c r="G19" s="15">
        <f t="shared" si="0"/>
        <v>91.25</v>
      </c>
      <c r="H19" s="15">
        <f t="shared" si="0"/>
        <v>91.25</v>
      </c>
      <c r="I19" s="15">
        <f t="shared" si="0"/>
        <v>91.25</v>
      </c>
      <c r="J19" s="15">
        <f t="shared" si="0"/>
        <v>91.25</v>
      </c>
      <c r="K19" s="15">
        <f t="shared" si="0"/>
        <v>91.25</v>
      </c>
      <c r="L19" s="15">
        <f t="shared" si="0"/>
        <v>91.25</v>
      </c>
      <c r="M19" s="15">
        <f t="shared" si="0"/>
        <v>91.25</v>
      </c>
      <c r="N19" s="15">
        <f t="shared" si="0"/>
        <v>91.25</v>
      </c>
      <c r="O19" s="16" t="s">
        <v>121</v>
      </c>
      <c r="T19" s="22"/>
    </row>
    <row r="20" spans="1:20" ht="20.100000000000001" customHeight="1" x14ac:dyDescent="0.2">
      <c r="A20" s="5" t="str">
        <f>HYPERLINK("#'Input - Crop pasture farm input'!A1", "Crop pasture farm input")</f>
        <v>Crop pasture farm input</v>
      </c>
      <c r="D20" s="1" t="s">
        <v>337</v>
      </c>
      <c r="E20" s="15">
        <f t="shared" si="1"/>
        <v>91.25</v>
      </c>
      <c r="F20" s="15">
        <f t="shared" si="0"/>
        <v>91.25</v>
      </c>
      <c r="G20" s="15">
        <f t="shared" si="0"/>
        <v>91.25</v>
      </c>
      <c r="H20" s="15">
        <f t="shared" si="0"/>
        <v>91.25</v>
      </c>
      <c r="I20" s="15">
        <f t="shared" si="0"/>
        <v>91.25</v>
      </c>
      <c r="J20" s="15">
        <f t="shared" si="0"/>
        <v>91.25</v>
      </c>
      <c r="K20" s="15">
        <f t="shared" si="0"/>
        <v>91.25</v>
      </c>
      <c r="L20" s="15">
        <f t="shared" si="0"/>
        <v>91.25</v>
      </c>
      <c r="M20" s="15">
        <f t="shared" si="0"/>
        <v>91.25</v>
      </c>
      <c r="N20" s="15">
        <f t="shared" si="0"/>
        <v>91.25</v>
      </c>
      <c r="O20" s="16" t="s">
        <v>121</v>
      </c>
      <c r="T20" s="22"/>
    </row>
    <row r="21" spans="1:20" ht="20.100000000000001" customHeight="1" x14ac:dyDescent="0.2">
      <c r="A21" s="5" t="str">
        <f>HYPERLINK("#'Input - Livestock farm Inputs'!A1", "Livestock farm Inputs")</f>
        <v>Livestock farm Inputs</v>
      </c>
      <c r="T21" s="22"/>
    </row>
    <row r="22" spans="1:20" ht="20.100000000000001" customHeight="1" x14ac:dyDescent="0.2">
      <c r="A22" s="5" t="str">
        <f>HYPERLINK("#'Input - Freight'!A1", "Freight")</f>
        <v>Freight</v>
      </c>
      <c r="D22" s="101" t="s">
        <v>338</v>
      </c>
      <c r="E22" s="101" t="s">
        <v>325</v>
      </c>
      <c r="F22" s="101" t="s">
        <v>189</v>
      </c>
      <c r="G22" s="101" t="s">
        <v>326</v>
      </c>
      <c r="H22" s="101" t="s">
        <v>327</v>
      </c>
      <c r="I22" s="101" t="s">
        <v>328</v>
      </c>
      <c r="J22" s="101" t="s">
        <v>329</v>
      </c>
      <c r="K22" s="101" t="s">
        <v>330</v>
      </c>
      <c r="L22" s="101" t="s">
        <v>331</v>
      </c>
      <c r="M22" s="101" t="s">
        <v>332</v>
      </c>
      <c r="N22" s="101" t="s">
        <v>333</v>
      </c>
      <c r="T22" s="22"/>
    </row>
    <row r="23" spans="1:20" ht="20.100000000000001" customHeight="1" x14ac:dyDescent="0.2">
      <c r="A23" s="5" t="str">
        <f>HYPERLINK("#'Input - Solid waste'!A1", "Solid waste")</f>
        <v>Solid waste</v>
      </c>
      <c r="D23" s="1" t="str">
        <f>TEXT(X_Cell_Site_StartDate, "mmmm yyyy")</f>
        <v>January 2024</v>
      </c>
      <c r="E23" s="76">
        <f t="shared" ref="E23:N34" si="2">DAY(EOMONTH($D23,0))</f>
        <v>31</v>
      </c>
      <c r="F23" s="76">
        <f t="shared" si="2"/>
        <v>31</v>
      </c>
      <c r="G23" s="76">
        <f t="shared" si="2"/>
        <v>31</v>
      </c>
      <c r="H23" s="76">
        <f t="shared" si="2"/>
        <v>31</v>
      </c>
      <c r="I23" s="76">
        <f t="shared" si="2"/>
        <v>31</v>
      </c>
      <c r="J23" s="76">
        <f t="shared" si="2"/>
        <v>31</v>
      </c>
      <c r="K23" s="76">
        <f t="shared" si="2"/>
        <v>31</v>
      </c>
      <c r="L23" s="76">
        <f t="shared" si="2"/>
        <v>31</v>
      </c>
      <c r="M23" s="76">
        <f t="shared" si="2"/>
        <v>31</v>
      </c>
      <c r="N23" s="76">
        <f t="shared" si="2"/>
        <v>31</v>
      </c>
      <c r="O23" s="16" t="s">
        <v>121</v>
      </c>
      <c r="T23" s="22"/>
    </row>
    <row r="24" spans="1:20" ht="20.100000000000001" customHeight="1" x14ac:dyDescent="0.2">
      <c r="A24" s="5" t="str">
        <f>HYPERLINK("#'Input - Manure sent off-site'!A1", "Manure sent off-site")</f>
        <v>Manure sent off-site</v>
      </c>
      <c r="D24" s="1" t="str">
        <f>TEXT(EDATE(X_Cell_Site_StartDate,1), "mmmm yyyy")</f>
        <v>February 2024</v>
      </c>
      <c r="E24" s="76">
        <f t="shared" si="2"/>
        <v>29</v>
      </c>
      <c r="F24" s="76">
        <f t="shared" si="2"/>
        <v>29</v>
      </c>
      <c r="G24" s="76">
        <f t="shared" si="2"/>
        <v>29</v>
      </c>
      <c r="H24" s="76">
        <f t="shared" si="2"/>
        <v>29</v>
      </c>
      <c r="I24" s="76">
        <f t="shared" si="2"/>
        <v>29</v>
      </c>
      <c r="J24" s="76">
        <f t="shared" si="2"/>
        <v>29</v>
      </c>
      <c r="K24" s="76">
        <f t="shared" si="2"/>
        <v>29</v>
      </c>
      <c r="L24" s="76">
        <f t="shared" si="2"/>
        <v>29</v>
      </c>
      <c r="M24" s="76">
        <f t="shared" si="2"/>
        <v>29</v>
      </c>
      <c r="N24" s="76">
        <f t="shared" si="2"/>
        <v>29</v>
      </c>
      <c r="O24" s="16" t="s">
        <v>121</v>
      </c>
      <c r="T24" s="22"/>
    </row>
    <row r="25" spans="1:20" ht="20.100000000000001" customHeight="1" x14ac:dyDescent="0.2">
      <c r="A25" s="5" t="str">
        <f>HYPERLINK("#'Input - Data quality'!A1", "Data quality")</f>
        <v>Data quality</v>
      </c>
      <c r="D25" s="1" t="str">
        <f>TEXT(EDATE(X_Cell_Site_StartDate,2), "mmmm yyyy")</f>
        <v>March 2024</v>
      </c>
      <c r="E25" s="76">
        <f t="shared" si="2"/>
        <v>31</v>
      </c>
      <c r="F25" s="76">
        <f t="shared" si="2"/>
        <v>31</v>
      </c>
      <c r="G25" s="76">
        <f t="shared" si="2"/>
        <v>31</v>
      </c>
      <c r="H25" s="76">
        <f t="shared" si="2"/>
        <v>31</v>
      </c>
      <c r="I25" s="76">
        <f t="shared" si="2"/>
        <v>31</v>
      </c>
      <c r="J25" s="76">
        <f t="shared" si="2"/>
        <v>31</v>
      </c>
      <c r="K25" s="76">
        <f t="shared" si="2"/>
        <v>31</v>
      </c>
      <c r="L25" s="76">
        <f t="shared" si="2"/>
        <v>31</v>
      </c>
      <c r="M25" s="76">
        <f t="shared" si="2"/>
        <v>31</v>
      </c>
      <c r="N25" s="76">
        <f t="shared" si="2"/>
        <v>31</v>
      </c>
      <c r="O25" s="16" t="s">
        <v>121</v>
      </c>
      <c r="T25" s="22"/>
    </row>
    <row r="26" spans="1:20" ht="20.100000000000001" customHeight="1" x14ac:dyDescent="0.2">
      <c r="D26" s="1" t="str">
        <f>TEXT(EDATE(X_Cell_Site_StartDate,3), "mmmm yyyy")</f>
        <v>April 2024</v>
      </c>
      <c r="E26" s="76">
        <f t="shared" si="2"/>
        <v>30</v>
      </c>
      <c r="F26" s="76">
        <f t="shared" si="2"/>
        <v>30</v>
      </c>
      <c r="G26" s="76">
        <f t="shared" si="2"/>
        <v>30</v>
      </c>
      <c r="H26" s="76">
        <f t="shared" si="2"/>
        <v>30</v>
      </c>
      <c r="I26" s="76">
        <f t="shared" si="2"/>
        <v>30</v>
      </c>
      <c r="J26" s="76">
        <f t="shared" si="2"/>
        <v>30</v>
      </c>
      <c r="K26" s="76">
        <f t="shared" si="2"/>
        <v>30</v>
      </c>
      <c r="L26" s="76">
        <f t="shared" si="2"/>
        <v>30</v>
      </c>
      <c r="M26" s="76">
        <f t="shared" si="2"/>
        <v>30</v>
      </c>
      <c r="N26" s="76">
        <f t="shared" si="2"/>
        <v>30</v>
      </c>
      <c r="O26" s="16" t="s">
        <v>121</v>
      </c>
      <c r="T26" s="22"/>
    </row>
    <row r="27" spans="1:20" ht="20.100000000000001" customHeight="1" x14ac:dyDescent="0.2">
      <c r="D27" s="1" t="str">
        <f>TEXT(EDATE(X_Cell_Site_StartDate,4), "mmmm yyyy")</f>
        <v>May 2024</v>
      </c>
      <c r="E27" s="76">
        <f t="shared" si="2"/>
        <v>31</v>
      </c>
      <c r="F27" s="76">
        <f t="shared" si="2"/>
        <v>31</v>
      </c>
      <c r="G27" s="76">
        <f t="shared" si="2"/>
        <v>31</v>
      </c>
      <c r="H27" s="76">
        <f t="shared" si="2"/>
        <v>31</v>
      </c>
      <c r="I27" s="76">
        <f t="shared" si="2"/>
        <v>31</v>
      </c>
      <c r="J27" s="76">
        <f t="shared" si="2"/>
        <v>31</v>
      </c>
      <c r="K27" s="76">
        <f t="shared" si="2"/>
        <v>31</v>
      </c>
      <c r="L27" s="76">
        <f t="shared" si="2"/>
        <v>31</v>
      </c>
      <c r="M27" s="76">
        <f t="shared" si="2"/>
        <v>31</v>
      </c>
      <c r="N27" s="76">
        <f t="shared" si="2"/>
        <v>31</v>
      </c>
      <c r="O27" s="16" t="s">
        <v>121</v>
      </c>
      <c r="T27" s="22"/>
    </row>
    <row r="28" spans="1:20" ht="20.100000000000001" customHeight="1" x14ac:dyDescent="0.2">
      <c r="A28" s="6" t="s">
        <v>2</v>
      </c>
      <c r="D28" s="1" t="str">
        <f>TEXT(EDATE(X_Cell_Site_StartDate,5), "mmmm yyyy")</f>
        <v>June 2024</v>
      </c>
      <c r="E28" s="76">
        <f t="shared" si="2"/>
        <v>30</v>
      </c>
      <c r="F28" s="76">
        <f t="shared" si="2"/>
        <v>30</v>
      </c>
      <c r="G28" s="76">
        <f t="shared" si="2"/>
        <v>30</v>
      </c>
      <c r="H28" s="76">
        <f t="shared" si="2"/>
        <v>30</v>
      </c>
      <c r="I28" s="76">
        <f t="shared" si="2"/>
        <v>30</v>
      </c>
      <c r="J28" s="76">
        <f t="shared" si="2"/>
        <v>30</v>
      </c>
      <c r="K28" s="76">
        <f t="shared" si="2"/>
        <v>30</v>
      </c>
      <c r="L28" s="76">
        <f t="shared" si="2"/>
        <v>30</v>
      </c>
      <c r="M28" s="76">
        <f t="shared" si="2"/>
        <v>30</v>
      </c>
      <c r="N28" s="76">
        <f t="shared" si="2"/>
        <v>30</v>
      </c>
      <c r="O28" s="16" t="s">
        <v>121</v>
      </c>
      <c r="T28" s="22"/>
    </row>
    <row r="29" spans="1:20" ht="20.100000000000001" customHeight="1" x14ac:dyDescent="0.2">
      <c r="A29" s="5" t="str">
        <f>HYPERLINK("#'3.2.1.1-2 Enteric Methane'!A1", "3.2.1.1-2 Enteric Methane")</f>
        <v>3.2.1.1-2 Enteric Methane</v>
      </c>
      <c r="D29" s="1" t="str">
        <f>TEXT(EDATE(X_Cell_Site_StartDate,6), "mmmm yyyy")</f>
        <v>July 2024</v>
      </c>
      <c r="E29" s="76">
        <f t="shared" si="2"/>
        <v>31</v>
      </c>
      <c r="F29" s="76">
        <f t="shared" si="2"/>
        <v>31</v>
      </c>
      <c r="G29" s="76">
        <f t="shared" si="2"/>
        <v>31</v>
      </c>
      <c r="H29" s="76">
        <f t="shared" si="2"/>
        <v>31</v>
      </c>
      <c r="I29" s="76">
        <f t="shared" si="2"/>
        <v>31</v>
      </c>
      <c r="J29" s="76">
        <f t="shared" si="2"/>
        <v>31</v>
      </c>
      <c r="K29" s="76">
        <f t="shared" si="2"/>
        <v>31</v>
      </c>
      <c r="L29" s="76">
        <f t="shared" si="2"/>
        <v>31</v>
      </c>
      <c r="M29" s="76">
        <f t="shared" si="2"/>
        <v>31</v>
      </c>
      <c r="N29" s="76">
        <f t="shared" si="2"/>
        <v>31</v>
      </c>
      <c r="O29" s="16" t="s">
        <v>121</v>
      </c>
      <c r="T29" s="22"/>
    </row>
    <row r="30" spans="1:20" ht="20.100000000000001" customHeight="1" x14ac:dyDescent="0.2">
      <c r="A30" s="5" t="str">
        <f>HYPERLINK("#'4.2.1.1-2 Methane'!A1", "4.2.1.1-2 Manure methane")</f>
        <v>4.2.1.1-2 Manure methane</v>
      </c>
      <c r="D30" s="1" t="str">
        <f>TEXT(EDATE(X_Cell_Site_StartDate,7), "mmmm yyyy")</f>
        <v>August 2024</v>
      </c>
      <c r="E30" s="76">
        <f t="shared" si="2"/>
        <v>31</v>
      </c>
      <c r="F30" s="76">
        <f t="shared" si="2"/>
        <v>31</v>
      </c>
      <c r="G30" s="76">
        <f t="shared" si="2"/>
        <v>31</v>
      </c>
      <c r="H30" s="76">
        <f t="shared" si="2"/>
        <v>31</v>
      </c>
      <c r="I30" s="76">
        <f t="shared" si="2"/>
        <v>31</v>
      </c>
      <c r="J30" s="76">
        <f t="shared" si="2"/>
        <v>31</v>
      </c>
      <c r="K30" s="76">
        <f t="shared" si="2"/>
        <v>31</v>
      </c>
      <c r="L30" s="76">
        <f t="shared" si="2"/>
        <v>31</v>
      </c>
      <c r="M30" s="76">
        <f t="shared" si="2"/>
        <v>31</v>
      </c>
      <c r="N30" s="76">
        <f t="shared" si="2"/>
        <v>31</v>
      </c>
      <c r="O30" s="16" t="s">
        <v>121</v>
      </c>
      <c r="T30" s="22"/>
    </row>
    <row r="31" spans="1:20" ht="20.100000000000001" customHeight="1" x14ac:dyDescent="0.2">
      <c r="A31" s="5" t="str">
        <f>HYPERLINK("#'4.2.1.3-4 Soil direct N20'!A1", "4.2.1.3-4 Soil direct N2O")</f>
        <v>4.2.1.3-4 Soil direct N2O</v>
      </c>
      <c r="D31" s="1" t="str">
        <f>TEXT(EDATE(X_Cell_Site_StartDate,8), "mmmm yyyy")</f>
        <v>September 2024</v>
      </c>
      <c r="E31" s="76">
        <f t="shared" si="2"/>
        <v>30</v>
      </c>
      <c r="F31" s="76">
        <f t="shared" si="2"/>
        <v>30</v>
      </c>
      <c r="G31" s="76">
        <f t="shared" si="2"/>
        <v>30</v>
      </c>
      <c r="H31" s="76">
        <f t="shared" si="2"/>
        <v>30</v>
      </c>
      <c r="I31" s="76">
        <f t="shared" si="2"/>
        <v>30</v>
      </c>
      <c r="J31" s="76">
        <f t="shared" si="2"/>
        <v>30</v>
      </c>
      <c r="K31" s="76">
        <f t="shared" si="2"/>
        <v>30</v>
      </c>
      <c r="L31" s="76">
        <f t="shared" si="2"/>
        <v>30</v>
      </c>
      <c r="M31" s="76">
        <f t="shared" si="2"/>
        <v>30</v>
      </c>
      <c r="N31" s="76">
        <f t="shared" si="2"/>
        <v>30</v>
      </c>
      <c r="O31" s="16" t="s">
        <v>121</v>
      </c>
      <c r="T31" s="22"/>
    </row>
    <row r="32" spans="1:20" ht="20.100000000000001" customHeight="1" x14ac:dyDescent="0.2">
      <c r="A32" s="5" t="str">
        <f>HYPERLINK("#'4.2.1.5-6 Soil Atmos Dep'!A1", "4.2.1.5-6 Soil atm. deposition")</f>
        <v>4.2.1.5-6 Soil atm. deposition</v>
      </c>
      <c r="D32" s="1" t="str">
        <f>TEXT(EDATE(X_Cell_Site_StartDate,9), "mmmm yyyy")</f>
        <v>October 2024</v>
      </c>
      <c r="E32" s="76">
        <f t="shared" si="2"/>
        <v>31</v>
      </c>
      <c r="F32" s="76">
        <f t="shared" si="2"/>
        <v>31</v>
      </c>
      <c r="G32" s="76">
        <f t="shared" si="2"/>
        <v>31</v>
      </c>
      <c r="H32" s="76">
        <f t="shared" si="2"/>
        <v>31</v>
      </c>
      <c r="I32" s="76">
        <f t="shared" si="2"/>
        <v>31</v>
      </c>
      <c r="J32" s="76">
        <f t="shared" si="2"/>
        <v>31</v>
      </c>
      <c r="K32" s="76">
        <f t="shared" si="2"/>
        <v>31</v>
      </c>
      <c r="L32" s="76">
        <f t="shared" si="2"/>
        <v>31</v>
      </c>
      <c r="M32" s="76">
        <f t="shared" si="2"/>
        <v>31</v>
      </c>
      <c r="N32" s="76">
        <f t="shared" si="2"/>
        <v>31</v>
      </c>
      <c r="O32" s="16" t="s">
        <v>121</v>
      </c>
      <c r="T32" s="22"/>
    </row>
    <row r="33" spans="1:20" ht="20.100000000000001" customHeight="1" x14ac:dyDescent="0.2">
      <c r="A33" s="5" t="str">
        <f>HYPERLINK("#'4.2.1.7-8 Soil leach runoff'!A1", "4.2.1.7-8 Soil leach &amp; runoff")</f>
        <v>4.2.1.7-8 Soil leach &amp; runoff</v>
      </c>
      <c r="D33" s="1" t="str">
        <f>TEXT(EDATE(X_Cell_Site_StartDate,10), "mmmm yyyy")</f>
        <v>November 2024</v>
      </c>
      <c r="E33" s="76">
        <f t="shared" si="2"/>
        <v>30</v>
      </c>
      <c r="F33" s="76">
        <f t="shared" si="2"/>
        <v>30</v>
      </c>
      <c r="G33" s="76">
        <f t="shared" si="2"/>
        <v>30</v>
      </c>
      <c r="H33" s="76">
        <f t="shared" si="2"/>
        <v>30</v>
      </c>
      <c r="I33" s="76">
        <f t="shared" si="2"/>
        <v>30</v>
      </c>
      <c r="J33" s="76">
        <f t="shared" si="2"/>
        <v>30</v>
      </c>
      <c r="K33" s="76">
        <f t="shared" si="2"/>
        <v>30</v>
      </c>
      <c r="L33" s="76">
        <f t="shared" si="2"/>
        <v>30</v>
      </c>
      <c r="M33" s="76">
        <f t="shared" si="2"/>
        <v>30</v>
      </c>
      <c r="N33" s="76">
        <f t="shared" si="2"/>
        <v>30</v>
      </c>
      <c r="O33" s="16" t="s">
        <v>121</v>
      </c>
      <c r="T33" s="22"/>
    </row>
    <row r="34" spans="1:20" ht="20.100000000000001" customHeight="1" x14ac:dyDescent="0.2">
      <c r="A34" s="5" t="str">
        <f>HYPERLINK("#'5.1.1.1-2 Inorganic fert N2O'!A1", "5.1.1.1-2 Inorganic fert N2O")</f>
        <v>5.1.1.1-2 Inorganic fert N2O</v>
      </c>
      <c r="D34" s="1" t="str">
        <f>TEXT(EDATE(X_Cell_Site_StartDate,11), "mmmm yyyy")</f>
        <v>December 2024</v>
      </c>
      <c r="E34" s="76">
        <f t="shared" si="2"/>
        <v>31</v>
      </c>
      <c r="F34" s="76">
        <f t="shared" si="2"/>
        <v>31</v>
      </c>
      <c r="G34" s="76">
        <f t="shared" si="2"/>
        <v>31</v>
      </c>
      <c r="H34" s="76">
        <f t="shared" si="2"/>
        <v>31</v>
      </c>
      <c r="I34" s="76">
        <f t="shared" si="2"/>
        <v>31</v>
      </c>
      <c r="J34" s="76">
        <f t="shared" si="2"/>
        <v>31</v>
      </c>
      <c r="K34" s="76">
        <f t="shared" si="2"/>
        <v>31</v>
      </c>
      <c r="L34" s="76">
        <f t="shared" si="2"/>
        <v>31</v>
      </c>
      <c r="M34" s="76">
        <f t="shared" si="2"/>
        <v>31</v>
      </c>
      <c r="N34" s="76">
        <f t="shared" si="2"/>
        <v>31</v>
      </c>
      <c r="O34" s="16" t="s">
        <v>121</v>
      </c>
      <c r="T34" s="22"/>
    </row>
    <row r="35" spans="1:20" ht="20.100000000000001" customHeight="1" x14ac:dyDescent="0.2">
      <c r="A35" s="5" t="str">
        <f>HYPERLINK("#'5.1.1.3-4 Inorganic fert CO2'!A1", "5.1.1.3-4 Inorganic fert CO2")</f>
        <v>5.1.1.3-4 Inorganic fert CO2</v>
      </c>
      <c r="T35" s="22"/>
    </row>
    <row r="36" spans="1:20" ht="20.100000000000001" customHeight="1" x14ac:dyDescent="0.2">
      <c r="A36" s="5" t="str">
        <f>HYPERLINK("#'5.2.1.1-2 Organic Fert N2O'!A1", "5.2.1.1-2 Organic fert N2O")</f>
        <v>5.2.1.1-2 Organic fert N2O</v>
      </c>
      <c r="T36" s="22"/>
    </row>
    <row r="37" spans="1:20" ht="20.100000000000001" customHeight="1" x14ac:dyDescent="0.2">
      <c r="A37" s="5" t="str">
        <f>HYPERLINK("#'5.3.1.1-2 Lime CO2'!A1", "5.3.1.1-2 Lime CO2")</f>
        <v>5.3.1.1-2 Lime CO2</v>
      </c>
      <c r="D37" s="79" t="s">
        <v>339</v>
      </c>
      <c r="T37" s="22"/>
    </row>
    <row r="38" spans="1:20" ht="20.100000000000001" customHeight="1" x14ac:dyDescent="0.2">
      <c r="A38" s="5" t="str">
        <f>HYPERLINK("#'5.4.1.1-4 Atmos deposition'!A1", "5.4.1.1-4 Atmos. deposition")</f>
        <v>5.4.1.1-4 Atmos. deposition</v>
      </c>
      <c r="D38" s="101" t="s">
        <v>340</v>
      </c>
      <c r="E38" s="101" t="s">
        <v>325</v>
      </c>
      <c r="F38" s="101" t="s">
        <v>189</v>
      </c>
      <c r="G38" s="101" t="s">
        <v>326</v>
      </c>
      <c r="H38" s="101" t="s">
        <v>327</v>
      </c>
      <c r="I38" s="101" t="s">
        <v>328</v>
      </c>
      <c r="J38" s="101" t="s">
        <v>329</v>
      </c>
      <c r="K38" s="101" t="s">
        <v>330</v>
      </c>
      <c r="L38" s="101" t="s">
        <v>331</v>
      </c>
      <c r="M38" s="101" t="s">
        <v>332</v>
      </c>
      <c r="N38" s="101" t="s">
        <v>333</v>
      </c>
      <c r="T38" s="22"/>
    </row>
    <row r="39" spans="1:20" ht="20.100000000000001" customHeight="1" x14ac:dyDescent="0.2">
      <c r="A39" s="5" t="str">
        <f>HYPERLINK("#'5.5.1.1-2 Leaching and runoff'!A1", "5.5.1.1-2 Leaching &amp; runoff")</f>
        <v>5.5.1.1-2 Leaching &amp; runoff</v>
      </c>
      <c r="D39" s="1" t="s">
        <v>334</v>
      </c>
      <c r="E39" s="76">
        <v>100</v>
      </c>
      <c r="F39" s="76">
        <v>100</v>
      </c>
      <c r="G39" s="76">
        <v>100</v>
      </c>
      <c r="H39" s="76">
        <v>100</v>
      </c>
      <c r="I39" s="76">
        <v>100</v>
      </c>
      <c r="J39" s="76">
        <v>100</v>
      </c>
      <c r="K39" s="76">
        <v>100</v>
      </c>
      <c r="L39" s="76">
        <v>100</v>
      </c>
      <c r="M39" s="76">
        <v>100</v>
      </c>
      <c r="N39" s="76">
        <v>100</v>
      </c>
      <c r="O39" s="16" t="s">
        <v>339</v>
      </c>
      <c r="T39" s="22"/>
    </row>
    <row r="40" spans="1:20" ht="20.100000000000001" customHeight="1" x14ac:dyDescent="0.2">
      <c r="A40" s="5" t="str">
        <f>HYPERLINK("#'6.2.1.1-2 Pasture residue N2O'!A1", "6.2.1.1-2 Pasture residue N2O")</f>
        <v>6.2.1.1-2 Pasture residue N2O</v>
      </c>
      <c r="D40" s="1" t="s">
        <v>335</v>
      </c>
      <c r="E40" s="76">
        <v>100</v>
      </c>
      <c r="F40" s="76">
        <v>100</v>
      </c>
      <c r="G40" s="76">
        <v>100</v>
      </c>
      <c r="H40" s="76">
        <v>100</v>
      </c>
      <c r="I40" s="76">
        <v>100</v>
      </c>
      <c r="J40" s="76">
        <v>100</v>
      </c>
      <c r="K40" s="76">
        <v>100</v>
      </c>
      <c r="L40" s="76">
        <v>100</v>
      </c>
      <c r="M40" s="76">
        <v>100</v>
      </c>
      <c r="N40" s="76">
        <v>100</v>
      </c>
      <c r="O40" s="16" t="s">
        <v>339</v>
      </c>
      <c r="T40" s="22"/>
    </row>
    <row r="41" spans="1:20" ht="20.100000000000001" customHeight="1" x14ac:dyDescent="0.2">
      <c r="A41" s="5" t="str">
        <f>HYPERLINK("#'6.3.1.1-2 Leach runoff pasture'!A1", "6.3.1.1-2 Leach &amp; runoff (pasture)")</f>
        <v>6.3.1.1-2 Leach &amp; runoff (pasture)</v>
      </c>
      <c r="D41" s="1" t="s">
        <v>336</v>
      </c>
      <c r="E41" s="76">
        <v>100</v>
      </c>
      <c r="F41" s="76">
        <v>100</v>
      </c>
      <c r="G41" s="76">
        <v>100</v>
      </c>
      <c r="H41" s="76">
        <v>100</v>
      </c>
      <c r="I41" s="76">
        <v>100</v>
      </c>
      <c r="J41" s="76">
        <v>100</v>
      </c>
      <c r="K41" s="76">
        <v>100</v>
      </c>
      <c r="L41" s="76">
        <v>100</v>
      </c>
      <c r="M41" s="76">
        <v>100</v>
      </c>
      <c r="N41" s="76">
        <v>100</v>
      </c>
      <c r="O41" s="16" t="s">
        <v>339</v>
      </c>
      <c r="T41" s="22"/>
    </row>
    <row r="42" spans="1:20" ht="20.100000000000001" customHeight="1" x14ac:dyDescent="0.2">
      <c r="A42" s="5" t="str">
        <f>HYPERLINK("#'8.1.1.1-2 Transport fuel'!A1", "8.1.1.1-2 Transport fuel")</f>
        <v>8.1.1.1-2 Transport fuel</v>
      </c>
      <c r="D42" s="1" t="s">
        <v>337</v>
      </c>
      <c r="E42" s="76">
        <v>100</v>
      </c>
      <c r="F42" s="76">
        <v>100</v>
      </c>
      <c r="G42" s="76">
        <v>100</v>
      </c>
      <c r="H42" s="76">
        <v>100</v>
      </c>
      <c r="I42" s="76">
        <v>100</v>
      </c>
      <c r="J42" s="76">
        <v>100</v>
      </c>
      <c r="K42" s="76">
        <v>100</v>
      </c>
      <c r="L42" s="76">
        <v>100</v>
      </c>
      <c r="M42" s="76">
        <v>100</v>
      </c>
      <c r="N42" s="76">
        <v>100</v>
      </c>
      <c r="O42" s="16" t="s">
        <v>339</v>
      </c>
      <c r="T42" s="22"/>
    </row>
    <row r="43" spans="1:20" ht="20.100000000000001" customHeight="1" x14ac:dyDescent="0.2">
      <c r="A43" s="5" t="str">
        <f>HYPERLINK("#'8.2.1.1-2 Stationary fuel'!A1", "8.2.1.1-2 Stationary fuel")</f>
        <v>8.2.1.1-2 Stationary fuel</v>
      </c>
      <c r="O43" s="16"/>
      <c r="T43" s="22"/>
    </row>
    <row r="44" spans="1:20" ht="20.100000000000001" customHeight="1" x14ac:dyDescent="0.2">
      <c r="A44" s="5" t="str">
        <f>HYPERLINK("#'10.1.1-2 Solid waste treatment'!A1", "10.1.1.1-2 Solid waste")</f>
        <v>10.1.1.1-2 Solid waste</v>
      </c>
      <c r="D44" s="101" t="s">
        <v>341</v>
      </c>
      <c r="E44" s="101" t="s">
        <v>325</v>
      </c>
      <c r="F44" s="101" t="s">
        <v>189</v>
      </c>
      <c r="G44" s="101" t="s">
        <v>326</v>
      </c>
      <c r="H44" s="101" t="s">
        <v>327</v>
      </c>
      <c r="I44" s="101" t="s">
        <v>328</v>
      </c>
      <c r="J44" s="101" t="s">
        <v>329</v>
      </c>
      <c r="K44" s="101" t="s">
        <v>330</v>
      </c>
      <c r="L44" s="101" t="s">
        <v>331</v>
      </c>
      <c r="M44" s="101" t="s">
        <v>332</v>
      </c>
      <c r="N44" s="101" t="s">
        <v>333</v>
      </c>
      <c r="O44" s="16"/>
      <c r="T44" s="22"/>
    </row>
    <row r="45" spans="1:20" ht="20.100000000000001" customHeight="1" x14ac:dyDescent="0.2">
      <c r="A45" s="5" t="str">
        <f>HYPERLINK("#'14.1.1-2 Purchased electricity'!A1", "14.1.1-2 Purchased electricity")</f>
        <v>14.1.1-2 Purchased electricity</v>
      </c>
      <c r="D45" s="1" t="str">
        <f>TEXT(X_Cell_Site_StartDate, "mmmm yyyy")</f>
        <v>January 2024</v>
      </c>
      <c r="E45" s="76">
        <v>100</v>
      </c>
      <c r="F45" s="76">
        <v>100</v>
      </c>
      <c r="G45" s="76">
        <v>100</v>
      </c>
      <c r="H45" s="76">
        <v>100</v>
      </c>
      <c r="I45" s="76">
        <v>100</v>
      </c>
      <c r="J45" s="76">
        <v>100</v>
      </c>
      <c r="K45" s="76">
        <v>100</v>
      </c>
      <c r="L45" s="76">
        <v>100</v>
      </c>
      <c r="M45" s="76">
        <v>100</v>
      </c>
      <c r="N45" s="76">
        <v>100</v>
      </c>
      <c r="O45" s="16" t="s">
        <v>339</v>
      </c>
      <c r="T45" s="22"/>
    </row>
    <row r="46" spans="1:20" ht="20.100000000000001" customHeight="1" x14ac:dyDescent="0.2">
      <c r="A46" s="5" t="str">
        <f>HYPERLINK("#'15 Scope 3'!A1", "15 Scope 3")</f>
        <v>15 Scope 3</v>
      </c>
      <c r="D46" s="1" t="str">
        <f>TEXT(EDATE(X_Cell_Site_StartDate,1), "mmmm yyyy")</f>
        <v>February 2024</v>
      </c>
      <c r="E46" s="76">
        <v>100</v>
      </c>
      <c r="F46" s="76">
        <v>100</v>
      </c>
      <c r="G46" s="76">
        <v>100</v>
      </c>
      <c r="H46" s="76">
        <v>100</v>
      </c>
      <c r="I46" s="76">
        <v>100</v>
      </c>
      <c r="J46" s="76">
        <v>100</v>
      </c>
      <c r="K46" s="76">
        <v>100</v>
      </c>
      <c r="L46" s="76">
        <v>100</v>
      </c>
      <c r="M46" s="76">
        <v>100</v>
      </c>
      <c r="N46" s="76">
        <v>100</v>
      </c>
      <c r="O46" s="16" t="s">
        <v>339</v>
      </c>
      <c r="T46" s="22"/>
    </row>
    <row r="47" spans="1:20" ht="20.100000000000001" customHeight="1" x14ac:dyDescent="0.2">
      <c r="A47" s="5" t="str">
        <f>HYPERLINK("#'Calcs - Manure sent off-site'!A1", "Calcs - Manure sent off-site")</f>
        <v>Calcs - Manure sent off-site</v>
      </c>
      <c r="D47" s="1" t="str">
        <f>TEXT(EDATE(X_Cell_Site_StartDate,2), "mmmm yyyy")</f>
        <v>March 2024</v>
      </c>
      <c r="E47" s="76">
        <v>100</v>
      </c>
      <c r="F47" s="76">
        <v>100</v>
      </c>
      <c r="G47" s="76">
        <v>100</v>
      </c>
      <c r="H47" s="76">
        <v>100</v>
      </c>
      <c r="I47" s="76">
        <v>100</v>
      </c>
      <c r="J47" s="76">
        <v>100</v>
      </c>
      <c r="K47" s="76">
        <v>100</v>
      </c>
      <c r="L47" s="76">
        <v>100</v>
      </c>
      <c r="M47" s="76">
        <v>100</v>
      </c>
      <c r="N47" s="76">
        <v>100</v>
      </c>
      <c r="O47" s="16" t="s">
        <v>339</v>
      </c>
      <c r="T47" s="22"/>
    </row>
    <row r="48" spans="1:20" ht="20.100000000000001" customHeight="1" x14ac:dyDescent="0.2">
      <c r="D48" s="1" t="str">
        <f>TEXT(EDATE(X_Cell_Site_StartDate,3), "mmmm yyyy")</f>
        <v>April 2024</v>
      </c>
      <c r="E48" s="76">
        <v>100</v>
      </c>
      <c r="F48" s="76">
        <v>100</v>
      </c>
      <c r="G48" s="76">
        <v>100</v>
      </c>
      <c r="H48" s="76">
        <v>100</v>
      </c>
      <c r="I48" s="76">
        <v>100</v>
      </c>
      <c r="J48" s="76">
        <v>100</v>
      </c>
      <c r="K48" s="76">
        <v>100</v>
      </c>
      <c r="L48" s="76">
        <v>100</v>
      </c>
      <c r="M48" s="76">
        <v>100</v>
      </c>
      <c r="N48" s="76">
        <v>100</v>
      </c>
      <c r="O48" s="16" t="s">
        <v>339</v>
      </c>
      <c r="T48" s="22"/>
    </row>
    <row r="49" spans="1:20" ht="20.100000000000001" customHeight="1" x14ac:dyDescent="0.2">
      <c r="D49" s="1" t="str">
        <f>TEXT(EDATE(X_Cell_Site_StartDate,4), "mmmm yyyy")</f>
        <v>May 2024</v>
      </c>
      <c r="E49" s="76">
        <v>100</v>
      </c>
      <c r="F49" s="76">
        <v>100</v>
      </c>
      <c r="G49" s="76">
        <v>100</v>
      </c>
      <c r="H49" s="76">
        <v>100</v>
      </c>
      <c r="I49" s="76">
        <v>100</v>
      </c>
      <c r="J49" s="76">
        <v>100</v>
      </c>
      <c r="K49" s="76">
        <v>100</v>
      </c>
      <c r="L49" s="76">
        <v>100</v>
      </c>
      <c r="M49" s="76">
        <v>100</v>
      </c>
      <c r="N49" s="76">
        <v>100</v>
      </c>
      <c r="O49" s="16" t="s">
        <v>339</v>
      </c>
      <c r="T49" s="22"/>
    </row>
    <row r="50" spans="1:20" ht="20.100000000000001" customHeight="1" x14ac:dyDescent="0.2">
      <c r="A50" s="86" t="s">
        <v>1</v>
      </c>
      <c r="D50" s="1" t="str">
        <f>TEXT(EDATE(X_Cell_Site_StartDate,5), "mmmm yyyy")</f>
        <v>June 2024</v>
      </c>
      <c r="E50" s="76">
        <v>100</v>
      </c>
      <c r="F50" s="76">
        <v>100</v>
      </c>
      <c r="G50" s="76">
        <v>100</v>
      </c>
      <c r="H50" s="76">
        <v>100</v>
      </c>
      <c r="I50" s="76">
        <v>100</v>
      </c>
      <c r="J50" s="76">
        <v>100</v>
      </c>
      <c r="K50" s="76">
        <v>100</v>
      </c>
      <c r="L50" s="76">
        <v>100</v>
      </c>
      <c r="M50" s="76">
        <v>100</v>
      </c>
      <c r="N50" s="76">
        <v>100</v>
      </c>
      <c r="O50" s="16" t="s">
        <v>339</v>
      </c>
      <c r="P50" s="25"/>
      <c r="T50" s="22"/>
    </row>
    <row r="51" spans="1:20" ht="20.100000000000001" customHeight="1" x14ac:dyDescent="0.2">
      <c r="A51" s="5" t="str">
        <f>HYPERLINK("#'Constants - Pasture Beef'!A1", "Constants - Pasture Beef")</f>
        <v>Constants - Pasture Beef</v>
      </c>
      <c r="D51" s="1" t="str">
        <f>TEXT(EDATE(X_Cell_Site_StartDate,6), "mmmm yyyy")</f>
        <v>July 2024</v>
      </c>
      <c r="E51" s="76">
        <v>100</v>
      </c>
      <c r="F51" s="76">
        <v>100</v>
      </c>
      <c r="G51" s="76">
        <v>100</v>
      </c>
      <c r="H51" s="76">
        <v>100</v>
      </c>
      <c r="I51" s="76">
        <v>100</v>
      </c>
      <c r="J51" s="76">
        <v>100</v>
      </c>
      <c r="K51" s="76">
        <v>100</v>
      </c>
      <c r="L51" s="76">
        <v>100</v>
      </c>
      <c r="M51" s="76">
        <v>100</v>
      </c>
      <c r="N51" s="76">
        <v>100</v>
      </c>
      <c r="O51" s="16" t="s">
        <v>339</v>
      </c>
      <c r="P51" s="25"/>
      <c r="T51" s="22"/>
    </row>
    <row r="52" spans="1:20" ht="20.100000000000001" customHeight="1" x14ac:dyDescent="0.2">
      <c r="A52" s="5" t="str">
        <f>HYPERLINK("#'Constants - Ag Residue'!A1", "Constants - Ag residue")</f>
        <v>Constants - Ag residue</v>
      </c>
      <c r="D52" s="1" t="str">
        <f>TEXT(EDATE(X_Cell_Site_StartDate,7), "mmmm yyyy")</f>
        <v>August 2024</v>
      </c>
      <c r="E52" s="76">
        <v>100</v>
      </c>
      <c r="F52" s="76">
        <v>100</v>
      </c>
      <c r="G52" s="76">
        <v>100</v>
      </c>
      <c r="H52" s="76">
        <v>100</v>
      </c>
      <c r="I52" s="76">
        <v>100</v>
      </c>
      <c r="J52" s="76">
        <v>100</v>
      </c>
      <c r="K52" s="76">
        <v>100</v>
      </c>
      <c r="L52" s="76">
        <v>100</v>
      </c>
      <c r="M52" s="76">
        <v>100</v>
      </c>
      <c r="N52" s="76">
        <v>100</v>
      </c>
      <c r="O52" s="16" t="s">
        <v>339</v>
      </c>
      <c r="P52" s="25"/>
      <c r="T52" s="22"/>
    </row>
    <row r="53" spans="1:20" ht="20.100000000000001" customHeight="1" x14ac:dyDescent="0.2">
      <c r="A53" s="5" t="str">
        <f>HYPERLINK("#'Constants - Common Livestock'!A1", "Constants - Common Livestock")</f>
        <v>Constants - Common Livestock</v>
      </c>
      <c r="D53" s="1" t="str">
        <f>TEXT(EDATE(X_Cell_Site_StartDate,8), "mmmm yyyy")</f>
        <v>September 2024</v>
      </c>
      <c r="E53" s="76">
        <v>100</v>
      </c>
      <c r="F53" s="76">
        <v>100</v>
      </c>
      <c r="G53" s="76">
        <v>100</v>
      </c>
      <c r="H53" s="76">
        <v>100</v>
      </c>
      <c r="I53" s="76">
        <v>100</v>
      </c>
      <c r="J53" s="76">
        <v>100</v>
      </c>
      <c r="K53" s="76">
        <v>100</v>
      </c>
      <c r="L53" s="76">
        <v>100</v>
      </c>
      <c r="M53" s="76">
        <v>100</v>
      </c>
      <c r="N53" s="76">
        <v>100</v>
      </c>
      <c r="O53" s="16" t="s">
        <v>339</v>
      </c>
      <c r="P53" s="25"/>
      <c r="T53" s="22"/>
    </row>
    <row r="54" spans="1:20" ht="20.100000000000001" customHeight="1" x14ac:dyDescent="0.2">
      <c r="A54" s="5" t="str">
        <f>HYPERLINK("#'Constants - Electricity'!A1", "Constants - Electricity")</f>
        <v>Constants - Electricity</v>
      </c>
      <c r="D54" s="1" t="str">
        <f>TEXT(EDATE(X_Cell_Site_StartDate,9), "mmmm yyyy")</f>
        <v>October 2024</v>
      </c>
      <c r="E54" s="76">
        <v>100</v>
      </c>
      <c r="F54" s="76">
        <v>100</v>
      </c>
      <c r="G54" s="76">
        <v>100</v>
      </c>
      <c r="H54" s="76">
        <v>100</v>
      </c>
      <c r="I54" s="76">
        <v>100</v>
      </c>
      <c r="J54" s="76">
        <v>100</v>
      </c>
      <c r="K54" s="76">
        <v>100</v>
      </c>
      <c r="L54" s="76">
        <v>100</v>
      </c>
      <c r="M54" s="76">
        <v>100</v>
      </c>
      <c r="N54" s="76">
        <v>100</v>
      </c>
      <c r="O54" s="16" t="s">
        <v>339</v>
      </c>
      <c r="P54" s="25"/>
      <c r="T54" s="22"/>
    </row>
    <row r="55" spans="1:20" ht="20.100000000000001" customHeight="1" x14ac:dyDescent="0.2">
      <c r="A55" s="5" t="str">
        <f>HYPERLINK("#'Constants - Fertiliser'!A1", "Constants - Fertiliser")</f>
        <v>Constants - Fertiliser</v>
      </c>
      <c r="D55" s="1" t="str">
        <f>TEXT(EDATE(X_Cell_Site_StartDate,10), "mmmm yyyy")</f>
        <v>November 2024</v>
      </c>
      <c r="E55" s="76">
        <v>100</v>
      </c>
      <c r="F55" s="76">
        <v>100</v>
      </c>
      <c r="G55" s="76">
        <v>100</v>
      </c>
      <c r="H55" s="76">
        <v>100</v>
      </c>
      <c r="I55" s="76">
        <v>100</v>
      </c>
      <c r="J55" s="76">
        <v>100</v>
      </c>
      <c r="K55" s="76">
        <v>100</v>
      </c>
      <c r="L55" s="76">
        <v>100</v>
      </c>
      <c r="M55" s="76">
        <v>100</v>
      </c>
      <c r="N55" s="76">
        <v>100</v>
      </c>
      <c r="O55" s="16" t="s">
        <v>339</v>
      </c>
      <c r="P55" s="25"/>
      <c r="T55" s="22"/>
    </row>
    <row r="56" spans="1:20" ht="20.100000000000001" customHeight="1" x14ac:dyDescent="0.2">
      <c r="A56" s="5" t="str">
        <f>HYPERLINK("#'Constants - Fuel'!A1", "Constants - Fuel")</f>
        <v>Constants - Fuel</v>
      </c>
      <c r="D56" s="1" t="str">
        <f>TEXT(EDATE(X_Cell_Site_StartDate,11), "mmmm yyyy")</f>
        <v>December 2024</v>
      </c>
      <c r="E56" s="76">
        <v>100</v>
      </c>
      <c r="F56" s="76">
        <v>100</v>
      </c>
      <c r="G56" s="76">
        <v>100</v>
      </c>
      <c r="H56" s="76">
        <v>100</v>
      </c>
      <c r="I56" s="76">
        <v>100</v>
      </c>
      <c r="J56" s="76">
        <v>100</v>
      </c>
      <c r="K56" s="76">
        <v>100</v>
      </c>
      <c r="L56" s="76">
        <v>100</v>
      </c>
      <c r="M56" s="76">
        <v>100</v>
      </c>
      <c r="N56" s="76">
        <v>100</v>
      </c>
      <c r="O56" s="16" t="s">
        <v>339</v>
      </c>
      <c r="P56" s="25"/>
      <c r="T56" s="22"/>
    </row>
    <row r="57" spans="1:20" ht="20.100000000000001" customHeight="1" x14ac:dyDescent="0.2">
      <c r="A57" s="5" t="str">
        <f>HYPERLINK("#'Constants - Scope 3'!A1", "Constants - Scope 3")</f>
        <v>Constants - Scope 3</v>
      </c>
      <c r="P57" s="25"/>
      <c r="T57" s="22"/>
    </row>
    <row r="58" spans="1:20" ht="20.100000000000001" customHeight="1" x14ac:dyDescent="0.2">
      <c r="A58" s="5" t="str">
        <f>HYPERLINK("#'Constants - Solid Waste'!A1", "Constants - Solid Waste")</f>
        <v>Constants - Solid Waste</v>
      </c>
      <c r="P58" s="25"/>
      <c r="T58" s="22"/>
    </row>
    <row r="59" spans="1:20" ht="20.100000000000001" customHeight="1" x14ac:dyDescent="0.2">
      <c r="A59" s="5" t="str">
        <f>HYPERLINK("#'Constants - Common'!A1", "Constants - Common")</f>
        <v>Constants - Common</v>
      </c>
      <c r="D59" s="79" t="s">
        <v>342</v>
      </c>
      <c r="P59" s="25"/>
      <c r="T59" s="22"/>
    </row>
    <row r="60" spans="1:20" ht="20.100000000000001" customHeight="1" x14ac:dyDescent="0.2">
      <c r="A60" s="5" t="str">
        <f>HYPERLINK("#'Acknowledgements'!A1", "Acknowledgements")</f>
        <v>Acknowledgements</v>
      </c>
      <c r="D60" s="101" t="s">
        <v>324</v>
      </c>
      <c r="E60" s="101" t="s">
        <v>325</v>
      </c>
      <c r="F60" s="101" t="s">
        <v>189</v>
      </c>
      <c r="G60" s="101" t="s">
        <v>326</v>
      </c>
      <c r="H60" s="101" t="s">
        <v>327</v>
      </c>
      <c r="I60" s="101" t="s">
        <v>328</v>
      </c>
      <c r="J60" s="101" t="s">
        <v>329</v>
      </c>
      <c r="K60" s="101" t="s">
        <v>330</v>
      </c>
      <c r="L60" s="101" t="s">
        <v>331</v>
      </c>
      <c r="M60" s="101" t="s">
        <v>332</v>
      </c>
      <c r="N60" s="101" t="s">
        <v>333</v>
      </c>
      <c r="P60" s="25"/>
      <c r="T60" s="22"/>
    </row>
    <row r="61" spans="1:20" ht="20.100000000000001" customHeight="1" x14ac:dyDescent="0.2">
      <c r="D61" s="1" t="s">
        <v>334</v>
      </c>
      <c r="E61" s="15">
        <f>InputFunctions_PastureBeef.LookupLiveweightFromSeason($E$7,X_Cell_PastureBeef_ProductionRegion,$D61,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F61" s="15">
        <f>InputFunctions_PastureBeef.LookupLiveweightFromSeason($E$7,X_Cell_PastureBeef_ProductionRegion,$D61,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800</v>
      </c>
      <c r="G61" s="15">
        <f>InputFunctions_PastureBeef.LookupLiveweightFromSeason($E$7,X_Cell_PastureBeef_ProductionRegion,$D61,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260</v>
      </c>
      <c r="H61" s="15">
        <f>InputFunctions_PastureBeef.LookupLiveweightFromSeason($E$7,X_Cell_PastureBeef_ProductionRegion,$D61,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420</v>
      </c>
      <c r="I61" s="15">
        <f>InputFunctions_PastureBeef.LookupLiveweightFromSeason($E$7,X_Cell_PastureBeef_ProductionRegion,$D61,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550</v>
      </c>
      <c r="J61" s="15">
        <f>InputFunctions_PastureBeef.LookupLiveweightFromSeason($E$7,X_Cell_PastureBeef_ProductionRegion,$D61,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550</v>
      </c>
      <c r="K61" s="15">
        <f>InputFunctions_PastureBeef.LookupLiveweightFromSeason($E$7,X_Cell_PastureBeef_ProductionRegion,$D61,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300</v>
      </c>
      <c r="L61" s="15">
        <f>InputFunctions_PastureBeef.LookupLiveweightFromSeason($E$7,X_Cell_PastureBeef_ProductionRegion,$D61,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M61" s="15">
        <f>InputFunctions_PastureBeef.LookupLiveweightFromSeason($E$7,X_Cell_PastureBeef_ProductionRegion,$D61,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N61" s="15">
        <f>InputFunctions_PastureBeef.LookupLiveweightFromSeason($E$7,X_Cell_PastureBeef_ProductionRegion,$D61,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O61" s="16" t="s">
        <v>343</v>
      </c>
      <c r="P61" s="25"/>
      <c r="T61" s="22"/>
    </row>
    <row r="62" spans="1:20" ht="20.100000000000001" customHeight="1" x14ac:dyDescent="0.2">
      <c r="D62" s="1" t="s">
        <v>335</v>
      </c>
      <c r="E62" s="15">
        <f>InputFunctions_PastureBeef.LookupLiveweightFromSeason($E$7,X_Cell_PastureBeef_ProductionRegion,$D62,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380</v>
      </c>
      <c r="F62" s="15">
        <f>InputFunctions_PastureBeef.LookupLiveweightFromSeason($E$7,X_Cell_PastureBeef_ProductionRegion,$D62,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780</v>
      </c>
      <c r="G62" s="15">
        <f>InputFunctions_PastureBeef.LookupLiveweightFromSeason($E$7,X_Cell_PastureBeef_ProductionRegion,$D62,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300</v>
      </c>
      <c r="H62" s="15">
        <f>InputFunctions_PastureBeef.LookupLiveweightFromSeason($E$7,X_Cell_PastureBeef_ProductionRegion,$D62,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450</v>
      </c>
      <c r="I62" s="15">
        <f>InputFunctions_PastureBeef.LookupLiveweightFromSeason($E$7,X_Cell_PastureBeef_ProductionRegion,$D62,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530</v>
      </c>
      <c r="J62" s="15">
        <f>InputFunctions_PastureBeef.LookupLiveweightFromSeason($E$7,X_Cell_PastureBeef_ProductionRegion,$D62,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530</v>
      </c>
      <c r="K62" s="15">
        <f>InputFunctions_PastureBeef.LookupLiveweightFromSeason($E$7,X_Cell_PastureBeef_ProductionRegion,$D62,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L62" s="15">
        <f>InputFunctions_PastureBeef.LookupLiveweightFromSeason($E$7,X_Cell_PastureBeef_ProductionRegion,$D62,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M62" s="15">
        <f>InputFunctions_PastureBeef.LookupLiveweightFromSeason($E$7,X_Cell_PastureBeef_ProductionRegion,$D62,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N62" s="15">
        <f>InputFunctions_PastureBeef.LookupLiveweightFromSeason($E$7,X_Cell_PastureBeef_ProductionRegion,$D62,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470</v>
      </c>
      <c r="O62" s="16" t="s">
        <v>343</v>
      </c>
      <c r="P62" s="25"/>
      <c r="T62" s="22"/>
    </row>
    <row r="63" spans="1:20" ht="20.100000000000001" customHeight="1" x14ac:dyDescent="0.2">
      <c r="D63" s="1" t="s">
        <v>336</v>
      </c>
      <c r="E63" s="15">
        <f>InputFunctions_PastureBeef.LookupLiveweightFromSeason($E$7,X_Cell_PastureBeef_ProductionRegion,$D63,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100</v>
      </c>
      <c r="F63" s="15">
        <f>InputFunctions_PastureBeef.LookupLiveweightFromSeason($E$7,X_Cell_PastureBeef_ProductionRegion,$D63,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680</v>
      </c>
      <c r="G63" s="15">
        <f>InputFunctions_PastureBeef.LookupLiveweightFromSeason($E$7,X_Cell_PastureBeef_ProductionRegion,$D63,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80</v>
      </c>
      <c r="H63" s="15">
        <f>InputFunctions_PastureBeef.LookupLiveweightFromSeason($E$7,X_Cell_PastureBeef_ProductionRegion,$D63,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320</v>
      </c>
      <c r="I63" s="15">
        <f>InputFunctions_PastureBeef.LookupLiveweightFromSeason($E$7,X_Cell_PastureBeef_ProductionRegion,$D63,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J63" s="15">
        <f>InputFunctions_PastureBeef.LookupLiveweightFromSeason($E$7,X_Cell_PastureBeef_ProductionRegion,$D63,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480</v>
      </c>
      <c r="K63" s="15">
        <f>InputFunctions_PastureBeef.LookupLiveweightFromSeason($E$7,X_Cell_PastureBeef_ProductionRegion,$D63,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100</v>
      </c>
      <c r="L63" s="15">
        <f>InputFunctions_PastureBeef.LookupLiveweightFromSeason($E$7,X_Cell_PastureBeef_ProductionRegion,$D63,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M63" s="15">
        <f>InputFunctions_PastureBeef.LookupLiveweightFromSeason($E$7,X_Cell_PastureBeef_ProductionRegion,$D63,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N63" s="15">
        <f>InputFunctions_PastureBeef.LookupLiveweightFromSeason($E$7,X_Cell_PastureBeef_ProductionRegion,$D63,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340</v>
      </c>
      <c r="O63" s="16" t="s">
        <v>343</v>
      </c>
      <c r="P63" s="25"/>
      <c r="T63" s="22"/>
    </row>
    <row r="64" spans="1:20" ht="20.100000000000001" customHeight="1" x14ac:dyDescent="0.2">
      <c r="D64" s="1" t="s">
        <v>337</v>
      </c>
      <c r="E64" s="15">
        <f>InputFunctions_PastureBeef.LookupLiveweightFromSeason($E$7,X_Cell_PastureBeef_ProductionRegion,$D64,E$60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190</v>
      </c>
      <c r="F64" s="15">
        <f>InputFunctions_PastureBeef.LookupLiveweightFromSeason($E$7,X_Cell_PastureBeef_ProductionRegion,$D64,F$60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700</v>
      </c>
      <c r="G64" s="15">
        <f>InputFunctions_PastureBeef.LookupLiveweightFromSeason($E$7,X_Cell_PastureBeef_ProductionRegion,$D64,G$60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150</v>
      </c>
      <c r="H64" s="15">
        <f>InputFunctions_PastureBeef.LookupLiveweightFromSeason($E$7,X_Cell_PastureBeef_ProductionRegion,$D64,H$60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330</v>
      </c>
      <c r="I64" s="15">
        <f>InputFunctions_PastureBeef.LookupLiveweightFromSeason($E$7,X_Cell_PastureBeef_ProductionRegion,$D64,I$60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490</v>
      </c>
      <c r="J64" s="15">
        <f>InputFunctions_PastureBeef.LookupLiveweightFromSeason($E$7,X_Cell_PastureBeef_ProductionRegion,$D64,J$60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490</v>
      </c>
      <c r="K64" s="15">
        <f>InputFunctions_PastureBeef.LookupLiveweightFromSeason($E$7,X_Cell_PastureBeef_ProductionRegion,$D64,K$60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170</v>
      </c>
      <c r="L64" s="15">
        <f>InputFunctions_PastureBeef.LookupLiveweightFromSeason($E$7,X_Cell_PastureBeef_ProductionRegion,$D64,L$60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M64" s="15">
        <f>InputFunctions_PastureBeef.LookupLiveweightFromSeason($E$7,X_Cell_PastureBeef_ProductionRegion,$D64,M$60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N64" s="15">
        <f>InputFunctions_PastureBeef.LookupLiveweightFromSeason($E$7,X_Cell_PastureBeef_ProductionRegion,$D64,N$60,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f>
        <v>360</v>
      </c>
      <c r="O64" s="16" t="s">
        <v>343</v>
      </c>
      <c r="P64" s="25"/>
      <c r="T64" s="22"/>
    </row>
    <row r="65" spans="1:20" ht="20.100000000000001" customHeight="1" x14ac:dyDescent="0.2">
      <c r="O65" s="16"/>
      <c r="P65" s="25"/>
      <c r="T65" s="22"/>
    </row>
    <row r="66" spans="1:20" ht="20.100000000000001" customHeight="1" x14ac:dyDescent="0.2">
      <c r="D66" s="101" t="s">
        <v>338</v>
      </c>
      <c r="E66" s="101" t="s">
        <v>325</v>
      </c>
      <c r="F66" s="101" t="s">
        <v>189</v>
      </c>
      <c r="G66" s="101" t="s">
        <v>326</v>
      </c>
      <c r="H66" s="101" t="s">
        <v>327</v>
      </c>
      <c r="I66" s="101" t="s">
        <v>328</v>
      </c>
      <c r="J66" s="101" t="s">
        <v>329</v>
      </c>
      <c r="K66" s="101" t="s">
        <v>330</v>
      </c>
      <c r="L66" s="101" t="s">
        <v>331</v>
      </c>
      <c r="M66" s="101" t="s">
        <v>332</v>
      </c>
      <c r="N66" s="101" t="s">
        <v>333</v>
      </c>
      <c r="O66" s="16"/>
      <c r="P66" s="25"/>
      <c r="T66" s="22"/>
    </row>
    <row r="67" spans="1:20" ht="20.100000000000001" customHeight="1" x14ac:dyDescent="0.2">
      <c r="D67" s="1" t="str">
        <f>TEXT(X_Cell_Site_StartDate, "mmmm yyyy")</f>
        <v>January 2024</v>
      </c>
      <c r="E67" s="76">
        <f>InputFunctions_PastureBeef.LookupLiveweightFromMonth($E$7,X_Cell_PastureBeef_ProductionRegion,$D67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67" s="76">
        <f>InputFunctions_PastureBeef.LookupLiveweightFromMonth($E$7,X_Cell_PastureBeef_ProductionRegion,$D67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67" s="76">
        <f>InputFunctions_PastureBeef.LookupLiveweightFromMonth($E$7,X_Cell_PastureBeef_ProductionRegion,$D67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67" s="76">
        <f>InputFunctions_PastureBeef.LookupLiveweightFromMonth($E$7,X_Cell_PastureBeef_ProductionRegion,$D67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67" s="76">
        <f>InputFunctions_PastureBeef.LookupLiveweightFromMonth($E$7,X_Cell_PastureBeef_ProductionRegion,$D67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67" s="76">
        <f>InputFunctions_PastureBeef.LookupLiveweightFromMonth($E$7,X_Cell_PastureBeef_ProductionRegion,$D67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67" s="76">
        <f>InputFunctions_PastureBeef.LookupLiveweightFromMonth($E$7,X_Cell_PastureBeef_ProductionRegion,$D67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67" s="76">
        <f>InputFunctions_PastureBeef.LookupLiveweightFromMonth($E$7,X_Cell_PastureBeef_ProductionRegion,$D67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67" s="76">
        <f>InputFunctions_PastureBeef.LookupLiveweightFromMonth($E$7,X_Cell_PastureBeef_ProductionRegion,$D67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67" s="76">
        <f>InputFunctions_PastureBeef.LookupLiveweightFromMonth($E$7,X_Cell_PastureBeef_ProductionRegion,$D67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67" s="16" t="s">
        <v>343</v>
      </c>
      <c r="P67" s="25"/>
      <c r="T67" s="22"/>
    </row>
    <row r="68" spans="1:20" ht="20.100000000000001" customHeight="1" x14ac:dyDescent="0.2">
      <c r="D68" s="1" t="str">
        <f>TEXT(EDATE(X_Cell_Site_StartDate,1), "mmmm yyyy")</f>
        <v>February 2024</v>
      </c>
      <c r="E68" s="76">
        <f>InputFunctions_PastureBeef.LookupLiveweightFromMonth($E$7,X_Cell_PastureBeef_ProductionRegion,$D68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68" s="76">
        <f>InputFunctions_PastureBeef.LookupLiveweightFromMonth($E$7,X_Cell_PastureBeef_ProductionRegion,$D68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68" s="76">
        <f>InputFunctions_PastureBeef.LookupLiveweightFromMonth($E$7,X_Cell_PastureBeef_ProductionRegion,$D68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68" s="76">
        <f>InputFunctions_PastureBeef.LookupLiveweightFromMonth($E$7,X_Cell_PastureBeef_ProductionRegion,$D68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68" s="76">
        <f>InputFunctions_PastureBeef.LookupLiveweightFromMonth($E$7,X_Cell_PastureBeef_ProductionRegion,$D68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68" s="76">
        <f>InputFunctions_PastureBeef.LookupLiveweightFromMonth($E$7,X_Cell_PastureBeef_ProductionRegion,$D68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68" s="76">
        <f>InputFunctions_PastureBeef.LookupLiveweightFromMonth($E$7,X_Cell_PastureBeef_ProductionRegion,$D68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68" s="76">
        <f>InputFunctions_PastureBeef.LookupLiveweightFromMonth($E$7,X_Cell_PastureBeef_ProductionRegion,$D68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68" s="76">
        <f>InputFunctions_PastureBeef.LookupLiveweightFromMonth($E$7,X_Cell_PastureBeef_ProductionRegion,$D68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68" s="76">
        <f>InputFunctions_PastureBeef.LookupLiveweightFromMonth($E$7,X_Cell_PastureBeef_ProductionRegion,$D68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68" s="16" t="s">
        <v>343</v>
      </c>
      <c r="P68" s="25"/>
      <c r="T68" s="22"/>
    </row>
    <row r="69" spans="1:20" ht="20.100000000000001" customHeight="1" x14ac:dyDescent="0.2">
      <c r="D69" s="1" t="str">
        <f>TEXT(EDATE(X_Cell_Site_StartDate,2), "mmmm yyyy")</f>
        <v>March 2024</v>
      </c>
      <c r="E69" s="76">
        <f>InputFunctions_PastureBeef.LookupLiveweightFromMonth($E$7,X_Cell_PastureBeef_ProductionRegion,$D69,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69" s="76">
        <f>InputFunctions_PastureBeef.LookupLiveweightFromMonth($E$7,X_Cell_PastureBeef_ProductionRegion,$D69,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69" s="76">
        <f>InputFunctions_PastureBeef.LookupLiveweightFromMonth($E$7,X_Cell_PastureBeef_ProductionRegion,$D69,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69" s="76">
        <f>InputFunctions_PastureBeef.LookupLiveweightFromMonth($E$7,X_Cell_PastureBeef_ProductionRegion,$D69,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69" s="76">
        <f>InputFunctions_PastureBeef.LookupLiveweightFromMonth($E$7,X_Cell_PastureBeef_ProductionRegion,$D69,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69" s="76">
        <f>InputFunctions_PastureBeef.LookupLiveweightFromMonth($E$7,X_Cell_PastureBeef_ProductionRegion,$D69,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69" s="76">
        <f>InputFunctions_PastureBeef.LookupLiveweightFromMonth($E$7,X_Cell_PastureBeef_ProductionRegion,$D69,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69" s="76">
        <f>InputFunctions_PastureBeef.LookupLiveweightFromMonth($E$7,X_Cell_PastureBeef_ProductionRegion,$D69,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69" s="76">
        <f>InputFunctions_PastureBeef.LookupLiveweightFromMonth($E$7,X_Cell_PastureBeef_ProductionRegion,$D69,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69" s="76">
        <f>InputFunctions_PastureBeef.LookupLiveweightFromMonth($E$7,X_Cell_PastureBeef_ProductionRegion,$D69,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69" s="16" t="s">
        <v>343</v>
      </c>
      <c r="P69" s="25"/>
      <c r="T69" s="22"/>
    </row>
    <row r="70" spans="1:20" ht="20.100000000000001" customHeight="1" x14ac:dyDescent="0.2">
      <c r="D70" s="1" t="str">
        <f>TEXT(EDATE(X_Cell_Site_StartDate,3), "mmmm yyyy")</f>
        <v>April 2024</v>
      </c>
      <c r="E70" s="76">
        <f>InputFunctions_PastureBeef.LookupLiveweightFromMonth($E$7,X_Cell_PastureBeef_ProductionRegion,$D70,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70" s="76">
        <f>InputFunctions_PastureBeef.LookupLiveweightFromMonth($E$7,X_Cell_PastureBeef_ProductionRegion,$D70,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70" s="76">
        <f>InputFunctions_PastureBeef.LookupLiveweightFromMonth($E$7,X_Cell_PastureBeef_ProductionRegion,$D70,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70" s="76">
        <f>InputFunctions_PastureBeef.LookupLiveweightFromMonth($E$7,X_Cell_PastureBeef_ProductionRegion,$D70,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70" s="76">
        <f>InputFunctions_PastureBeef.LookupLiveweightFromMonth($E$7,X_Cell_PastureBeef_ProductionRegion,$D70,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70" s="76">
        <f>InputFunctions_PastureBeef.LookupLiveweightFromMonth($E$7,X_Cell_PastureBeef_ProductionRegion,$D70,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70" s="76">
        <f>InputFunctions_PastureBeef.LookupLiveweightFromMonth($E$7,X_Cell_PastureBeef_ProductionRegion,$D70,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70" s="76">
        <f>InputFunctions_PastureBeef.LookupLiveweightFromMonth($E$7,X_Cell_PastureBeef_ProductionRegion,$D70,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70" s="76">
        <f>InputFunctions_PastureBeef.LookupLiveweightFromMonth($E$7,X_Cell_PastureBeef_ProductionRegion,$D70,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70" s="76">
        <f>InputFunctions_PastureBeef.LookupLiveweightFromMonth($E$7,X_Cell_PastureBeef_ProductionRegion,$D70,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70" s="16" t="s">
        <v>343</v>
      </c>
      <c r="P70" s="25"/>
      <c r="T70" s="22"/>
    </row>
    <row r="71" spans="1:20" ht="20.100000000000001" customHeight="1" x14ac:dyDescent="0.2">
      <c r="A71" s="85" t="str">
        <f>HYPERLINK("#A1", "▲ Back to top")</f>
        <v>▲ Back to top</v>
      </c>
      <c r="D71" s="1" t="str">
        <f>TEXT(EDATE(X_Cell_Site_StartDate,4), "mmmm yyyy")</f>
        <v>May 2024</v>
      </c>
      <c r="E71" s="76">
        <f>InputFunctions_PastureBeef.LookupLiveweightFromMonth($E$7,X_Cell_PastureBeef_ProductionRegion,$D71,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F71" s="76">
        <f>InputFunctions_PastureBeef.LookupLiveweightFromMonth($E$7,X_Cell_PastureBeef_ProductionRegion,$D71,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680</v>
      </c>
      <c r="G71" s="76">
        <f>InputFunctions_PastureBeef.LookupLiveweightFromMonth($E$7,X_Cell_PastureBeef_ProductionRegion,$D71,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v>
      </c>
      <c r="H71" s="76">
        <f>InputFunctions_PastureBeef.LookupLiveweightFromMonth($E$7,X_Cell_PastureBeef_ProductionRegion,$D71,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320</v>
      </c>
      <c r="I71" s="76">
        <f>InputFunctions_PastureBeef.LookupLiveweightFromMonth($E$7,X_Cell_PastureBeef_ProductionRegion,$D71,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J71" s="76">
        <f>InputFunctions_PastureBeef.LookupLiveweightFromMonth($E$7,X_Cell_PastureBeef_ProductionRegion,$D71,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K71" s="76">
        <f>InputFunctions_PastureBeef.LookupLiveweightFromMonth($E$7,X_Cell_PastureBeef_ProductionRegion,$D71,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100</v>
      </c>
      <c r="L71" s="76">
        <f>InputFunctions_PastureBeef.LookupLiveweightFromMonth($E$7,X_Cell_PastureBeef_ProductionRegion,$D71,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M71" s="76">
        <f>InputFunctions_PastureBeef.LookupLiveweightFromMonth($E$7,X_Cell_PastureBeef_ProductionRegion,$D71,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N71" s="76">
        <f>InputFunctions_PastureBeef.LookupLiveweightFromMonth($E$7,X_Cell_PastureBeef_ProductionRegion,$D71,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O71" s="16" t="s">
        <v>343</v>
      </c>
      <c r="P71" s="25"/>
      <c r="T71" s="22"/>
    </row>
    <row r="72" spans="1:20" ht="20.100000000000001" customHeight="1" x14ac:dyDescent="0.2">
      <c r="D72" s="1" t="str">
        <f>TEXT(EDATE(X_Cell_Site_StartDate,5), "mmmm yyyy")</f>
        <v>June 2024</v>
      </c>
      <c r="E72" s="76">
        <f>InputFunctions_PastureBeef.LookupLiveweightFromMonth($E$7,X_Cell_PastureBeef_ProductionRegion,$D72,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2" s="76">
        <f>InputFunctions_PastureBeef.LookupLiveweightFromMonth($E$7,X_Cell_PastureBeef_ProductionRegion,$D72,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2" s="76">
        <f>InputFunctions_PastureBeef.LookupLiveweightFromMonth($E$7,X_Cell_PastureBeef_ProductionRegion,$D72,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2" s="76">
        <f>InputFunctions_PastureBeef.LookupLiveweightFromMonth($E$7,X_Cell_PastureBeef_ProductionRegion,$D72,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2" s="76">
        <f>InputFunctions_PastureBeef.LookupLiveweightFromMonth($E$7,X_Cell_PastureBeef_ProductionRegion,$D72,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2" s="76">
        <f>InputFunctions_PastureBeef.LookupLiveweightFromMonth($E$7,X_Cell_PastureBeef_ProductionRegion,$D72,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2" s="76">
        <f>InputFunctions_PastureBeef.LookupLiveweightFromMonth($E$7,X_Cell_PastureBeef_ProductionRegion,$D72,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2" s="76">
        <f>InputFunctions_PastureBeef.LookupLiveweightFromMonth($E$7,X_Cell_PastureBeef_ProductionRegion,$D72,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2" s="76">
        <f>InputFunctions_PastureBeef.LookupLiveweightFromMonth($E$7,X_Cell_PastureBeef_ProductionRegion,$D72,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2" s="76">
        <f>InputFunctions_PastureBeef.LookupLiveweightFromMonth($E$7,X_Cell_PastureBeef_ProductionRegion,$D72,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2" s="16" t="s">
        <v>343</v>
      </c>
      <c r="T72" s="22"/>
    </row>
    <row r="73" spans="1:20" ht="20.100000000000001" customHeight="1" x14ac:dyDescent="0.2">
      <c r="D73" s="1" t="str">
        <f>TEXT(EDATE(X_Cell_Site_StartDate,6), "mmmm yyyy")</f>
        <v>July 2024</v>
      </c>
      <c r="E73" s="76">
        <f>InputFunctions_PastureBeef.LookupLiveweightFromMonth($E$7,X_Cell_PastureBeef_ProductionRegion,$D73,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3" s="76">
        <f>InputFunctions_PastureBeef.LookupLiveweightFromMonth($E$7,X_Cell_PastureBeef_ProductionRegion,$D73,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3" s="76">
        <f>InputFunctions_PastureBeef.LookupLiveweightFromMonth($E$7,X_Cell_PastureBeef_ProductionRegion,$D73,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3" s="76">
        <f>InputFunctions_PastureBeef.LookupLiveweightFromMonth($E$7,X_Cell_PastureBeef_ProductionRegion,$D73,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3" s="76">
        <f>InputFunctions_PastureBeef.LookupLiveweightFromMonth($E$7,X_Cell_PastureBeef_ProductionRegion,$D73,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3" s="76">
        <f>InputFunctions_PastureBeef.LookupLiveweightFromMonth($E$7,X_Cell_PastureBeef_ProductionRegion,$D73,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3" s="76">
        <f>InputFunctions_PastureBeef.LookupLiveweightFromMonth($E$7,X_Cell_PastureBeef_ProductionRegion,$D73,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3" s="76">
        <f>InputFunctions_PastureBeef.LookupLiveweightFromMonth($E$7,X_Cell_PastureBeef_ProductionRegion,$D73,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3" s="76">
        <f>InputFunctions_PastureBeef.LookupLiveweightFromMonth($E$7,X_Cell_PastureBeef_ProductionRegion,$D73,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3" s="76">
        <f>InputFunctions_PastureBeef.LookupLiveweightFromMonth($E$7,X_Cell_PastureBeef_ProductionRegion,$D73,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3" s="16" t="s">
        <v>343</v>
      </c>
      <c r="T73" s="22"/>
    </row>
    <row r="74" spans="1:20" ht="20.100000000000001" customHeight="1" x14ac:dyDescent="0.2">
      <c r="D74" s="1" t="str">
        <f>TEXT(EDATE(X_Cell_Site_StartDate,7), "mmmm yyyy")</f>
        <v>August 2024</v>
      </c>
      <c r="E74" s="76">
        <f>InputFunctions_PastureBeef.LookupLiveweightFromMonth($E$7,X_Cell_PastureBeef_ProductionRegion,$D74,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190</v>
      </c>
      <c r="F74" s="76">
        <f>InputFunctions_PastureBeef.LookupLiveweightFromMonth($E$7,X_Cell_PastureBeef_ProductionRegion,$D74,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700</v>
      </c>
      <c r="G74" s="76">
        <f>InputFunctions_PastureBeef.LookupLiveweightFromMonth($E$7,X_Cell_PastureBeef_ProductionRegion,$D74,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150</v>
      </c>
      <c r="H74" s="76">
        <f>InputFunctions_PastureBeef.LookupLiveweightFromMonth($E$7,X_Cell_PastureBeef_ProductionRegion,$D74,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330</v>
      </c>
      <c r="I74" s="76">
        <f>InputFunctions_PastureBeef.LookupLiveweightFromMonth($E$7,X_Cell_PastureBeef_ProductionRegion,$D74,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J74" s="76">
        <f>InputFunctions_PastureBeef.LookupLiveweightFromMonth($E$7,X_Cell_PastureBeef_ProductionRegion,$D74,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490</v>
      </c>
      <c r="K74" s="76">
        <f>InputFunctions_PastureBeef.LookupLiveweightFromMonth($E$7,X_Cell_PastureBeef_ProductionRegion,$D74,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170</v>
      </c>
      <c r="L74" s="76">
        <f>InputFunctions_PastureBeef.LookupLiveweightFromMonth($E$7,X_Cell_PastureBeef_ProductionRegion,$D74,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M74" s="76">
        <f>InputFunctions_PastureBeef.LookupLiveweightFromMonth($E$7,X_Cell_PastureBeef_ProductionRegion,$D74,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N74" s="76">
        <f>InputFunctions_PastureBeef.LookupLiveweightFromMonth($E$7,X_Cell_PastureBeef_ProductionRegion,$D74,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360</v>
      </c>
      <c r="O74" s="16" t="s">
        <v>343</v>
      </c>
      <c r="T74" s="22"/>
    </row>
    <row r="75" spans="1:20" ht="20.100000000000001" customHeight="1" x14ac:dyDescent="0.2">
      <c r="D75" s="1" t="str">
        <f>TEXT(EDATE(X_Cell_Site_StartDate,8), "mmmm yyyy")</f>
        <v>September 2024</v>
      </c>
      <c r="E75" s="76">
        <f>InputFunctions_PastureBeef.LookupLiveweightFromMonth($E$7,X_Cell_PastureBeef_ProductionRegion,$D75,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5" s="76">
        <f>InputFunctions_PastureBeef.LookupLiveweightFromMonth($E$7,X_Cell_PastureBeef_ProductionRegion,$D75,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5" s="76">
        <f>InputFunctions_PastureBeef.LookupLiveweightFromMonth($E$7,X_Cell_PastureBeef_ProductionRegion,$D75,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5" s="76">
        <f>InputFunctions_PastureBeef.LookupLiveweightFromMonth($E$7,X_Cell_PastureBeef_ProductionRegion,$D75,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5" s="76">
        <f>InputFunctions_PastureBeef.LookupLiveweightFromMonth($E$7,X_Cell_PastureBeef_ProductionRegion,$D75,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5" s="76">
        <f>InputFunctions_PastureBeef.LookupLiveweightFromMonth($E$7,X_Cell_PastureBeef_ProductionRegion,$D75,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5" s="76">
        <f>InputFunctions_PastureBeef.LookupLiveweightFromMonth($E$7,X_Cell_PastureBeef_ProductionRegion,$D75,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5" s="76">
        <f>InputFunctions_PastureBeef.LookupLiveweightFromMonth($E$7,X_Cell_PastureBeef_ProductionRegion,$D75,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5" s="76">
        <f>InputFunctions_PastureBeef.LookupLiveweightFromMonth($E$7,X_Cell_PastureBeef_ProductionRegion,$D75,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5" s="76">
        <f>InputFunctions_PastureBeef.LookupLiveweightFromMonth($E$7,X_Cell_PastureBeef_ProductionRegion,$D75,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5" s="16" t="s">
        <v>343</v>
      </c>
      <c r="T75" s="22"/>
    </row>
    <row r="76" spans="1:20" ht="20.100000000000001" customHeight="1" x14ac:dyDescent="0.2">
      <c r="D76" s="1" t="str">
        <f>TEXT(EDATE(X_Cell_Site_StartDate,9), "mmmm yyyy")</f>
        <v>October 2024</v>
      </c>
      <c r="E76" s="76">
        <f>InputFunctions_PastureBeef.LookupLiveweightFromMonth($E$7,X_Cell_PastureBeef_ProductionRegion,$D76,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6" s="76">
        <f>InputFunctions_PastureBeef.LookupLiveweightFromMonth($E$7,X_Cell_PastureBeef_ProductionRegion,$D76,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6" s="76">
        <f>InputFunctions_PastureBeef.LookupLiveweightFromMonth($E$7,X_Cell_PastureBeef_ProductionRegion,$D76,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6" s="76">
        <f>InputFunctions_PastureBeef.LookupLiveweightFromMonth($E$7,X_Cell_PastureBeef_ProductionRegion,$D76,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6" s="76">
        <f>InputFunctions_PastureBeef.LookupLiveweightFromMonth($E$7,X_Cell_PastureBeef_ProductionRegion,$D76,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6" s="76">
        <f>InputFunctions_PastureBeef.LookupLiveweightFromMonth($E$7,X_Cell_PastureBeef_ProductionRegion,$D76,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6" s="76">
        <f>InputFunctions_PastureBeef.LookupLiveweightFromMonth($E$7,X_Cell_PastureBeef_ProductionRegion,$D76,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6" s="76">
        <f>InputFunctions_PastureBeef.LookupLiveweightFromMonth($E$7,X_Cell_PastureBeef_ProductionRegion,$D76,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6" s="76">
        <f>InputFunctions_PastureBeef.LookupLiveweightFromMonth($E$7,X_Cell_PastureBeef_ProductionRegion,$D76,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6" s="76">
        <f>InputFunctions_PastureBeef.LookupLiveweightFromMonth($E$7,X_Cell_PastureBeef_ProductionRegion,$D76,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6" s="16" t="s">
        <v>343</v>
      </c>
      <c r="T76" s="22"/>
    </row>
    <row r="77" spans="1:20" ht="20.100000000000001" customHeight="1" x14ac:dyDescent="0.2">
      <c r="D77" s="1" t="str">
        <f>TEXT(EDATE(X_Cell_Site_StartDate,10), "mmmm yyyy")</f>
        <v>November 2024</v>
      </c>
      <c r="E77" s="76">
        <f>InputFunctions_PastureBeef.LookupLiveweightFromMonth($E$7,X_Cell_PastureBeef_ProductionRegion,$D77,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F77" s="76">
        <f>InputFunctions_PastureBeef.LookupLiveweightFromMonth($E$7,X_Cell_PastureBeef_ProductionRegion,$D77,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800</v>
      </c>
      <c r="G77" s="76">
        <f>InputFunctions_PastureBeef.LookupLiveweightFromMonth($E$7,X_Cell_PastureBeef_ProductionRegion,$D77,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260</v>
      </c>
      <c r="H77" s="76">
        <f>InputFunctions_PastureBeef.LookupLiveweightFromMonth($E$7,X_Cell_PastureBeef_ProductionRegion,$D77,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420</v>
      </c>
      <c r="I77" s="76">
        <f>InputFunctions_PastureBeef.LookupLiveweightFromMonth($E$7,X_Cell_PastureBeef_ProductionRegion,$D77,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J77" s="76">
        <f>InputFunctions_PastureBeef.LookupLiveweightFromMonth($E$7,X_Cell_PastureBeef_ProductionRegion,$D77,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550</v>
      </c>
      <c r="K77" s="76">
        <f>InputFunctions_PastureBeef.LookupLiveweightFromMonth($E$7,X_Cell_PastureBeef_ProductionRegion,$D77,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L77" s="76">
        <f>InputFunctions_PastureBeef.LookupLiveweightFromMonth($E$7,X_Cell_PastureBeef_ProductionRegion,$D77,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M77" s="76">
        <f>InputFunctions_PastureBeef.LookupLiveweightFromMonth($E$7,X_Cell_PastureBeef_ProductionRegion,$D77,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N77" s="76">
        <f>InputFunctions_PastureBeef.LookupLiveweightFromMonth($E$7,X_Cell_PastureBeef_ProductionRegion,$D77,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480</v>
      </c>
      <c r="O77" s="16" t="s">
        <v>343</v>
      </c>
      <c r="T77" s="22"/>
    </row>
    <row r="78" spans="1:20" ht="20.100000000000001" customHeight="1" x14ac:dyDescent="0.2">
      <c r="D78" s="1" t="str">
        <f>TEXT(EDATE(X_Cell_Site_StartDate,11), "mmmm yyyy")</f>
        <v>December 2024</v>
      </c>
      <c r="E78" s="76">
        <f>InputFunctions_PastureBeef.LookupLiveweightFromMonth($E$7,X_Cell_PastureBeef_ProductionRegion,$D78,E$66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380</v>
      </c>
      <c r="F78" s="76">
        <f>InputFunctions_PastureBeef.LookupLiveweightFromMonth($E$7,X_Cell_PastureBeef_ProductionRegion,$D78,F$66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780</v>
      </c>
      <c r="G78" s="76">
        <f>InputFunctions_PastureBeef.LookupLiveweightFromMonth($E$7,X_Cell_PastureBeef_ProductionRegion,$D78,G$66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300</v>
      </c>
      <c r="H78" s="76">
        <f>InputFunctions_PastureBeef.LookupLiveweightFromMonth($E$7,X_Cell_PastureBeef_ProductionRegion,$D78,H$66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450</v>
      </c>
      <c r="I78" s="76">
        <f>InputFunctions_PastureBeef.LookupLiveweightFromMonth($E$7,X_Cell_PastureBeef_ProductionRegion,$D78,I$66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J78" s="76">
        <f>InputFunctions_PastureBeef.LookupLiveweightFromMonth($E$7,X_Cell_PastureBeef_ProductionRegion,$D78,J$66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530</v>
      </c>
      <c r="K78" s="76">
        <f>InputFunctions_PastureBeef.LookupLiveweightFromMonth($E$7,X_Cell_PastureBeef_ProductionRegion,$D78,K$66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340</v>
      </c>
      <c r="L78" s="76">
        <f>InputFunctions_PastureBeef.LookupLiveweightFromMonth($E$7,X_Cell_PastureBeef_ProductionRegion,$D78,L$66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M78" s="76">
        <f>InputFunctions_PastureBeef.LookupLiveweightFromMonth($E$7,X_Cell_PastureBeef_ProductionRegion,$D78,M$66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N78" s="76">
        <f>InputFunctions_PastureBeef.LookupLiveweightFromMonth($E$7,X_Cell_PastureBeef_ProductionRegion,$D78,N$66,Table_SourceData_PastureBeef_LiveweightAllStates[State],Table_SourceData_PastureBeef_LiveweightAllStates[Region],Table_SourceData_PastureBeef_LiveweightAllStates[Season],Table_SourceData_PastureBeef_LiveweightAllStates[#Headers],Table_SourceData_PastureBeef_LiveweightAllStates[#Data],Table_AustralianStates[Common Name],Table_AustralianStates[Abbreviation],Table_SourceData_Common_MonthToSeason[Month],Table_SourceData_Common_MonthToSeason[Season])</f>
        <v>470</v>
      </c>
      <c r="O78" s="16" t="s">
        <v>343</v>
      </c>
      <c r="T78" s="22"/>
    </row>
    <row r="79" spans="1:20" ht="20.100000000000001" customHeight="1" x14ac:dyDescent="0.2">
      <c r="T79" s="22"/>
    </row>
    <row r="80" spans="1:20" ht="20.100000000000001" customHeight="1" x14ac:dyDescent="0.2">
      <c r="T80" s="22"/>
    </row>
    <row r="81" spans="4:20" ht="20.100000000000001" customHeight="1" x14ac:dyDescent="0.2">
      <c r="D81" s="79" t="s">
        <v>344</v>
      </c>
      <c r="T81" s="22"/>
    </row>
    <row r="82" spans="4:20" ht="20.100000000000001" customHeight="1" x14ac:dyDescent="0.2">
      <c r="D82" s="101" t="s">
        <v>324</v>
      </c>
      <c r="E82" s="101" t="s">
        <v>325</v>
      </c>
      <c r="F82" s="101" t="s">
        <v>189</v>
      </c>
      <c r="G82" s="101" t="s">
        <v>326</v>
      </c>
      <c r="H82" s="101" t="s">
        <v>327</v>
      </c>
      <c r="I82" s="101" t="s">
        <v>328</v>
      </c>
      <c r="J82" s="101" t="s">
        <v>329</v>
      </c>
      <c r="K82" s="101" t="s">
        <v>330</v>
      </c>
      <c r="L82" s="101" t="s">
        <v>331</v>
      </c>
      <c r="M82" s="101" t="s">
        <v>332</v>
      </c>
      <c r="N82" s="101" t="s">
        <v>333</v>
      </c>
      <c r="T82" s="22"/>
    </row>
    <row r="83" spans="4:20" ht="20.100000000000001" customHeight="1" x14ac:dyDescent="0.2">
      <c r="D83" s="1" t="s">
        <v>334</v>
      </c>
      <c r="E83" s="15">
        <f>InputFunctions_PastureBeef.LookupLiveweightFromSeason($E$7,X_Cell_PastureBeef_ProductionRegion,$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1.64</v>
      </c>
      <c r="F83" s="15">
        <f>InputFunctions_PastureBeef.LookupLiveweightFromSeason($E$7,X_Cell_PastureBeef_ProductionRegion,$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G83" s="15">
        <f>InputFunctions_PastureBeef.LookupLiveweightFromSeason($E$7,X_Cell_PastureBeef_ProductionRegion,$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1.21</v>
      </c>
      <c r="H83" s="15">
        <f>InputFunctions_PastureBeef.LookupLiveweightFromSeason($E$7,X_Cell_PastureBeef_ProductionRegion,$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0.99</v>
      </c>
      <c r="I83" s="15">
        <f>InputFunctions_PastureBeef.LookupLiveweightFromSeason($E$7,X_Cell_PastureBeef_ProductionRegion,$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0.66</v>
      </c>
      <c r="J83" s="15">
        <f>InputFunctions_PastureBeef.LookupLiveweightFromSeason($E$7,X_Cell_PastureBeef_ProductionRegion,$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0.66</v>
      </c>
      <c r="K83" s="15">
        <f>InputFunctions_PastureBeef.LookupLiveweightFromSeason($E$7,X_Cell_PastureBeef_ProductionRegion,$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1.42</v>
      </c>
      <c r="L83" s="15">
        <f>InputFunctions_PastureBeef.LookupLiveweightFromSeason($E$7,X_Cell_PastureBeef_ProductionRegion,$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M83" s="15">
        <f>InputFunctions_PastureBeef.LookupLiveweightFromSeason($E$7,X_Cell_PastureBeef_ProductionRegion,$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N83" s="15">
        <f>InputFunctions_PastureBeef.LookupLiveweightFromSeason($E$7,X_Cell_PastureBeef_ProductionRegion,$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1.1000000000000001</v>
      </c>
      <c r="O83" s="16" t="s">
        <v>345</v>
      </c>
      <c r="T83" s="22"/>
    </row>
    <row r="84" spans="4:20" ht="20.100000000000001" customHeight="1" x14ac:dyDescent="0.2">
      <c r="D84" s="1" t="s">
        <v>335</v>
      </c>
      <c r="E84" s="15">
        <f>InputFunctions_PastureBeef.LookupLiveweightFromSeason($E$7,X_Cell_PastureBeef_ProductionRegion,$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F84" s="15">
        <f>InputFunctions_PastureBeef.LookupLiveweightFromSeason($E$7,X_Cell_PastureBeef_ProductionRegion,$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G84" s="15">
        <f>InputFunctions_PastureBeef.LookupLiveweightFromSeason($E$7,X_Cell_PastureBeef_ProductionRegion,$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H84" s="15">
        <f>InputFunctions_PastureBeef.LookupLiveweightFromSeason($E$7,X_Cell_PastureBeef_ProductionRegion,$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0.33</v>
      </c>
      <c r="I84" s="15">
        <f>InputFunctions_PastureBeef.LookupLiveweightFromSeason($E$7,X_Cell_PastureBeef_ProductionRegion,$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J84" s="15">
        <f>InputFunctions_PastureBeef.LookupLiveweightFromSeason($E$7,X_Cell_PastureBeef_ProductionRegion,$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K84" s="15">
        <f>InputFunctions_PastureBeef.LookupLiveweightFromSeason($E$7,X_Cell_PastureBeef_ProductionRegion,$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L84" s="15">
        <f>InputFunctions_PastureBeef.LookupLiveweightFromSeason($E$7,X_Cell_PastureBeef_ProductionRegion,$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M84" s="15">
        <f>InputFunctions_PastureBeef.LookupLiveweightFromSeason($E$7,X_Cell_PastureBeef_ProductionRegion,$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N84" s="15">
        <f>InputFunctions_PastureBeef.LookupLiveweightFromSeason($E$7,X_Cell_PastureBeef_ProductionRegion,$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O84" s="16" t="s">
        <v>345</v>
      </c>
      <c r="T84" s="22"/>
    </row>
    <row r="85" spans="4:20" ht="20.100000000000001" customHeight="1" x14ac:dyDescent="0.2">
      <c r="D85" s="1" t="s">
        <v>336</v>
      </c>
      <c r="E85" s="15">
        <f>InputFunctions_PastureBeef.LookupLiveweightFromSeason($E$7,X_Cell_PastureBeef_ProductionRegion,$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F85" s="15">
        <f>InputFunctions_PastureBeef.LookupLiveweightFromSeason($E$7,X_Cell_PastureBeef_ProductionRegion,$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G85" s="15">
        <f>InputFunctions_PastureBeef.LookupLiveweightFromSeason($E$7,X_Cell_PastureBeef_ProductionRegion,$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H85" s="15">
        <f>InputFunctions_PastureBeef.LookupLiveweightFromSeason($E$7,X_Cell_PastureBeef_ProductionRegion,$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I85" s="15">
        <f>InputFunctions_PastureBeef.LookupLiveweightFromSeason($E$7,X_Cell_PastureBeef_ProductionRegion,$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-0.55000000000000004</v>
      </c>
      <c r="J85" s="15">
        <f>InputFunctions_PastureBeef.LookupLiveweightFromSeason($E$7,X_Cell_PastureBeef_ProductionRegion,$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-0.55000000000000004</v>
      </c>
      <c r="K85" s="15">
        <f>InputFunctions_PastureBeef.LookupLiveweightFromSeason($E$7,X_Cell_PastureBeef_ProductionRegion,$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0.6</v>
      </c>
      <c r="L85" s="15">
        <f>InputFunctions_PastureBeef.LookupLiveweightFromSeason($E$7,X_Cell_PastureBeef_ProductionRegion,$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M85" s="15">
        <f>InputFunctions_PastureBeef.LookupLiveweightFromSeason($E$7,X_Cell_PastureBeef_ProductionRegion,$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N85" s="15">
        <f>InputFunctions_PastureBeef.LookupLiveweightFromSeason($E$7,X_Cell_PastureBeef_ProductionRegion,$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v>
      </c>
      <c r="O85" s="16" t="s">
        <v>345</v>
      </c>
      <c r="T85" s="22"/>
    </row>
    <row r="86" spans="4:20" ht="20.100000000000001" customHeight="1" x14ac:dyDescent="0.2">
      <c r="D86" s="1" t="s">
        <v>337</v>
      </c>
      <c r="E86" s="15">
        <f>InputFunctions_PastureBeef.LookupLiveweightFromSeason($E$7,X_Cell_PastureBeef_ProductionRegion,$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0.99</v>
      </c>
      <c r="F86" s="15">
        <f>InputFunctions_PastureBeef.LookupLiveweightFromSeason($E$7,X_Cell_PastureBeef_ProductionRegion,$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0.22</v>
      </c>
      <c r="G86" s="15">
        <f>InputFunctions_PastureBeef.LookupLiveweightFromSeason($E$7,X_Cell_PastureBeef_ProductionRegion,$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0.77</v>
      </c>
      <c r="H86" s="15">
        <f>InputFunctions_PastureBeef.LookupLiveweightFromSeason($E$7,X_Cell_PastureBeef_ProductionRegion,$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I86" s="15">
        <f>InputFunctions_PastureBeef.LookupLiveweightFromSeason($E$7,X_Cell_PastureBeef_ProductionRegion,$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J86" s="15">
        <f>InputFunctions_PastureBeef.LookupLiveweightFromSeason($E$7,X_Cell_PastureBeef_ProductionRegion,$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0.11</v>
      </c>
      <c r="K86" s="15">
        <f>InputFunctions_PastureBeef.LookupLiveweightFromSeason($E$7,X_Cell_PastureBeef_ProductionRegion,$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0.77</v>
      </c>
      <c r="L86" s="15">
        <f>InputFunctions_PastureBeef.LookupLiveweightFromSeason($E$7,X_Cell_PastureBeef_ProductionRegion,$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M86" s="15">
        <f>InputFunctions_PastureBeef.LookupLiveweightFromSeason($E$7,X_Cell_PastureBeef_ProductionRegion,$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N86" s="15">
        <f>InputFunctions_PastureBeef.LookupLiveweightFromSeason($E$7,X_Cell_PastureBeef_ProductionRegion,$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f>
        <v>0.44</v>
      </c>
      <c r="O86" s="16" t="s">
        <v>345</v>
      </c>
      <c r="T86" s="22"/>
    </row>
    <row r="87" spans="4:20" ht="20.100000000000001" customHeight="1" x14ac:dyDescent="0.2">
      <c r="O87" s="16"/>
      <c r="T87" s="22"/>
    </row>
    <row r="88" spans="4:20" ht="20.100000000000001" customHeight="1" x14ac:dyDescent="0.2">
      <c r="D88" s="101" t="s">
        <v>338</v>
      </c>
      <c r="E88" s="101" t="s">
        <v>325</v>
      </c>
      <c r="F88" s="101" t="s">
        <v>189</v>
      </c>
      <c r="G88" s="101" t="s">
        <v>326</v>
      </c>
      <c r="H88" s="101" t="s">
        <v>327</v>
      </c>
      <c r="I88" s="101" t="s">
        <v>328</v>
      </c>
      <c r="J88" s="101" t="s">
        <v>329</v>
      </c>
      <c r="K88" s="101" t="s">
        <v>330</v>
      </c>
      <c r="L88" s="101" t="s">
        <v>331</v>
      </c>
      <c r="M88" s="101" t="s">
        <v>332</v>
      </c>
      <c r="N88" s="101" t="s">
        <v>333</v>
      </c>
      <c r="O88" s="16"/>
      <c r="T88" s="22"/>
    </row>
    <row r="89" spans="4:20" ht="20.100000000000001" customHeight="1" x14ac:dyDescent="0.2">
      <c r="D89" s="1" t="str">
        <f>TEXT(X_Cell_Site_StartDate, "mmmm yyyy")</f>
        <v>January 2024</v>
      </c>
      <c r="E89" s="76">
        <f>InputFunctions_PastureBeef.LookupLiveweightFromMonth($E$7,X_Cell_PastureBeef_ProductionRegion,$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89" s="76">
        <f>InputFunctions_PastureBeef.LookupLiveweightFromMonth($E$7,X_Cell_PastureBeef_ProductionRegion,$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89" s="76">
        <f>InputFunctions_PastureBeef.LookupLiveweightFromMonth($E$7,X_Cell_PastureBeef_ProductionRegion,$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89" s="76">
        <f>InputFunctions_PastureBeef.LookupLiveweightFromMonth($E$7,X_Cell_PastureBeef_ProductionRegion,$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89" s="76">
        <f>InputFunctions_PastureBeef.LookupLiveweightFromMonth($E$7,X_Cell_PastureBeef_ProductionRegion,$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89" s="76">
        <f>InputFunctions_PastureBeef.LookupLiveweightFromMonth($E$7,X_Cell_PastureBeef_ProductionRegion,$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89" s="76">
        <f>InputFunctions_PastureBeef.LookupLiveweightFromMonth($E$7,X_Cell_PastureBeef_ProductionRegion,$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89" s="76">
        <f>InputFunctions_PastureBeef.LookupLiveweightFromMonth($E$7,X_Cell_PastureBeef_ProductionRegion,$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89" s="76">
        <f>InputFunctions_PastureBeef.LookupLiveweightFromMonth($E$7,X_Cell_PastureBeef_ProductionRegion,$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89" s="76">
        <f>InputFunctions_PastureBeef.LookupLiveweightFromMonth($E$7,X_Cell_PastureBeef_ProductionRegion,$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89" s="16" t="s">
        <v>345</v>
      </c>
      <c r="T89" s="22"/>
    </row>
    <row r="90" spans="4:20" ht="20.100000000000001" customHeight="1" x14ac:dyDescent="0.2">
      <c r="D90" s="1" t="str">
        <f>TEXT(EDATE(X_Cell_Site_StartDate,1), "mmmm yyyy")</f>
        <v>February 2024</v>
      </c>
      <c r="E90" s="76">
        <f>InputFunctions_PastureBeef.LookupLiveweightFromMonth($E$7,X_Cell_PastureBeef_ProductionRegion,$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90" s="76">
        <f>InputFunctions_PastureBeef.LookupLiveweightFromMonth($E$7,X_Cell_PastureBeef_ProductionRegion,$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0" s="76">
        <f>InputFunctions_PastureBeef.LookupLiveweightFromMonth($E$7,X_Cell_PastureBeef_ProductionRegion,$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90" s="76">
        <f>InputFunctions_PastureBeef.LookupLiveweightFromMonth($E$7,X_Cell_PastureBeef_ProductionRegion,$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90" s="76">
        <f>InputFunctions_PastureBeef.LookupLiveweightFromMonth($E$7,X_Cell_PastureBeef_ProductionRegion,$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90" s="76">
        <f>InputFunctions_PastureBeef.LookupLiveweightFromMonth($E$7,X_Cell_PastureBeef_ProductionRegion,$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90" s="76">
        <f>InputFunctions_PastureBeef.LookupLiveweightFromMonth($E$7,X_Cell_PastureBeef_ProductionRegion,$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90" s="76">
        <f>InputFunctions_PastureBeef.LookupLiveweightFromMonth($E$7,X_Cell_PastureBeef_ProductionRegion,$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90" s="76">
        <f>InputFunctions_PastureBeef.LookupLiveweightFromMonth($E$7,X_Cell_PastureBeef_ProductionRegion,$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90" s="76">
        <f>InputFunctions_PastureBeef.LookupLiveweightFromMonth($E$7,X_Cell_PastureBeef_ProductionRegion,$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90" s="16" t="s">
        <v>345</v>
      </c>
      <c r="T90" s="22"/>
    </row>
    <row r="91" spans="4:20" ht="20.100000000000001" customHeight="1" x14ac:dyDescent="0.2">
      <c r="D91" s="1" t="str">
        <f>TEXT(EDATE(X_Cell_Site_StartDate,2), "mmmm yyyy")</f>
        <v>March 2024</v>
      </c>
      <c r="E91" s="76">
        <f>InputFunctions_PastureBeef.LookupLiveweightFromMonth($E$7,X_Cell_PastureBeef_ProductionRegion,$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1" s="76">
        <f>InputFunctions_PastureBeef.LookupLiveweightFromMonth($E$7,X_Cell_PastureBeef_ProductionRegion,$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1" s="76">
        <f>InputFunctions_PastureBeef.LookupLiveweightFromMonth($E$7,X_Cell_PastureBeef_ProductionRegion,$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1" s="76">
        <f>InputFunctions_PastureBeef.LookupLiveweightFromMonth($E$7,X_Cell_PastureBeef_ProductionRegion,$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1" s="76">
        <f>InputFunctions_PastureBeef.LookupLiveweightFromMonth($E$7,X_Cell_PastureBeef_ProductionRegion,$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1" s="76">
        <f>InputFunctions_PastureBeef.LookupLiveweightFromMonth($E$7,X_Cell_PastureBeef_ProductionRegion,$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1" s="76">
        <f>InputFunctions_PastureBeef.LookupLiveweightFromMonth($E$7,X_Cell_PastureBeef_ProductionRegion,$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1" s="76">
        <f>InputFunctions_PastureBeef.LookupLiveweightFromMonth($E$7,X_Cell_PastureBeef_ProductionRegion,$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1" s="76">
        <f>InputFunctions_PastureBeef.LookupLiveweightFromMonth($E$7,X_Cell_PastureBeef_ProductionRegion,$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1" s="76">
        <f>InputFunctions_PastureBeef.LookupLiveweightFromMonth($E$7,X_Cell_PastureBeef_ProductionRegion,$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1" s="16" t="s">
        <v>345</v>
      </c>
      <c r="T91" s="22"/>
    </row>
    <row r="92" spans="4:20" ht="20.100000000000001" customHeight="1" x14ac:dyDescent="0.2">
      <c r="D92" s="1" t="str">
        <f>TEXT(EDATE(X_Cell_Site_StartDate,3), "mmmm yyyy")</f>
        <v>April 2024</v>
      </c>
      <c r="E92" s="76">
        <f>InputFunctions_PastureBeef.LookupLiveweightFromMonth($E$7,X_Cell_PastureBeef_ProductionRegion,$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2" s="76">
        <f>InputFunctions_PastureBeef.LookupLiveweightFromMonth($E$7,X_Cell_PastureBeef_ProductionRegion,$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2" s="76">
        <f>InputFunctions_PastureBeef.LookupLiveweightFromMonth($E$7,X_Cell_PastureBeef_ProductionRegion,$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2" s="76">
        <f>InputFunctions_PastureBeef.LookupLiveweightFromMonth($E$7,X_Cell_PastureBeef_ProductionRegion,$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2" s="76">
        <f>InputFunctions_PastureBeef.LookupLiveweightFromMonth($E$7,X_Cell_PastureBeef_ProductionRegion,$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2" s="76">
        <f>InputFunctions_PastureBeef.LookupLiveweightFromMonth($E$7,X_Cell_PastureBeef_ProductionRegion,$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2" s="76">
        <f>InputFunctions_PastureBeef.LookupLiveweightFromMonth($E$7,X_Cell_PastureBeef_ProductionRegion,$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2" s="76">
        <f>InputFunctions_PastureBeef.LookupLiveweightFromMonth($E$7,X_Cell_PastureBeef_ProductionRegion,$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2" s="76">
        <f>InputFunctions_PastureBeef.LookupLiveweightFromMonth($E$7,X_Cell_PastureBeef_ProductionRegion,$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2" s="76">
        <f>InputFunctions_PastureBeef.LookupLiveweightFromMonth($E$7,X_Cell_PastureBeef_ProductionRegion,$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2" s="16" t="s">
        <v>345</v>
      </c>
      <c r="T92" s="22"/>
    </row>
    <row r="93" spans="4:20" ht="20.100000000000001" customHeight="1" x14ac:dyDescent="0.2">
      <c r="D93" s="1" t="str">
        <f>TEXT(EDATE(X_Cell_Site_StartDate,4), "mmmm yyyy")</f>
        <v>May 2024</v>
      </c>
      <c r="E93" s="76">
        <f>InputFunctions_PastureBeef.LookupLiveweightFromMonth($E$7,X_Cell_PastureBeef_ProductionRegion,$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F93" s="76">
        <f>InputFunctions_PastureBeef.LookupLiveweightFromMonth($E$7,X_Cell_PastureBeef_ProductionRegion,$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G93" s="76">
        <f>InputFunctions_PastureBeef.LookupLiveweightFromMonth($E$7,X_Cell_PastureBeef_ProductionRegion,$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H93" s="76">
        <f>InputFunctions_PastureBeef.LookupLiveweightFromMonth($E$7,X_Cell_PastureBeef_ProductionRegion,$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I93" s="76">
        <f>InputFunctions_PastureBeef.LookupLiveweightFromMonth($E$7,X_Cell_PastureBeef_ProductionRegion,$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J93" s="76">
        <f>InputFunctions_PastureBeef.LookupLiveweightFromMonth($E$7,X_Cell_PastureBeef_ProductionRegion,$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-0.55000000000000004</v>
      </c>
      <c r="K93" s="76">
        <f>InputFunctions_PastureBeef.LookupLiveweightFromMonth($E$7,X_Cell_PastureBeef_ProductionRegion,$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v>
      </c>
      <c r="L93" s="76">
        <f>InputFunctions_PastureBeef.LookupLiveweightFromMonth($E$7,X_Cell_PastureBeef_ProductionRegion,$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M93" s="76">
        <f>InputFunctions_PastureBeef.LookupLiveweightFromMonth($E$7,X_Cell_PastureBeef_ProductionRegion,$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N93" s="76">
        <f>InputFunctions_PastureBeef.LookupLiveweightFromMonth($E$7,X_Cell_PastureBeef_ProductionRegion,$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v>
      </c>
      <c r="O93" s="16" t="s">
        <v>345</v>
      </c>
      <c r="T93" s="22"/>
    </row>
    <row r="94" spans="4:20" ht="20.100000000000001" customHeight="1" x14ac:dyDescent="0.2">
      <c r="D94" s="1" t="str">
        <f>TEXT(EDATE(X_Cell_Site_StartDate,5), "mmmm yyyy")</f>
        <v>June 2024</v>
      </c>
      <c r="E94" s="76">
        <f>InputFunctions_PastureBeef.LookupLiveweightFromMonth($E$7,X_Cell_PastureBeef_ProductionRegion,$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4" s="76">
        <f>InputFunctions_PastureBeef.LookupLiveweightFromMonth($E$7,X_Cell_PastureBeef_ProductionRegion,$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4" s="76">
        <f>InputFunctions_PastureBeef.LookupLiveweightFromMonth($E$7,X_Cell_PastureBeef_ProductionRegion,$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4" s="76">
        <f>InputFunctions_PastureBeef.LookupLiveweightFromMonth($E$7,X_Cell_PastureBeef_ProductionRegion,$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4" s="76">
        <f>InputFunctions_PastureBeef.LookupLiveweightFromMonth($E$7,X_Cell_PastureBeef_ProductionRegion,$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4" s="76">
        <f>InputFunctions_PastureBeef.LookupLiveweightFromMonth($E$7,X_Cell_PastureBeef_ProductionRegion,$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4" s="76">
        <f>InputFunctions_PastureBeef.LookupLiveweightFromMonth($E$7,X_Cell_PastureBeef_ProductionRegion,$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4" s="76">
        <f>InputFunctions_PastureBeef.LookupLiveweightFromMonth($E$7,X_Cell_PastureBeef_ProductionRegion,$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4" s="76">
        <f>InputFunctions_PastureBeef.LookupLiveweightFromMonth($E$7,X_Cell_PastureBeef_ProductionRegion,$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4" s="76">
        <f>InputFunctions_PastureBeef.LookupLiveweightFromMonth($E$7,X_Cell_PastureBeef_ProductionRegion,$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4" s="16" t="s">
        <v>345</v>
      </c>
      <c r="T94" s="22"/>
    </row>
    <row r="95" spans="4:20" ht="20.100000000000001" customHeight="1" x14ac:dyDescent="0.2">
      <c r="D95" s="1" t="str">
        <f>TEXT(EDATE(X_Cell_Site_StartDate,6), "mmmm yyyy")</f>
        <v>July 2024</v>
      </c>
      <c r="E95" s="76">
        <f>InputFunctions_PastureBeef.LookupLiveweightFromMonth($E$7,X_Cell_PastureBeef_ProductionRegion,$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5" s="76">
        <f>InputFunctions_PastureBeef.LookupLiveweightFromMonth($E$7,X_Cell_PastureBeef_ProductionRegion,$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5" s="76">
        <f>InputFunctions_PastureBeef.LookupLiveweightFromMonth($E$7,X_Cell_PastureBeef_ProductionRegion,$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5" s="76">
        <f>InputFunctions_PastureBeef.LookupLiveweightFromMonth($E$7,X_Cell_PastureBeef_ProductionRegion,$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5" s="76">
        <f>InputFunctions_PastureBeef.LookupLiveweightFromMonth($E$7,X_Cell_PastureBeef_ProductionRegion,$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5" s="76">
        <f>InputFunctions_PastureBeef.LookupLiveweightFromMonth($E$7,X_Cell_PastureBeef_ProductionRegion,$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5" s="76">
        <f>InputFunctions_PastureBeef.LookupLiveweightFromMonth($E$7,X_Cell_PastureBeef_ProductionRegion,$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5" s="76">
        <f>InputFunctions_PastureBeef.LookupLiveweightFromMonth($E$7,X_Cell_PastureBeef_ProductionRegion,$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5" s="76">
        <f>InputFunctions_PastureBeef.LookupLiveweightFromMonth($E$7,X_Cell_PastureBeef_ProductionRegion,$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5" s="76">
        <f>InputFunctions_PastureBeef.LookupLiveweightFromMonth($E$7,X_Cell_PastureBeef_ProductionRegion,$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5" s="16" t="s">
        <v>345</v>
      </c>
      <c r="T95" s="22"/>
    </row>
    <row r="96" spans="4:20" ht="20.100000000000001" customHeight="1" x14ac:dyDescent="0.2">
      <c r="D96" s="1" t="str">
        <f>TEXT(EDATE(X_Cell_Site_StartDate,7), "mmmm yyyy")</f>
        <v>August 2024</v>
      </c>
      <c r="E96" s="76">
        <f>InputFunctions_PastureBeef.LookupLiveweightFromMonth($E$7,X_Cell_PastureBeef_ProductionRegion,$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F96" s="76">
        <f>InputFunctions_PastureBeef.LookupLiveweightFromMonth($E$7,X_Cell_PastureBeef_ProductionRegion,$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96" s="76">
        <f>InputFunctions_PastureBeef.LookupLiveweightFromMonth($E$7,X_Cell_PastureBeef_ProductionRegion,$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H96" s="76">
        <f>InputFunctions_PastureBeef.LookupLiveweightFromMonth($E$7,X_Cell_PastureBeef_ProductionRegion,$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I96" s="76">
        <f>InputFunctions_PastureBeef.LookupLiveweightFromMonth($E$7,X_Cell_PastureBeef_ProductionRegion,$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J96" s="76">
        <f>InputFunctions_PastureBeef.LookupLiveweightFromMonth($E$7,X_Cell_PastureBeef_ProductionRegion,$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K96" s="76">
        <f>InputFunctions_PastureBeef.LookupLiveweightFromMonth($E$7,X_Cell_PastureBeef_ProductionRegion,$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0.77</v>
      </c>
      <c r="L96" s="76">
        <f>InputFunctions_PastureBeef.LookupLiveweightFromMonth($E$7,X_Cell_PastureBeef_ProductionRegion,$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M96" s="76">
        <f>InputFunctions_PastureBeef.LookupLiveweightFromMonth($E$7,X_Cell_PastureBeef_ProductionRegion,$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N96" s="76">
        <f>InputFunctions_PastureBeef.LookupLiveweightFromMonth($E$7,X_Cell_PastureBeef_ProductionRegion,$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O96" s="16" t="s">
        <v>345</v>
      </c>
      <c r="T96" s="22"/>
    </row>
    <row r="97" spans="1:20" ht="20.100000000000001" customHeight="1" x14ac:dyDescent="0.2">
      <c r="D97" s="1" t="str">
        <f>TEXT(EDATE(X_Cell_Site_StartDate,8), "mmmm yyyy")</f>
        <v>September 2024</v>
      </c>
      <c r="E97" s="76">
        <f>InputFunctions_PastureBeef.LookupLiveweightFromMonth($E$7,X_Cell_PastureBeef_ProductionRegion,$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7" s="76">
        <f>InputFunctions_PastureBeef.LookupLiveweightFromMonth($E$7,X_Cell_PastureBeef_ProductionRegion,$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7" s="76">
        <f>InputFunctions_PastureBeef.LookupLiveweightFromMonth($E$7,X_Cell_PastureBeef_ProductionRegion,$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7" s="76">
        <f>InputFunctions_PastureBeef.LookupLiveweightFromMonth($E$7,X_Cell_PastureBeef_ProductionRegion,$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7" s="76">
        <f>InputFunctions_PastureBeef.LookupLiveweightFromMonth($E$7,X_Cell_PastureBeef_ProductionRegion,$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7" s="76">
        <f>InputFunctions_PastureBeef.LookupLiveweightFromMonth($E$7,X_Cell_PastureBeef_ProductionRegion,$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7" s="76">
        <f>InputFunctions_PastureBeef.LookupLiveweightFromMonth($E$7,X_Cell_PastureBeef_ProductionRegion,$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7" s="76">
        <f>InputFunctions_PastureBeef.LookupLiveweightFromMonth($E$7,X_Cell_PastureBeef_ProductionRegion,$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7" s="76">
        <f>InputFunctions_PastureBeef.LookupLiveweightFromMonth($E$7,X_Cell_PastureBeef_ProductionRegion,$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7" s="76">
        <f>InputFunctions_PastureBeef.LookupLiveweightFromMonth($E$7,X_Cell_PastureBeef_ProductionRegion,$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7" s="16" t="s">
        <v>345</v>
      </c>
      <c r="T97" s="22"/>
    </row>
    <row r="98" spans="1:20" ht="20.100000000000001" customHeight="1" x14ac:dyDescent="0.2">
      <c r="D98" s="1" t="str">
        <f>TEXT(EDATE(X_Cell_Site_StartDate,9), "mmmm yyyy")</f>
        <v>October 2024</v>
      </c>
      <c r="E98" s="76">
        <f>InputFunctions_PastureBeef.LookupLiveweightFromMonth($E$7,X_Cell_PastureBeef_ProductionRegion,$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8" s="76">
        <f>InputFunctions_PastureBeef.LookupLiveweightFromMonth($E$7,X_Cell_PastureBeef_ProductionRegion,$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8" s="76">
        <f>InputFunctions_PastureBeef.LookupLiveweightFromMonth($E$7,X_Cell_PastureBeef_ProductionRegion,$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8" s="76">
        <f>InputFunctions_PastureBeef.LookupLiveweightFromMonth($E$7,X_Cell_PastureBeef_ProductionRegion,$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8" s="76">
        <f>InputFunctions_PastureBeef.LookupLiveweightFromMonth($E$7,X_Cell_PastureBeef_ProductionRegion,$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8" s="76">
        <f>InputFunctions_PastureBeef.LookupLiveweightFromMonth($E$7,X_Cell_PastureBeef_ProductionRegion,$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8" s="76">
        <f>InputFunctions_PastureBeef.LookupLiveweightFromMonth($E$7,X_Cell_PastureBeef_ProductionRegion,$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8" s="76">
        <f>InputFunctions_PastureBeef.LookupLiveweightFromMonth($E$7,X_Cell_PastureBeef_ProductionRegion,$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8" s="76">
        <f>InputFunctions_PastureBeef.LookupLiveweightFromMonth($E$7,X_Cell_PastureBeef_ProductionRegion,$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8" s="76">
        <f>InputFunctions_PastureBeef.LookupLiveweightFromMonth($E$7,X_Cell_PastureBeef_ProductionRegion,$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8" s="16" t="s">
        <v>345</v>
      </c>
      <c r="T98" s="22"/>
    </row>
    <row r="99" spans="1:20" ht="20.100000000000001" customHeight="1" x14ac:dyDescent="0.2">
      <c r="D99" s="1" t="str">
        <f>TEXT(EDATE(X_Cell_Site_StartDate,10), "mmmm yyyy")</f>
        <v>November 2024</v>
      </c>
      <c r="E99" s="76">
        <f>InputFunctions_PastureBeef.LookupLiveweightFromMonth($E$7,X_Cell_PastureBeef_ProductionRegion,$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1.64</v>
      </c>
      <c r="F99" s="76">
        <f>InputFunctions_PastureBeef.LookupLiveweightFromMonth($E$7,X_Cell_PastureBeef_ProductionRegion,$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G99" s="76">
        <f>InputFunctions_PastureBeef.LookupLiveweightFromMonth($E$7,X_Cell_PastureBeef_ProductionRegion,$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1.21</v>
      </c>
      <c r="H99" s="76">
        <f>InputFunctions_PastureBeef.LookupLiveweightFromMonth($E$7,X_Cell_PastureBeef_ProductionRegion,$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0.99</v>
      </c>
      <c r="I99" s="76">
        <f>InputFunctions_PastureBeef.LookupLiveweightFromMonth($E$7,X_Cell_PastureBeef_ProductionRegion,$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J99" s="76">
        <f>InputFunctions_PastureBeef.LookupLiveweightFromMonth($E$7,X_Cell_PastureBeef_ProductionRegion,$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0.66</v>
      </c>
      <c r="K99" s="76">
        <f>InputFunctions_PastureBeef.LookupLiveweightFromMonth($E$7,X_Cell_PastureBeef_ProductionRegion,$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1.42</v>
      </c>
      <c r="L99" s="76">
        <f>InputFunctions_PastureBeef.LookupLiveweightFromMonth($E$7,X_Cell_PastureBeef_ProductionRegion,$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M99" s="76">
        <f>InputFunctions_PastureBeef.LookupLiveweightFromMonth($E$7,X_Cell_PastureBeef_ProductionRegion,$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N99" s="76">
        <f>InputFunctions_PastureBeef.LookupLiveweightFromMonth($E$7,X_Cell_PastureBeef_ProductionRegion,$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1.1000000000000001</v>
      </c>
      <c r="O99" s="16" t="s">
        <v>345</v>
      </c>
      <c r="T99" s="22"/>
    </row>
    <row r="100" spans="1:20" ht="20.100000000000001" customHeight="1" x14ac:dyDescent="0.2">
      <c r="D100" s="1" t="str">
        <f>TEXT(EDATE(X_Cell_Site_StartDate,11), "mmmm yyyy")</f>
        <v>December 2024</v>
      </c>
      <c r="E100" s="76">
        <f>InputFunctions_PastureBeef.LookupLiveweightFromMonth($E$7,X_Cell_PastureBeef_ProductionRegion,$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F100" s="76">
        <f>InputFunctions_PastureBeef.LookupLiveweightFromMonth($E$7,X_Cell_PastureBeef_ProductionRegion,$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G100" s="76">
        <f>InputFunctions_PastureBeef.LookupLiveweightFromMonth($E$7,X_Cell_PastureBeef_ProductionRegion,$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H100" s="76">
        <f>InputFunctions_PastureBeef.LookupLiveweightFromMonth($E$7,X_Cell_PastureBeef_ProductionRegion,$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0.33</v>
      </c>
      <c r="I100" s="76">
        <f>InputFunctions_PastureBeef.LookupLiveweightFromMonth($E$7,X_Cell_PastureBeef_ProductionRegion,$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J100" s="76">
        <f>InputFunctions_PastureBeef.LookupLiveweightFromMonth($E$7,X_Cell_PastureBeef_ProductionRegion,$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-0.22</v>
      </c>
      <c r="K100" s="76">
        <f>InputFunctions_PastureBeef.LookupLiveweightFromMonth($E$7,X_Cell_PastureBeef_ProductionRegion,$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0.44</v>
      </c>
      <c r="L100" s="76">
        <f>InputFunctions_PastureBeef.LookupLiveweightFromMonth($E$7,X_Cell_PastureBeef_ProductionRegion,$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M100" s="76">
        <f>InputFunctions_PastureBeef.LookupLiveweightFromMonth($E$7,X_Cell_PastureBeef_ProductionRegion,$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N100" s="76">
        <f>InputFunctions_PastureBeef.LookupLiveweightFromMonth($E$7,X_Cell_PastureBeef_ProductionRegion,$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Data],Table_AustralianStates[Common Name],Table_AustralianStates[Abbreviation],Table_SourceData_Common_MonthToSeason[Month],Table_SourceData_Common_MonthToSeason[Season])</f>
        <v>-0.11</v>
      </c>
      <c r="O100" s="16" t="s">
        <v>345</v>
      </c>
      <c r="T100" s="22"/>
    </row>
    <row r="101" spans="1:20" ht="20.100000000000001" customHeight="1" x14ac:dyDescent="0.2">
      <c r="A101" s="85" t="str">
        <f>HYPERLINK("#A1", "▲ Back to top")</f>
        <v>▲ Back to top</v>
      </c>
      <c r="T101" s="22"/>
    </row>
    <row r="102" spans="1:20" ht="20.100000000000001" customHeight="1" x14ac:dyDescent="0.2">
      <c r="T102" s="22"/>
    </row>
    <row r="103" spans="1:20" ht="20.100000000000001" customHeight="1" x14ac:dyDescent="0.2">
      <c r="D103" s="79" t="s">
        <v>346</v>
      </c>
      <c r="K103" s="16"/>
      <c r="L103" s="16"/>
      <c r="M103" s="16"/>
      <c r="N103" s="16"/>
      <c r="O103" s="16"/>
      <c r="T103" s="22"/>
    </row>
    <row r="104" spans="1:20" ht="20.100000000000001" customHeight="1" x14ac:dyDescent="0.2">
      <c r="D104" s="101" t="s">
        <v>324</v>
      </c>
      <c r="E104" s="101" t="s">
        <v>325</v>
      </c>
      <c r="F104" s="101" t="s">
        <v>189</v>
      </c>
      <c r="G104" s="101" t="s">
        <v>326</v>
      </c>
      <c r="H104" s="101" t="s">
        <v>327</v>
      </c>
      <c r="I104" s="101" t="s">
        <v>328</v>
      </c>
      <c r="J104" s="101" t="s">
        <v>329</v>
      </c>
      <c r="K104" s="101" t="s">
        <v>330</v>
      </c>
      <c r="L104" s="101" t="s">
        <v>331</v>
      </c>
      <c r="M104" s="101" t="s">
        <v>332</v>
      </c>
      <c r="N104" s="101" t="s">
        <v>333</v>
      </c>
      <c r="T104" s="22"/>
    </row>
    <row r="105" spans="1:20" ht="20.100000000000001" customHeight="1" x14ac:dyDescent="0.2">
      <c r="D105" s="1" t="s">
        <v>334</v>
      </c>
      <c r="E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F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G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H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I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J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K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L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M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N105" s="15">
        <f>InputFunctions_PastureBeef.LookupValueFromStateRegionSeason($E$7,X_Cell_PastureBeef_ProductionRegion,$D105,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0.8</v>
      </c>
      <c r="O105" s="16" t="s">
        <v>347</v>
      </c>
      <c r="T105" s="22"/>
    </row>
    <row r="106" spans="1:20" ht="20.100000000000001" customHeight="1" x14ac:dyDescent="0.2">
      <c r="D106" s="1" t="s">
        <v>335</v>
      </c>
      <c r="E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F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G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H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I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J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K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L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M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N106" s="15">
        <f>InputFunctions_PastureBeef.LookupValueFromStateRegionSeason($E$7,X_Cell_PastureBeef_ProductionRegion,$D106,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0.57999999999999996</v>
      </c>
      <c r="O106" s="16" t="s">
        <v>347</v>
      </c>
      <c r="T106" s="22"/>
    </row>
    <row r="107" spans="1:20" ht="20.100000000000001" customHeight="1" x14ac:dyDescent="0.2">
      <c r="D107" s="1" t="s">
        <v>336</v>
      </c>
      <c r="E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F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G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H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I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J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K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L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M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N107" s="15">
        <f>InputFunctions_PastureBeef.LookupValueFromStateRegionSeason($E$7,X_Cell_PastureBeef_ProductionRegion,$D107,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0.5</v>
      </c>
      <c r="O107" s="16" t="s">
        <v>347</v>
      </c>
    </row>
    <row r="108" spans="1:20" ht="20.100000000000001" customHeight="1" x14ac:dyDescent="0.2">
      <c r="D108" s="1" t="s">
        <v>337</v>
      </c>
      <c r="E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F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G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H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I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J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K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L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M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N108" s="15">
        <f>InputFunctions_PastureBeef.LookupValueFromStateRegionSeason($E$7,X_Cell_PastureBeef_ProductionRegion,$D108, 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f>
        <v>0.75</v>
      </c>
      <c r="O108" s="16" t="s">
        <v>347</v>
      </c>
    </row>
    <row r="110" spans="1:20" ht="20.100000000000001" customHeight="1" x14ac:dyDescent="0.2">
      <c r="D110" s="101" t="s">
        <v>338</v>
      </c>
      <c r="E110" s="101" t="s">
        <v>325</v>
      </c>
      <c r="F110" s="101" t="s">
        <v>189</v>
      </c>
      <c r="G110" s="101" t="s">
        <v>326</v>
      </c>
      <c r="H110" s="101" t="s">
        <v>327</v>
      </c>
      <c r="I110" s="101" t="s">
        <v>328</v>
      </c>
      <c r="J110" s="101" t="s">
        <v>329</v>
      </c>
      <c r="K110" s="101" t="s">
        <v>330</v>
      </c>
      <c r="L110" s="101" t="s">
        <v>331</v>
      </c>
      <c r="M110" s="101" t="s">
        <v>332</v>
      </c>
      <c r="N110" s="101" t="s">
        <v>333</v>
      </c>
    </row>
    <row r="111" spans="1:20" ht="20.100000000000001" customHeight="1" x14ac:dyDescent="0.2">
      <c r="D111" s="1" t="str">
        <f>TEXT(X_Cell_Site_StartDate, "mmmm yyyy")</f>
        <v>January 2024</v>
      </c>
      <c r="E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11" s="76">
        <f>InputFunctions_PastureBeef.LookupValueFromStateRegionMonth($E$7,X_Cell_PastureBeef_ProductionRegion,$D111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11" s="16" t="s">
        <v>347</v>
      </c>
    </row>
    <row r="112" spans="1:20" ht="20.100000000000001" customHeight="1" x14ac:dyDescent="0.2">
      <c r="D112" s="1" t="str">
        <f>TEXT(EDATE(X_Cell_Site_StartDate,1), "mmmm yyyy")</f>
        <v>February 2024</v>
      </c>
      <c r="E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12" s="76">
        <f>InputFunctions_PastureBeef.LookupValueFromStateRegionMonth($E$7,X_Cell_PastureBeef_ProductionRegion,$D112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12" s="16" t="s">
        <v>347</v>
      </c>
    </row>
    <row r="113" spans="4:15" ht="20.100000000000001" customHeight="1" x14ac:dyDescent="0.2">
      <c r="D113" s="1" t="str">
        <f>TEXT(EDATE(X_Cell_Site_StartDate,2), "mmmm yyyy")</f>
        <v>March 2024</v>
      </c>
      <c r="E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13" s="76">
        <f>InputFunctions_PastureBeef.LookupValueFromStateRegionMonth($E$7,X_Cell_PastureBeef_ProductionRegion,$D113,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13" s="16" t="s">
        <v>347</v>
      </c>
    </row>
    <row r="114" spans="4:15" ht="20.100000000000001" customHeight="1" x14ac:dyDescent="0.2">
      <c r="D114" s="1" t="str">
        <f>TEXT(EDATE(X_Cell_Site_StartDate,3), "mmmm yyyy")</f>
        <v>April 2024</v>
      </c>
      <c r="E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14" s="76">
        <f>InputFunctions_PastureBeef.LookupValueFromStateRegionMonth($E$7,X_Cell_PastureBeef_ProductionRegion,$D114,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14" s="16" t="s">
        <v>347</v>
      </c>
    </row>
    <row r="115" spans="4:15" ht="20.100000000000001" customHeight="1" x14ac:dyDescent="0.2">
      <c r="D115" s="1" t="str">
        <f>TEXT(EDATE(X_Cell_Site_StartDate,4), "mmmm yyyy")</f>
        <v>May 2024</v>
      </c>
      <c r="E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F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G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H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I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J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K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L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M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N115" s="76">
        <f>InputFunctions_PastureBeef.LookupValueFromStateRegionMonth($E$7,X_Cell_PastureBeef_ProductionRegion,$D115,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v>
      </c>
      <c r="O115" s="16" t="s">
        <v>347</v>
      </c>
    </row>
    <row r="116" spans="4:15" ht="20.100000000000001" customHeight="1" x14ac:dyDescent="0.2">
      <c r="D116" s="1" t="str">
        <f>TEXT(EDATE(X_Cell_Site_StartDate,5), "mmmm yyyy")</f>
        <v>June 2024</v>
      </c>
      <c r="E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16" s="76">
        <f>InputFunctions_PastureBeef.LookupValueFromStateRegionMonth($E$7,X_Cell_PastureBeef_ProductionRegion,$D116,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16" s="16" t="s">
        <v>347</v>
      </c>
    </row>
    <row r="117" spans="4:15" ht="20.100000000000001" customHeight="1" x14ac:dyDescent="0.2">
      <c r="D117" s="1" t="str">
        <f>TEXT(EDATE(X_Cell_Site_StartDate,6), "mmmm yyyy")</f>
        <v>July 2024</v>
      </c>
      <c r="E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17" s="76">
        <f>InputFunctions_PastureBeef.LookupValueFromStateRegionMonth($E$7,X_Cell_PastureBeef_ProductionRegion,$D117,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17" s="16" t="s">
        <v>347</v>
      </c>
    </row>
    <row r="118" spans="4:15" ht="20.100000000000001" customHeight="1" x14ac:dyDescent="0.2">
      <c r="D118" s="1" t="str">
        <f>TEXT(EDATE(X_Cell_Site_StartDate,7), "mmmm yyyy")</f>
        <v>August 2024</v>
      </c>
      <c r="E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F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G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H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I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J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K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L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M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N118" s="76">
        <f>InputFunctions_PastureBeef.LookupValueFromStateRegionMonth($E$7,X_Cell_PastureBeef_ProductionRegion,$D118,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0.75</v>
      </c>
      <c r="O118" s="16" t="s">
        <v>347</v>
      </c>
    </row>
    <row r="119" spans="4:15" ht="20.100000000000001" customHeight="1" x14ac:dyDescent="0.2">
      <c r="D119" s="1" t="str">
        <f>TEXT(EDATE(X_Cell_Site_StartDate,8), "mmmm yyyy")</f>
        <v>September 2024</v>
      </c>
      <c r="E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19" s="76">
        <f>InputFunctions_PastureBeef.LookupValueFromStateRegionMonth($E$7,X_Cell_PastureBeef_ProductionRegion,$D119,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19" s="16" t="s">
        <v>347</v>
      </c>
    </row>
    <row r="120" spans="4:15" ht="20.100000000000001" customHeight="1" x14ac:dyDescent="0.2">
      <c r="D120" s="1" t="str">
        <f>TEXT(EDATE(X_Cell_Site_StartDate,9), "mmmm yyyy")</f>
        <v>October 2024</v>
      </c>
      <c r="E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20" s="76">
        <f>InputFunctions_PastureBeef.LookupValueFromStateRegionMonth($E$7,X_Cell_PastureBeef_ProductionRegion,$D120,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20" s="16" t="s">
        <v>347</v>
      </c>
    </row>
    <row r="121" spans="4:15" ht="20.100000000000001" customHeight="1" x14ac:dyDescent="0.2">
      <c r="D121" s="1" t="str">
        <f>TEXT(EDATE(X_Cell_Site_StartDate,10), "mmmm yyyy")</f>
        <v>November 2024</v>
      </c>
      <c r="E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F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G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H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I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J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K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L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M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N121" s="76">
        <f>InputFunctions_PastureBeef.LookupValueFromStateRegionMonth($E$7,X_Cell_PastureBeef_ProductionRegion,$D121,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0.8</v>
      </c>
      <c r="O121" s="16" t="s">
        <v>347</v>
      </c>
    </row>
    <row r="122" spans="4:15" ht="20.100000000000001" customHeight="1" x14ac:dyDescent="0.2">
      <c r="D122" s="1" t="str">
        <f>TEXT(EDATE(X_Cell_Site_StartDate,11), "mmmm yyyy")</f>
        <v>December 2024</v>
      </c>
      <c r="E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F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G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H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I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J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K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L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M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N122" s="76">
        <f>InputFunctions_PastureBeef.LookupValueFromStateRegionMonth($E$7,X_Cell_PastureBeef_ProductionRegion,$D122,Table_SourceData_PastureBeef_DryMatterDigestibility[State],Table_SourceData_PastureBeef_DryMatterDigestibility[Region],Table_SourceData_PastureBeef_DryMatterDigestibility[#Headers],Table_SourceData_PastureBeef_DryMatterDigestibility[#Data],Table_AustralianStates[Common Name],Table_AustralianStates[Abbreviation],Table_SourceData_Common_MonthToSeason[Month],Table_SourceData_Common_MonthToSeason[Season])</f>
        <v>0.57999999999999996</v>
      </c>
      <c r="O122" s="16" t="s">
        <v>347</v>
      </c>
    </row>
    <row r="125" spans="4:15" ht="20.100000000000001" customHeight="1" x14ac:dyDescent="0.2">
      <c r="D125" s="79" t="s">
        <v>348</v>
      </c>
      <c r="K125" s="16"/>
      <c r="L125" s="16"/>
      <c r="M125" s="16"/>
      <c r="N125" s="16"/>
      <c r="O125" s="16"/>
    </row>
    <row r="126" spans="4:15" ht="20.100000000000001" customHeight="1" x14ac:dyDescent="0.2">
      <c r="D126" s="101" t="s">
        <v>324</v>
      </c>
      <c r="E126" s="101" t="s">
        <v>325</v>
      </c>
      <c r="F126" s="101" t="s">
        <v>189</v>
      </c>
      <c r="G126" s="101" t="s">
        <v>326</v>
      </c>
      <c r="H126" s="101" t="s">
        <v>327</v>
      </c>
      <c r="I126" s="101" t="s">
        <v>328</v>
      </c>
      <c r="J126" s="101" t="s">
        <v>329</v>
      </c>
      <c r="K126" s="101" t="s">
        <v>330</v>
      </c>
      <c r="L126" s="101" t="s">
        <v>331</v>
      </c>
      <c r="M126" s="101" t="s">
        <v>332</v>
      </c>
      <c r="N126" s="101" t="s">
        <v>333</v>
      </c>
    </row>
    <row r="127" spans="4:15" ht="20.100000000000001" customHeight="1" x14ac:dyDescent="0.2">
      <c r="D127" s="1" t="s">
        <v>334</v>
      </c>
      <c r="E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F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G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H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I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J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K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L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M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N127" s="15">
        <f>InputFunctions_PastureBeef.LookupValueFromStateRegionSeason($E$7,X_Cell_PastureBeef_ProductionRegion,$D127, Table_SourceData_PastureBeef_CrudeProtein[State],Table_SourceData_PastureBeef_CrudeProtein[Region],Table_SourceData_PastureBeef_CrudeProtein[#Headers],Table_SourceData_PastureBeef_CrudeProtein[#Data],Table_AustralianStates[Common Name],Table_AustralianStates[Abbreviation])</f>
        <v>0.2</v>
      </c>
      <c r="O127" s="16" t="s">
        <v>347</v>
      </c>
    </row>
    <row r="128" spans="4:15" ht="20.100000000000001" customHeight="1" x14ac:dyDescent="0.2">
      <c r="D128" s="1" t="s">
        <v>335</v>
      </c>
      <c r="E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F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G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H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I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J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K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L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M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N128" s="15">
        <f>InputFunctions_PastureBeef.LookupValueFromStateRegionSeason($E$7,X_Cell_PastureBeef_ProductionRegion,$D128, Table_SourceData_PastureBeef_CrudeProtein[State],Table_SourceData_PastureBeef_CrudeProtein[Region],Table_SourceData_PastureBeef_CrudeProtein[#Headers],Table_SourceData_PastureBeef_CrudeProtein[#Data],Table_AustralianStates[Common Name],Table_AustralianStates[Abbreviation])</f>
        <v>0.09</v>
      </c>
      <c r="O128" s="16" t="s">
        <v>347</v>
      </c>
    </row>
    <row r="129" spans="1:15" ht="20.100000000000001" customHeight="1" x14ac:dyDescent="0.2">
      <c r="D129" s="1" t="s">
        <v>336</v>
      </c>
      <c r="E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F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G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H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I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J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K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L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M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N129" s="15">
        <f>InputFunctions_PastureBeef.LookupValueFromStateRegionSeason($E$7,X_Cell_PastureBeef_ProductionRegion,$D129, Table_SourceData_PastureBeef_CrudeProtein[State],Table_SourceData_PastureBeef_CrudeProtein[Region],Table_SourceData_PastureBeef_CrudeProtein[#Headers],Table_SourceData_PastureBeef_CrudeProtein[#Data],Table_AustralianStates[Common Name],Table_AustralianStates[Abbreviation])</f>
        <v>0.06</v>
      </c>
      <c r="O129" s="16" t="s">
        <v>347</v>
      </c>
    </row>
    <row r="130" spans="1:15" ht="20.100000000000001" customHeight="1" x14ac:dyDescent="0.2">
      <c r="D130" s="1" t="s">
        <v>337</v>
      </c>
      <c r="E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F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G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H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I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J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K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L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M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N130" s="15">
        <f>InputFunctions_PastureBeef.LookupValueFromStateRegionSeason($E$7,X_Cell_PastureBeef_ProductionRegion,$D130, Table_SourceData_PastureBeef_CrudeProtein[State],Table_SourceData_PastureBeef_CrudeProtein[Region],Table_SourceData_PastureBeef_CrudeProtein[#Headers],Table_SourceData_PastureBeef_CrudeProtein[#Data],Table_AustralianStates[Common Name],Table_AustralianStates[Abbreviation])</f>
        <v>0.2</v>
      </c>
      <c r="O130" s="16" t="s">
        <v>347</v>
      </c>
    </row>
    <row r="131" spans="1:15" ht="20.100000000000001" customHeight="1" x14ac:dyDescent="0.2">
      <c r="A131" s="85" t="str">
        <f>HYPERLINK("#A1", "▲ Back to top")</f>
        <v>▲ Back to top</v>
      </c>
    </row>
    <row r="132" spans="1:15" ht="20.100000000000001" customHeight="1" x14ac:dyDescent="0.2">
      <c r="D132" s="101" t="s">
        <v>338</v>
      </c>
      <c r="E132" s="101" t="s">
        <v>325</v>
      </c>
      <c r="F132" s="101" t="s">
        <v>189</v>
      </c>
      <c r="G132" s="101" t="s">
        <v>326</v>
      </c>
      <c r="H132" s="101" t="s">
        <v>327</v>
      </c>
      <c r="I132" s="101" t="s">
        <v>328</v>
      </c>
      <c r="J132" s="101" t="s">
        <v>329</v>
      </c>
      <c r="K132" s="101" t="s">
        <v>330</v>
      </c>
      <c r="L132" s="101" t="s">
        <v>331</v>
      </c>
      <c r="M132" s="101" t="s">
        <v>332</v>
      </c>
      <c r="N132" s="101" t="s">
        <v>333</v>
      </c>
    </row>
    <row r="133" spans="1:15" ht="20.100000000000001" customHeight="1" x14ac:dyDescent="0.2">
      <c r="D133" s="1" t="str">
        <f>TEXT(X_Cell_Site_StartDate, "mmmm yyyy")</f>
        <v>January 2024</v>
      </c>
      <c r="E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33" s="76">
        <f>InputFunctions_PastureBeef.LookupValueFromStateRegionMonth($E$7,X_Cell_PastureBeef_ProductionRegion,$D133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33" s="16" t="s">
        <v>347</v>
      </c>
    </row>
    <row r="134" spans="1:15" ht="20.100000000000001" customHeight="1" x14ac:dyDescent="0.2">
      <c r="D134" s="1" t="str">
        <f>TEXT(EDATE(X_Cell_Site_StartDate,1), "mmmm yyyy")</f>
        <v>February 2024</v>
      </c>
      <c r="E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34" s="76">
        <f>InputFunctions_PastureBeef.LookupValueFromStateRegionMonth($E$7,X_Cell_PastureBeef_ProductionRegion,$D134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34" s="16" t="s">
        <v>347</v>
      </c>
    </row>
    <row r="135" spans="1:15" ht="20.100000000000001" customHeight="1" x14ac:dyDescent="0.2">
      <c r="D135" s="1" t="str">
        <f>TEXT(EDATE(X_Cell_Site_StartDate,2), "mmmm yyyy")</f>
        <v>March 2024</v>
      </c>
      <c r="E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35" s="76">
        <f>InputFunctions_PastureBeef.LookupValueFromStateRegionMonth($E$7,X_Cell_PastureBeef_ProductionRegion,$D135,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35" s="16" t="s">
        <v>347</v>
      </c>
    </row>
    <row r="136" spans="1:15" ht="20.100000000000001" customHeight="1" x14ac:dyDescent="0.2">
      <c r="D136" s="1" t="str">
        <f>TEXT(EDATE(X_Cell_Site_StartDate,3), "mmmm yyyy")</f>
        <v>April 2024</v>
      </c>
      <c r="E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36" s="76">
        <f>InputFunctions_PastureBeef.LookupValueFromStateRegionMonth($E$7,X_Cell_PastureBeef_ProductionRegion,$D136,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36" s="16" t="s">
        <v>347</v>
      </c>
    </row>
    <row r="137" spans="1:15" ht="20.100000000000001" customHeight="1" x14ac:dyDescent="0.2">
      <c r="D137" s="1" t="str">
        <f>TEXT(EDATE(X_Cell_Site_StartDate,4), "mmmm yyyy")</f>
        <v>May 2024</v>
      </c>
      <c r="E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F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G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H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I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J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K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L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M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N137" s="76">
        <f>InputFunctions_PastureBeef.LookupValueFromStateRegionMonth($E$7,X_Cell_PastureBeef_ProductionRegion,$D137,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0.06</v>
      </c>
      <c r="O137" s="16" t="s">
        <v>347</v>
      </c>
    </row>
    <row r="138" spans="1:15" ht="20.100000000000001" customHeight="1" x14ac:dyDescent="0.2">
      <c r="D138" s="1" t="str">
        <f>TEXT(EDATE(X_Cell_Site_StartDate,5), "mmmm yyyy")</f>
        <v>June 2024</v>
      </c>
      <c r="E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38" s="76">
        <f>InputFunctions_PastureBeef.LookupValueFromStateRegionMonth($E$7,X_Cell_PastureBeef_ProductionRegion,$D138,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38" s="16" t="s">
        <v>347</v>
      </c>
    </row>
    <row r="139" spans="1:15" ht="20.100000000000001" customHeight="1" x14ac:dyDescent="0.2">
      <c r="D139" s="1" t="str">
        <f>TEXT(EDATE(X_Cell_Site_StartDate,6), "mmmm yyyy")</f>
        <v>July 2024</v>
      </c>
      <c r="E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39" s="76">
        <f>InputFunctions_PastureBeef.LookupValueFromStateRegionMonth($E$7,X_Cell_PastureBeef_ProductionRegion,$D139,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39" s="16" t="s">
        <v>347</v>
      </c>
    </row>
    <row r="140" spans="1:15" ht="20.100000000000001" customHeight="1" x14ac:dyDescent="0.2">
      <c r="D140" s="1" t="str">
        <f>TEXT(EDATE(X_Cell_Site_StartDate,7), "mmmm yyyy")</f>
        <v>August 2024</v>
      </c>
      <c r="E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40" s="76">
        <f>InputFunctions_PastureBeef.LookupValueFromStateRegionMonth($E$7,X_Cell_PastureBeef_ProductionRegion,$D140,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40" s="16" t="s">
        <v>347</v>
      </c>
    </row>
    <row r="141" spans="1:15" ht="20.100000000000001" customHeight="1" x14ac:dyDescent="0.2">
      <c r="D141" s="1" t="str">
        <f>TEXT(EDATE(X_Cell_Site_StartDate,8), "mmmm yyyy")</f>
        <v>September 2024</v>
      </c>
      <c r="E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41" s="76">
        <f>InputFunctions_PastureBeef.LookupValueFromStateRegionMonth($E$7,X_Cell_PastureBeef_ProductionRegion,$D141,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41" s="16" t="s">
        <v>347</v>
      </c>
    </row>
    <row r="142" spans="1:15" ht="20.100000000000001" customHeight="1" x14ac:dyDescent="0.2">
      <c r="D142" s="1" t="str">
        <f>TEXT(EDATE(X_Cell_Site_StartDate,9), "mmmm yyyy")</f>
        <v>October 2024</v>
      </c>
      <c r="E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42" s="76">
        <f>InputFunctions_PastureBeef.LookupValueFromStateRegionMonth($E$7,X_Cell_PastureBeef_ProductionRegion,$D142,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42" s="16" t="s">
        <v>347</v>
      </c>
    </row>
    <row r="143" spans="1:15" ht="20.100000000000001" customHeight="1" x14ac:dyDescent="0.2">
      <c r="D143" s="1" t="str">
        <f>TEXT(EDATE(X_Cell_Site_StartDate,10), "mmmm yyyy")</f>
        <v>November 2024</v>
      </c>
      <c r="E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F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G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H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I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J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K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L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M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N143" s="76">
        <f>InputFunctions_PastureBeef.LookupValueFromStateRegionMonth($E$7,X_Cell_PastureBeef_ProductionRegion,$D143,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0.2</v>
      </c>
      <c r="O143" s="16" t="s">
        <v>347</v>
      </c>
    </row>
    <row r="144" spans="1:15" ht="20.100000000000001" customHeight="1" x14ac:dyDescent="0.2">
      <c r="D144" s="1" t="str">
        <f>TEXT(EDATE(X_Cell_Site_StartDate,11), "mmmm yyyy")</f>
        <v>December 2024</v>
      </c>
      <c r="E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F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G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H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I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J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K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L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M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N144" s="76">
        <f>InputFunctions_PastureBeef.LookupValueFromStateRegionMonth($E$7,X_Cell_PastureBeef_ProductionRegion,$D144,Table_SourceData_PastureBeef_CrudeProtein[State],Table_SourceData_PastureBeef_CrudeProtein[Region],Table_SourceData_PastureBeef_CrudeProtein[#Headers],Table_SourceData_PastureBeef_CrudeProtein[#Data],Table_AustralianStates[Common Name],Table_AustralianStates[Abbreviation],Table_SourceData_Common_MonthToSeason[Month],Table_SourceData_Common_MonthToSeason[Season])</f>
        <v>0.09</v>
      </c>
      <c r="O144" s="16" t="s">
        <v>347</v>
      </c>
    </row>
    <row r="145" spans="4:15" ht="20.100000000000001" customHeight="1" x14ac:dyDescent="0.2">
      <c r="L145" s="16"/>
      <c r="M145" s="16"/>
      <c r="N145" s="16"/>
      <c r="O145" s="16"/>
    </row>
    <row r="146" spans="4:15" ht="20.100000000000001" customHeight="1" x14ac:dyDescent="0.2">
      <c r="L146" s="16"/>
      <c r="M146" s="16"/>
      <c r="N146" s="16"/>
      <c r="O146" s="16"/>
    </row>
    <row r="147" spans="4:15" ht="20.100000000000001" customHeight="1" x14ac:dyDescent="0.2">
      <c r="D147" s="79" t="s">
        <v>349</v>
      </c>
      <c r="L147" s="16"/>
      <c r="M147" s="16"/>
      <c r="N147" s="16"/>
      <c r="O147" s="16"/>
    </row>
    <row r="149" spans="4:15" ht="20.100000000000001" customHeight="1" x14ac:dyDescent="0.2">
      <c r="D149" s="1" t="s">
        <v>350</v>
      </c>
      <c r="E149" s="13" t="s">
        <v>351</v>
      </c>
      <c r="F149" s="16" t="s">
        <v>109</v>
      </c>
      <c r="L149" s="16"/>
      <c r="M149" s="16"/>
      <c r="N149" s="16"/>
      <c r="O149" s="16"/>
    </row>
    <row r="151" spans="4:15" ht="20.100000000000001" customHeight="1" x14ac:dyDescent="0.2">
      <c r="D151" s="101" t="s">
        <v>352</v>
      </c>
      <c r="E151" s="101" t="s">
        <v>353</v>
      </c>
      <c r="L151" s="16"/>
      <c r="M151" s="16"/>
      <c r="N151" s="16"/>
      <c r="O151" s="16"/>
    </row>
    <row r="152" spans="4:15" ht="20.100000000000001" customHeight="1" x14ac:dyDescent="0.2">
      <c r="D152" s="1" t="s">
        <v>91</v>
      </c>
      <c r="E152" s="102">
        <f>IF(X_Cell_PastureBeef_FencedWater="Yes", 1,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Name],Table_AustralianStates[Abbreviation]),X_Cell_PastureBeef_ProductionRegion,Table_SourceData_PastureBeef_FractionManureToMMS[State],Table_SourceData_PastureBeef_FractionManureToMMS[Region],Table_SourceData_PastureBeef_FractionManureToMMS[Pasture range and paddock]))/100</f>
        <v>0.99621999999999999</v>
      </c>
      <c r="F152" s="16" t="s">
        <v>354</v>
      </c>
      <c r="L152" s="16"/>
      <c r="M152" s="16"/>
      <c r="N152" s="16"/>
      <c r="O152" s="16"/>
    </row>
    <row r="153" spans="4:15" ht="20.100000000000001" customHeight="1" x14ac:dyDescent="0.2">
      <c r="D153" s="1" t="s">
        <v>79</v>
      </c>
      <c r="E153" s="102">
        <f>IF(X_Cell_PastureBeef_FencedWater="Yes", 0,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Name],Table_AustralianStates[Abbreviation]),X_Cell_PastureBeef_ProductionRegion,Table_SourceData_PastureBeef_FractionManureToMMS[State],Table_SourceData_PastureBeef_FractionManureToMMS[Region],Table_SourceData_PastureBeef_FractionManureToMMS[Uncovered Anaerobic lagoon]))/100</f>
        <v>3.7799999999999999E-3</v>
      </c>
      <c r="F153" s="16" t="s">
        <v>354</v>
      </c>
      <c r="L153" s="16"/>
      <c r="M153" s="16"/>
      <c r="N153" s="16"/>
      <c r="O153" s="16"/>
    </row>
    <row r="154" spans="4:15" ht="20.100000000000001" customHeight="1" x14ac:dyDescent="0.2">
      <c r="L154" s="16"/>
      <c r="M154" s="16"/>
      <c r="N154" s="16"/>
      <c r="O154" s="16"/>
    </row>
    <row r="156" spans="4:15" ht="20.100000000000001" customHeight="1" x14ac:dyDescent="0.2">
      <c r="D156" s="1" t="s">
        <v>355</v>
      </c>
      <c r="E156" s="13" t="s">
        <v>179</v>
      </c>
      <c r="F156" s="16" t="s">
        <v>109</v>
      </c>
      <c r="L156" s="16"/>
      <c r="M156" s="16"/>
      <c r="N156" s="16"/>
      <c r="O156" s="16"/>
    </row>
    <row r="157" spans="4:15" ht="20.100000000000001" customHeight="1" x14ac:dyDescent="0.2">
      <c r="E157" s="13" t="s">
        <v>356</v>
      </c>
      <c r="F157" s="16" t="s">
        <v>109</v>
      </c>
    </row>
    <row r="160" spans="4:15" ht="20.100000000000001" customHeight="1" x14ac:dyDescent="0.2">
      <c r="D160" s="79" t="s">
        <v>357</v>
      </c>
      <c r="K160" s="16"/>
      <c r="L160" s="16"/>
      <c r="M160" s="16"/>
      <c r="N160" s="16"/>
      <c r="O160" s="16"/>
    </row>
    <row r="161" spans="1:15" ht="20.100000000000001" customHeight="1" x14ac:dyDescent="0.2">
      <c r="A161" s="85" t="str">
        <f>HYPERLINK("#A1", "▲ Back to top")</f>
        <v>▲ Back to top</v>
      </c>
      <c r="D161" s="101" t="s">
        <v>340</v>
      </c>
      <c r="E161" s="101"/>
      <c r="F161" s="101"/>
      <c r="G161" s="101"/>
    </row>
    <row r="162" spans="1:15" ht="20.100000000000001" customHeight="1" x14ac:dyDescent="0.2">
      <c r="D162" s="1" t="s">
        <v>358</v>
      </c>
      <c r="E162" s="13" t="s">
        <v>337</v>
      </c>
      <c r="F162" s="16" t="s">
        <v>109</v>
      </c>
    </row>
    <row r="165" spans="1:15" ht="20.100000000000001" customHeight="1" x14ac:dyDescent="0.2">
      <c r="K165" s="1" t="s">
        <v>359</v>
      </c>
    </row>
    <row r="167" spans="1:15" ht="20.100000000000001" customHeight="1" x14ac:dyDescent="0.2">
      <c r="E167" s="101" t="s">
        <v>360</v>
      </c>
      <c r="F167" s="101" t="s">
        <v>327</v>
      </c>
      <c r="G167" s="101" t="s">
        <v>328</v>
      </c>
      <c r="H167" s="101" t="s">
        <v>329</v>
      </c>
      <c r="L167" s="1" t="s">
        <v>326</v>
      </c>
      <c r="M167" s="1" t="s">
        <v>330</v>
      </c>
      <c r="N167" s="16"/>
      <c r="O167" s="16"/>
    </row>
    <row r="168" spans="1:15" ht="20.100000000000001" customHeight="1" x14ac:dyDescent="0.2">
      <c r="D168" s="1" t="str">
        <f>"Proportion of cows &gt; 1 years in calf in " &amp; E162</f>
        <v>Proportion of cows &gt; 1 years in calf in Winter</v>
      </c>
      <c r="E168" s="13" t="s">
        <v>361</v>
      </c>
      <c r="F168" s="18">
        <v>0.7</v>
      </c>
      <c r="G168" s="18">
        <v>0.5</v>
      </c>
      <c r="H168" s="18">
        <v>0.5</v>
      </c>
      <c r="I168" s="16" t="s">
        <v>354</v>
      </c>
      <c r="L168" s="15">
        <f>MAX(0, G42-G41)</f>
        <v>0</v>
      </c>
      <c r="M168" s="15">
        <f>MAX(0,K42-K41)</f>
        <v>0</v>
      </c>
      <c r="N168" s="16"/>
      <c r="O168" s="16"/>
    </row>
    <row r="169" spans="1:15" ht="20.100000000000001" customHeight="1" x14ac:dyDescent="0.2">
      <c r="D169" s="1" t="s">
        <v>334</v>
      </c>
      <c r="E169" s="13" t="s">
        <v>361</v>
      </c>
      <c r="F169" s="18">
        <v>0.1</v>
      </c>
      <c r="G169" s="18">
        <v>0.4</v>
      </c>
      <c r="H169" s="18">
        <v>0.4</v>
      </c>
      <c r="I169" s="16" t="s">
        <v>354</v>
      </c>
      <c r="L169" s="15">
        <f>MAX(0, G39-G42)</f>
        <v>0</v>
      </c>
      <c r="M169" s="15">
        <f>MAX(0,K39-K42)</f>
        <v>0</v>
      </c>
    </row>
    <row r="170" spans="1:15" ht="20.100000000000001" customHeight="1" x14ac:dyDescent="0.2">
      <c r="D170" s="1" t="s">
        <v>335</v>
      </c>
      <c r="E170" s="13" t="s">
        <v>361</v>
      </c>
      <c r="F170" s="18">
        <v>0.1</v>
      </c>
      <c r="G170" s="18">
        <v>0</v>
      </c>
      <c r="H170" s="18">
        <v>0</v>
      </c>
      <c r="I170" s="16" t="s">
        <v>354</v>
      </c>
      <c r="L170" s="15">
        <f>MAX(0, G40-G39)</f>
        <v>0</v>
      </c>
      <c r="M170" s="15">
        <f>MAX(0,K40-K39)</f>
        <v>0</v>
      </c>
    </row>
    <row r="171" spans="1:15" ht="20.100000000000001" customHeight="1" x14ac:dyDescent="0.2">
      <c r="D171" s="1" t="s">
        <v>336</v>
      </c>
      <c r="E171" s="13" t="s">
        <v>351</v>
      </c>
      <c r="F171" s="18">
        <v>0</v>
      </c>
      <c r="G171" s="18">
        <v>0</v>
      </c>
      <c r="H171" s="18">
        <v>0</v>
      </c>
      <c r="I171" s="16" t="s">
        <v>354</v>
      </c>
      <c r="L171" s="15">
        <f>MAX(0,G41-G40)</f>
        <v>0</v>
      </c>
      <c r="M171" s="15">
        <f>MAX(0,K41-K40)</f>
        <v>0</v>
      </c>
    </row>
    <row r="172" spans="1:15" ht="20.100000000000001" customHeight="1" x14ac:dyDescent="0.2">
      <c r="J172" s="1" t="s">
        <v>362</v>
      </c>
    </row>
    <row r="175" spans="1:15" ht="20.100000000000001" customHeight="1" x14ac:dyDescent="0.2">
      <c r="D175" s="101" t="s">
        <v>341</v>
      </c>
      <c r="E175" s="101"/>
      <c r="F175" s="101"/>
      <c r="G175" s="101"/>
      <c r="L175" s="103" t="s">
        <v>363</v>
      </c>
    </row>
    <row r="176" spans="1:15" ht="20.100000000000001" customHeight="1" x14ac:dyDescent="0.2">
      <c r="D176" s="1" t="s">
        <v>364</v>
      </c>
      <c r="E176" s="13" t="s">
        <v>365</v>
      </c>
      <c r="F176" s="16" t="s">
        <v>109</v>
      </c>
      <c r="J176" s="77" t="s">
        <v>325</v>
      </c>
    </row>
    <row r="177" spans="4:15" ht="20.100000000000001" customHeight="1" x14ac:dyDescent="0.2">
      <c r="D177" s="1" t="s">
        <v>366</v>
      </c>
      <c r="E177" s="15" t="str">
        <f>TEXT(EDATE(E176,1), "mmmm yyyy")</f>
        <v>September 2024</v>
      </c>
      <c r="J177" s="1" t="s">
        <v>339</v>
      </c>
      <c r="K177" s="1" t="s">
        <v>367</v>
      </c>
      <c r="L177" s="1" t="s">
        <v>362</v>
      </c>
      <c r="M177" s="1" t="s">
        <v>368</v>
      </c>
      <c r="N177" s="1" t="s">
        <v>369</v>
      </c>
      <c r="O177" s="1" t="s">
        <v>370</v>
      </c>
    </row>
    <row r="178" spans="4:15" ht="20.100000000000001" customHeight="1" x14ac:dyDescent="0.2">
      <c r="D178" s="1" t="s">
        <v>371</v>
      </c>
      <c r="E178" s="15" t="str">
        <f>TEXT(EDATE(E176,2), "mmmm yyyy")</f>
        <v>October 2024</v>
      </c>
      <c r="J178" s="15">
        <f>E39</f>
        <v>100</v>
      </c>
      <c r="K178" s="15">
        <f>MAX(0, E39-E42)</f>
        <v>0</v>
      </c>
      <c r="L178" s="1">
        <f>K178/J178</f>
        <v>0</v>
      </c>
      <c r="M178" s="1">
        <f>K181/J178</f>
        <v>0</v>
      </c>
      <c r="N178" s="16">
        <f>1-(L178+M178)</f>
        <v>1</v>
      </c>
      <c r="O178" s="77">
        <f>(L178*6)+(M178*4)+(N178*0)</f>
        <v>0</v>
      </c>
    </row>
    <row r="179" spans="4:15" ht="20.100000000000001" customHeight="1" x14ac:dyDescent="0.2">
      <c r="J179" s="15">
        <f>E40</f>
        <v>100</v>
      </c>
      <c r="K179" s="15">
        <f>MAX(0, E40-E39)</f>
        <v>0</v>
      </c>
      <c r="L179" s="1">
        <f>K179/J179</f>
        <v>0</v>
      </c>
      <c r="M179" s="1">
        <f>K178/J179</f>
        <v>0</v>
      </c>
      <c r="N179" s="16">
        <f>1-(L179+M179)</f>
        <v>1</v>
      </c>
      <c r="O179" s="77">
        <f t="shared" ref="O179:O181" si="3">(L179*6)+(M179*4)+(N179*0)</f>
        <v>0</v>
      </c>
    </row>
    <row r="180" spans="4:15" ht="20.100000000000001" customHeight="1" x14ac:dyDescent="0.2">
      <c r="J180" s="15">
        <f>E41</f>
        <v>100</v>
      </c>
      <c r="K180" s="15">
        <f>MAX(0,E41-E40)</f>
        <v>0</v>
      </c>
      <c r="L180" s="1">
        <f>K180/J180</f>
        <v>0</v>
      </c>
      <c r="M180" s="1">
        <f>K179/J180</f>
        <v>0</v>
      </c>
      <c r="N180" s="16">
        <f>1-(L180+M180)</f>
        <v>1</v>
      </c>
      <c r="O180" s="77">
        <f t="shared" si="3"/>
        <v>0</v>
      </c>
    </row>
    <row r="181" spans="4:15" ht="20.100000000000001" customHeight="1" x14ac:dyDescent="0.2">
      <c r="E181" s="101" t="s">
        <v>327</v>
      </c>
      <c r="F181" s="101" t="s">
        <v>328</v>
      </c>
      <c r="G181" s="101" t="s">
        <v>329</v>
      </c>
      <c r="J181" s="15">
        <f>E42</f>
        <v>100</v>
      </c>
      <c r="K181" s="15">
        <f>MAX(0, E42-E41)</f>
        <v>0</v>
      </c>
      <c r="L181" s="1">
        <f>K181/J181</f>
        <v>0</v>
      </c>
      <c r="M181" s="16">
        <f>K180/J181</f>
        <v>0</v>
      </c>
      <c r="N181" s="16">
        <f>1-(L181+M181)</f>
        <v>1</v>
      </c>
      <c r="O181" s="77">
        <f t="shared" si="3"/>
        <v>0</v>
      </c>
    </row>
    <row r="182" spans="4:15" ht="20.100000000000001" customHeight="1" x14ac:dyDescent="0.2">
      <c r="D182" s="1" t="str">
        <f>E176</f>
        <v>August 2024</v>
      </c>
      <c r="E182" s="18">
        <v>0.25</v>
      </c>
      <c r="F182" s="18">
        <v>0.25</v>
      </c>
      <c r="G182" s="18">
        <v>0.25</v>
      </c>
      <c r="H182" s="16" t="s">
        <v>354</v>
      </c>
      <c r="L182" s="16"/>
      <c r="M182" s="16"/>
      <c r="N182" s="16"/>
      <c r="O182" s="16"/>
    </row>
    <row r="183" spans="4:15" ht="20.100000000000001" customHeight="1" x14ac:dyDescent="0.2">
      <c r="D183" s="1" t="str">
        <f>E177</f>
        <v>September 2024</v>
      </c>
      <c r="E183" s="18">
        <v>0.25</v>
      </c>
      <c r="F183" s="18">
        <v>0.25</v>
      </c>
      <c r="G183" s="18">
        <v>0.25</v>
      </c>
      <c r="H183" s="16" t="s">
        <v>354</v>
      </c>
    </row>
    <row r="184" spans="4:15" ht="20.100000000000001" customHeight="1" x14ac:dyDescent="0.2">
      <c r="D184" s="1" t="str">
        <f>E178</f>
        <v>October 2024</v>
      </c>
      <c r="E184" s="18">
        <v>0.25</v>
      </c>
      <c r="F184" s="18">
        <v>0.25</v>
      </c>
      <c r="G184" s="18">
        <v>0.25</v>
      </c>
      <c r="H184" s="16" t="s">
        <v>354</v>
      </c>
    </row>
    <row r="185" spans="4:15" ht="20.100000000000001" customHeight="1" x14ac:dyDescent="0.2">
      <c r="D185" s="1" t="str">
        <f>"Proportion of cows &gt; 1 years in calf in " &amp; D182 &amp; " to " &amp; D184</f>
        <v>Proportion of cows &gt; 1 years in calf in August 2024 to October 2024</v>
      </c>
      <c r="E185" s="19">
        <f>SUM(E182:E184)</f>
        <v>0.75</v>
      </c>
      <c r="F185" s="19">
        <f>SUM(F182:F184)</f>
        <v>0.75</v>
      </c>
      <c r="G185" s="19">
        <f>SUM(G182:G184)</f>
        <v>0.75</v>
      </c>
      <c r="H185" s="16" t="s">
        <v>354</v>
      </c>
    </row>
    <row r="195" spans="11:27" ht="20.100000000000001" customHeight="1" x14ac:dyDescent="0.2">
      <c r="K195" s="16"/>
    </row>
    <row r="205" spans="11:27" ht="20.100000000000001" customHeight="1" x14ac:dyDescent="0.2">
      <c r="Z205" s="99"/>
    </row>
    <row r="206" spans="11:27" ht="20.100000000000001" customHeight="1" x14ac:dyDescent="0.2">
      <c r="Z206" s="99"/>
      <c r="AA206" s="99"/>
    </row>
    <row r="207" spans="11:27" ht="20.100000000000001" customHeight="1" x14ac:dyDescent="0.2">
      <c r="Z207" s="99"/>
      <c r="AA207" s="99"/>
    </row>
    <row r="208" spans="11:27" ht="20.100000000000001" customHeight="1" x14ac:dyDescent="0.2">
      <c r="Z208" s="99"/>
      <c r="AA208" s="99"/>
    </row>
    <row r="209" spans="26:27" ht="20.100000000000001" customHeight="1" x14ac:dyDescent="0.2">
      <c r="Z209" s="99"/>
      <c r="AA209" s="99"/>
    </row>
    <row r="210" spans="26:27" ht="20.100000000000001" customHeight="1" x14ac:dyDescent="0.2">
      <c r="Z210" s="99"/>
      <c r="AA210" s="99"/>
    </row>
    <row r="211" spans="26:27" ht="20.100000000000001" customHeight="1" x14ac:dyDescent="0.2">
      <c r="Z211" s="99"/>
      <c r="AA211" s="99"/>
    </row>
    <row r="212" spans="26:27" ht="20.100000000000001" customHeight="1" x14ac:dyDescent="0.2">
      <c r="Z212" s="99"/>
      <c r="AA212" s="99"/>
    </row>
    <row r="213" spans="26:27" ht="20.100000000000001" customHeight="1" x14ac:dyDescent="0.2">
      <c r="Z213" s="99"/>
      <c r="AA213" s="99"/>
    </row>
    <row r="214" spans="26:27" ht="20.100000000000001" customHeight="1" x14ac:dyDescent="0.2">
      <c r="Z214" s="99"/>
      <c r="AA214" s="99"/>
    </row>
    <row r="215" spans="26:27" ht="20.100000000000001" customHeight="1" x14ac:dyDescent="0.2">
      <c r="Z215" s="99"/>
      <c r="AA215" s="99"/>
    </row>
    <row r="216" spans="26:27" ht="20.100000000000001" customHeight="1" x14ac:dyDescent="0.2">
      <c r="Z216" s="99"/>
    </row>
    <row r="227" spans="11:15" ht="20.100000000000001" customHeight="1" x14ac:dyDescent="0.2">
      <c r="L227" s="16"/>
      <c r="M227" s="16"/>
      <c r="N227" s="16"/>
      <c r="O227" s="16"/>
    </row>
    <row r="228" spans="11:15" ht="20.100000000000001" customHeight="1" x14ac:dyDescent="0.2">
      <c r="K228" s="16"/>
      <c r="L228" s="16"/>
      <c r="M228" s="16"/>
      <c r="N228" s="16"/>
      <c r="O228" s="16"/>
    </row>
    <row r="229" spans="11:15" ht="20.100000000000001" customHeight="1" x14ac:dyDescent="0.2">
      <c r="L229" s="16"/>
      <c r="M229" s="16"/>
      <c r="N229" s="16"/>
      <c r="O229" s="16"/>
    </row>
    <row r="232" spans="11:15" ht="20.100000000000001" customHeight="1" x14ac:dyDescent="0.2">
      <c r="L232" s="16"/>
      <c r="M232" s="16"/>
      <c r="N232" s="16"/>
      <c r="O232" s="16"/>
    </row>
    <row r="233" spans="11:15" ht="20.100000000000001" customHeight="1" x14ac:dyDescent="0.2">
      <c r="K233" s="16"/>
      <c r="L233" s="16"/>
      <c r="M233" s="16"/>
      <c r="N233" s="16"/>
      <c r="O233" s="16"/>
    </row>
    <row r="234" spans="11:15" ht="20.100000000000001" customHeight="1" x14ac:dyDescent="0.2">
      <c r="L234" s="16"/>
      <c r="M234" s="16"/>
      <c r="N234" s="16"/>
      <c r="O234" s="16"/>
    </row>
    <row r="237" spans="11:15" ht="20.100000000000001" customHeight="1" x14ac:dyDescent="0.2">
      <c r="L237" s="16"/>
      <c r="M237" s="16"/>
      <c r="N237" s="16"/>
      <c r="O237" s="16"/>
    </row>
    <row r="238" spans="11:15" ht="20.100000000000001" customHeight="1" x14ac:dyDescent="0.2">
      <c r="K238" s="16"/>
      <c r="L238" s="16"/>
      <c r="M238" s="16"/>
      <c r="N238" s="16"/>
      <c r="O238" s="16"/>
    </row>
    <row r="239" spans="11:15" ht="20.100000000000001" customHeight="1" x14ac:dyDescent="0.2">
      <c r="K239" s="16"/>
      <c r="L239" s="16"/>
      <c r="M239" s="16"/>
      <c r="N239" s="16"/>
      <c r="O239" s="16"/>
    </row>
    <row r="240" spans="11:15" ht="20.100000000000001" customHeight="1" x14ac:dyDescent="0.2">
      <c r="K240" s="16"/>
    </row>
    <row r="241" spans="11:15" ht="20.100000000000001" customHeight="1" x14ac:dyDescent="0.2">
      <c r="K241" s="16"/>
    </row>
    <row r="242" spans="11:15" ht="20.100000000000001" customHeight="1" x14ac:dyDescent="0.2">
      <c r="K242" s="16"/>
      <c r="L242" s="16"/>
      <c r="M242" s="16"/>
      <c r="N242" s="16"/>
      <c r="O242" s="16"/>
    </row>
    <row r="243" spans="11:15" ht="20.100000000000001" customHeight="1" x14ac:dyDescent="0.2">
      <c r="L243" s="16"/>
      <c r="M243" s="16"/>
      <c r="N243" s="16"/>
      <c r="O243" s="16"/>
    </row>
    <row r="244" spans="11:15" ht="20.100000000000001" customHeight="1" x14ac:dyDescent="0.2">
      <c r="K244" s="16"/>
      <c r="L244" s="16"/>
      <c r="M244" s="16"/>
      <c r="N244" s="16"/>
      <c r="O244" s="16"/>
    </row>
    <row r="246" spans="11:15" ht="20.100000000000001" customHeight="1" x14ac:dyDescent="0.2">
      <c r="K246" s="16"/>
    </row>
    <row r="247" spans="11:15" ht="20.100000000000001" customHeight="1" x14ac:dyDescent="0.2">
      <c r="K247" s="16"/>
    </row>
    <row r="248" spans="11:15" ht="20.100000000000001" customHeight="1" x14ac:dyDescent="0.2">
      <c r="K248" s="16"/>
    </row>
    <row r="249" spans="11:15" ht="20.100000000000001" customHeight="1" x14ac:dyDescent="0.2">
      <c r="K249" s="16"/>
    </row>
    <row r="251" spans="11:15" ht="20.100000000000001" customHeight="1" x14ac:dyDescent="0.2">
      <c r="K251" s="16"/>
      <c r="L251" s="16"/>
      <c r="M251" s="16"/>
      <c r="N251" s="16"/>
      <c r="O251" s="16"/>
    </row>
    <row r="252" spans="11:15" ht="20.100000000000001" customHeight="1" x14ac:dyDescent="0.2">
      <c r="L252" s="16"/>
      <c r="M252" s="16"/>
      <c r="N252" s="16"/>
      <c r="O252" s="16"/>
    </row>
    <row r="253" spans="11:15" ht="20.100000000000001" customHeight="1" x14ac:dyDescent="0.2">
      <c r="L253" s="16"/>
      <c r="M253" s="16"/>
      <c r="N253" s="16"/>
      <c r="O253" s="16"/>
    </row>
    <row r="256" spans="11:15" ht="20.100000000000001" customHeight="1" x14ac:dyDescent="0.2">
      <c r="L256" s="16"/>
      <c r="M256" s="16"/>
      <c r="N256" s="16"/>
      <c r="O256" s="16"/>
    </row>
    <row r="257" spans="11:15" ht="20.100000000000001" customHeight="1" x14ac:dyDescent="0.2">
      <c r="K257" s="16"/>
      <c r="L257" s="16"/>
      <c r="M257" s="16"/>
      <c r="N257" s="16"/>
      <c r="O257" s="16"/>
    </row>
    <row r="258" spans="11:15" ht="20.100000000000001" customHeight="1" x14ac:dyDescent="0.2">
      <c r="L258" s="16"/>
      <c r="M258" s="16"/>
      <c r="N258" s="16"/>
      <c r="O258" s="16"/>
    </row>
    <row r="261" spans="11:15" ht="20.100000000000001" customHeight="1" x14ac:dyDescent="0.2">
      <c r="L261" s="16"/>
      <c r="M261" s="16"/>
      <c r="N261" s="16"/>
      <c r="O261" s="16"/>
    </row>
    <row r="262" spans="11:15" ht="20.100000000000001" customHeight="1" x14ac:dyDescent="0.2">
      <c r="K262" s="16"/>
      <c r="L262" s="16"/>
      <c r="M262" s="16"/>
      <c r="N262" s="16"/>
      <c r="O262" s="16"/>
    </row>
    <row r="263" spans="11:15" ht="20.100000000000001" customHeight="1" x14ac:dyDescent="0.2">
      <c r="L263" s="16"/>
      <c r="M263" s="16"/>
      <c r="N263" s="16"/>
      <c r="O263" s="16"/>
    </row>
    <row r="266" spans="11:15" ht="20.100000000000001" customHeight="1" x14ac:dyDescent="0.2">
      <c r="L266" s="16"/>
      <c r="M266" s="16"/>
      <c r="N266" s="16"/>
      <c r="O266" s="16"/>
    </row>
    <row r="267" spans="11:15" ht="20.100000000000001" customHeight="1" x14ac:dyDescent="0.2">
      <c r="K267" s="16"/>
      <c r="L267" s="16"/>
      <c r="M267" s="16"/>
      <c r="N267" s="16"/>
      <c r="O267" s="16"/>
    </row>
    <row r="268" spans="11:15" ht="20.100000000000001" customHeight="1" x14ac:dyDescent="0.2">
      <c r="L268" s="16"/>
      <c r="M268" s="16"/>
      <c r="N268" s="16"/>
      <c r="O268" s="16"/>
    </row>
    <row r="272" spans="11:15" ht="20.100000000000001" customHeight="1" x14ac:dyDescent="0.2">
      <c r="K272" s="16"/>
    </row>
    <row r="273" spans="11:11" ht="20.100000000000001" customHeight="1" x14ac:dyDescent="0.2">
      <c r="K273" s="16"/>
    </row>
    <row r="274" spans="11:11" ht="20.100000000000001" customHeight="1" x14ac:dyDescent="0.2">
      <c r="K274" s="16"/>
    </row>
    <row r="275" spans="11:11" ht="20.100000000000001" customHeight="1" x14ac:dyDescent="0.2">
      <c r="K275" s="16"/>
    </row>
    <row r="276" spans="11:11" ht="20.100000000000001" customHeight="1" x14ac:dyDescent="0.2">
      <c r="K276" s="16"/>
    </row>
    <row r="278" spans="11:11" ht="20.100000000000001" customHeight="1" x14ac:dyDescent="0.2">
      <c r="K278" s="16"/>
    </row>
    <row r="280" spans="11:11" ht="20.100000000000001" customHeight="1" x14ac:dyDescent="0.2">
      <c r="K280" s="16"/>
    </row>
    <row r="281" spans="11:11" ht="20.100000000000001" customHeight="1" x14ac:dyDescent="0.2">
      <c r="K281" s="16"/>
    </row>
    <row r="282" spans="11:11" ht="20.100000000000001" customHeight="1" x14ac:dyDescent="0.2">
      <c r="K282" s="16"/>
    </row>
    <row r="283" spans="11:11" ht="20.100000000000001" customHeight="1" x14ac:dyDescent="0.2">
      <c r="K283" s="16"/>
    </row>
    <row r="285" spans="11:11" ht="20.100000000000001" customHeight="1" x14ac:dyDescent="0.2">
      <c r="K285" s="16"/>
    </row>
    <row r="293" spans="11:11" ht="20.100000000000001" customHeight="1" x14ac:dyDescent="0.2">
      <c r="K293" s="16"/>
    </row>
    <row r="294" spans="11:11" ht="20.100000000000001" customHeight="1" x14ac:dyDescent="0.2">
      <c r="K294" s="16"/>
    </row>
    <row r="295" spans="11:11" ht="20.100000000000001" customHeight="1" x14ac:dyDescent="0.2">
      <c r="K295" s="16"/>
    </row>
    <row r="298" spans="11:11" ht="20.100000000000001" customHeight="1" x14ac:dyDescent="0.2">
      <c r="K298" s="16"/>
    </row>
    <row r="299" spans="11:11" ht="20.100000000000001" customHeight="1" x14ac:dyDescent="0.2">
      <c r="K299" s="16"/>
    </row>
    <row r="300" spans="11:11" ht="20.100000000000001" customHeight="1" x14ac:dyDescent="0.2">
      <c r="K300" s="16"/>
    </row>
    <row r="303" spans="11:11" ht="20.100000000000001" customHeight="1" x14ac:dyDescent="0.2">
      <c r="K303" s="16"/>
    </row>
    <row r="304" spans="11:11" ht="20.100000000000001" customHeight="1" x14ac:dyDescent="0.2">
      <c r="K304" s="16"/>
    </row>
    <row r="305" spans="11:11" ht="20.100000000000001" customHeight="1" x14ac:dyDescent="0.2">
      <c r="K305" s="16"/>
    </row>
    <row r="308" spans="11:11" ht="20.100000000000001" customHeight="1" x14ac:dyDescent="0.2">
      <c r="K308" s="16"/>
    </row>
    <row r="309" spans="11:11" ht="20.100000000000001" customHeight="1" x14ac:dyDescent="0.2">
      <c r="K309" s="16"/>
    </row>
    <row r="310" spans="11:11" ht="20.100000000000001" customHeight="1" x14ac:dyDescent="0.2">
      <c r="K310" s="16"/>
    </row>
    <row r="317" spans="11:11" ht="20.100000000000001" customHeight="1" x14ac:dyDescent="0.2">
      <c r="K317" s="16"/>
    </row>
    <row r="318" spans="11:11" ht="20.100000000000001" customHeight="1" x14ac:dyDescent="0.2">
      <c r="K318" s="16"/>
    </row>
    <row r="319" spans="11:11" ht="20.100000000000001" customHeight="1" x14ac:dyDescent="0.2">
      <c r="K319" s="16"/>
    </row>
    <row r="322" spans="4:11" ht="20.100000000000001" customHeight="1" x14ac:dyDescent="0.2">
      <c r="K322" s="16"/>
    </row>
    <row r="323" spans="4:11" ht="20.100000000000001" customHeight="1" x14ac:dyDescent="0.2">
      <c r="K323" s="16"/>
    </row>
    <row r="324" spans="4:11" ht="20.100000000000001" customHeight="1" x14ac:dyDescent="0.2">
      <c r="K324" s="16"/>
    </row>
    <row r="327" spans="4:11" ht="20.100000000000001" customHeight="1" x14ac:dyDescent="0.2">
      <c r="K327" s="16"/>
    </row>
    <row r="328" spans="4:11" ht="20.100000000000001" customHeight="1" x14ac:dyDescent="0.2">
      <c r="D328" s="80"/>
      <c r="K328" s="16"/>
    </row>
    <row r="329" spans="4:11" ht="20.100000000000001" customHeight="1" x14ac:dyDescent="0.2">
      <c r="K329" s="16"/>
    </row>
    <row r="332" spans="4:11" ht="20.100000000000001" customHeight="1" x14ac:dyDescent="0.2">
      <c r="K332" s="16"/>
    </row>
    <row r="333" spans="4:11" ht="20.100000000000001" customHeight="1" x14ac:dyDescent="0.2">
      <c r="K333" s="16"/>
    </row>
    <row r="334" spans="4:11" ht="20.100000000000001" customHeight="1" x14ac:dyDescent="0.2">
      <c r="K334" s="16"/>
    </row>
  </sheetData>
  <conditionalFormatting sqref="F189:F190">
    <cfRule type="cellIs" dxfId="92" priority="10" operator="lessThan">
      <formula>0</formula>
    </cfRule>
  </conditionalFormatting>
  <conditionalFormatting sqref="F194:F195">
    <cfRule type="cellIs" dxfId="91" priority="9" operator="lessThan">
      <formula>0</formula>
    </cfRule>
  </conditionalFormatting>
  <conditionalFormatting sqref="F227:F228">
    <cfRule type="cellIs" dxfId="90" priority="8" operator="lessThan">
      <formula>0</formula>
    </cfRule>
  </conditionalFormatting>
  <conditionalFormatting sqref="F251:F252">
    <cfRule type="cellIs" dxfId="89" priority="7" operator="lessThan">
      <formula>0</formula>
    </cfRule>
  </conditionalFormatting>
  <conditionalFormatting sqref="F256:F257">
    <cfRule type="cellIs" dxfId="88" priority="6" operator="lessThan">
      <formula>0</formula>
    </cfRule>
  </conditionalFormatting>
  <conditionalFormatting sqref="F261:F262">
    <cfRule type="cellIs" dxfId="87" priority="5" operator="lessThan">
      <formula>0</formula>
    </cfRule>
  </conditionalFormatting>
  <conditionalFormatting sqref="H181:K181">
    <cfRule type="cellIs" dxfId="86" priority="4" operator="lessThan">
      <formula>0</formula>
    </cfRule>
  </conditionalFormatting>
  <conditionalFormatting sqref="I103:O103 L145:O147 L149:O149 L151:O154 L156:O156 E160:O160 L167:O168 M181:N181 I182 L182:O182 J195:K195 J228:K228 J233:K233 J238:K242 J244:K244 J246:K249 J251:K251 J257:K257 J262:K262 J267:K267 J272:K276 J278:K278 J280:K283 J285:K285">
    <cfRule type="cellIs" dxfId="85" priority="11" operator="lessThan">
      <formula>0</formula>
    </cfRule>
  </conditionalFormatting>
  <conditionalFormatting sqref="I125:O125">
    <cfRule type="cellIs" dxfId="84" priority="3" operator="lessThan">
      <formula>0</formula>
    </cfRule>
  </conditionalFormatting>
  <conditionalFormatting sqref="K180:K181">
    <cfRule type="cellIs" dxfId="83" priority="2" operator="lessThan">
      <formula>0</formula>
    </cfRule>
  </conditionalFormatting>
  <conditionalFormatting sqref="N178:N180">
    <cfRule type="cellIs" dxfId="82" priority="1" operator="lessThan">
      <formula>0</formula>
    </cfRule>
  </conditionalFormatting>
  <conditionalFormatting sqref="P43:R43">
    <cfRule type="cellIs" dxfId="81" priority="12" operator="lessThan">
      <formula>0</formula>
    </cfRule>
  </conditionalFormatting>
  <dataValidations count="9">
    <dataValidation type="list" allowBlank="1" showInputMessage="1" showErrorMessage="1" sqref="E176" xr:uid="{811B757A-27FD-4CBA-8244-0349A3B033C9}">
      <formula1>$D$23:$D$34</formula1>
    </dataValidation>
    <dataValidation type="list" allowBlank="1" showInputMessage="1" showErrorMessage="1" sqref="E162" xr:uid="{EF494480-77D6-4FBA-BC6F-CFEF520C6514}">
      <formula1>"Spring, Summer, Autumn, Winter"</formula1>
    </dataValidation>
    <dataValidation type="list" allowBlank="1" showInputMessage="1" showErrorMessage="1" sqref="E156" xr:uid="{C4C9B4A8-729F-4007-AFFD-FD3662B99554}">
      <formula1>INDIRECT("Table_SourceData_PastureBeef_CropProdSystems[Production system]")</formula1>
    </dataValidation>
    <dataValidation type="list" allowBlank="1" showInputMessage="1" showErrorMessage="1" sqref="E157" xr:uid="{C6F0FE7E-B501-46F0-A49B-E2B9695CDB65}">
      <formula1>INDIRECT("Table_SourceData_PastureBeef_IrrigationMethods[Irrigation method]")</formula1>
    </dataValidation>
    <dataValidation type="list" allowBlank="1" showInputMessage="1" showErrorMessage="1" sqref="E9" xr:uid="{8938E1FE-A9FD-4379-AF0D-5C854A02C125}">
      <formula1>INDIRECT("Table_SourceData_PastureBeef_FeedIntakeAdjustment[Breed]")</formula1>
    </dataValidation>
    <dataValidation type="list" allowBlank="1" showInputMessage="1" showErrorMessage="1" sqref="E8" xr:uid="{28CDBA91-23A9-4F5A-A240-2ED9E8EA3D23}">
      <formula1>INDIRECT("Table_SourceData_PastureBeef_Region_" &amp; SUBSTITUTE($E$7, " ", "") &amp; "[Region]")</formula1>
    </dataValidation>
    <dataValidation type="list" allowBlank="1" showInputMessage="1" showErrorMessage="1" sqref="E15 E37 E59 E81" xr:uid="{69589518-C818-4548-8AE1-892319CB8A71}">
      <formula1>INDIRECT("Table_SourceData_Dairy_WjCowsHeifers[Breed]")</formula1>
    </dataValidation>
    <dataValidation type="list" allowBlank="1" showInputMessage="1" showErrorMessage="1" sqref="E188 E193 E226 E260 E255 E250 E149" xr:uid="{86D61BD0-F7AF-430A-8DDD-E3DB0170FB60}">
      <formula1>"Yes, No"</formula1>
    </dataValidation>
    <dataValidation type="list" allowBlank="1" showInputMessage="1" showErrorMessage="1" sqref="D244" xr:uid="{BE3D24D5-9576-4CB0-BB8B-A948454B52A7}">
      <formula1>INDIRECT("Table_SourceData_PoultryMMSStage1[MMS]")</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25AD-9AE3-44A6-90A7-1DB424260FEF}">
  <sheetPr>
    <tabColor rgb="FFCC6600"/>
  </sheetPr>
  <dimension ref="A1:M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2" width="30.7109375" style="1" customWidth="1"/>
    <col min="13" max="13" width="4.7109375" style="1" customWidth="1"/>
  </cols>
  <sheetData>
    <row r="1" spans="1:13" s="10" customFormat="1" ht="30" customHeight="1" x14ac:dyDescent="0.35">
      <c r="A1" s="10" t="e" vm="1">
        <v>#VALUE!</v>
      </c>
      <c r="C1" s="10" t="s">
        <v>181</v>
      </c>
    </row>
    <row r="2" spans="1:13" s="3" customFormat="1" ht="20.100000000000001" customHeight="1" x14ac:dyDescent="0.2">
      <c r="A2"/>
    </row>
    <row r="3" spans="1:13" ht="20.100000000000001" customHeight="1" x14ac:dyDescent="0.2">
      <c r="A3" s="5" t="str">
        <f>HYPERLINK("#'Home'!A1", "Home")</f>
        <v>Home</v>
      </c>
      <c r="C3" s="29"/>
      <c r="D3" s="29"/>
      <c r="E3" s="29"/>
      <c r="F3" s="29"/>
      <c r="G3" s="29"/>
      <c r="H3" s="29"/>
      <c r="I3" s="29"/>
      <c r="J3" s="29"/>
      <c r="K3" s="29"/>
      <c r="L3" s="29"/>
      <c r="M3" s="29"/>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c r="D5" s="80" t="s">
        <v>182</v>
      </c>
    </row>
    <row r="6" spans="1:13" ht="20.100000000000001" customHeight="1" x14ac:dyDescent="0.2">
      <c r="D6" s="20" t="s">
        <v>183</v>
      </c>
      <c r="E6" s="20" t="s">
        <v>184</v>
      </c>
      <c r="F6" s="20" t="s">
        <v>185</v>
      </c>
      <c r="G6" s="20" t="s">
        <v>186</v>
      </c>
      <c r="H6" s="20" t="s">
        <v>187</v>
      </c>
      <c r="I6" s="20" t="s">
        <v>188</v>
      </c>
    </row>
    <row r="7" spans="1:13" ht="20.100000000000001" customHeight="1" x14ac:dyDescent="0.2">
      <c r="D7" s="34"/>
      <c r="E7" s="13" t="s">
        <v>189</v>
      </c>
      <c r="F7" s="81">
        <v>45566</v>
      </c>
      <c r="G7" s="20">
        <v>10</v>
      </c>
      <c r="H7" s="20">
        <v>500</v>
      </c>
      <c r="I7" s="15">
        <f t="shared" ref="I7:I16" si="0">G7*H7</f>
        <v>5000</v>
      </c>
    </row>
    <row r="8" spans="1:13" ht="20.100000000000001" customHeight="1" x14ac:dyDescent="0.2">
      <c r="A8" s="7" t="s">
        <v>0</v>
      </c>
      <c r="D8" s="34"/>
      <c r="E8" s="13"/>
      <c r="F8" s="81"/>
      <c r="G8" s="20"/>
      <c r="H8" s="20"/>
      <c r="I8" s="15">
        <f t="shared" si="0"/>
        <v>0</v>
      </c>
    </row>
    <row r="9" spans="1:13" ht="20.100000000000001" customHeight="1" x14ac:dyDescent="0.2">
      <c r="A9" s="5" t="str">
        <f>HYPERLINK("#'Input - Enterprise'!A1", "Enterprise")</f>
        <v>Enterprise</v>
      </c>
      <c r="D9" s="34"/>
      <c r="E9" s="13"/>
      <c r="F9" s="81"/>
      <c r="G9" s="20"/>
      <c r="H9" s="20"/>
      <c r="I9" s="15">
        <f t="shared" si="0"/>
        <v>0</v>
      </c>
    </row>
    <row r="10" spans="1:13" ht="20.100000000000001" customHeight="1" x14ac:dyDescent="0.2">
      <c r="A10" s="5" t="str">
        <f>HYPERLINK("#'Input - Site'!A1", "Site")</f>
        <v>Site</v>
      </c>
      <c r="D10" s="34"/>
      <c r="E10" s="13"/>
      <c r="F10" s="81"/>
      <c r="G10" s="20"/>
      <c r="H10" s="20"/>
      <c r="I10" s="15">
        <f t="shared" si="0"/>
        <v>0</v>
      </c>
    </row>
    <row r="11" spans="1:13" ht="20.100000000000001" customHeight="1" x14ac:dyDescent="0.2">
      <c r="A11" s="5" t="str">
        <f>HYPERLINK("#'Input - Pasture Beef'!A1", "Pasture Beef")</f>
        <v>Pasture Beef</v>
      </c>
      <c r="D11" s="34"/>
      <c r="E11" s="13"/>
      <c r="F11" s="81"/>
      <c r="G11" s="20"/>
      <c r="H11" s="20"/>
      <c r="I11" s="15">
        <f t="shared" si="0"/>
        <v>0</v>
      </c>
    </row>
    <row r="12" spans="1:13" ht="20.100000000000001" customHeight="1" x14ac:dyDescent="0.2">
      <c r="A12" s="100" t="str">
        <f>HYPERLINK("#'Input - Livestock sales'!A1", "Livestock sales")</f>
        <v>Livestock sales</v>
      </c>
      <c r="D12" s="34"/>
      <c r="E12" s="13"/>
      <c r="F12" s="81"/>
      <c r="G12" s="20"/>
      <c r="H12" s="20"/>
      <c r="I12" s="15">
        <f t="shared" si="0"/>
        <v>0</v>
      </c>
    </row>
    <row r="13" spans="1:13" ht="20.100000000000001" customHeight="1" x14ac:dyDescent="0.2">
      <c r="A13" s="5" t="str">
        <f>HYPERLINK("#'Input - Beef cattle purchases'!A1", "Beef cattle purchases")</f>
        <v>Beef cattle purchases</v>
      </c>
      <c r="D13" s="34"/>
      <c r="E13" s="13"/>
      <c r="F13" s="81"/>
      <c r="G13" s="20"/>
      <c r="H13" s="20"/>
      <c r="I13" s="15">
        <f t="shared" si="0"/>
        <v>0</v>
      </c>
    </row>
    <row r="14" spans="1:13" ht="20.100000000000001" customHeight="1" x14ac:dyDescent="0.2">
      <c r="A14" s="5" t="str">
        <f>HYPERLINK("#'Input - Pasture'!A1", "Pasture")</f>
        <v>Pasture</v>
      </c>
      <c r="D14" s="34"/>
      <c r="E14" s="13"/>
      <c r="F14" s="81"/>
      <c r="G14" s="20"/>
      <c r="H14" s="20"/>
      <c r="I14" s="15">
        <f t="shared" si="0"/>
        <v>0</v>
      </c>
    </row>
    <row r="15" spans="1:13" ht="20.100000000000001" customHeight="1" x14ac:dyDescent="0.2">
      <c r="A15" s="5" t="str">
        <f>HYPERLINK("#'Input - Fert Prod System'!A1", "Fert Prod System")</f>
        <v>Fert Prod System</v>
      </c>
      <c r="D15" s="34"/>
      <c r="E15" s="13"/>
      <c r="F15" s="81"/>
      <c r="G15" s="20"/>
      <c r="H15" s="20"/>
      <c r="I15" s="15">
        <f t="shared" si="0"/>
        <v>0</v>
      </c>
    </row>
    <row r="16" spans="1:13" ht="20.100000000000001" customHeight="1" x14ac:dyDescent="0.2">
      <c r="A16" s="5" t="str">
        <f>HYPERLINK("#'Input - Fertiliser'!A1", "Fertiliser")</f>
        <v>Fertiliser</v>
      </c>
      <c r="D16" s="34"/>
      <c r="E16" s="13"/>
      <c r="F16" s="81"/>
      <c r="G16" s="20"/>
      <c r="H16" s="20"/>
      <c r="I16" s="15">
        <f t="shared" si="0"/>
        <v>0</v>
      </c>
    </row>
    <row r="17" spans="1:1" ht="20.100000000000001" customHeight="1" x14ac:dyDescent="0.2">
      <c r="A17" s="5" t="str">
        <f>HYPERLINK("#'Input - Fuel'!A1", "Fuel")</f>
        <v>Fuel</v>
      </c>
    </row>
    <row r="18" spans="1:1" ht="20.100000000000001" customHeight="1" x14ac:dyDescent="0.2">
      <c r="A18" s="5" t="str">
        <f>HYPERLINK("#'Input - Electricity'!A1", "Electricity")</f>
        <v>Electricity</v>
      </c>
    </row>
    <row r="19" spans="1:1" ht="20.100000000000001" customHeight="1" x14ac:dyDescent="0.2">
      <c r="A19" s="5" t="str">
        <f>HYPERLINK("#'Input - Common farm inputs'!A1", "Common farm inputs")</f>
        <v>Common farm inputs</v>
      </c>
    </row>
    <row r="20" spans="1:1" ht="20.100000000000001" customHeight="1" x14ac:dyDescent="0.2">
      <c r="A20" s="5" t="str">
        <f>HYPERLINK("#'Input - Crop pasture farm input'!A1", "Crop pasture farm input")</f>
        <v>Crop pasture farm input</v>
      </c>
    </row>
    <row r="21" spans="1:1" ht="20.100000000000001" customHeight="1" x14ac:dyDescent="0.2">
      <c r="A21" s="5" t="str">
        <f>HYPERLINK("#'Input - Livestock farm Inputs'!A1", "Livestock farm Inputs")</f>
        <v>Livestock farm Inputs</v>
      </c>
    </row>
    <row r="22" spans="1:1" ht="20.100000000000001" customHeight="1" x14ac:dyDescent="0.2">
      <c r="A22" s="5" t="str">
        <f>HYPERLINK("#'Input - Freight'!A1", "Freight")</f>
        <v>Freight</v>
      </c>
    </row>
    <row r="23" spans="1:1" ht="20.100000000000001" customHeight="1" x14ac:dyDescent="0.2">
      <c r="A23" s="5" t="str">
        <f>HYPERLINK("#'Input - Solid waste'!A1", "Solid waste")</f>
        <v>Solid waste</v>
      </c>
    </row>
    <row r="24" spans="1:1" ht="20.100000000000001" customHeight="1" x14ac:dyDescent="0.2">
      <c r="A24" s="5" t="str">
        <f>HYPERLINK("#'Input - Manure sent off-site'!A1", "Manure sent off-site")</f>
        <v>Manure sent off-site</v>
      </c>
    </row>
    <row r="25" spans="1:1" ht="20.100000000000001" customHeight="1" x14ac:dyDescent="0.2">
      <c r="A25" s="5" t="str">
        <f>HYPERLINK("#'Input - Data quality'!A1", "Data quality")</f>
        <v>Data quality</v>
      </c>
    </row>
    <row r="28" spans="1:1" ht="20.100000000000001" customHeight="1" x14ac:dyDescent="0.2">
      <c r="A28" s="6" t="s">
        <v>2</v>
      </c>
    </row>
    <row r="29" spans="1:1" ht="20.100000000000001" customHeight="1" x14ac:dyDescent="0.2">
      <c r="A29" s="5" t="str">
        <f>HYPERLINK("#'3.2.1.1-2 Enteric Methane'!A1", "3.2.1.1-2 Enteric Methane")</f>
        <v>3.2.1.1-2 Enteric Methane</v>
      </c>
    </row>
    <row r="30" spans="1:1" ht="20.100000000000001" customHeight="1" x14ac:dyDescent="0.2">
      <c r="A30" s="5" t="str">
        <f>HYPERLINK("#'4.2.1.1-2 Methane'!A1", "4.2.1.1-2 Manure methane")</f>
        <v>4.2.1.1-2 Manure methane</v>
      </c>
    </row>
    <row r="31" spans="1:1" ht="20.100000000000001" customHeight="1" x14ac:dyDescent="0.2">
      <c r="A31" s="5" t="str">
        <f>HYPERLINK("#'4.2.1.3-4 Soil direct N20'!A1", "4.2.1.3-4 Soil direct N2O")</f>
        <v>4.2.1.3-4 Soil direct N2O</v>
      </c>
    </row>
    <row r="32" spans="1:1"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dataValidations count="1">
    <dataValidation type="list" allowBlank="1" showInputMessage="1" showErrorMessage="1" sqref="E7:E16" xr:uid="{0E55E714-DF79-4C4F-9167-29562056E30A}">
      <formula1>INDIRECT("Table_LivestockClasses_Beefcattle[Livestock class]")</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231A4-D799-4717-9E1B-09EA2A4D8830}">
  <sheetPr>
    <tabColor theme="5" tint="-0.249977111117893"/>
  </sheetPr>
  <dimension ref="A1:L63"/>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5703125" customWidth="1"/>
    <col min="3" max="3" width="4.5703125" style="1" customWidth="1"/>
    <col min="4" max="11" width="30.5703125" style="1" customWidth="1"/>
    <col min="12" max="12" width="4.5703125" style="1" customWidth="1"/>
    <col min="13" max="16" width="30.5703125" customWidth="1"/>
  </cols>
  <sheetData>
    <row r="1" spans="1:12" ht="30" customHeight="1" x14ac:dyDescent="0.35">
      <c r="A1" s="10" t="e" vm="1">
        <v>#VALUE!</v>
      </c>
      <c r="B1" s="237"/>
      <c r="C1" s="10" t="s">
        <v>1044</v>
      </c>
      <c r="D1" s="10"/>
      <c r="E1" s="10"/>
      <c r="F1" s="10"/>
      <c r="G1" s="10"/>
      <c r="H1" s="10"/>
      <c r="I1" s="10"/>
      <c r="J1" s="10"/>
      <c r="K1" s="10"/>
      <c r="L1" s="10"/>
    </row>
    <row r="2" spans="1:12" ht="20.100000000000001" customHeight="1" x14ac:dyDescent="0.2">
      <c r="C2" s="3"/>
      <c r="D2" s="3"/>
      <c r="E2" s="3"/>
      <c r="F2" s="3"/>
      <c r="G2" s="3"/>
      <c r="H2" s="3"/>
      <c r="I2" s="3"/>
      <c r="J2" s="3"/>
      <c r="K2" s="3"/>
      <c r="L2" s="3"/>
    </row>
    <row r="3" spans="1:12" ht="20.100000000000001" customHeight="1" x14ac:dyDescent="0.2">
      <c r="A3" s="5" t="str">
        <f>HYPERLINK("#'Home'!A1", "Home")</f>
        <v>Home</v>
      </c>
      <c r="C3" s="29"/>
      <c r="D3" s="29"/>
      <c r="E3" s="29"/>
      <c r="F3" s="29"/>
      <c r="G3" s="29"/>
      <c r="H3" s="29"/>
      <c r="I3" s="29"/>
      <c r="J3" s="29"/>
      <c r="K3" s="29"/>
      <c r="L3" s="29"/>
    </row>
    <row r="4" spans="1:12" ht="20.100000000000001" customHeight="1" x14ac:dyDescent="0.2">
      <c r="A4" s="5" t="str">
        <f>HYPERLINK("#'Results - Activity period'!A1", "Results - Activity period")</f>
        <v>Results - Activity period</v>
      </c>
    </row>
    <row r="5" spans="1:12" ht="20.100000000000001" customHeight="1" x14ac:dyDescent="0.2">
      <c r="A5" s="5" t="str">
        <f>HYPERLINK("#'Results - Product EI'!A1", "Results - Product Emissions Intensity")</f>
        <v>Results - Product Emissions Intensity</v>
      </c>
      <c r="D5" s="80" t="s">
        <v>1045</v>
      </c>
      <c r="E5" s="238"/>
      <c r="F5" s="238"/>
      <c r="G5" s="238"/>
      <c r="H5" s="238"/>
      <c r="I5" s="238"/>
      <c r="J5" s="238"/>
    </row>
    <row r="6" spans="1:12" ht="20.100000000000001" customHeight="1" x14ac:dyDescent="0.2">
      <c r="D6" s="20" t="s">
        <v>183</v>
      </c>
      <c r="E6" s="20" t="s">
        <v>1046</v>
      </c>
      <c r="F6" s="20" t="s">
        <v>184</v>
      </c>
      <c r="G6" s="20" t="s">
        <v>1047</v>
      </c>
      <c r="H6" s="20" t="s">
        <v>1048</v>
      </c>
      <c r="I6" s="20" t="s">
        <v>1049</v>
      </c>
      <c r="J6" s="239" t="s">
        <v>1050</v>
      </c>
      <c r="K6" s="239" t="s">
        <v>1051</v>
      </c>
    </row>
    <row r="7" spans="1:12" ht="20.100000000000001" customHeight="1" x14ac:dyDescent="0.2">
      <c r="D7" s="34" t="s">
        <v>1052</v>
      </c>
      <c r="E7" s="240">
        <v>45547</v>
      </c>
      <c r="F7" s="13" t="s">
        <v>330</v>
      </c>
      <c r="G7" s="133" t="s">
        <v>1053</v>
      </c>
      <c r="H7" s="13" t="s">
        <v>528</v>
      </c>
      <c r="I7" s="76">
        <v>100</v>
      </c>
      <c r="J7" s="15" cm="1">
        <f t="array" ref="J7">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210</v>
      </c>
      <c r="K7" s="76">
        <v>205</v>
      </c>
    </row>
    <row r="8" spans="1:12" ht="20.100000000000001" customHeight="1" x14ac:dyDescent="0.2">
      <c r="A8" s="7" t="s">
        <v>0</v>
      </c>
      <c r="D8" s="34"/>
      <c r="E8" s="240">
        <v>45292</v>
      </c>
      <c r="F8" s="84" t="s">
        <v>331</v>
      </c>
      <c r="G8" s="133" t="s">
        <v>1054</v>
      </c>
      <c r="H8" s="13" t="s">
        <v>525</v>
      </c>
      <c r="I8" s="76">
        <v>100</v>
      </c>
      <c r="J8" s="15" cm="1">
        <f t="array" ref="J8">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470</v>
      </c>
      <c r="K8" s="76">
        <v>465</v>
      </c>
    </row>
    <row r="9" spans="1:12" ht="20.100000000000001" customHeight="1" x14ac:dyDescent="0.2">
      <c r="A9" s="5" t="str">
        <f>HYPERLINK("#'Input - Enterprise'!A1", "Enterprise")</f>
        <v>Enterprise</v>
      </c>
      <c r="D9" s="34"/>
      <c r="E9" s="34"/>
      <c r="F9" s="84"/>
      <c r="G9" s="133"/>
      <c r="H9" s="13"/>
      <c r="I9" s="76"/>
      <c r="J9" s="15" cm="1">
        <f t="array" ref="J9">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9" s="76"/>
    </row>
    <row r="10" spans="1:12" ht="20.100000000000001" customHeight="1" x14ac:dyDescent="0.2">
      <c r="A10" s="5" t="str">
        <f>HYPERLINK("#'Input - Site'!A1", "Site")</f>
        <v>Site</v>
      </c>
      <c r="D10" s="34"/>
      <c r="E10" s="34"/>
      <c r="F10" s="84"/>
      <c r="G10" s="133"/>
      <c r="H10" s="13"/>
      <c r="I10" s="76"/>
      <c r="J10" s="15" cm="1">
        <f t="array" ref="J10">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0" s="76"/>
    </row>
    <row r="11" spans="1:12" ht="20.100000000000001" customHeight="1" x14ac:dyDescent="0.2">
      <c r="A11" s="5" t="str">
        <f>HYPERLINK("#'Input - Pasture Beef'!A1", "Pasture Beef")</f>
        <v>Pasture Beef</v>
      </c>
      <c r="D11" s="34"/>
      <c r="E11" s="34"/>
      <c r="F11" s="84"/>
      <c r="G11" s="133"/>
      <c r="H11" s="13"/>
      <c r="I11" s="76"/>
      <c r="J11" s="15" cm="1">
        <f t="array" ref="J11">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1" s="76"/>
    </row>
    <row r="12" spans="1:12" ht="20.100000000000001" customHeight="1" x14ac:dyDescent="0.2">
      <c r="A12" s="5" t="str">
        <f>HYPERLINK("#'Input - Livestock sales'!A1", "Livestock sales")</f>
        <v>Livestock sales</v>
      </c>
      <c r="D12" s="34"/>
      <c r="E12" s="34"/>
      <c r="F12" s="84"/>
      <c r="G12" s="133"/>
      <c r="H12" s="13"/>
      <c r="I12" s="76"/>
      <c r="J12" s="15" cm="1">
        <f t="array" ref="J12">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2" s="76"/>
    </row>
    <row r="13" spans="1:12" ht="20.100000000000001" customHeight="1" x14ac:dyDescent="0.2">
      <c r="A13" s="100" t="str">
        <f>HYPERLINK("#'Input - Beef cattle purchases'!A1", "Beef cattle purchases")</f>
        <v>Beef cattle purchases</v>
      </c>
      <c r="D13" s="34"/>
      <c r="E13" s="34"/>
      <c r="F13" s="84"/>
      <c r="G13" s="133"/>
      <c r="H13" s="13"/>
      <c r="I13" s="76"/>
      <c r="J13" s="15" cm="1">
        <f t="array" ref="J13">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3" s="76"/>
    </row>
    <row r="14" spans="1:12" ht="20.100000000000001" customHeight="1" x14ac:dyDescent="0.2">
      <c r="A14" s="5" t="str">
        <f>HYPERLINK("#'Input - Pasture'!A1", "Pasture")</f>
        <v>Pasture</v>
      </c>
      <c r="D14" s="34"/>
      <c r="E14" s="34"/>
      <c r="F14" s="84"/>
      <c r="G14" s="133"/>
      <c r="H14" s="13"/>
      <c r="I14" s="76"/>
      <c r="J14" s="15" cm="1">
        <f t="array" ref="J14">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4" s="76"/>
    </row>
    <row r="15" spans="1:12" ht="20.100000000000001" customHeight="1" x14ac:dyDescent="0.2">
      <c r="A15" s="5" t="str">
        <f>HYPERLINK("#'Input - Fert Prod System'!A1", "Fert Prod System")</f>
        <v>Fert Prod System</v>
      </c>
      <c r="D15" s="34"/>
      <c r="E15" s="34"/>
      <c r="F15" s="84"/>
      <c r="G15" s="133"/>
      <c r="H15" s="13"/>
      <c r="I15" s="76"/>
      <c r="J15" s="15" cm="1">
        <f t="array" ref="J15">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5" s="76"/>
    </row>
    <row r="16" spans="1:12" ht="20.100000000000001" customHeight="1" x14ac:dyDescent="0.2">
      <c r="A16" s="5" t="str">
        <f>HYPERLINK("#'Input - Fertiliser'!A1", "Fertiliser")</f>
        <v>Fertiliser</v>
      </c>
      <c r="D16" s="34"/>
      <c r="E16" s="34"/>
      <c r="F16" s="84"/>
      <c r="G16" s="133"/>
      <c r="H16" s="13"/>
      <c r="I16" s="76"/>
      <c r="J16" s="15" cm="1">
        <f t="array" ref="J16">Scope3_InputFunctions.GetLiveweight_PastureBeef(Table_Input_LivestockPurchases_Beefcattle[[#This Row],[Purchase date]],Table_Input_LivestockPurchases_Beefcattle[[#This Row],[Class (select)]],Table_Input_LivestockPurchases_Beefcattle[[#This Row],[Source region (Select)]],Table_SourceData_PastureBeef_LiveweightAllStates[State],Table_SourceData_PastureBeef_LiveweightAllStates[Region],Table_SourceData_PastureBeef_LiveweightAllStates[Season],Table_SourceData_PastureBeef_LiveweightAllStates[#Headers],Table_SourceData_PastureBeef_LiveweightAllStates[#Data])</f>
        <v>0</v>
      </c>
      <c r="K16" s="76"/>
    </row>
    <row r="17" spans="1:10" ht="20.100000000000001" customHeight="1" x14ac:dyDescent="0.2">
      <c r="A17" s="5" t="str">
        <f>HYPERLINK("#'Input - Fuel'!A1", "Fuel")</f>
        <v>Fuel</v>
      </c>
    </row>
    <row r="18" spans="1:10" ht="20.100000000000001" customHeight="1" x14ac:dyDescent="0.2">
      <c r="A18" s="5" t="str">
        <f>HYPERLINK("#'Input - Electricity'!A1", "Electricity")</f>
        <v>Electricity</v>
      </c>
      <c r="D18" s="238"/>
      <c r="E18" s="238"/>
      <c r="F18" s="238"/>
      <c r="G18" s="238"/>
      <c r="H18" s="238"/>
      <c r="I18" s="238"/>
      <c r="J18" s="238"/>
    </row>
    <row r="19" spans="1:10" ht="20.100000000000001" customHeight="1" x14ac:dyDescent="0.2">
      <c r="A19" s="5" t="str">
        <f>HYPERLINK("#'Input - Common farm inputs'!A1", "Common farm inputs")</f>
        <v>Common farm inputs</v>
      </c>
      <c r="J19" s="238"/>
    </row>
    <row r="20" spans="1:10" ht="20.100000000000001" customHeight="1" x14ac:dyDescent="0.2">
      <c r="A20" s="5" t="str">
        <f>HYPERLINK("#'Input - Crop pasture farm input'!A1", "Crop pasture farm input")</f>
        <v>Crop pasture farm input</v>
      </c>
      <c r="J20" s="238"/>
    </row>
    <row r="21" spans="1:10" ht="20.100000000000001" customHeight="1" x14ac:dyDescent="0.2">
      <c r="A21" s="5" t="str">
        <f>HYPERLINK("#'Input - Livestock farm Inputs'!A1", "Livestock farm Inputs")</f>
        <v>Livestock farm Inputs</v>
      </c>
      <c r="J21" s="238"/>
    </row>
    <row r="22" spans="1:10" ht="20.100000000000001" customHeight="1" x14ac:dyDescent="0.2">
      <c r="A22" s="5" t="str">
        <f>HYPERLINK("#'Input - Freight'!A1", "Freight")</f>
        <v>Freight</v>
      </c>
      <c r="J22" s="238"/>
    </row>
    <row r="23" spans="1:10" ht="20.100000000000001" customHeight="1" x14ac:dyDescent="0.2">
      <c r="A23" s="5" t="str">
        <f>HYPERLINK("#'Input - Solid waste'!A1", "Solid waste")</f>
        <v>Solid waste</v>
      </c>
      <c r="J23" s="238"/>
    </row>
    <row r="24" spans="1:10" ht="20.100000000000001" customHeight="1" x14ac:dyDescent="0.2">
      <c r="A24" s="5" t="str">
        <f>HYPERLINK("#'Input - Manure sent off-site'!A1", "Manure sent off-site")</f>
        <v>Manure sent off-site</v>
      </c>
      <c r="J24" s="238"/>
    </row>
    <row r="25" spans="1:10" ht="20.100000000000001" customHeight="1" x14ac:dyDescent="0.2">
      <c r="A25" s="5" t="str">
        <f>HYPERLINK("#'Input - Data quality'!A1", "Data quality")</f>
        <v>Data quality</v>
      </c>
      <c r="J25" s="238"/>
    </row>
    <row r="26" spans="1:10" ht="20.100000000000001" customHeight="1" x14ac:dyDescent="0.2">
      <c r="J26" s="238"/>
    </row>
    <row r="27" spans="1:10" ht="20.100000000000001" customHeight="1" x14ac:dyDescent="0.2">
      <c r="J27" s="238"/>
    </row>
    <row r="28" spans="1:10" ht="20.100000000000001" customHeight="1" x14ac:dyDescent="0.2">
      <c r="A28" s="6" t="s">
        <v>2</v>
      </c>
      <c r="J28" s="238"/>
    </row>
    <row r="29" spans="1:10" ht="20.100000000000001" customHeight="1" x14ac:dyDescent="0.2">
      <c r="A29" s="5" t="str">
        <f>HYPERLINK("#'3.2.1.1-2 Enteric Methane'!A1", "3.2.1.1-2 Enteric Methane")</f>
        <v>3.2.1.1-2 Enteric Methane</v>
      </c>
      <c r="J29" s="238"/>
    </row>
    <row r="30" spans="1:10" ht="20.100000000000001" customHeight="1" x14ac:dyDescent="0.2">
      <c r="A30" s="5" t="str">
        <f>HYPERLINK("#'4.2.1.1-2 Methane'!A1", "4.2.1.1-2 Manure methane")</f>
        <v>4.2.1.1-2 Manure methane</v>
      </c>
      <c r="J30" s="238"/>
    </row>
    <row r="31" spans="1:10" ht="20.100000000000001" customHeight="1" x14ac:dyDescent="0.2">
      <c r="A31" s="5" t="str">
        <f>HYPERLINK("#'4.2.1.3-4 Soil direct N20'!A1", "4.2.1.3-4 Soil direct N2O")</f>
        <v>4.2.1.3-4 Soil direct N2O</v>
      </c>
      <c r="D31" s="238"/>
      <c r="E31" s="238"/>
      <c r="F31" s="238"/>
      <c r="G31" s="238"/>
      <c r="H31" s="238"/>
      <c r="I31" s="238"/>
      <c r="J31" s="238"/>
    </row>
    <row r="32" spans="1:10" ht="20.100000000000001" customHeight="1" x14ac:dyDescent="0.2">
      <c r="A32" s="5" t="str">
        <f>HYPERLINK("#'4.2.1.5-6 Soil Atmos Dep'!A1", "4.2.1.5-6 Soil atm. deposition")</f>
        <v>4.2.1.5-6 Soil atm. deposition</v>
      </c>
      <c r="I32" s="238"/>
      <c r="J32" s="238"/>
    </row>
    <row r="33" spans="1:10" ht="20.100000000000001" customHeight="1" x14ac:dyDescent="0.2">
      <c r="A33" s="5" t="str">
        <f>HYPERLINK("#'4.2.1.7-8 Soil leach runoff'!A1", "4.2.1.7-8 Soil leach &amp; runoff")</f>
        <v>4.2.1.7-8 Soil leach &amp; runoff</v>
      </c>
      <c r="I33" s="238"/>
      <c r="J33" s="238"/>
    </row>
    <row r="34" spans="1:10" ht="20.100000000000001" customHeight="1" x14ac:dyDescent="0.2">
      <c r="A34" s="5" t="str">
        <f>HYPERLINK("#'5.1.1.1-2 Inorganic fert N2O'!A1", "5.1.1.1-2 Inorganic fert N2O")</f>
        <v>5.1.1.1-2 Inorganic fert N2O</v>
      </c>
      <c r="I34" s="238"/>
      <c r="J34" s="238"/>
    </row>
    <row r="35" spans="1:10" ht="20.100000000000001" customHeight="1" x14ac:dyDescent="0.2">
      <c r="A35" s="5" t="str">
        <f>HYPERLINK("#'5.1.1.3-4 Inorganic fert CO2'!A1", "5.1.1.3-4 Inorganic fert CO2")</f>
        <v>5.1.1.3-4 Inorganic fert CO2</v>
      </c>
      <c r="I35" s="238"/>
      <c r="J35" s="238"/>
    </row>
    <row r="36" spans="1:10" ht="20.100000000000001" customHeight="1" x14ac:dyDescent="0.2">
      <c r="A36" s="5" t="str">
        <f>HYPERLINK("#'5.2.1.1-2 Organic Fert N2O'!A1", "5.2.1.1-2 Organic fert N2O")</f>
        <v>5.2.1.1-2 Organic fert N2O</v>
      </c>
      <c r="I36" s="238"/>
      <c r="J36" s="238"/>
    </row>
    <row r="37" spans="1:10" ht="20.100000000000001" customHeight="1" x14ac:dyDescent="0.2">
      <c r="A37" s="5" t="str">
        <f>HYPERLINK("#'5.3.1.1-2 Lime CO2'!A1", "5.3.1.1-2 Lime CO2")</f>
        <v>5.3.1.1-2 Lime CO2</v>
      </c>
      <c r="I37" s="238"/>
      <c r="J37" s="238"/>
    </row>
    <row r="38" spans="1:10" ht="20.100000000000001" customHeight="1" x14ac:dyDescent="0.2">
      <c r="A38" s="5" t="str">
        <f>HYPERLINK("#'5.4.1.1-4 Atmos deposition'!A1", "5.4.1.1-4 Atmos. deposition")</f>
        <v>5.4.1.1-4 Atmos. deposition</v>
      </c>
      <c r="I38" s="238"/>
      <c r="J38" s="238"/>
    </row>
    <row r="39" spans="1:10" ht="20.100000000000001" customHeight="1" x14ac:dyDescent="0.2">
      <c r="A39" s="5" t="str">
        <f>HYPERLINK("#'5.5.1.1-2 Leaching and runoff'!A1", "5.5.1.1-2 Leaching &amp; runoff")</f>
        <v>5.5.1.1-2 Leaching &amp; runoff</v>
      </c>
      <c r="I39" s="238"/>
      <c r="J39" s="238"/>
    </row>
    <row r="40" spans="1:10" ht="20.100000000000001" customHeight="1" x14ac:dyDescent="0.2">
      <c r="A40" s="5" t="str">
        <f>HYPERLINK("#'6.2.1.1-2 Pasture residue N2O'!A1", "6.2.1.1-2 Pasture residue N2O")</f>
        <v>6.2.1.1-2 Pasture residue N2O</v>
      </c>
      <c r="I40" s="238"/>
      <c r="J40" s="238"/>
    </row>
    <row r="41" spans="1:10" ht="20.100000000000001" customHeight="1" x14ac:dyDescent="0.2">
      <c r="A41" s="5" t="str">
        <f>HYPERLINK("#'6.3.1.1-2 Leach runoff pasture'!A1", "6.3.1.1-2 Leach &amp; runoff (pasture)")</f>
        <v>6.3.1.1-2 Leach &amp; runoff (pasture)</v>
      </c>
      <c r="I41" s="238"/>
      <c r="J41" s="238"/>
    </row>
    <row r="42" spans="1:10" ht="20.100000000000001" customHeight="1" x14ac:dyDescent="0.2">
      <c r="A42" s="5" t="str">
        <f>HYPERLINK("#'8.1.1.1-2 Transport fuel'!A1", "8.1.1.1-2 Transport fuel")</f>
        <v>8.1.1.1-2 Transport fuel</v>
      </c>
      <c r="I42" s="238"/>
      <c r="J42" s="238"/>
    </row>
    <row r="43" spans="1:10" ht="20.100000000000001" customHeight="1" x14ac:dyDescent="0.2">
      <c r="A43" s="5" t="str">
        <f>HYPERLINK("#'8.2.1.1-2 Stationary fuel'!A1", "8.2.1.1-2 Stationary fuel")</f>
        <v>8.2.1.1-2 Stationary fuel</v>
      </c>
      <c r="I43" s="238"/>
      <c r="J43" s="238"/>
    </row>
    <row r="44" spans="1:10" ht="20.100000000000001" customHeight="1" x14ac:dyDescent="0.2">
      <c r="A44" s="5" t="str">
        <f>HYPERLINK("#'10.1.1-2 Solid waste treatment'!A1", "10.1.1.1-2 Solid waste")</f>
        <v>10.1.1.1-2 Solid waste</v>
      </c>
      <c r="D44" s="238"/>
      <c r="E44" s="238"/>
      <c r="F44" s="238"/>
      <c r="G44" s="238"/>
      <c r="H44" s="238"/>
      <c r="I44" s="238"/>
      <c r="J44" s="238"/>
    </row>
    <row r="45" spans="1:10" ht="20.100000000000001" customHeight="1" x14ac:dyDescent="0.2">
      <c r="A45" s="5" t="str">
        <f>HYPERLINK("#'14.1.1-2 Purchased electricity'!A1", "14.1.1-2 Purchased electricity")</f>
        <v>14.1.1-2 Purchased electricity</v>
      </c>
      <c r="I45" s="238"/>
      <c r="J45" s="238"/>
    </row>
    <row r="46" spans="1:10" ht="20.100000000000001" customHeight="1" x14ac:dyDescent="0.2">
      <c r="A46" s="5" t="str">
        <f>HYPERLINK("#'15 Scope 3'!A1", "15 Scope 3")</f>
        <v>15 Scope 3</v>
      </c>
      <c r="I46" s="238"/>
      <c r="J46" s="238"/>
    </row>
    <row r="47" spans="1:10" ht="20.100000000000001" customHeight="1" x14ac:dyDescent="0.2">
      <c r="A47" s="5" t="str">
        <f>HYPERLINK("#'Calcs - Manure sent off-site'!A1", "Calcs - Manure sent off-site")</f>
        <v>Calcs - Manure sent off-site</v>
      </c>
      <c r="I47" s="238"/>
      <c r="J47" s="238"/>
    </row>
    <row r="48" spans="1:10" ht="20.100000000000001" customHeight="1" x14ac:dyDescent="0.2">
      <c r="I48" s="238"/>
      <c r="J48" s="238"/>
    </row>
    <row r="49" spans="1:10" ht="20.100000000000001" customHeight="1" x14ac:dyDescent="0.2">
      <c r="I49" s="238"/>
      <c r="J49" s="238"/>
    </row>
    <row r="50" spans="1:10" ht="20.100000000000001" customHeight="1" x14ac:dyDescent="0.2">
      <c r="A50" s="86" t="s">
        <v>1</v>
      </c>
      <c r="I50" s="238"/>
      <c r="J50" s="238"/>
    </row>
    <row r="51" spans="1:10" ht="20.100000000000001" customHeight="1" x14ac:dyDescent="0.2">
      <c r="A51" s="5" t="str">
        <f>HYPERLINK("#'Constants - Pasture Beef'!A1", "Constants - Pasture Beef")</f>
        <v>Constants - Pasture Beef</v>
      </c>
      <c r="I51" s="238"/>
      <c r="J51" s="238"/>
    </row>
    <row r="52" spans="1:10" ht="20.100000000000001" customHeight="1" x14ac:dyDescent="0.2">
      <c r="A52" s="5" t="str">
        <f>HYPERLINK("#'Constants - Ag Residue'!A1", "Constants - Ag residue")</f>
        <v>Constants - Ag residue</v>
      </c>
      <c r="I52" s="238"/>
      <c r="J52" s="238"/>
    </row>
    <row r="53" spans="1:10" ht="20.100000000000001" customHeight="1" x14ac:dyDescent="0.2">
      <c r="A53" s="5" t="str">
        <f>HYPERLINK("#'Constants - Common Livestock'!A1", "Constants - Common Livestock")</f>
        <v>Constants - Common Livestock</v>
      </c>
      <c r="I53" s="238"/>
      <c r="J53" s="238"/>
    </row>
    <row r="54" spans="1:10" ht="20.100000000000001" customHeight="1" x14ac:dyDescent="0.2">
      <c r="A54" s="5" t="str">
        <f>HYPERLINK("#'Constants - Electricity'!A1", "Constants - Electricity")</f>
        <v>Constants - Electricity</v>
      </c>
      <c r="I54" s="238"/>
      <c r="J54" s="238"/>
    </row>
    <row r="55" spans="1:10" ht="20.100000000000001" customHeight="1" x14ac:dyDescent="0.2">
      <c r="A55" s="5" t="str">
        <f>HYPERLINK("#'Constants - Fertiliser'!A1", "Constants - Fertiliser")</f>
        <v>Constants - Fertiliser</v>
      </c>
      <c r="I55" s="238"/>
      <c r="J55" s="238"/>
    </row>
    <row r="56" spans="1:10" ht="20.100000000000001" customHeight="1" x14ac:dyDescent="0.2">
      <c r="A56" s="5" t="str">
        <f>HYPERLINK("#'Constants - Fuel'!A1", "Constants - Fuel")</f>
        <v>Constants - Fuel</v>
      </c>
      <c r="I56" s="238"/>
      <c r="J56" s="238"/>
    </row>
    <row r="57" spans="1:10" ht="20.100000000000001" customHeight="1" x14ac:dyDescent="0.2">
      <c r="A57" s="5" t="str">
        <f>HYPERLINK("#'Constants - Scope 3'!A1", "Constants - Scope 3")</f>
        <v>Constants - Scope 3</v>
      </c>
      <c r="D57" s="238"/>
      <c r="E57" s="238"/>
      <c r="F57" s="238"/>
      <c r="G57" s="238"/>
      <c r="H57" s="238"/>
      <c r="I57" s="238"/>
      <c r="J57" s="238"/>
    </row>
    <row r="58" spans="1:10" ht="20.100000000000001" customHeight="1" x14ac:dyDescent="0.2">
      <c r="A58" s="5" t="str">
        <f>HYPERLINK("#'Constants - Solid Waste'!A1", "Constants - Solid Waste")</f>
        <v>Constants - Solid Waste</v>
      </c>
      <c r="D58" s="241"/>
      <c r="E58" s="238"/>
      <c r="F58" s="238"/>
      <c r="G58" s="238"/>
      <c r="H58" s="238"/>
      <c r="I58" s="238"/>
      <c r="J58" s="238"/>
    </row>
    <row r="59" spans="1:10" ht="20.100000000000001" customHeight="1" x14ac:dyDescent="0.2">
      <c r="A59" s="5" t="str">
        <f>HYPERLINK("#'Constants - Common'!A1", "Constants - Common")</f>
        <v>Constants - Common</v>
      </c>
      <c r="D59" s="238"/>
      <c r="E59" s="238"/>
      <c r="F59" s="238"/>
      <c r="G59" s="238"/>
      <c r="H59" s="238"/>
      <c r="I59" s="238"/>
      <c r="J59" s="238"/>
    </row>
    <row r="60" spans="1:10" ht="20.100000000000001" customHeight="1" x14ac:dyDescent="0.2">
      <c r="A60" s="5" t="str">
        <f>HYPERLINK("#'Acknowledgements'!A1", "Acknowledgements")</f>
        <v>Acknowledgements</v>
      </c>
      <c r="D60" s="238"/>
      <c r="E60" s="238"/>
      <c r="F60" s="238"/>
      <c r="G60" s="238"/>
      <c r="H60" s="238"/>
      <c r="I60" s="238"/>
      <c r="J60" s="238"/>
    </row>
    <row r="61" spans="1:10" ht="20.100000000000001" customHeight="1" x14ac:dyDescent="0.2">
      <c r="D61" s="238"/>
      <c r="E61" s="238"/>
      <c r="F61" s="238"/>
      <c r="G61" s="238"/>
      <c r="H61" s="238"/>
      <c r="I61" s="238"/>
      <c r="J61" s="238"/>
    </row>
    <row r="62" spans="1:10" ht="20.100000000000001" customHeight="1" x14ac:dyDescent="0.2">
      <c r="D62" s="238"/>
      <c r="E62" s="238"/>
      <c r="F62" s="238"/>
      <c r="G62" s="238"/>
      <c r="H62" s="238"/>
      <c r="I62" s="238"/>
      <c r="J62" s="238"/>
    </row>
    <row r="63" spans="1:10" ht="20.100000000000001" customHeight="1" x14ac:dyDescent="0.2">
      <c r="D63" s="238"/>
      <c r="E63" s="238"/>
      <c r="F63" s="238"/>
      <c r="G63" s="238"/>
      <c r="H63" s="238"/>
      <c r="I63" s="238"/>
      <c r="J63" s="238"/>
    </row>
  </sheetData>
  <dataValidations count="3">
    <dataValidation type="list" allowBlank="1" showInputMessage="1" showErrorMessage="1" sqref="H7:H16" xr:uid="{92280790-0E52-4FE0-B445-807E0D74333F}">
      <formula1>INDIRECT("Table_ProductRegions_Beefcattle[Region]")</formula1>
    </dataValidation>
    <dataValidation type="list" allowBlank="1" showInputMessage="1" showErrorMessage="1" sqref="G7:G16" xr:uid="{85CC3639-9D95-42C6-A93B-6D6711ADE9F5}">
      <formula1>INDIRECT(TRIM("Table_SourceData_LivestockProduct_Beefcattle[Product]"))</formula1>
    </dataValidation>
    <dataValidation type="list" allowBlank="1" showInputMessage="1" showErrorMessage="1" sqref="F7:F16" xr:uid="{5F6578D1-00D9-4787-92BF-8D2DA98246F2}">
      <formula1>INDIRECT("Table_LivestockClasses_Beefcattle[Livestock class]")</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27E0B-8BD2-45CC-B19F-1130E869E67A}">
  <sheetPr>
    <tabColor theme="5" tint="-0.249977111117893"/>
  </sheetPr>
  <dimension ref="A1:G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10" t="e" vm="1">
        <v>#VALUE!</v>
      </c>
      <c r="C1" s="10" t="s">
        <v>982</v>
      </c>
      <c r="D1" s="10"/>
      <c r="E1" s="10"/>
      <c r="F1" s="10"/>
      <c r="G1" s="10"/>
    </row>
    <row r="2" spans="1:7" ht="20.100000000000001" customHeight="1" x14ac:dyDescent="0.2">
      <c r="C2" s="3"/>
      <c r="D2" s="3"/>
      <c r="E2" s="3"/>
      <c r="F2" s="3"/>
      <c r="G2" s="3"/>
    </row>
    <row r="3" spans="1:7" ht="20.100000000000001" customHeight="1" x14ac:dyDescent="0.2">
      <c r="A3" s="5" t="str">
        <f>HYPERLINK("#'Home'!A1", "Home")</f>
        <v>Home</v>
      </c>
      <c r="C3" s="29"/>
      <c r="D3" s="29"/>
      <c r="E3" s="29"/>
      <c r="F3" s="29"/>
      <c r="G3" s="29"/>
    </row>
    <row r="4" spans="1:7" ht="20.100000000000001" customHeight="1" x14ac:dyDescent="0.2">
      <c r="A4" s="5" t="str">
        <f>HYPERLINK("#'Results - Activity period'!A1", "Results - Activity period")</f>
        <v>Results - Activity period</v>
      </c>
    </row>
    <row r="5" spans="1:7" ht="20.100000000000001" customHeight="1" x14ac:dyDescent="0.2">
      <c r="A5" s="5" t="str">
        <f>HYPERLINK("#'Results - Product EI'!A1", "Results - Product Emissions Intensity")</f>
        <v>Results - Product Emissions Intensity</v>
      </c>
      <c r="D5" s="2" t="s">
        <v>983</v>
      </c>
    </row>
    <row r="7" spans="1:7" ht="20.100000000000001" customHeight="1" x14ac:dyDescent="0.2">
      <c r="D7" s="70" t="s">
        <v>984</v>
      </c>
      <c r="E7" s="70"/>
      <c r="F7" s="70"/>
    </row>
    <row r="8" spans="1:7" ht="20.100000000000001" customHeight="1" x14ac:dyDescent="0.2">
      <c r="A8" s="7" t="s">
        <v>0</v>
      </c>
    </row>
    <row r="9" spans="1:7" ht="20.100000000000001" customHeight="1" x14ac:dyDescent="0.2">
      <c r="A9" s="5" t="str">
        <f>HYPERLINK("#'Input - Enterprise'!A1", "Enterprise")</f>
        <v>Enterprise</v>
      </c>
      <c r="D9" s="1" t="s">
        <v>985</v>
      </c>
      <c r="E9" s="13" t="s">
        <v>986</v>
      </c>
      <c r="F9" s="16" t="s">
        <v>987</v>
      </c>
    </row>
    <row r="10" spans="1:7" ht="20.100000000000001" customHeight="1" x14ac:dyDescent="0.2">
      <c r="A10" s="5" t="str">
        <f>HYPERLINK("#'Input - Site'!A1", "Site")</f>
        <v>Site</v>
      </c>
      <c r="D10" s="1" t="s">
        <v>72</v>
      </c>
      <c r="E10" s="13" t="s">
        <v>503</v>
      </c>
      <c r="F10" s="16" t="s">
        <v>987</v>
      </c>
    </row>
    <row r="11" spans="1:7" ht="20.100000000000001" customHeight="1" x14ac:dyDescent="0.2">
      <c r="A11" s="5" t="str">
        <f>HYPERLINK("#'Input - Pasture Beef'!A1", "Pasture Beef")</f>
        <v>Pasture Beef</v>
      </c>
    </row>
    <row r="12" spans="1:7" ht="20.100000000000001" customHeight="1" x14ac:dyDescent="0.2">
      <c r="A12" s="5" t="str">
        <f>HYPERLINK("#'Input - Livestock sales'!A1", "Livestock sales")</f>
        <v>Livestock sales</v>
      </c>
      <c r="D12" s="1" t="s">
        <v>988</v>
      </c>
      <c r="E12" s="76">
        <v>1000</v>
      </c>
      <c r="F12" s="16" t="s">
        <v>989</v>
      </c>
    </row>
    <row r="13" spans="1:7" ht="20.100000000000001" customHeight="1" x14ac:dyDescent="0.2">
      <c r="A13" s="5" t="str">
        <f>HYPERLINK("#'Input - Beef cattle purchases'!A1", "Beef cattle purchases")</f>
        <v>Beef cattle purchases</v>
      </c>
    </row>
    <row r="14" spans="1:7" ht="20.100000000000001" customHeight="1" x14ac:dyDescent="0.2">
      <c r="A14" s="100" t="str">
        <f>HYPERLINK("#'Input - Pasture'!A1", "Pasture")</f>
        <v>Pasture</v>
      </c>
      <c r="D14" s="2" t="s">
        <v>990</v>
      </c>
    </row>
    <row r="15" spans="1:7" ht="20.100000000000001" customHeight="1" x14ac:dyDescent="0.2">
      <c r="A15" s="5" t="str">
        <f>HYPERLINK("#'Input - Fert Prod System'!A1", "Fert Prod System")</f>
        <v>Fert Prod System</v>
      </c>
    </row>
    <row r="16" spans="1:7" ht="20.100000000000001" customHeight="1" x14ac:dyDescent="0.2">
      <c r="A16" s="5" t="str">
        <f>HYPERLINK("#'Input - Fertiliser'!A1", "Fertiliser")</f>
        <v>Fertiliser</v>
      </c>
      <c r="D16" s="231" t="s">
        <v>991</v>
      </c>
      <c r="E16" s="44"/>
      <c r="F16" s="45"/>
    </row>
    <row r="17" spans="1:6" ht="20.100000000000001" customHeight="1" x14ac:dyDescent="0.2">
      <c r="A17" s="5" t="str">
        <f>HYPERLINK("#'Input - Fuel'!A1", "Fuel")</f>
        <v>Fuel</v>
      </c>
      <c r="D17" s="46" t="s">
        <v>992</v>
      </c>
      <c r="E17" s="47"/>
      <c r="F17" s="48"/>
    </row>
    <row r="18" spans="1:6" ht="20.100000000000001" customHeight="1" x14ac:dyDescent="0.2">
      <c r="A18" s="5" t="str">
        <f>HYPERLINK("#'Input - Electricity'!A1", "Electricity")</f>
        <v>Electricity</v>
      </c>
    </row>
    <row r="19" spans="1:6" ht="20.100000000000001" customHeight="1" x14ac:dyDescent="0.2">
      <c r="A19" s="5" t="str">
        <f>HYPERLINK("#'Input - Common farm inputs'!A1", "Common farm inputs")</f>
        <v>Common farm inputs</v>
      </c>
      <c r="D19" s="1" t="s">
        <v>993</v>
      </c>
      <c r="E19" s="76">
        <f>_xlfn.XLOOKUP(X_Cell_Pasture_PastureType, Table_SourceData_PastureAttributes[Pasture type],Table_SourceData_PastureAttributes[Average Yield (t DM ha) Yp])</f>
        <v>8.34</v>
      </c>
      <c r="F19" s="16" t="s">
        <v>994</v>
      </c>
    </row>
    <row r="20" spans="1:6" ht="20.100000000000001" customHeight="1" x14ac:dyDescent="0.2">
      <c r="A20" s="5" t="str">
        <f>HYPERLINK("#'Input - Crop pasture farm input'!A1", "Crop pasture farm input")</f>
        <v>Crop pasture farm input</v>
      </c>
      <c r="D20" s="1" t="s">
        <v>995</v>
      </c>
      <c r="E20" s="15">
        <f>X_Cell_Pasture_AreaUnderPasture*X_Cell_Pasture_YieldPerHectare</f>
        <v>8340</v>
      </c>
      <c r="F20" s="16" t="s">
        <v>996</v>
      </c>
    </row>
    <row r="21" spans="1:6" ht="20.100000000000001" customHeight="1" x14ac:dyDescent="0.2">
      <c r="A21" s="5" t="str">
        <f>HYPERLINK("#'Input - Livestock farm Inputs'!A1", "Livestock farm Inputs")</f>
        <v>Livestock farm Inputs</v>
      </c>
    </row>
    <row r="22" spans="1:6" ht="20.100000000000001" customHeight="1" x14ac:dyDescent="0.2">
      <c r="A22" s="5" t="str">
        <f>HYPERLINK("#'Input - Freight'!A1", "Freight")</f>
        <v>Freight</v>
      </c>
    </row>
    <row r="23" spans="1:6" ht="20.100000000000001" customHeight="1" x14ac:dyDescent="0.2">
      <c r="A23" s="5" t="str">
        <f>HYPERLINK("#'Input - Solid waste'!A1", "Solid waste")</f>
        <v>Solid waste</v>
      </c>
      <c r="D23" s="2" t="s">
        <v>997</v>
      </c>
    </row>
    <row r="24" spans="1:6" ht="20.100000000000001" customHeight="1" x14ac:dyDescent="0.2">
      <c r="A24" s="5" t="str">
        <f>HYPERLINK("#'Input - Manure sent off-site'!A1", "Manure sent off-site")</f>
        <v>Manure sent off-site</v>
      </c>
    </row>
    <row r="25" spans="1:6" ht="20.100000000000001" customHeight="1" x14ac:dyDescent="0.2">
      <c r="A25" s="5" t="str">
        <f>HYPERLINK("#'Input - Data quality'!A1", "Data quality")</f>
        <v>Data quality</v>
      </c>
      <c r="D25" s="1" t="s">
        <v>998</v>
      </c>
      <c r="E25" s="76">
        <v>500</v>
      </c>
      <c r="F25" s="16" t="s">
        <v>989</v>
      </c>
    </row>
    <row r="28" spans="1:6" ht="20.100000000000001" customHeight="1" x14ac:dyDescent="0.2">
      <c r="A28" s="6" t="s">
        <v>2</v>
      </c>
    </row>
    <row r="29" spans="1:6" ht="20.100000000000001" customHeight="1" x14ac:dyDescent="0.2">
      <c r="A29" s="5" t="str">
        <f>HYPERLINK("#'3.2.1.1-2 Enteric Methane'!A1", "3.2.1.1-2 Enteric Methane")</f>
        <v>3.2.1.1-2 Enteric Methane</v>
      </c>
    </row>
    <row r="30" spans="1:6" ht="20.100000000000001" customHeight="1" x14ac:dyDescent="0.2">
      <c r="A30" s="5" t="str">
        <f>HYPERLINK("#'4.2.1.1-2 Methane'!A1", "4.2.1.1-2 Manure methane")</f>
        <v>4.2.1.1-2 Manure methane</v>
      </c>
    </row>
    <row r="31" spans="1:6" ht="20.100000000000001" customHeight="1" x14ac:dyDescent="0.2">
      <c r="A31" s="5" t="str">
        <f>HYPERLINK("#'4.2.1.3-4 Soil direct N20'!A1", "4.2.1.3-4 Soil direct N2O")</f>
        <v>4.2.1.3-4 Soil direct N2O</v>
      </c>
    </row>
    <row r="32" spans="1:6"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conditionalFormatting sqref="D16:G16">
    <cfRule type="expression" dxfId="80" priority="1">
      <formula>$D$24&gt;$D$11</formula>
    </cfRule>
  </conditionalFormatting>
  <dataValidations count="2">
    <dataValidation type="list" allowBlank="1" showInputMessage="1" showErrorMessage="1" sqref="E10" xr:uid="{B779786F-3EF6-4406-B8F8-668676200FBC}">
      <formula1>INDIRECT("Table_SourceData_Fertiliser_IrrigationMethods[Irrigation method]")</formula1>
    </dataValidation>
    <dataValidation type="list" allowBlank="1" showInputMessage="1" showErrorMessage="1" sqref="E9" xr:uid="{A530A22D-1B4A-4B73-9074-D6D2D459EDE3}">
      <formula1>INDIRECT("Table_SourceData_PastureAttributes[Pasture type]")</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CDB01-675B-437E-9BE1-C7A5D3E87BF1}">
  <sheetPr>
    <tabColor rgb="FFCC6600"/>
  </sheetPr>
  <dimension ref="A1:K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30" customHeight="1" x14ac:dyDescent="0.35">
      <c r="A1" s="10" t="e" vm="1">
        <v>#VALUE!</v>
      </c>
      <c r="C1" s="10" t="s">
        <v>175</v>
      </c>
    </row>
    <row r="2" spans="1:11" s="3" customFormat="1" ht="20.100000000000001" customHeight="1" x14ac:dyDescent="0.2">
      <c r="A2"/>
    </row>
    <row r="3" spans="1:11" ht="20.100000000000001" customHeight="1" x14ac:dyDescent="0.2">
      <c r="A3" s="5" t="str">
        <f>HYPERLINK("#'Home'!A1", "Home")</f>
        <v>Home</v>
      </c>
      <c r="C3" s="29"/>
      <c r="D3" s="29"/>
      <c r="E3" s="29"/>
      <c r="F3" s="29"/>
      <c r="G3" s="29"/>
      <c r="H3" s="29"/>
      <c r="I3" s="29"/>
      <c r="J3" s="29"/>
      <c r="K3" s="29"/>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70" t="s">
        <v>180</v>
      </c>
      <c r="E5" s="70"/>
      <c r="F5" s="70"/>
      <c r="G5" s="70"/>
    </row>
    <row r="6" spans="1:11" ht="20.100000000000001" customHeight="1" x14ac:dyDescent="0.2">
      <c r="F6" s="16"/>
    </row>
    <row r="7" spans="1:11" ht="20.100000000000001" customHeight="1" x14ac:dyDescent="0.2">
      <c r="D7" s="1" t="s">
        <v>176</v>
      </c>
      <c r="E7" s="15" t="s">
        <v>179</v>
      </c>
      <c r="F7" s="16"/>
    </row>
    <row r="8" spans="1:11" ht="20.100000000000001" customHeight="1" x14ac:dyDescent="0.2">
      <c r="A8" s="7" t="s">
        <v>0</v>
      </c>
      <c r="D8" s="1" t="s">
        <v>177</v>
      </c>
      <c r="E8" s="15" t="s">
        <v>179</v>
      </c>
      <c r="F8" s="16"/>
    </row>
    <row r="9" spans="1:11" ht="20.100000000000001" customHeight="1" x14ac:dyDescent="0.2">
      <c r="A9" s="5" t="str">
        <f>HYPERLINK("#'Input - Enterprise'!A1", "Enterprise")</f>
        <v>Enterprise</v>
      </c>
      <c r="D9" s="1" t="s">
        <v>72</v>
      </c>
      <c r="E9" s="15" t="str" cm="1">
        <f t="array" ref="E9">X_Cell_Pasture_IrrigationMethod</f>
        <v>Surface irrigation</v>
      </c>
    </row>
    <row r="10" spans="1:11" ht="20.100000000000001" customHeight="1" x14ac:dyDescent="0.2">
      <c r="A10" s="5" t="str">
        <f>HYPERLINK("#'Input - Site'!A1", "Site")</f>
        <v>Site</v>
      </c>
      <c r="D10" s="1" t="s">
        <v>178</v>
      </c>
      <c r="E10" s="15" cm="1">
        <f t="array" ref="E10">X_Cell_Pasture_AreaUnderPasture</f>
        <v>1000</v>
      </c>
    </row>
    <row r="11" spans="1:11" ht="20.100000000000001" customHeight="1" x14ac:dyDescent="0.2">
      <c r="A11" s="5" t="str">
        <f>HYPERLINK("#'Input - Pasture Beef'!A1", "Pasture Beef")</f>
        <v>Pasture Beef</v>
      </c>
    </row>
    <row r="12" spans="1:11" ht="20.100000000000001" customHeight="1" x14ac:dyDescent="0.2">
      <c r="A12" s="5" t="str">
        <f>HYPERLINK("#'Input - Livestock sales'!A1", "Livestock sales")</f>
        <v>Livestock sales</v>
      </c>
    </row>
    <row r="13" spans="1:11" ht="20.100000000000001" customHeight="1" x14ac:dyDescent="0.2">
      <c r="A13" s="5" t="str">
        <f>HYPERLINK("#'Input - Beef cattle purchases'!A1", "Beef cattle purchases")</f>
        <v>Beef cattle purchases</v>
      </c>
    </row>
    <row r="14" spans="1:11" ht="20.100000000000001" customHeight="1" x14ac:dyDescent="0.2">
      <c r="A14" s="5" t="str">
        <f>HYPERLINK("#'Input - Pasture'!A1", "Pasture")</f>
        <v>Pasture</v>
      </c>
    </row>
    <row r="15" spans="1:11" ht="20.100000000000001" customHeight="1" x14ac:dyDescent="0.2">
      <c r="A15" s="100" t="str">
        <f>HYPERLINK("#'Input - Fert Prod System'!A1", "Fert Prod System")</f>
        <v>Fert Prod System</v>
      </c>
    </row>
    <row r="16" spans="1:11" ht="20.100000000000001" customHeight="1" x14ac:dyDescent="0.2">
      <c r="A16" s="5" t="str">
        <f>HYPERLINK("#'Input - Fertiliser'!A1", "Fertiliser")</f>
        <v>Fertiliser</v>
      </c>
    </row>
    <row r="17" spans="1:1" ht="20.100000000000001" customHeight="1" x14ac:dyDescent="0.2">
      <c r="A17" s="5" t="str">
        <f>HYPERLINK("#'Input - Fuel'!A1", "Fuel")</f>
        <v>Fuel</v>
      </c>
    </row>
    <row r="18" spans="1:1" ht="20.100000000000001" customHeight="1" x14ac:dyDescent="0.2">
      <c r="A18" s="5" t="str">
        <f>HYPERLINK("#'Input - Electricity'!A1", "Electricity")</f>
        <v>Electricity</v>
      </c>
    </row>
    <row r="19" spans="1:1" ht="20.100000000000001" customHeight="1" x14ac:dyDescent="0.2">
      <c r="A19" s="5" t="str">
        <f>HYPERLINK("#'Input - Common farm inputs'!A1", "Common farm inputs")</f>
        <v>Common farm inputs</v>
      </c>
    </row>
    <row r="20" spans="1:1" ht="20.100000000000001" customHeight="1" x14ac:dyDescent="0.2">
      <c r="A20" s="5" t="str">
        <f>HYPERLINK("#'Input - Crop pasture farm input'!A1", "Crop pasture farm input")</f>
        <v>Crop pasture farm input</v>
      </c>
    </row>
    <row r="21" spans="1:1" ht="20.100000000000001" customHeight="1" x14ac:dyDescent="0.2">
      <c r="A21" s="5" t="str">
        <f>HYPERLINK("#'Input - Livestock farm Inputs'!A1", "Livestock farm Inputs")</f>
        <v>Livestock farm Inputs</v>
      </c>
    </row>
    <row r="22" spans="1:1" ht="20.100000000000001" customHeight="1" x14ac:dyDescent="0.2">
      <c r="A22" s="5" t="str">
        <f>HYPERLINK("#'Input - Freight'!A1", "Freight")</f>
        <v>Freight</v>
      </c>
    </row>
    <row r="23" spans="1:1" ht="20.100000000000001" customHeight="1" x14ac:dyDescent="0.2">
      <c r="A23" s="5" t="str">
        <f>HYPERLINK("#'Input - Solid waste'!A1", "Solid waste")</f>
        <v>Solid waste</v>
      </c>
    </row>
    <row r="24" spans="1:1" ht="20.100000000000001" customHeight="1" x14ac:dyDescent="0.2">
      <c r="A24" s="5" t="str">
        <f>HYPERLINK("#'Input - Manure sent off-site'!A1", "Manure sent off-site")</f>
        <v>Manure sent off-site</v>
      </c>
    </row>
    <row r="25" spans="1:1" ht="20.100000000000001" customHeight="1" x14ac:dyDescent="0.2">
      <c r="A25" s="5" t="str">
        <f>HYPERLINK("#'Input - Data quality'!A1", "Data quality")</f>
        <v>Data quality</v>
      </c>
    </row>
    <row r="28" spans="1:1" ht="20.100000000000001" customHeight="1" x14ac:dyDescent="0.2">
      <c r="A28" s="6" t="s">
        <v>2</v>
      </c>
    </row>
    <row r="29" spans="1:1" ht="20.100000000000001" customHeight="1" x14ac:dyDescent="0.2">
      <c r="A29" s="5" t="str">
        <f>HYPERLINK("#'3.2.1.1-2 Enteric Methane'!A1", "3.2.1.1-2 Enteric Methane")</f>
        <v>3.2.1.1-2 Enteric Methane</v>
      </c>
    </row>
    <row r="30" spans="1:1" ht="20.100000000000001" customHeight="1" x14ac:dyDescent="0.2">
      <c r="A30" s="5" t="str">
        <f>HYPERLINK("#'4.2.1.1-2 Methane'!A1", "4.2.1.1-2 Manure methane")</f>
        <v>4.2.1.1-2 Manure methane</v>
      </c>
    </row>
    <row r="31" spans="1:1" ht="20.100000000000001" customHeight="1" x14ac:dyDescent="0.2">
      <c r="A31" s="5" t="str">
        <f>HYPERLINK("#'4.2.1.3-4 Soil direct N20'!A1", "4.2.1.3-4 Soil direct N2O")</f>
        <v>4.2.1.3-4 Soil direct N2O</v>
      </c>
    </row>
    <row r="32" spans="1:1"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5AE83-331F-49DC-9B64-93A80F405B5E}">
  <sheetPr>
    <tabColor theme="5" tint="-0.249977111117893"/>
  </sheetPr>
  <dimension ref="A1:AA378"/>
  <sheetViews>
    <sheetView showGridLines="0" topLeftCell="A24" zoomScaleNormal="100" workbookViewId="0">
      <pane xSplit="1" topLeftCell="B1" activePane="topRight" state="frozenSplit"/>
      <selection pane="topRight" activeCell="A55" sqref="A55"/>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579</v>
      </c>
    </row>
    <row r="2" spans="1:27" s="3" customFormat="1" ht="20.100000000000001" customHeight="1" x14ac:dyDescent="0.2">
      <c r="A2"/>
    </row>
    <row r="3" spans="1:27" ht="20.100000000000001" customHeight="1" x14ac:dyDescent="0.2">
      <c r="A3" s="5" t="str">
        <f>HYPERLINK("#'Home'!A1", "Home")</f>
        <v>Home</v>
      </c>
      <c r="C3" s="29"/>
      <c r="D3" s="29"/>
      <c r="E3" s="29"/>
      <c r="F3" s="29"/>
      <c r="G3" s="29"/>
      <c r="H3" s="29"/>
      <c r="I3" s="29"/>
      <c r="J3" s="29"/>
      <c r="K3" s="29"/>
      <c r="L3" s="29"/>
      <c r="M3" s="29"/>
      <c r="N3" s="29"/>
      <c r="O3" s="29"/>
      <c r="P3" s="29"/>
      <c r="Q3" s="29"/>
      <c r="R3" s="29"/>
      <c r="S3" s="29"/>
      <c r="T3" s="29"/>
      <c r="U3" s="29"/>
      <c r="V3" s="29"/>
      <c r="W3" s="29"/>
      <c r="X3" s="29"/>
      <c r="Y3" s="29"/>
      <c r="Z3" s="29"/>
      <c r="AA3" s="29"/>
    </row>
    <row r="4" spans="1:27" ht="20.100000000000001" customHeight="1" x14ac:dyDescent="0.2">
      <c r="A4" s="5" t="str">
        <f>HYPERLINK("#'Results - Activity period'!A1", "Results - Activity period")</f>
        <v>Results - Activity period</v>
      </c>
    </row>
    <row r="5" spans="1:27" ht="20.100000000000001" customHeight="1" x14ac:dyDescent="0.2">
      <c r="A5" s="5" t="str">
        <f>HYPERLINK("#'Results - Product EI'!A1", "Results - Product Emissions Intensity")</f>
        <v>Results - Product Emissions Intensity</v>
      </c>
      <c r="D5" s="2" t="s">
        <v>580</v>
      </c>
      <c r="E5" s="25"/>
      <c r="F5" s="25"/>
      <c r="G5" s="25"/>
      <c r="H5" s="25"/>
      <c r="I5" s="25"/>
      <c r="J5" s="25"/>
      <c r="K5" s="25"/>
      <c r="L5" s="25"/>
      <c r="M5" s="25"/>
    </row>
    <row r="6" spans="1:27" ht="20.100000000000001" customHeight="1" x14ac:dyDescent="0.2">
      <c r="D6" s="8"/>
      <c r="E6" s="8"/>
      <c r="F6" s="8"/>
      <c r="G6" s="8"/>
      <c r="H6" s="8"/>
      <c r="I6" s="8"/>
      <c r="J6" s="8"/>
      <c r="K6" s="8"/>
      <c r="L6" s="8"/>
      <c r="M6" s="8"/>
    </row>
    <row r="7" spans="1:27" ht="20.100000000000001" customHeight="1" x14ac:dyDescent="0.2">
      <c r="D7" s="127" t="s">
        <v>581</v>
      </c>
      <c r="E7" s="44"/>
      <c r="F7" s="44"/>
      <c r="G7" s="44"/>
      <c r="H7" s="45"/>
      <c r="I7" s="128"/>
      <c r="J7" s="129"/>
      <c r="K7" s="129"/>
      <c r="L7" s="129"/>
      <c r="M7" s="129"/>
    </row>
    <row r="8" spans="1:27" ht="20.100000000000001" customHeight="1" x14ac:dyDescent="0.2">
      <c r="A8" s="7" t="s">
        <v>0</v>
      </c>
      <c r="D8" s="46" t="s">
        <v>582</v>
      </c>
      <c r="E8" s="47"/>
      <c r="F8" s="47"/>
      <c r="G8" s="47"/>
      <c r="H8" s="48"/>
      <c r="I8" s="8"/>
      <c r="J8" s="8"/>
      <c r="K8" s="8"/>
      <c r="L8" s="8"/>
      <c r="M8" s="8"/>
    </row>
    <row r="9" spans="1:27" ht="20.100000000000001" customHeight="1" x14ac:dyDescent="0.2">
      <c r="A9" s="5" t="str">
        <f>HYPERLINK("#'Input - Enterprise'!A1", "Enterprise")</f>
        <v>Enterprise</v>
      </c>
      <c r="D9" s="8"/>
      <c r="E9" s="8"/>
      <c r="F9" s="8"/>
      <c r="G9" s="8"/>
      <c r="H9" s="8"/>
      <c r="I9" s="8"/>
      <c r="J9" s="8"/>
      <c r="K9" s="8"/>
      <c r="L9" s="8"/>
      <c r="M9" s="8"/>
    </row>
    <row r="10" spans="1:27" ht="20.100000000000001" customHeight="1" x14ac:dyDescent="0.2">
      <c r="A10" s="5" t="str">
        <f>HYPERLINK("#'Input - Site'!A1", "Site")</f>
        <v>Site</v>
      </c>
      <c r="D10" s="79" t="s">
        <v>583</v>
      </c>
      <c r="E10" s="8"/>
      <c r="F10" s="8"/>
      <c r="G10" s="8"/>
      <c r="H10" s="8"/>
      <c r="I10" s="8"/>
      <c r="J10" s="8"/>
      <c r="K10" s="8"/>
      <c r="L10" s="8"/>
      <c r="M10" s="8"/>
    </row>
    <row r="11" spans="1:27" ht="20.100000000000001" customHeight="1" x14ac:dyDescent="0.2">
      <c r="A11" s="5" t="str">
        <f>HYPERLINK("#'Input - Pasture Beef'!A1", "Pasture Beef")</f>
        <v>Pasture Beef</v>
      </c>
      <c r="D11" s="130" t="s">
        <v>584</v>
      </c>
      <c r="E11" s="131" t="s">
        <v>585</v>
      </c>
      <c r="F11" s="132" t="s">
        <v>586</v>
      </c>
      <c r="G11" s="131" t="s">
        <v>587</v>
      </c>
      <c r="H11" s="132" t="s">
        <v>588</v>
      </c>
      <c r="I11" s="131" t="s">
        <v>589</v>
      </c>
      <c r="J11" s="130" t="s">
        <v>590</v>
      </c>
      <c r="K11" s="130" t="s">
        <v>591</v>
      </c>
      <c r="L11" s="130" t="s">
        <v>592</v>
      </c>
      <c r="M11" s="130" t="s">
        <v>593</v>
      </c>
      <c r="N11" s="130" t="s">
        <v>594</v>
      </c>
      <c r="O11" s="130" t="s">
        <v>595</v>
      </c>
      <c r="P11" s="130" t="s">
        <v>596</v>
      </c>
      <c r="Q11" s="130" t="s">
        <v>597</v>
      </c>
      <c r="R11" s="130" t="s">
        <v>598</v>
      </c>
      <c r="S11" s="130" t="s">
        <v>599</v>
      </c>
      <c r="T11" s="130" t="s">
        <v>600</v>
      </c>
      <c r="U11" s="130" t="s">
        <v>601</v>
      </c>
      <c r="V11" s="130" t="s">
        <v>602</v>
      </c>
      <c r="W11" s="130" t="s">
        <v>603</v>
      </c>
      <c r="X11" s="130" t="s">
        <v>604</v>
      </c>
      <c r="Y11" s="130" t="s">
        <v>605</v>
      </c>
      <c r="Z11" s="130" t="s">
        <v>606</v>
      </c>
    </row>
    <row r="12" spans="1:27" ht="20.100000000000001" customHeight="1" x14ac:dyDescent="0.2">
      <c r="A12" s="5" t="str">
        <f>HYPERLINK("#'Input - Livestock sales'!A1", "Livestock sales")</f>
        <v>Livestock sales</v>
      </c>
      <c r="D12" s="133" t="s">
        <v>607</v>
      </c>
      <c r="E12" s="134">
        <v>100</v>
      </c>
      <c r="F12" s="15" t="str">
        <f>IFERROR(_xlfn.XLOOKUP(Table_Input_InorganicFertiliser_Brands[[#This Row],[Product (select)]],FertiliserProducts[Product],FertiliserProducts[Unit]), "kg")</f>
        <v>kg</v>
      </c>
      <c r="G12" s="134">
        <f t="shared" ref="G12" si="0">X_Cell_Fertiliser_AreaUnderCropping</f>
        <v>1000</v>
      </c>
      <c r="H12" s="135">
        <f>IFERROR(_xlfn.XLOOKUP(Table_Input_InorganicFertiliser_Brands[[#This Row],[Product (select)]],FertiliserProducts[Product],FertiliserProducts[Density]), 1)</f>
        <v>1</v>
      </c>
      <c r="I12" s="136">
        <f>(Table_Input_InorganicFertiliser_Brands[[#This Row],[Amount applied per hectare]]*Table_Input_InorganicFertiliser_Brands[[#This Row],[Density]])*Table_Input_InorganicFertiliser_Brands[[#This Row],[Application area (ha)]]</f>
        <v>100000</v>
      </c>
      <c r="J12" s="136"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136"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136" cm="1">
        <f t="array" ref="L12">Fertiliser_InputFunctions.Fertiliser_FertiliserProductLookup(Table_Input_InorganicFertiliser_Brands[[#This Row],[Product (select)]], Table_Input_InorganicFertiliser_Brands[[#Headers],[Ingredient 2]], FertiliserProducts[#Data], FertiliserProducts[Product], FertiliserProducts[#Headers])</f>
        <v>0</v>
      </c>
      <c r="M12" s="136"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0</v>
      </c>
      <c r="N12" s="136" cm="1">
        <f t="array" ref="N12">Fertiliser_InputFunctions.Fertiliser_FertiliserProductLookup(Table_Input_InorganicFertiliser_Brands[[#This Row],[Product (select)]], Table_Input_InorganicFertiliser_Brands[[#Headers],[Ingredient 3]], FertiliserProducts[#Data], FertiliserProducts[Product], FertiliserProducts[#Headers])</f>
        <v>0</v>
      </c>
      <c r="O12" s="136"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0</v>
      </c>
      <c r="P12" s="136" cm="1">
        <f t="array" ref="P12">Fertiliser_InputFunctions.Fertiliser_FertiliserProductLookup(Table_Input_InorganicFertiliser_Brands[[#This Row],[Product (select)]], Table_Input_InorganicFertiliser_Brands[[#Headers],[Ingredient 4]], FertiliserProducts[#Data], FertiliserProducts[Product], FertiliserProducts[#Headers])</f>
        <v>0</v>
      </c>
      <c r="Q12" s="136"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0</v>
      </c>
      <c r="R12" s="136" cm="1">
        <f t="array" ref="R12">Fertiliser_InputFunctions.Fertiliser_FertiliserProductLookup(Table_Input_InorganicFertiliser_Brands[[#This Row],[Product (select)]], Table_Input_InorganicFertiliser_Brands[[#Headers],[Ingredient 5]], FertiliserProducts[#Data], FertiliserProducts[Product], FertiliserProducts[#Headers])</f>
        <v>0</v>
      </c>
      <c r="S12" s="136"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0</v>
      </c>
      <c r="T12" s="136" cm="1">
        <f t="array" ref="T12">Fertiliser_InputFunctions.Fertiliser_FertiliserProductLookup(Table_Input_InorganicFertiliser_Brands[[#This Row],[Product (select)]], Table_Input_InorganicFertiliser_Brands[[#Headers],[Ingredient 6]], FertiliserProducts[#Data], FertiliserProducts[Product], FertiliserProducts[#Headers])</f>
        <v>0</v>
      </c>
      <c r="U12" s="136"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0</v>
      </c>
      <c r="V12"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136" cm="1">
        <f t="array" ref="W12">IFERROR(Fertiliser_InputFunctions.Fertiliser_FertiliserProductLookup(Table_Input_InorganicFertiliser_Brands[[#This Row],[Product (select)]], "N declared", FertiliserProducts[#Data], FertiliserProducts[Product], FertiliserProducts[#Headers])*0.01, 0)</f>
        <v>0.46</v>
      </c>
      <c r="X12"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136">
        <f>IFERROR(_xlfn.XLOOKUP(Table_Input_InorganicFertiliser_Brands[[#This Row],[Product (select)]],FertiliserProducts[Product],FertiliserProducts[Urea source]), "")</f>
        <v>0</v>
      </c>
      <c r="Z12" s="136">
        <f>IFERROR(_xlfn.XLOOKUP(Table_Input_InorganicFertiliser_Brands[[#This Row],[Product (select)]],FertiliserProducts[Product],FertiliserProducts[Ammonia source]), "")</f>
        <v>0</v>
      </c>
    </row>
    <row r="13" spans="1:27" ht="20.100000000000001" customHeight="1" x14ac:dyDescent="0.2">
      <c r="A13" s="5" t="str">
        <f>HYPERLINK("#'Input - Beef cattle purchases'!A1", "Beef cattle purchases")</f>
        <v>Beef cattle purchases</v>
      </c>
      <c r="D13" s="133" t="s">
        <v>608</v>
      </c>
      <c r="E13" s="134">
        <v>100</v>
      </c>
      <c r="F13" s="15" t="str">
        <f>IFERROR(_xlfn.XLOOKUP(Table_Input_InorganicFertiliser_Brands[[#This Row],[Product (select)]],FertiliserProducts[Product],FertiliserProducts[Unit]), "kg")</f>
        <v>kg</v>
      </c>
      <c r="G13" s="134">
        <f t="shared" ref="G13" si="1">X_Cell_Fertiliser_AreaUnderCropping</f>
        <v>1000</v>
      </c>
      <c r="H13" s="135">
        <f>IFERROR(_xlfn.XLOOKUP(Table_Input_InorganicFertiliser_Brands[[#This Row],[Product (select)]],FertiliserProducts[Product],FertiliserProducts[Density]), 1)</f>
        <v>1</v>
      </c>
      <c r="I13" s="136">
        <f>(Table_Input_InorganicFertiliser_Brands[[#This Row],[Amount applied per hectare]]*Table_Input_InorganicFertiliser_Brands[[#This Row],[Density]])*Table_Input_InorganicFertiliser_Brands[[#This Row],[Application area (ha)]]</f>
        <v>100000</v>
      </c>
      <c r="J13" s="136"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136"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136"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136"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136"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136"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136"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136"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136"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136"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136"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136"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137" cm="1">
        <f t="array" ref="W13">IFERROR(Fertiliser_InputFunctions.Fertiliser_FertiliserProductLookup(Table_Input_InorganicFertiliser_Brands[[#This Row],[Product (select)]], "N declared", FertiliserProducts[#Data], FertiliserProducts[Product], FertiliserProducts[#Headers])*0.01, 0)</f>
        <v>0.24</v>
      </c>
      <c r="X13"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136">
        <f>IFERROR(_xlfn.XLOOKUP(Table_Input_InorganicFertiliser_Brands[[#This Row],[Product (select)]],FertiliserProducts[Product],FertiliserProducts[Urea source]), "")</f>
        <v>0</v>
      </c>
      <c r="Z13" s="136">
        <f>IFERROR(_xlfn.XLOOKUP(Table_Input_InorganicFertiliser_Brands[[#This Row],[Product (select)]],FertiliserProducts[Product],FertiliserProducts[Ammonia source]), "")</f>
        <v>0</v>
      </c>
    </row>
    <row r="14" spans="1:27" ht="20.100000000000001" customHeight="1" x14ac:dyDescent="0.2">
      <c r="A14" s="5" t="str">
        <f>HYPERLINK("#'Input - Pasture'!A1", "Pasture")</f>
        <v>Pasture</v>
      </c>
      <c r="D14" s="133" t="s">
        <v>609</v>
      </c>
      <c r="E14" s="134">
        <v>100</v>
      </c>
      <c r="F14" s="15" t="str">
        <f>IFERROR(_xlfn.XLOOKUP(Table_Input_InorganicFertiliser_Brands[[#This Row],[Product (select)]],FertiliserProducts[Product],FertiliserProducts[Unit]), "kg")</f>
        <v>kg</v>
      </c>
      <c r="G14" s="134">
        <f t="shared" ref="G14" si="2">X_Cell_Fertiliser_AreaUnderCropping</f>
        <v>1000</v>
      </c>
      <c r="H14" s="135">
        <f>IFERROR(_xlfn.XLOOKUP(Table_Input_InorganicFertiliser_Brands[[#This Row],[Product (select)]],FertiliserProducts[Product],FertiliserProducts[Density]), 1)</f>
        <v>1</v>
      </c>
      <c r="I14" s="136">
        <f>(Table_Input_InorganicFertiliser_Brands[[#This Row],[Amount applied per hectare]]*Table_Input_InorganicFertiliser_Brands[[#This Row],[Density]])*Table_Input_InorganicFertiliser_Brands[[#This Row],[Application area (ha)]]</f>
        <v>100000</v>
      </c>
      <c r="J14" s="136"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136"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136"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136"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136"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136"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136"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136"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136"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136"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136" cm="1">
        <f t="array" ref="T14">Fertiliser_InputFunctions.Fertiliser_FertiliserProductLookup(Table_Input_InorganicFertiliser_Brands[[#This Row],[Product (select)]], Table_Input_InorganicFertiliser_Brands[[#Headers],[Ingredient 6]], FertiliserProducts[#Data], FertiliserProducts[Product], FertiliserProducts[#Headers])</f>
        <v>0</v>
      </c>
      <c r="U14" s="136"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0</v>
      </c>
      <c r="V14"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137" cm="1">
        <f t="array" ref="W14">IFERROR(Fertiliser_InputFunctions.Fertiliser_FertiliserProductLookup(Table_Input_InorganicFertiliser_Brands[[#This Row],[Product (select)]], "N declared", FertiliserProducts[#Data], FertiliserProducts[Product], FertiliserProducts[#Headers])*0.01, 0)</f>
        <v>0.17899999999999999</v>
      </c>
      <c r="X14"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136">
        <f>IFERROR(_xlfn.XLOOKUP(Table_Input_InorganicFertiliser_Brands[[#This Row],[Product (select)]],FertiliserProducts[Product],FertiliserProducts[Urea source]), "")</f>
        <v>0</v>
      </c>
      <c r="Z14" s="136">
        <f>IFERROR(_xlfn.XLOOKUP(Table_Input_InorganicFertiliser_Brands[[#This Row],[Product (select)]],FertiliserProducts[Product],FertiliserProducts[Ammonia source]), "")</f>
        <v>0</v>
      </c>
    </row>
    <row r="15" spans="1:27" ht="20.100000000000001" customHeight="1" x14ac:dyDescent="0.2">
      <c r="A15" s="5" t="str">
        <f>HYPERLINK("#'Input - Fert Prod System'!A1", "Fert Prod System")</f>
        <v>Fert Prod System</v>
      </c>
      <c r="D15" s="133"/>
      <c r="E15" s="134"/>
      <c r="F15" s="15" t="str">
        <f>IFERROR(_xlfn.XLOOKUP(Table_Input_InorganicFertiliser_Brands[[#This Row],[Product (select)]],FertiliserProducts[Product],FertiliserProducts[Unit]), "kg")</f>
        <v>kg</v>
      </c>
      <c r="G15" s="134">
        <f t="shared" ref="G15" si="3">X_Cell_Fertiliser_AreaUnderCropping</f>
        <v>1000</v>
      </c>
      <c r="H15" s="135">
        <f>IFERROR(_xlfn.XLOOKUP(Table_Input_InorganicFertiliser_Brands[[#This Row],[Product (select)]],FertiliserProducts[Product],FertiliserProducts[Density]), 1)</f>
        <v>1</v>
      </c>
      <c r="I15" s="136">
        <f>(Table_Input_InorganicFertiliser_Brands[[#This Row],[Amount applied per hectare]]*Table_Input_InorganicFertiliser_Brands[[#This Row],[Density]])*Table_Input_InorganicFertiliser_Brands[[#This Row],[Application area (ha)]]</f>
        <v>0</v>
      </c>
      <c r="J15" s="136"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36"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36"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36"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36"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36"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36"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36"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36"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36"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36"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36"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37" cm="1">
        <f t="array" ref="W15">IFERROR(Fertiliser_InputFunctions.Fertiliser_FertiliserProductLookup(Table_Input_InorganicFertiliser_Brands[[#This Row],[Product (select)]], "N declared", FertiliserProducts[#Data], FertiliserProducts[Product], FertiliserProducts[#Headers])*0.01, 0)</f>
        <v>0</v>
      </c>
      <c r="X15"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36" t="str">
        <f>IFERROR(_xlfn.XLOOKUP(Table_Input_InorganicFertiliser_Brands[[#This Row],[Product (select)]],FertiliserProducts[Product],FertiliserProducts[Urea source]), "")</f>
        <v/>
      </c>
      <c r="Z15" s="136" t="str">
        <f>IFERROR(_xlfn.XLOOKUP(Table_Input_InorganicFertiliser_Brands[[#This Row],[Product (select)]],FertiliserProducts[Product],FertiliserProducts[Ammonia source]), "")</f>
        <v/>
      </c>
    </row>
    <row r="16" spans="1:27" ht="20.100000000000001" customHeight="1" x14ac:dyDescent="0.2">
      <c r="A16" s="100" t="str">
        <f>HYPERLINK("#'Input - Fertiliser'!A1", "Fertiliser")</f>
        <v>Fertiliser</v>
      </c>
      <c r="D16" s="133"/>
      <c r="E16" s="134"/>
      <c r="F16" s="15" t="str">
        <f>IFERROR(_xlfn.XLOOKUP(Table_Input_InorganicFertiliser_Brands[[#This Row],[Product (select)]],FertiliserProducts[Product],FertiliserProducts[Unit]), "kg")</f>
        <v>kg</v>
      </c>
      <c r="G16" s="134">
        <f t="shared" ref="G16" si="4">X_Cell_Fertiliser_AreaUnderCropping</f>
        <v>1000</v>
      </c>
      <c r="H16" s="135">
        <f>IFERROR(_xlfn.XLOOKUP(Table_Input_InorganicFertiliser_Brands[[#This Row],[Product (select)]],FertiliserProducts[Product],FertiliserProducts[Density]), 1)</f>
        <v>1</v>
      </c>
      <c r="I16" s="136">
        <f>(Table_Input_InorganicFertiliser_Brands[[#This Row],[Amount applied per hectare]]*Table_Input_InorganicFertiliser_Brands[[#This Row],[Density]])*Table_Input_InorganicFertiliser_Brands[[#This Row],[Application area (ha)]]</f>
        <v>0</v>
      </c>
      <c r="J16" s="136"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36"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36"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36"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36"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36"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36"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36"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36"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36"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36"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36"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37" cm="1">
        <f t="array" ref="W16">IFERROR(Fertiliser_InputFunctions.Fertiliser_FertiliserProductLookup(Table_Input_InorganicFertiliser_Brands[[#This Row],[Product (select)]], "N declared", FertiliserProducts[#Data], FertiliserProducts[Product], FertiliserProducts[#Headers])*0.01, 0)</f>
        <v>0</v>
      </c>
      <c r="X16"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36" t="str">
        <f>IFERROR(_xlfn.XLOOKUP(Table_Input_InorganicFertiliser_Brands[[#This Row],[Product (select)]],FertiliserProducts[Product],FertiliserProducts[Urea source]), "")</f>
        <v/>
      </c>
      <c r="Z16" s="136" t="str">
        <f>IFERROR(_xlfn.XLOOKUP(Table_Input_InorganicFertiliser_Brands[[#This Row],[Product (select)]],FertiliserProducts[Product],FertiliserProducts[Ammonia source]), "")</f>
        <v/>
      </c>
    </row>
    <row r="17" spans="1:26" ht="20.100000000000001" customHeight="1" x14ac:dyDescent="0.2">
      <c r="A17" s="5" t="str">
        <f>HYPERLINK("#'Input - Fuel'!A1", "Fuel")</f>
        <v>Fuel</v>
      </c>
      <c r="D17" s="133"/>
      <c r="E17" s="134"/>
      <c r="F17" s="15" t="str">
        <f>IFERROR(_xlfn.XLOOKUP(Table_Input_InorganicFertiliser_Brands[[#This Row],[Product (select)]],FertiliserProducts[Product],FertiliserProducts[Unit]), "kg")</f>
        <v>kg</v>
      </c>
      <c r="G17" s="134">
        <f t="shared" ref="G17" si="5">X_Cell_Fertiliser_AreaUnderCropping</f>
        <v>1000</v>
      </c>
      <c r="H17" s="135">
        <f>IFERROR(_xlfn.XLOOKUP(Table_Input_InorganicFertiliser_Brands[[#This Row],[Product (select)]],FertiliserProducts[Product],FertiliserProducts[Density]), 1)</f>
        <v>1</v>
      </c>
      <c r="I17" s="136">
        <f>(Table_Input_InorganicFertiliser_Brands[[#This Row],[Amount applied per hectare]]*Table_Input_InorganicFertiliser_Brands[[#This Row],[Density]])*Table_Input_InorganicFertiliser_Brands[[#This Row],[Application area (ha)]]</f>
        <v>0</v>
      </c>
      <c r="J17" s="136"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36"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36"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36"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36"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36"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36"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36"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36"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36"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36"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36"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137" cm="1">
        <f t="array" ref="W17">IFERROR(Fertiliser_InputFunctions.Fertiliser_FertiliserProductLookup(Table_Input_InorganicFertiliser_Brands[[#This Row],[Product (select)]], "N declared", FertiliserProducts[#Data], FertiliserProducts[Product], FertiliserProducts[#Headers])*0.01, 0)</f>
        <v>0</v>
      </c>
      <c r="X17"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36" t="str">
        <f>IFERROR(_xlfn.XLOOKUP(Table_Input_InorganicFertiliser_Brands[[#This Row],[Product (select)]],FertiliserProducts[Product],FertiliserProducts[Urea source]), "")</f>
        <v/>
      </c>
      <c r="Z17" s="136" t="str">
        <f>IFERROR(_xlfn.XLOOKUP(Table_Input_InorganicFertiliser_Brands[[#This Row],[Product (select)]],FertiliserProducts[Product],FertiliserProducts[Ammonia source]), "")</f>
        <v/>
      </c>
    </row>
    <row r="18" spans="1:26" ht="20.100000000000001" customHeight="1" x14ac:dyDescent="0.2">
      <c r="A18" s="5" t="str">
        <f>HYPERLINK("#'Input - Electricity'!A1", "Electricity")</f>
        <v>Electricity</v>
      </c>
      <c r="D18" s="133"/>
      <c r="E18" s="134"/>
      <c r="F18" s="15" t="str">
        <f>IFERROR(_xlfn.XLOOKUP(Table_Input_InorganicFertiliser_Brands[[#This Row],[Product (select)]],FertiliserProducts[Product],FertiliserProducts[Unit]), "kg")</f>
        <v>kg</v>
      </c>
      <c r="G18" s="134">
        <f t="shared" ref="G18" si="6">X_Cell_Fertiliser_AreaUnderCropping</f>
        <v>1000</v>
      </c>
      <c r="H18" s="135">
        <f>IFERROR(_xlfn.XLOOKUP(Table_Input_InorganicFertiliser_Brands[[#This Row],[Product (select)]],FertiliserProducts[Product],FertiliserProducts[Density]), 1)</f>
        <v>1</v>
      </c>
      <c r="I18" s="136">
        <f>(Table_Input_InorganicFertiliser_Brands[[#This Row],[Amount applied per hectare]]*Table_Input_InorganicFertiliser_Brands[[#This Row],[Density]])*Table_Input_InorganicFertiliser_Brands[[#This Row],[Application area (ha)]]</f>
        <v>0</v>
      </c>
      <c r="J18" s="136"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36"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36"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36"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36"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36"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36"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36"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36"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36"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36"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36"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137" cm="1">
        <f t="array" ref="W18">IFERROR(Fertiliser_InputFunctions.Fertiliser_FertiliserProductLookup(Table_Input_InorganicFertiliser_Brands[[#This Row],[Product (select)]], "N declared", FertiliserProducts[#Data], FertiliserProducts[Product], FertiliserProducts[#Headers])*0.01, 0)</f>
        <v>0</v>
      </c>
      <c r="X18"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36" t="str">
        <f>IFERROR(_xlfn.XLOOKUP(Table_Input_InorganicFertiliser_Brands[[#This Row],[Product (select)]],FertiliserProducts[Product],FertiliserProducts[Urea source]), "")</f>
        <v/>
      </c>
      <c r="Z18" s="136" t="str">
        <f>IFERROR(_xlfn.XLOOKUP(Table_Input_InorganicFertiliser_Brands[[#This Row],[Product (select)]],FertiliserProducts[Product],FertiliserProducts[Ammonia source]), "")</f>
        <v/>
      </c>
    </row>
    <row r="19" spans="1:26" ht="20.100000000000001" customHeight="1" x14ac:dyDescent="0.2">
      <c r="A19" s="5" t="str">
        <f>HYPERLINK("#'Input - Common farm inputs'!A1", "Common farm inputs")</f>
        <v>Common farm inputs</v>
      </c>
      <c r="D19" s="133"/>
      <c r="E19" s="134"/>
      <c r="F19" s="15" t="str">
        <f>IFERROR(_xlfn.XLOOKUP(Table_Input_InorganicFertiliser_Brands[[#This Row],[Product (select)]],FertiliserProducts[Product],FertiliserProducts[Unit]), "kg")</f>
        <v>kg</v>
      </c>
      <c r="G19" s="134">
        <f t="shared" ref="G19" si="7">X_Cell_Fertiliser_AreaUnderCropping</f>
        <v>1000</v>
      </c>
      <c r="H19" s="135">
        <f>IFERROR(_xlfn.XLOOKUP(Table_Input_InorganicFertiliser_Brands[[#This Row],[Product (select)]],FertiliserProducts[Product],FertiliserProducts[Density]), 1)</f>
        <v>1</v>
      </c>
      <c r="I19" s="136">
        <f>(Table_Input_InorganicFertiliser_Brands[[#This Row],[Amount applied per hectare]]*Table_Input_InorganicFertiliser_Brands[[#This Row],[Density]])*Table_Input_InorganicFertiliser_Brands[[#This Row],[Application area (ha)]]</f>
        <v>0</v>
      </c>
      <c r="J19" s="136"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36"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36"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36"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36"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36"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36"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36"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36"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36"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36"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36"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37" cm="1">
        <f t="array" ref="W19">IFERROR(Fertiliser_InputFunctions.Fertiliser_FertiliserProductLookup(Table_Input_InorganicFertiliser_Brands[[#This Row],[Product (select)]], "N declared", FertiliserProducts[#Data], FertiliserProducts[Product], FertiliserProducts[#Headers])*0.01, 0)</f>
        <v>0</v>
      </c>
      <c r="X19"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36" t="str">
        <f>IFERROR(_xlfn.XLOOKUP(Table_Input_InorganicFertiliser_Brands[[#This Row],[Product (select)]],FertiliserProducts[Product],FertiliserProducts[Urea source]), "")</f>
        <v/>
      </c>
      <c r="Z19" s="136" t="str">
        <f>IFERROR(_xlfn.XLOOKUP(Table_Input_InorganicFertiliser_Brands[[#This Row],[Product (select)]],FertiliserProducts[Product],FertiliserProducts[Ammonia source]), "")</f>
        <v/>
      </c>
    </row>
    <row r="20" spans="1:26" ht="20.100000000000001" customHeight="1" x14ac:dyDescent="0.2">
      <c r="A20" s="5" t="str">
        <f>HYPERLINK("#'Input - Crop pasture farm input'!A1", "Crop pasture farm input")</f>
        <v>Crop pasture farm input</v>
      </c>
      <c r="D20" s="133"/>
      <c r="E20" s="134"/>
      <c r="F20" s="15" t="str">
        <f>IFERROR(_xlfn.XLOOKUP(Table_Input_InorganicFertiliser_Brands[[#This Row],[Product (select)]],FertiliserProducts[Product],FertiliserProducts[Unit]), "kg")</f>
        <v>kg</v>
      </c>
      <c r="G20" s="134">
        <f t="shared" ref="G20" si="8">X_Cell_Fertiliser_AreaUnderCropping</f>
        <v>1000</v>
      </c>
      <c r="H20" s="135">
        <f>IFERROR(_xlfn.XLOOKUP(Table_Input_InorganicFertiliser_Brands[[#This Row],[Product (select)]],FertiliserProducts[Product],FertiliserProducts[Density]), 1)</f>
        <v>1</v>
      </c>
      <c r="I20" s="136">
        <f>(Table_Input_InorganicFertiliser_Brands[[#This Row],[Amount applied per hectare]]*Table_Input_InorganicFertiliser_Brands[[#This Row],[Density]])*Table_Input_InorganicFertiliser_Brands[[#This Row],[Application area (ha)]]</f>
        <v>0</v>
      </c>
      <c r="J20" s="136"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36"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36"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36"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36"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36"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36"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36"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36"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36"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36"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36"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37" cm="1">
        <f t="array" ref="W20">IFERROR(Fertiliser_InputFunctions.Fertiliser_FertiliserProductLookup(Table_Input_InorganicFertiliser_Brands[[#This Row],[Product (select)]], "N declared", FertiliserProducts[#Data], FertiliserProducts[Product], FertiliserProducts[#Headers])*0.01, 0)</f>
        <v>0</v>
      </c>
      <c r="X20"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36" t="str">
        <f>IFERROR(_xlfn.XLOOKUP(Table_Input_InorganicFertiliser_Brands[[#This Row],[Product (select)]],FertiliserProducts[Product],FertiliserProducts[Urea source]), "")</f>
        <v/>
      </c>
      <c r="Z20" s="136" t="str">
        <f>IFERROR(_xlfn.XLOOKUP(Table_Input_InorganicFertiliser_Brands[[#This Row],[Product (select)]],FertiliserProducts[Product],FertiliserProducts[Ammonia source]), "")</f>
        <v/>
      </c>
    </row>
    <row r="21" spans="1:26" ht="20.100000000000001" customHeight="1" x14ac:dyDescent="0.2">
      <c r="A21" s="5" t="str">
        <f>HYPERLINK("#'Input - Livestock farm Inputs'!A1", "Livestock farm Inputs")</f>
        <v>Livestock farm Inputs</v>
      </c>
      <c r="D21" s="133"/>
      <c r="E21" s="134"/>
      <c r="F21" s="15" t="str">
        <f>IFERROR(_xlfn.XLOOKUP(Table_Input_InorganicFertiliser_Brands[[#This Row],[Product (select)]],FertiliserProducts[Product],FertiliserProducts[Unit]), "kg")</f>
        <v>kg</v>
      </c>
      <c r="G21" s="134">
        <f t="shared" ref="G21" si="9">X_Cell_Fertiliser_AreaUnderCropping</f>
        <v>1000</v>
      </c>
      <c r="H21" s="135">
        <f>IFERROR(_xlfn.XLOOKUP(Table_Input_InorganicFertiliser_Brands[[#This Row],[Product (select)]],FertiliserProducts[Product],FertiliserProducts[Density]), 1)</f>
        <v>1</v>
      </c>
      <c r="I21" s="136">
        <f>(Table_Input_InorganicFertiliser_Brands[[#This Row],[Amount applied per hectare]]*Table_Input_InorganicFertiliser_Brands[[#This Row],[Density]])*Table_Input_InorganicFertiliser_Brands[[#This Row],[Application area (ha)]]</f>
        <v>0</v>
      </c>
      <c r="J21" s="136"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36"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36"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36"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36"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36"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36"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36"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36"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36"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36"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36"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36">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137" cm="1">
        <f t="array" ref="W21">IFERROR(Fertiliser_InputFunctions.Fertiliser_FertiliserProductLookup(Table_Input_InorganicFertiliser_Brands[[#This Row],[Product (select)]], "N declared", FertiliserProducts[#Data], FertiliserProducts[Product], FertiliserProducts[#Headers])*0.01, 0)</f>
        <v>0</v>
      </c>
      <c r="X21" s="136">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36" t="str">
        <f>IFERROR(_xlfn.XLOOKUP(Table_Input_InorganicFertiliser_Brands[[#This Row],[Product (select)]],FertiliserProducts[Product],FertiliserProducts[Urea source]), "")</f>
        <v/>
      </c>
      <c r="Z21" s="136" t="str">
        <f>IFERROR(_xlfn.XLOOKUP(Table_Input_InorganicFertiliser_Brands[[#This Row],[Product (select)]],FertiliserProducts[Product],FertiliserProducts[Ammonia source]), "")</f>
        <v/>
      </c>
    </row>
    <row r="22" spans="1:26" ht="20.100000000000001" customHeight="1" x14ac:dyDescent="0.2">
      <c r="A22" s="5" t="str">
        <f>HYPERLINK("#'Input - Freight'!A1", "Freight")</f>
        <v>Freight</v>
      </c>
      <c r="D22" s="138"/>
      <c r="E22" s="139"/>
      <c r="F22" s="140"/>
      <c r="G22" s="140"/>
      <c r="H22" s="140"/>
      <c r="I22" s="140"/>
      <c r="J22" s="141"/>
      <c r="K22" s="141"/>
      <c r="L22" s="142"/>
      <c r="M22" s="142"/>
      <c r="N22" s="143"/>
      <c r="O22" s="143"/>
      <c r="P22" s="143"/>
      <c r="Q22" s="143"/>
      <c r="R22" s="143"/>
      <c r="S22" s="143"/>
      <c r="T22" s="143"/>
      <c r="U22" s="143"/>
      <c r="V22" s="143"/>
      <c r="W22" s="143"/>
      <c r="X22" s="143"/>
    </row>
    <row r="23" spans="1:26" ht="20.100000000000001" customHeight="1" x14ac:dyDescent="0.2">
      <c r="A23" s="5" t="str">
        <f>HYPERLINK("#'Input - Solid waste'!A1", "Solid waste")</f>
        <v>Solid waste</v>
      </c>
      <c r="D23" s="144" t="s">
        <v>610</v>
      </c>
      <c r="E23" s="145"/>
      <c r="F23" s="145"/>
      <c r="G23" s="145"/>
      <c r="H23" s="145"/>
      <c r="I23" s="145"/>
      <c r="J23" s="145"/>
      <c r="K23" s="145"/>
      <c r="L23" s="145"/>
      <c r="M23" s="145"/>
      <c r="N23" s="143"/>
      <c r="O23" s="143"/>
      <c r="P23" s="143"/>
      <c r="Q23" s="143"/>
      <c r="R23" s="143"/>
      <c r="S23" s="143"/>
      <c r="T23" s="143"/>
      <c r="V23" s="143"/>
      <c r="W23" s="143"/>
      <c r="X23" s="143"/>
    </row>
    <row r="24" spans="1:26" ht="20.100000000000001" customHeight="1" x14ac:dyDescent="0.2">
      <c r="A24" s="5" t="str">
        <f>HYPERLINK("#'Input - Manure sent off-site'!A1", "Manure sent off-site")</f>
        <v>Manure sent off-site</v>
      </c>
      <c r="D24" s="131" t="s">
        <v>611</v>
      </c>
      <c r="E24" s="131" t="s">
        <v>612</v>
      </c>
      <c r="F24" s="131" t="s">
        <v>587</v>
      </c>
      <c r="G24" s="131" t="s">
        <v>589</v>
      </c>
      <c r="H24" s="131" t="s">
        <v>613</v>
      </c>
      <c r="I24" s="131" t="s">
        <v>591</v>
      </c>
      <c r="J24" s="131" t="s">
        <v>592</v>
      </c>
      <c r="K24" s="131" t="s">
        <v>593</v>
      </c>
      <c r="L24" s="131" t="s">
        <v>594</v>
      </c>
      <c r="M24" s="131" t="s">
        <v>595</v>
      </c>
      <c r="N24" s="131" t="s">
        <v>596</v>
      </c>
      <c r="O24" s="131" t="s">
        <v>597</v>
      </c>
      <c r="P24" s="131" t="s">
        <v>604</v>
      </c>
      <c r="Q24" s="146" t="s">
        <v>614</v>
      </c>
      <c r="R24" s="146" t="s">
        <v>615</v>
      </c>
      <c r="S24" s="143"/>
      <c r="T24" s="143"/>
      <c r="V24" s="143"/>
      <c r="W24" s="143"/>
      <c r="X24" s="143"/>
    </row>
    <row r="25" spans="1:26" ht="20.100000000000001" customHeight="1" x14ac:dyDescent="0.2">
      <c r="A25" s="5" t="str">
        <f>HYPERLINK("#'Input - Data quality'!A1", "Data quality")</f>
        <v>Data quality</v>
      </c>
      <c r="D25" s="34" t="s">
        <v>616</v>
      </c>
      <c r="E25" s="131">
        <v>100</v>
      </c>
      <c r="F25" s="134">
        <f t="shared" ref="F25:F34" si="10">X_Cell_Fertiliser_AreaUnderCropping</f>
        <v>1000</v>
      </c>
      <c r="G25" s="136">
        <f>Table_Input_InorganicFertiliser_Custom[[#This Row],[Amount applied (kg / ha)]]*Table_Input_InorganicFertiliser_Custom[[#This Row],[Application area (ha)]]</f>
        <v>100000</v>
      </c>
      <c r="H25" s="147" t="s">
        <v>617</v>
      </c>
      <c r="I25" s="148">
        <v>0.5</v>
      </c>
      <c r="J25" s="147" t="s">
        <v>618</v>
      </c>
      <c r="K25" s="148">
        <v>0.2</v>
      </c>
      <c r="L25" s="147" t="s">
        <v>619</v>
      </c>
      <c r="M25" s="148">
        <v>0.2</v>
      </c>
      <c r="N25" s="149" t="s">
        <v>620</v>
      </c>
      <c r="O25" s="18">
        <v>0.1</v>
      </c>
      <c r="P25"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13"/>
      <c r="R25" s="13"/>
      <c r="T25" s="77"/>
      <c r="V25" s="143"/>
    </row>
    <row r="26" spans="1:26" ht="20.100000000000001" customHeight="1" x14ac:dyDescent="0.2">
      <c r="D26" s="34" t="s">
        <v>621</v>
      </c>
      <c r="E26" s="131">
        <v>100</v>
      </c>
      <c r="F26" s="134">
        <f t="shared" si="10"/>
        <v>1000</v>
      </c>
      <c r="G26" s="136">
        <f>Table_Input_InorganicFertiliser_Custom[[#This Row],[Amount applied (kg / ha)]]*Table_Input_InorganicFertiliser_Custom[[#This Row],[Application area (ha)]]</f>
        <v>100000</v>
      </c>
      <c r="H26" s="147" t="s">
        <v>607</v>
      </c>
      <c r="I26" s="150">
        <v>1</v>
      </c>
      <c r="J26" s="147"/>
      <c r="K26" s="150"/>
      <c r="L26" s="147"/>
      <c r="M26" s="150"/>
      <c r="N26" s="149"/>
      <c r="O26" s="18"/>
      <c r="P26"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13"/>
      <c r="R26" s="13"/>
      <c r="V26" s="143"/>
      <c r="W26" s="77"/>
    </row>
    <row r="27" spans="1:26" ht="20.100000000000001" customHeight="1" x14ac:dyDescent="0.2">
      <c r="D27" s="34" t="s">
        <v>622</v>
      </c>
      <c r="E27" s="131">
        <v>100</v>
      </c>
      <c r="F27" s="134">
        <f t="shared" si="10"/>
        <v>1000</v>
      </c>
      <c r="G27" s="136">
        <f>Table_Input_InorganicFertiliser_Custom[[#This Row],[Amount applied (kg / ha)]]*Table_Input_InorganicFertiliser_Custom[[#This Row],[Application area (ha)]]</f>
        <v>100000</v>
      </c>
      <c r="H27" s="147" t="s">
        <v>623</v>
      </c>
      <c r="I27" s="150">
        <v>0.5</v>
      </c>
      <c r="J27" s="147"/>
      <c r="K27" s="150"/>
      <c r="L27" s="147"/>
      <c r="M27" s="150"/>
      <c r="N27" s="149"/>
      <c r="O27" s="18"/>
      <c r="P27"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13"/>
      <c r="R27" s="13"/>
      <c r="V27" s="143"/>
    </row>
    <row r="28" spans="1:26" ht="20.100000000000001" customHeight="1" x14ac:dyDescent="0.2">
      <c r="A28" s="6" t="s">
        <v>2</v>
      </c>
      <c r="D28" s="34"/>
      <c r="E28" s="131"/>
      <c r="F28" s="151">
        <f t="shared" si="10"/>
        <v>1000</v>
      </c>
      <c r="G28" s="136">
        <f>Table_Input_InorganicFertiliser_Custom[[#This Row],[Amount applied (kg / ha)]]*Table_Input_InorganicFertiliser_Custom[[#This Row],[Application area (ha)]]</f>
        <v>0</v>
      </c>
      <c r="H28" s="147"/>
      <c r="I28" s="150"/>
      <c r="J28" s="147"/>
      <c r="K28" s="150"/>
      <c r="L28" s="147"/>
      <c r="M28" s="150"/>
      <c r="N28" s="149"/>
      <c r="O28" s="18"/>
      <c r="P28"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7"/>
    </row>
    <row r="29" spans="1:26" ht="20.100000000000001" customHeight="1" x14ac:dyDescent="0.2">
      <c r="A29" s="5" t="str">
        <f>HYPERLINK("#'3.2.1.1-2 Enteric Methane'!A1", "3.2.1.1-2 Enteric Methane")</f>
        <v>3.2.1.1-2 Enteric Methane</v>
      </c>
      <c r="D29" s="34"/>
      <c r="E29" s="131"/>
      <c r="F29" s="151">
        <f t="shared" si="10"/>
        <v>1000</v>
      </c>
      <c r="G29" s="136">
        <f>Table_Input_InorganicFertiliser_Custom[[#This Row],[Amount applied (kg / ha)]]*Table_Input_InorganicFertiliser_Custom[[#This Row],[Application area (ha)]]</f>
        <v>0</v>
      </c>
      <c r="H29" s="147"/>
      <c r="I29" s="150"/>
      <c r="J29" s="147"/>
      <c r="K29" s="150"/>
      <c r="L29" s="147"/>
      <c r="M29" s="150"/>
      <c r="N29" s="149"/>
      <c r="O29" s="18"/>
      <c r="P29"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
      <c r="A30" s="5" t="str">
        <f>HYPERLINK("#'4.2.1.1-2 Methane'!A1", "4.2.1.1-2 Manure methane")</f>
        <v>4.2.1.1-2 Manure methane</v>
      </c>
      <c r="D30" s="34"/>
      <c r="E30" s="131"/>
      <c r="F30" s="151">
        <f t="shared" si="10"/>
        <v>1000</v>
      </c>
      <c r="G30" s="136">
        <f>Table_Input_InorganicFertiliser_Custom[[#This Row],[Amount applied (kg / ha)]]*Table_Input_InorganicFertiliser_Custom[[#This Row],[Application area (ha)]]</f>
        <v>0</v>
      </c>
      <c r="H30" s="147"/>
      <c r="I30" s="150"/>
      <c r="J30" s="147"/>
      <c r="K30" s="150"/>
      <c r="L30" s="147"/>
      <c r="M30" s="150"/>
      <c r="N30" s="149"/>
      <c r="O30" s="18"/>
      <c r="P30"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
      <c r="A31" s="5" t="str">
        <f>HYPERLINK("#'4.2.1.3-4 Soil direct N20'!A1", "4.2.1.3-4 Soil direct N2O")</f>
        <v>4.2.1.3-4 Soil direct N2O</v>
      </c>
      <c r="D31" s="34"/>
      <c r="E31" s="131"/>
      <c r="F31" s="151">
        <f t="shared" si="10"/>
        <v>1000</v>
      </c>
      <c r="G31" s="136">
        <f>Table_Input_InorganicFertiliser_Custom[[#This Row],[Amount applied (kg / ha)]]*Table_Input_InorganicFertiliser_Custom[[#This Row],[Application area (ha)]]</f>
        <v>0</v>
      </c>
      <c r="H31" s="147"/>
      <c r="I31" s="150"/>
      <c r="J31" s="147"/>
      <c r="K31" s="150"/>
      <c r="L31" s="147"/>
      <c r="M31" s="150"/>
      <c r="N31" s="149"/>
      <c r="O31" s="18"/>
      <c r="P31"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
      <c r="A32" s="5" t="str">
        <f>HYPERLINK("#'4.2.1.5-6 Soil Atmos Dep'!A1", "4.2.1.5-6 Soil atm. deposition")</f>
        <v>4.2.1.5-6 Soil atm. deposition</v>
      </c>
      <c r="D32" s="34"/>
      <c r="E32" s="131"/>
      <c r="F32" s="151">
        <f t="shared" si="10"/>
        <v>1000</v>
      </c>
      <c r="G32" s="136">
        <f>Table_Input_InorganicFertiliser_Custom[[#This Row],[Amount applied (kg / ha)]]*Table_Input_InorganicFertiliser_Custom[[#This Row],[Application area (ha)]]</f>
        <v>0</v>
      </c>
      <c r="H32" s="147"/>
      <c r="I32" s="150"/>
      <c r="J32" s="147"/>
      <c r="K32" s="150"/>
      <c r="L32" s="147"/>
      <c r="M32" s="150"/>
      <c r="N32" s="149"/>
      <c r="O32" s="18"/>
      <c r="P32"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
      <c r="A33" s="5" t="str">
        <f>HYPERLINK("#'4.2.1.7-8 Soil leach runoff'!A1", "4.2.1.7-8 Soil leach &amp; runoff")</f>
        <v>4.2.1.7-8 Soil leach &amp; runoff</v>
      </c>
      <c r="D33" s="34"/>
      <c r="E33" s="131"/>
      <c r="F33" s="151">
        <f t="shared" si="10"/>
        <v>1000</v>
      </c>
      <c r="G33" s="136">
        <f>Table_Input_InorganicFertiliser_Custom[[#This Row],[Amount applied (kg / ha)]]*Table_Input_InorganicFertiliser_Custom[[#This Row],[Application area (ha)]]</f>
        <v>0</v>
      </c>
      <c r="H33" s="147"/>
      <c r="I33" s="150"/>
      <c r="J33" s="147"/>
      <c r="K33" s="150"/>
      <c r="L33" s="147"/>
      <c r="M33" s="150"/>
      <c r="N33" s="149"/>
      <c r="O33" s="18"/>
      <c r="P33"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
      <c r="A34" s="5" t="str">
        <f>HYPERLINK("#'5.1.1.1-2 Inorganic fert N2O'!A1", "5.1.1.1-2 Inorganic fert N2O")</f>
        <v>5.1.1.1-2 Inorganic fert N2O</v>
      </c>
      <c r="D34" s="34"/>
      <c r="E34" s="131"/>
      <c r="F34" s="151">
        <f t="shared" si="10"/>
        <v>1000</v>
      </c>
      <c r="G34" s="136">
        <f>Table_Input_InorganicFertiliser_Custom[[#This Row],[Amount applied (kg / ha)]]*Table_Input_InorganicFertiliser_Custom[[#This Row],[Application area (ha)]]</f>
        <v>0</v>
      </c>
      <c r="H34" s="147"/>
      <c r="I34" s="150"/>
      <c r="J34" s="147"/>
      <c r="K34" s="150"/>
      <c r="L34" s="147"/>
      <c r="M34" s="150"/>
      <c r="N34" s="149"/>
      <c r="O34" s="18"/>
      <c r="P34" s="136">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
      <c r="A35" s="5" t="str">
        <f>HYPERLINK("#'5.1.1.3-4 Inorganic fert CO2'!A1", "5.1.1.3-4 Inorganic fert CO2")</f>
        <v>5.1.1.3-4 Inorganic fert CO2</v>
      </c>
    </row>
    <row r="36" spans="1:27" ht="20.100000000000001" customHeight="1" x14ac:dyDescent="0.2">
      <c r="A36" s="5" t="str">
        <f>HYPERLINK("#'5.2.1.1-2 Organic Fert N2O'!A1", "5.2.1.1-2 Organic fert N2O")</f>
        <v>5.2.1.1-2 Organic fert N2O</v>
      </c>
      <c r="D36" s="2" t="s">
        <v>624</v>
      </c>
      <c r="E36" s="25"/>
      <c r="F36" s="25"/>
      <c r="G36" s="25"/>
      <c r="H36" s="25"/>
      <c r="I36" s="25"/>
      <c r="J36" s="25"/>
      <c r="K36" s="8"/>
      <c r="L36" s="8"/>
      <c r="M36" s="8"/>
    </row>
    <row r="37" spans="1:27" ht="20.100000000000001" customHeight="1" x14ac:dyDescent="0.2">
      <c r="A37" s="5" t="str">
        <f>HYPERLINK("#'5.3.1.1-2 Lime CO2'!A1", "5.3.1.1-2 Lime CO2")</f>
        <v>5.3.1.1-2 Lime CO2</v>
      </c>
      <c r="D37" s="127" t="s">
        <v>625</v>
      </c>
      <c r="E37" s="44"/>
      <c r="F37" s="45"/>
      <c r="G37" s="127"/>
      <c r="H37" s="45"/>
      <c r="I37" s="25"/>
      <c r="J37" s="25"/>
      <c r="K37" s="8"/>
      <c r="L37" s="8"/>
      <c r="M37" s="25"/>
    </row>
    <row r="38" spans="1:27" ht="20.100000000000001" customHeight="1" x14ac:dyDescent="0.2">
      <c r="A38" s="5" t="str">
        <f>HYPERLINK("#'5.4.1.1-4 Atmos deposition'!A1", "5.4.1.1-4 Atmos. deposition")</f>
        <v>5.4.1.1-4 Atmos. deposition</v>
      </c>
      <c r="C38" s="143"/>
      <c r="D38" s="152" t="s">
        <v>626</v>
      </c>
      <c r="E38" s="153"/>
      <c r="F38" s="154"/>
      <c r="G38" s="152"/>
      <c r="H38" s="154"/>
      <c r="I38" s="8"/>
      <c r="J38" s="8"/>
      <c r="K38" s="8"/>
      <c r="L38" s="8"/>
      <c r="M38" s="8"/>
    </row>
    <row r="39" spans="1:27" ht="20.100000000000001" customHeight="1" x14ac:dyDescent="0.2">
      <c r="A39" s="5" t="str">
        <f>HYPERLINK("#'5.5.1.1-2 Leaching and runoff'!A1", "5.5.1.1-2 Leaching &amp; runoff")</f>
        <v>5.5.1.1-2 Leaching &amp; runoff</v>
      </c>
      <c r="C39" s="143"/>
      <c r="D39" s="46" t="s">
        <v>582</v>
      </c>
      <c r="E39" s="47"/>
      <c r="F39" s="47"/>
      <c r="G39" s="47"/>
      <c r="H39" s="48"/>
      <c r="I39" s="8"/>
      <c r="J39" s="8"/>
      <c r="K39" s="8"/>
      <c r="L39" s="8"/>
      <c r="M39" s="25"/>
    </row>
    <row r="40" spans="1:27" s="155" customFormat="1" ht="20.100000000000001" customHeight="1" x14ac:dyDescent="0.2">
      <c r="A40" s="5" t="str">
        <f>HYPERLINK("#'6.2.1.1-2 Pasture residue N2O'!A1", "6.2.1.1-2 Pasture residue N2O")</f>
        <v>6.2.1.1-2 Pasture residue N2O</v>
      </c>
      <c r="C40" s="1"/>
      <c r="D40" s="80" t="str">
        <f>IF(MAX(Table_Input_Lime[Total]) &gt; 1, "There can not be more than 100% ingredients in a product. Check the table below.", "")</f>
        <v/>
      </c>
      <c r="E40" s="1"/>
      <c r="F40" s="1"/>
      <c r="G40" s="1"/>
      <c r="H40" s="1"/>
      <c r="I40" s="1"/>
      <c r="J40" s="1"/>
      <c r="K40" s="1"/>
      <c r="L40" s="8"/>
      <c r="M40" s="25"/>
      <c r="N40" s="1"/>
      <c r="O40" s="1"/>
      <c r="P40" s="1"/>
      <c r="Q40" s="1"/>
      <c r="R40" s="1"/>
      <c r="S40" s="1"/>
      <c r="T40" s="1"/>
      <c r="U40" s="1"/>
      <c r="V40" s="1"/>
      <c r="W40" s="1"/>
      <c r="X40" s="1"/>
      <c r="Y40" s="1"/>
      <c r="Z40" s="1"/>
      <c r="AA40" s="1"/>
    </row>
    <row r="41" spans="1:27" s="155" customFormat="1" ht="20.100000000000001" customHeight="1" x14ac:dyDescent="0.2">
      <c r="A41" s="5" t="str">
        <f>HYPERLINK("#'6.3.1.1-2 Leach runoff pasture'!A1", "6.3.1.1-2 Leach &amp; runoff (pasture)")</f>
        <v>6.3.1.1-2 Leach &amp; runoff (pasture)</v>
      </c>
      <c r="C41" s="1"/>
      <c r="D41" s="156" t="s">
        <v>144</v>
      </c>
      <c r="E41" s="156" t="s">
        <v>627</v>
      </c>
      <c r="F41" s="156" t="s">
        <v>587</v>
      </c>
      <c r="G41" s="156" t="s">
        <v>628</v>
      </c>
      <c r="H41" s="156" t="s">
        <v>629</v>
      </c>
      <c r="I41" s="156" t="s">
        <v>630</v>
      </c>
      <c r="J41" s="156" t="s">
        <v>631</v>
      </c>
      <c r="K41" s="156" t="s">
        <v>632</v>
      </c>
      <c r="L41" s="1"/>
      <c r="M41" s="1"/>
      <c r="N41" s="1"/>
      <c r="O41" s="1"/>
      <c r="P41" s="1"/>
      <c r="Q41" s="1"/>
      <c r="R41" s="1"/>
      <c r="S41" s="143"/>
      <c r="T41" s="1"/>
      <c r="U41" s="1"/>
      <c r="V41" s="1"/>
      <c r="W41" s="1"/>
      <c r="X41" s="1"/>
      <c r="Y41" s="1"/>
      <c r="Z41" s="1"/>
      <c r="AA41" s="1"/>
    </row>
    <row r="42" spans="1:27" ht="20.100000000000001" customHeight="1" x14ac:dyDescent="0.2">
      <c r="A42" s="5" t="str">
        <f>HYPERLINK("#'8.1.1.1-2 Transport fuel'!A1", "8.1.1.1-2 Transport fuel")</f>
        <v>8.1.1.1-2 Transport fuel</v>
      </c>
      <c r="D42" s="157" t="s">
        <v>633</v>
      </c>
      <c r="E42" s="134">
        <v>1</v>
      </c>
      <c r="F42" s="134">
        <f>X_Cell_Fertiliser_AreaUnderCropping</f>
        <v>1000</v>
      </c>
      <c r="G42" s="136">
        <f>IFERROR(Table_Input_Lime[[#This Row],[Amount applied (t/hectare)]]*Table_Input_Lime[[#This Row],[Application area (ha)]], 0)</f>
        <v>1000</v>
      </c>
      <c r="H42" s="158">
        <v>0.8</v>
      </c>
      <c r="I42" s="158">
        <v>0.1</v>
      </c>
      <c r="J42" s="158">
        <v>0.1</v>
      </c>
      <c r="K42" s="159">
        <f>SUM(Table_Input_Lime[[#This Row],[Percent Lime CaCO3]:[Percent Gypsum]])</f>
        <v>1</v>
      </c>
      <c r="S42" s="143"/>
    </row>
    <row r="43" spans="1:27" ht="20.100000000000001" customHeight="1" x14ac:dyDescent="0.2">
      <c r="A43" s="5" t="str">
        <f>HYPERLINK("#'8.2.1.1-2 Stationary fuel'!A1", "8.2.1.1-2 Stationary fuel")</f>
        <v>8.2.1.1-2 Stationary fuel</v>
      </c>
      <c r="D43" s="157" t="s">
        <v>634</v>
      </c>
      <c r="E43" s="134">
        <v>1</v>
      </c>
      <c r="F43" s="134">
        <f>X_Cell_Fertiliser_AreaUnderCropping</f>
        <v>1000</v>
      </c>
      <c r="G43" s="136">
        <f>IFERROR(Table_Input_Lime[[#This Row],[Amount applied (t/hectare)]]*Table_Input_Lime[[#This Row],[Application area (ha)]], 0)</f>
        <v>1000</v>
      </c>
      <c r="H43" s="158">
        <v>1</v>
      </c>
      <c r="I43" s="158"/>
      <c r="J43" s="158"/>
      <c r="K43" s="159">
        <f>SUM(Table_Input_Lime[[#This Row],[Percent Lime CaCO3]:[Percent Gypsum]])</f>
        <v>1</v>
      </c>
    </row>
    <row r="44" spans="1:27" ht="20.100000000000001" customHeight="1" x14ac:dyDescent="0.2">
      <c r="A44" s="5" t="str">
        <f>HYPERLINK("#'10.1.1-2 Solid waste treatment'!A1", "10.1.1.1-2 Solid waste")</f>
        <v>10.1.1.1-2 Solid waste</v>
      </c>
      <c r="D44" s="157" t="s">
        <v>635</v>
      </c>
      <c r="E44" s="134">
        <v>1</v>
      </c>
      <c r="F44" s="134">
        <f>X_Cell_Fertiliser_AreaUnderCropping</f>
        <v>1000</v>
      </c>
      <c r="G44" s="136">
        <f>IFERROR(Table_Input_Lime[[#This Row],[Amount applied (t/hectare)]]*Table_Input_Lime[[#This Row],[Application area (ha)]], 0)</f>
        <v>1000</v>
      </c>
      <c r="H44" s="158">
        <v>0</v>
      </c>
      <c r="I44" s="158"/>
      <c r="J44" s="158">
        <v>1</v>
      </c>
      <c r="K44" s="159">
        <f>SUM(Table_Input_Lime[[#This Row],[Percent Lime CaCO3]:[Percent Gypsum]])</f>
        <v>1</v>
      </c>
      <c r="L44" s="25"/>
    </row>
    <row r="45" spans="1:27" ht="20.100000000000001" customHeight="1" x14ac:dyDescent="0.2">
      <c r="A45" s="5" t="str">
        <f>HYPERLINK("#'14.1.1-2 Purchased electricity'!A1", "14.1.1-2 Purchased electricity")</f>
        <v>14.1.1-2 Purchased electricity</v>
      </c>
      <c r="L45" s="25"/>
      <c r="M45" s="25"/>
    </row>
    <row r="46" spans="1:27" ht="20.100000000000001" customHeight="1" x14ac:dyDescent="0.2">
      <c r="A46" s="5" t="str">
        <f>HYPERLINK("#'15 Scope 3'!A1", "15 Scope 3")</f>
        <v>15 Scope 3</v>
      </c>
      <c r="D46" s="8"/>
      <c r="E46" s="8"/>
      <c r="F46" s="8"/>
      <c r="G46" s="8"/>
      <c r="H46" s="8"/>
      <c r="I46" s="8"/>
      <c r="J46" s="8"/>
      <c r="L46" s="8"/>
      <c r="M46" s="25"/>
    </row>
    <row r="47" spans="1:27" ht="20.100000000000001" customHeight="1" x14ac:dyDescent="0.2">
      <c r="A47" s="5" t="str">
        <f>HYPERLINK("#'Calcs - Manure sent off-site'!A1", "Calcs - Manure sent off-site")</f>
        <v>Calcs - Manure sent off-site</v>
      </c>
      <c r="D47" s="8"/>
      <c r="E47" s="8"/>
      <c r="F47" s="8"/>
      <c r="G47" s="8"/>
      <c r="H47" s="8"/>
      <c r="I47" s="8"/>
      <c r="J47" s="160"/>
      <c r="K47" s="25"/>
      <c r="L47" s="8"/>
      <c r="M47" s="8"/>
    </row>
    <row r="48" spans="1:27" ht="20.100000000000001" customHeight="1" x14ac:dyDescent="0.2">
      <c r="D48" s="2" t="s">
        <v>636</v>
      </c>
      <c r="E48" s="25"/>
      <c r="F48" s="25"/>
      <c r="G48" s="25"/>
      <c r="H48" s="8"/>
      <c r="I48" s="8"/>
      <c r="J48" s="8"/>
      <c r="K48" s="8"/>
      <c r="L48" s="8"/>
      <c r="M48" s="8"/>
    </row>
    <row r="49" spans="1:18" ht="20.100000000000001" customHeight="1" x14ac:dyDescent="0.2">
      <c r="D49" s="8"/>
      <c r="E49" s="8"/>
      <c r="F49" s="8"/>
      <c r="G49" s="8"/>
      <c r="H49" s="8"/>
      <c r="I49" s="8"/>
      <c r="J49" s="8"/>
      <c r="K49" s="8"/>
      <c r="L49" s="8"/>
      <c r="M49" s="8"/>
      <c r="Q49" s="143"/>
      <c r="R49" s="143"/>
    </row>
    <row r="50" spans="1:18" ht="20.100000000000001" customHeight="1" x14ac:dyDescent="0.2">
      <c r="A50" s="86" t="s">
        <v>1</v>
      </c>
      <c r="D50" s="127" t="s">
        <v>625</v>
      </c>
      <c r="E50" s="44"/>
      <c r="F50" s="44"/>
      <c r="G50" s="44"/>
      <c r="H50" s="45"/>
      <c r="I50" s="8"/>
      <c r="J50" s="8"/>
      <c r="K50" s="8"/>
      <c r="L50" s="8"/>
      <c r="M50" s="8"/>
      <c r="O50" s="143"/>
      <c r="P50" s="143"/>
      <c r="Q50" s="143"/>
      <c r="R50" s="143"/>
    </row>
    <row r="51" spans="1:18" ht="20.100000000000001" customHeight="1" x14ac:dyDescent="0.2">
      <c r="A51" s="5" t="str">
        <f>HYPERLINK("#'Constants - Pasture Beef'!A1", "Constants - Pasture Beef")</f>
        <v>Constants - Pasture Beef</v>
      </c>
      <c r="D51" s="46" t="s">
        <v>582</v>
      </c>
      <c r="E51" s="47"/>
      <c r="F51" s="47"/>
      <c r="G51" s="47"/>
      <c r="H51" s="48"/>
      <c r="I51" s="8"/>
      <c r="J51" s="8"/>
      <c r="K51" s="8"/>
      <c r="L51" s="145"/>
      <c r="M51" s="143"/>
      <c r="N51" s="143"/>
      <c r="O51" s="143"/>
      <c r="P51" s="143"/>
    </row>
    <row r="52" spans="1:18" ht="20.100000000000001" customHeight="1" x14ac:dyDescent="0.2">
      <c r="A52" s="5" t="str">
        <f>HYPERLINK("#'Constants - Ag Residue'!A1", "Constants - Ag residue")</f>
        <v>Constants - Ag residue</v>
      </c>
      <c r="D52" s="8"/>
      <c r="E52" s="8"/>
      <c r="F52" s="8"/>
      <c r="G52" s="8"/>
      <c r="H52" s="8"/>
      <c r="I52" s="8"/>
      <c r="J52" s="8"/>
      <c r="K52" s="8"/>
      <c r="L52" s="145"/>
      <c r="M52" s="143"/>
      <c r="N52" s="143"/>
    </row>
    <row r="53" spans="1:18" ht="20.100000000000001" customHeight="1" x14ac:dyDescent="0.2">
      <c r="A53" s="5" t="str">
        <f>HYPERLINK("#'Constants - Common Livestock'!A1", "Constants - Common Livestock")</f>
        <v>Constants - Common Livestock</v>
      </c>
      <c r="D53" s="156" t="s">
        <v>637</v>
      </c>
      <c r="E53" s="156" t="s">
        <v>638</v>
      </c>
      <c r="F53" s="156" t="s">
        <v>639</v>
      </c>
      <c r="G53" s="156" t="s">
        <v>640</v>
      </c>
      <c r="H53" s="156" t="s">
        <v>587</v>
      </c>
      <c r="I53" s="156" t="s">
        <v>641</v>
      </c>
      <c r="J53" s="156" t="s">
        <v>642</v>
      </c>
      <c r="K53" s="145"/>
    </row>
    <row r="54" spans="1:18" ht="20.100000000000001" customHeight="1" x14ac:dyDescent="0.2">
      <c r="A54" s="5" t="str">
        <f>HYPERLINK("#'Constants - Electricity'!A1", "Constants - Electricity")</f>
        <v>Constants - Electricity</v>
      </c>
      <c r="D54" s="133" t="s">
        <v>643</v>
      </c>
      <c r="E54" s="158">
        <v>0.3</v>
      </c>
      <c r="F54" s="134">
        <v>10</v>
      </c>
      <c r="G54" s="136">
        <f>Table_Input_OrganicFertiliser[[#This Row],[Amount applied (kg/hectare)]]*Table_Input_OrganicFertiliser[[#This Row],[Percentage of N in fertiliser]]</f>
        <v>3</v>
      </c>
      <c r="H54" s="134">
        <f>X_Cell_Fertiliser_AreaUnderCropping</f>
        <v>1000</v>
      </c>
      <c r="I54" s="136">
        <f>Table_Input_OrganicFertiliser[[#This Row],[Amount applied (kg/hectare)]]*Table_Input_OrganicFertiliser[[#This Row],[Application area (ha)]]</f>
        <v>10000</v>
      </c>
      <c r="J54" s="136">
        <f>IFERROR(Table_Input_OrganicFertiliser[[#This Row],[Amount N applied (kg/hectare)]]*Table_Input_OrganicFertiliser[[#This Row],[Application area (ha)]], 0)</f>
        <v>3000</v>
      </c>
      <c r="K54" s="145"/>
    </row>
    <row r="55" spans="1:18" ht="20.100000000000001" customHeight="1" x14ac:dyDescent="0.2">
      <c r="A55" s="5" t="str">
        <f>HYPERLINK("#'Constants - Fertiliser'!A1", "Constants - Fertiliser")</f>
        <v>Constants - Fertiliser</v>
      </c>
      <c r="D55" s="133" t="s">
        <v>644</v>
      </c>
      <c r="E55" s="158">
        <v>0.25</v>
      </c>
      <c r="F55" s="134">
        <v>10</v>
      </c>
      <c r="G55" s="136">
        <f>Table_Input_OrganicFertiliser[[#This Row],[Amount applied (kg/hectare)]]*Table_Input_OrganicFertiliser[[#This Row],[Percentage of N in fertiliser]]</f>
        <v>2.5</v>
      </c>
      <c r="H55" s="134">
        <f>X_Cell_Fertiliser_AreaUnderCropping</f>
        <v>1000</v>
      </c>
      <c r="I55" s="136">
        <f>Table_Input_OrganicFertiliser[[#This Row],[Amount applied (kg/hectare)]]*Table_Input_OrganicFertiliser[[#This Row],[Application area (ha)]]</f>
        <v>10000</v>
      </c>
      <c r="J55" s="136">
        <f>IFERROR(Table_Input_OrganicFertiliser[[#This Row],[Amount N applied (kg/hectare)]]*Table_Input_OrganicFertiliser[[#This Row],[Application area (ha)]], 0)</f>
        <v>2500</v>
      </c>
    </row>
    <row r="56" spans="1:18" ht="20.100000000000001" customHeight="1" x14ac:dyDescent="0.2">
      <c r="A56" s="5" t="str">
        <f>HYPERLINK("#'Constants - Fuel'!A1", "Constants - Fuel")</f>
        <v>Constants - Fuel</v>
      </c>
      <c r="D56" s="133" t="s">
        <v>645</v>
      </c>
      <c r="E56" s="158">
        <v>0.16</v>
      </c>
      <c r="F56" s="134">
        <v>10</v>
      </c>
      <c r="G56" s="136">
        <f>Table_Input_OrganicFertiliser[[#This Row],[Amount applied (kg/hectare)]]*Table_Input_OrganicFertiliser[[#This Row],[Percentage of N in fertiliser]]</f>
        <v>1.6</v>
      </c>
      <c r="H56" s="134">
        <f>X_Cell_Fertiliser_AreaUnderCropping</f>
        <v>1000</v>
      </c>
      <c r="I56" s="136">
        <f>Table_Input_OrganicFertiliser[[#This Row],[Amount applied (kg/hectare)]]*Table_Input_OrganicFertiliser[[#This Row],[Application area (ha)]]</f>
        <v>10000</v>
      </c>
      <c r="J56" s="136">
        <f>IFERROR(Table_Input_OrganicFertiliser[[#This Row],[Amount N applied (kg/hectare)]]*Table_Input_OrganicFertiliser[[#This Row],[Application area (ha)]], 0)</f>
        <v>1600</v>
      </c>
    </row>
    <row r="57" spans="1:18" ht="20.100000000000001" customHeight="1" x14ac:dyDescent="0.2">
      <c r="A57" s="5" t="str">
        <f>HYPERLINK("#'Constants - Scope 3'!A1", "Constants - Scope 3")</f>
        <v>Constants - Scope 3</v>
      </c>
    </row>
    <row r="58" spans="1:18" ht="20.100000000000001" customHeight="1" x14ac:dyDescent="0.2">
      <c r="A58" s="5" t="str">
        <f>HYPERLINK("#'Constants - Solid Waste'!A1", "Constants - Solid Waste")</f>
        <v>Constants - Solid Waste</v>
      </c>
    </row>
    <row r="59" spans="1:18" ht="20.100000000000001" customHeight="1" x14ac:dyDescent="0.2">
      <c r="A59" s="5" t="str">
        <f>HYPERLINK("#'Constants - Common'!A1", "Constants - Common")</f>
        <v>Constants - Common</v>
      </c>
    </row>
    <row r="60" spans="1:18" ht="20.100000000000001" customHeight="1" x14ac:dyDescent="0.2">
      <c r="A60" s="5" t="str">
        <f>HYPERLINK("#'Acknowledgements'!A1", "Acknowledgements")</f>
        <v>Acknowledgements</v>
      </c>
    </row>
    <row r="126" spans="13:13" ht="20.100000000000001" customHeight="1" x14ac:dyDescent="0.2">
      <c r="M126" s="25"/>
    </row>
    <row r="127" spans="13:13" ht="20.100000000000001" customHeight="1" x14ac:dyDescent="0.2">
      <c r="M127" s="25"/>
    </row>
    <row r="128" spans="13:13" ht="20.100000000000001" customHeight="1" x14ac:dyDescent="0.2">
      <c r="M128" s="25"/>
    </row>
    <row r="129" spans="13:13" ht="20.100000000000001" customHeight="1" x14ac:dyDescent="0.2">
      <c r="M129" s="25"/>
    </row>
    <row r="130" spans="13:13" ht="20.100000000000001" customHeight="1" x14ac:dyDescent="0.2">
      <c r="M130" s="25"/>
    </row>
    <row r="131" spans="13:13" ht="20.100000000000001" customHeight="1" x14ac:dyDescent="0.2">
      <c r="M131" s="25"/>
    </row>
    <row r="132" spans="13:13" ht="20.100000000000001" customHeight="1" x14ac:dyDescent="0.2">
      <c r="M132" s="25"/>
    </row>
    <row r="133" spans="13:13" ht="20.100000000000001" customHeight="1" x14ac:dyDescent="0.2">
      <c r="M133" s="25"/>
    </row>
    <row r="134" spans="13:13" ht="20.100000000000001" customHeight="1" x14ac:dyDescent="0.2">
      <c r="M134" s="25"/>
    </row>
    <row r="135" spans="13:13" ht="20.100000000000001" customHeight="1" x14ac:dyDescent="0.2">
      <c r="M135" s="25"/>
    </row>
    <row r="136" spans="13:13" ht="20.100000000000001" customHeight="1" x14ac:dyDescent="0.2">
      <c r="M136" s="25"/>
    </row>
    <row r="137" spans="13:13" ht="20.100000000000001" customHeight="1" x14ac:dyDescent="0.2">
      <c r="M137" s="25"/>
    </row>
    <row r="138" spans="13:13" ht="20.100000000000001" customHeight="1" x14ac:dyDescent="0.2">
      <c r="M138" s="25"/>
    </row>
    <row r="139" spans="13:13" ht="20.100000000000001" customHeight="1" x14ac:dyDescent="0.2">
      <c r="M139" s="25"/>
    </row>
    <row r="140" spans="13:13" ht="20.100000000000001" customHeight="1" x14ac:dyDescent="0.2">
      <c r="M140" s="25"/>
    </row>
    <row r="141" spans="13:13" ht="20.100000000000001" customHeight="1" x14ac:dyDescent="0.2">
      <c r="M141" s="25"/>
    </row>
    <row r="142" spans="13:13" ht="20.100000000000001" customHeight="1" x14ac:dyDescent="0.2">
      <c r="M142" s="25"/>
    </row>
    <row r="143" spans="13:13" ht="20.100000000000001" customHeight="1" x14ac:dyDescent="0.2">
      <c r="M143" s="25"/>
    </row>
    <row r="144" spans="13:13" ht="20.100000000000001" customHeight="1" x14ac:dyDescent="0.2">
      <c r="M144" s="25"/>
    </row>
    <row r="145" spans="13:13" ht="20.100000000000001" customHeight="1" x14ac:dyDescent="0.2">
      <c r="M145" s="25"/>
    </row>
    <row r="146" spans="13:13" ht="20.100000000000001" customHeight="1" x14ac:dyDescent="0.2">
      <c r="M146" s="25"/>
    </row>
    <row r="147" spans="13:13" ht="20.100000000000001" customHeight="1" x14ac:dyDescent="0.2">
      <c r="M147" s="25"/>
    </row>
    <row r="224" spans="12:12" ht="20.100000000000001" customHeight="1" x14ac:dyDescent="0.2">
      <c r="L224" s="16"/>
    </row>
    <row r="225" spans="12:12" ht="20.100000000000001" customHeight="1" x14ac:dyDescent="0.2">
      <c r="L225" s="16"/>
    </row>
    <row r="226" spans="12:12" ht="20.100000000000001" customHeight="1" x14ac:dyDescent="0.2">
      <c r="L226" s="16"/>
    </row>
    <row r="227" spans="12:12" ht="20.100000000000001" customHeight="1" x14ac:dyDescent="0.2">
      <c r="L227" s="16"/>
    </row>
    <row r="228" spans="12:12" ht="20.100000000000001" customHeight="1" x14ac:dyDescent="0.2">
      <c r="L228" s="16"/>
    </row>
    <row r="230" spans="12:12" ht="20.100000000000001" customHeight="1" x14ac:dyDescent="0.2">
      <c r="L230" s="16"/>
    </row>
    <row r="232" spans="12:12" ht="20.100000000000001" customHeight="1" x14ac:dyDescent="0.2">
      <c r="L232" s="16"/>
    </row>
    <row r="233" spans="12:12" ht="20.100000000000001" customHeight="1" x14ac:dyDescent="0.2">
      <c r="L233" s="16"/>
    </row>
    <row r="234" spans="12:12" ht="20.100000000000001" customHeight="1" x14ac:dyDescent="0.2">
      <c r="L234" s="16"/>
    </row>
    <row r="235" spans="12:12" ht="20.100000000000001" customHeight="1" x14ac:dyDescent="0.2">
      <c r="L235" s="16"/>
    </row>
    <row r="237" spans="12:12" ht="20.100000000000001" customHeight="1" x14ac:dyDescent="0.2">
      <c r="L237" s="16"/>
    </row>
    <row r="245" spans="12:12" ht="20.100000000000001" customHeight="1" x14ac:dyDescent="0.2">
      <c r="L245" s="16"/>
    </row>
    <row r="246" spans="12:12" ht="20.100000000000001" customHeight="1" x14ac:dyDescent="0.2">
      <c r="L246" s="16"/>
    </row>
    <row r="247" spans="12:12" ht="20.100000000000001" customHeight="1" x14ac:dyDescent="0.2">
      <c r="L247" s="16"/>
    </row>
    <row r="250" spans="12:12" ht="20.100000000000001" customHeight="1" x14ac:dyDescent="0.2">
      <c r="L250" s="16"/>
    </row>
    <row r="251" spans="12:12" ht="20.100000000000001" customHeight="1" x14ac:dyDescent="0.2">
      <c r="L251" s="16"/>
    </row>
    <row r="252" spans="12:12" ht="20.100000000000001" customHeight="1" x14ac:dyDescent="0.2">
      <c r="L252" s="16"/>
    </row>
    <row r="255" spans="12:12" ht="20.100000000000001" customHeight="1" x14ac:dyDescent="0.2">
      <c r="L255" s="16"/>
    </row>
    <row r="256" spans="12:12" ht="20.100000000000001" customHeight="1" x14ac:dyDescent="0.2">
      <c r="L256" s="16"/>
    </row>
    <row r="257" spans="11:12" ht="20.100000000000001" customHeight="1" x14ac:dyDescent="0.2">
      <c r="L257" s="16"/>
    </row>
    <row r="260" spans="11:12" ht="20.100000000000001" customHeight="1" x14ac:dyDescent="0.2">
      <c r="L260" s="16"/>
    </row>
    <row r="261" spans="11:12" ht="20.100000000000001" customHeight="1" x14ac:dyDescent="0.2">
      <c r="L261" s="16"/>
    </row>
    <row r="262" spans="11:12" ht="20.100000000000001" customHeight="1" x14ac:dyDescent="0.2">
      <c r="L262" s="16"/>
    </row>
    <row r="263" spans="11:12" ht="20.100000000000001" customHeight="1" x14ac:dyDescent="0.2">
      <c r="K263" s="16"/>
    </row>
    <row r="268" spans="11:12" ht="20.100000000000001" customHeight="1" x14ac:dyDescent="0.2">
      <c r="K268" s="16"/>
    </row>
    <row r="269" spans="11:12" ht="20.100000000000001" customHeight="1" x14ac:dyDescent="0.2">
      <c r="L269" s="16"/>
    </row>
    <row r="270" spans="11:12" ht="20.100000000000001" customHeight="1" x14ac:dyDescent="0.2">
      <c r="L270" s="16"/>
    </row>
    <row r="271" spans="11:12" ht="20.100000000000001" customHeight="1" x14ac:dyDescent="0.2">
      <c r="L271" s="16"/>
    </row>
    <row r="273" spans="11:12" ht="20.100000000000001" customHeight="1" x14ac:dyDescent="0.2">
      <c r="K273" s="16"/>
    </row>
    <row r="274" spans="11:12" ht="20.100000000000001" customHeight="1" x14ac:dyDescent="0.2">
      <c r="L274" s="16"/>
    </row>
    <row r="275" spans="11:12" ht="20.100000000000001" customHeight="1" x14ac:dyDescent="0.2">
      <c r="L275" s="16"/>
    </row>
    <row r="276" spans="11:12" ht="20.100000000000001" customHeight="1" x14ac:dyDescent="0.2">
      <c r="L276" s="16"/>
    </row>
    <row r="278" spans="11:12" ht="20.100000000000001" customHeight="1" x14ac:dyDescent="0.2">
      <c r="K278" s="16"/>
    </row>
    <row r="279" spans="11:12" ht="20.100000000000001" customHeight="1" x14ac:dyDescent="0.2">
      <c r="K279" s="16"/>
      <c r="L279" s="16"/>
    </row>
    <row r="280" spans="11:12" ht="20.100000000000001" customHeight="1" x14ac:dyDescent="0.2">
      <c r="K280" s="16"/>
      <c r="L280" s="16"/>
    </row>
    <row r="281" spans="11:12" ht="20.100000000000001" customHeight="1" x14ac:dyDescent="0.2">
      <c r="K281" s="16"/>
      <c r="L281" s="16"/>
    </row>
    <row r="282" spans="11:12" ht="20.100000000000001" customHeight="1" x14ac:dyDescent="0.2">
      <c r="K282" s="16"/>
    </row>
    <row r="284" spans="11:12" ht="20.100000000000001" customHeight="1" x14ac:dyDescent="0.2">
      <c r="K284" s="16"/>
      <c r="L284" s="16"/>
    </row>
    <row r="285" spans="11:12" ht="20.100000000000001" customHeight="1" x14ac:dyDescent="0.2">
      <c r="L285" s="16"/>
    </row>
    <row r="286" spans="11:12" ht="20.100000000000001" customHeight="1" x14ac:dyDescent="0.2">
      <c r="K286" s="16"/>
      <c r="L286" s="16"/>
    </row>
    <row r="287" spans="11:12" ht="20.100000000000001" customHeight="1" x14ac:dyDescent="0.2">
      <c r="K287" s="16"/>
    </row>
    <row r="288" spans="11:12" ht="20.100000000000001" customHeight="1" x14ac:dyDescent="0.2">
      <c r="K288" s="16"/>
    </row>
    <row r="289" spans="11:11" ht="20.100000000000001" customHeight="1" x14ac:dyDescent="0.2">
      <c r="K289" s="16"/>
    </row>
    <row r="291" spans="11:11" ht="20.100000000000001" customHeight="1" x14ac:dyDescent="0.2">
      <c r="K291" s="16"/>
    </row>
    <row r="297" spans="11:11" ht="20.100000000000001" customHeight="1" x14ac:dyDescent="0.2">
      <c r="K297" s="16"/>
    </row>
    <row r="302" spans="11:11" ht="20.100000000000001" customHeight="1" x14ac:dyDescent="0.2">
      <c r="K302" s="16"/>
    </row>
    <row r="307" spans="11:11" ht="20.100000000000001" customHeight="1" x14ac:dyDescent="0.2">
      <c r="K307" s="16"/>
    </row>
    <row r="312" spans="11:11" ht="20.100000000000001" customHeight="1" x14ac:dyDescent="0.2">
      <c r="K312" s="16"/>
    </row>
    <row r="313" spans="11:11" ht="20.100000000000001" customHeight="1" x14ac:dyDescent="0.2">
      <c r="K313" s="16"/>
    </row>
    <row r="314" spans="11:11" ht="20.100000000000001" customHeight="1" x14ac:dyDescent="0.2">
      <c r="K314" s="16"/>
    </row>
    <row r="315" spans="11:11" ht="20.100000000000001" customHeight="1" x14ac:dyDescent="0.2">
      <c r="K315" s="16"/>
    </row>
    <row r="316" spans="11:11" ht="20.100000000000001" customHeight="1" x14ac:dyDescent="0.2">
      <c r="K316" s="16"/>
    </row>
    <row r="318" spans="11:11" ht="20.100000000000001" customHeight="1" x14ac:dyDescent="0.2">
      <c r="K318" s="16"/>
    </row>
    <row r="320" spans="11:11" ht="20.100000000000001" customHeight="1" x14ac:dyDescent="0.2">
      <c r="K320" s="16"/>
    </row>
    <row r="321" spans="11:11" ht="20.100000000000001" customHeight="1" x14ac:dyDescent="0.2">
      <c r="K321" s="16"/>
    </row>
    <row r="322" spans="11:11" ht="20.100000000000001" customHeight="1" x14ac:dyDescent="0.2">
      <c r="K322" s="16"/>
    </row>
    <row r="323" spans="11:11" ht="20.100000000000001" customHeight="1" x14ac:dyDescent="0.2">
      <c r="K323" s="16"/>
    </row>
    <row r="325" spans="11:11" ht="20.100000000000001" customHeight="1" x14ac:dyDescent="0.2">
      <c r="K325" s="16"/>
    </row>
    <row r="333" spans="11:11" ht="20.100000000000001" customHeight="1" x14ac:dyDescent="0.2">
      <c r="K333" s="16"/>
    </row>
    <row r="334" spans="11:11" ht="20.100000000000001" customHeight="1" x14ac:dyDescent="0.2">
      <c r="K334" s="16"/>
    </row>
    <row r="335" spans="11:11" ht="20.100000000000001" customHeight="1" x14ac:dyDescent="0.2">
      <c r="K335" s="16"/>
    </row>
    <row r="338" spans="11:11" ht="20.100000000000001" customHeight="1" x14ac:dyDescent="0.2">
      <c r="K338" s="16"/>
    </row>
    <row r="339" spans="11:11" ht="20.100000000000001" customHeight="1" x14ac:dyDescent="0.2">
      <c r="K339" s="16"/>
    </row>
    <row r="340" spans="11:11" ht="20.100000000000001" customHeight="1" x14ac:dyDescent="0.2">
      <c r="K340" s="16"/>
    </row>
    <row r="343" spans="11:11" ht="20.100000000000001" customHeight="1" x14ac:dyDescent="0.2">
      <c r="K343" s="16"/>
    </row>
    <row r="344" spans="11:11" ht="20.100000000000001" customHeight="1" x14ac:dyDescent="0.2">
      <c r="K344" s="16"/>
    </row>
    <row r="345" spans="11:11" ht="20.100000000000001" customHeight="1" x14ac:dyDescent="0.2">
      <c r="K345" s="16"/>
    </row>
    <row r="348" spans="11:11" ht="20.100000000000001" customHeight="1" x14ac:dyDescent="0.2">
      <c r="K348" s="16"/>
    </row>
    <row r="349" spans="11:11" ht="20.100000000000001" customHeight="1" x14ac:dyDescent="0.2">
      <c r="K349" s="16"/>
    </row>
    <row r="350" spans="11:11" ht="20.100000000000001" customHeight="1" x14ac:dyDescent="0.2">
      <c r="K350" s="16"/>
    </row>
    <row r="357" spans="11:11" ht="20.100000000000001" customHeight="1" x14ac:dyDescent="0.2">
      <c r="K357" s="16"/>
    </row>
    <row r="358" spans="11:11" ht="20.100000000000001" customHeight="1" x14ac:dyDescent="0.2">
      <c r="K358" s="16"/>
    </row>
    <row r="359" spans="11:11" ht="20.100000000000001" customHeight="1" x14ac:dyDescent="0.2">
      <c r="K359" s="16"/>
    </row>
    <row r="362" spans="11:11" ht="20.100000000000001" customHeight="1" x14ac:dyDescent="0.2">
      <c r="K362" s="16"/>
    </row>
    <row r="363" spans="11:11" ht="20.100000000000001" customHeight="1" x14ac:dyDescent="0.2">
      <c r="K363" s="16"/>
    </row>
    <row r="364" spans="11:11" ht="20.100000000000001" customHeight="1" x14ac:dyDescent="0.2">
      <c r="K364" s="16"/>
    </row>
    <row r="367" spans="11:11" ht="20.100000000000001" customHeight="1" x14ac:dyDescent="0.2">
      <c r="K367" s="16"/>
    </row>
    <row r="368" spans="11:11" ht="20.100000000000001" customHeight="1" x14ac:dyDescent="0.2">
      <c r="K368" s="16"/>
    </row>
    <row r="369" spans="4:11" ht="20.100000000000001" customHeight="1" x14ac:dyDescent="0.2">
      <c r="K369" s="16"/>
    </row>
    <row r="372" spans="4:11" ht="20.100000000000001" customHeight="1" x14ac:dyDescent="0.2">
      <c r="K372" s="16"/>
    </row>
    <row r="373" spans="4:11" ht="20.100000000000001" customHeight="1" x14ac:dyDescent="0.2">
      <c r="K373" s="16"/>
    </row>
    <row r="374" spans="4:11" ht="20.100000000000001" customHeight="1" x14ac:dyDescent="0.2">
      <c r="K374" s="16"/>
    </row>
    <row r="378" spans="4:11" ht="20.100000000000001" customHeight="1" x14ac:dyDescent="0.2">
      <c r="D378" s="80"/>
    </row>
  </sheetData>
  <conditionalFormatting sqref="F155:F156">
    <cfRule type="cellIs" dxfId="79" priority="15" operator="lessThan">
      <formula>0</formula>
    </cfRule>
  </conditionalFormatting>
  <conditionalFormatting sqref="F167:F168">
    <cfRule type="cellIs" dxfId="78" priority="14" operator="lessThan">
      <formula>0</formula>
    </cfRule>
  </conditionalFormatting>
  <conditionalFormatting sqref="F179:F180">
    <cfRule type="cellIs" dxfId="77" priority="13" operator="lessThan">
      <formula>0</formula>
    </cfRule>
  </conditionalFormatting>
  <conditionalFormatting sqref="F267:F268">
    <cfRule type="cellIs" dxfId="76" priority="26" operator="lessThan">
      <formula>0</formula>
    </cfRule>
  </conditionalFormatting>
  <conditionalFormatting sqref="F272:F273">
    <cfRule type="cellIs" dxfId="75" priority="25" operator="lessThan">
      <formula>0</formula>
    </cfRule>
  </conditionalFormatting>
  <conditionalFormatting sqref="F277:F278">
    <cfRule type="cellIs" dxfId="74" priority="24" operator="lessThan">
      <formula>0</formula>
    </cfRule>
  </conditionalFormatting>
  <conditionalFormatting sqref="F301:F302">
    <cfRule type="cellIs" dxfId="73" priority="23" operator="lessThan">
      <formula>0</formula>
    </cfRule>
  </conditionalFormatting>
  <conditionalFormatting sqref="F306:F307">
    <cfRule type="cellIs" dxfId="72" priority="22" operator="lessThan">
      <formula>0</formula>
    </cfRule>
  </conditionalFormatting>
  <conditionalFormatting sqref="F311:F312">
    <cfRule type="cellIs" dxfId="71" priority="21" operator="lessThan">
      <formula>0</formula>
    </cfRule>
  </conditionalFormatting>
  <conditionalFormatting sqref="H53 F143:F144">
    <cfRule type="cellIs" dxfId="70"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69" priority="20" operator="lessThan">
      <formula>0</formula>
    </cfRule>
  </conditionalFormatting>
  <conditionalFormatting sqref="I41:I44 I46:I47 F58 I75:I78 L198 K200 L202:L203 K204:K205 L206:L207 K208:K209 L212:L213 K214:K215 L216:L217 K218:K219 L223:L228 K225">
    <cfRule type="cellIs" dxfId="68" priority="18" operator="lessThan">
      <formula>0</formula>
    </cfRule>
  </conditionalFormatting>
  <conditionalFormatting sqref="I82 M119 I141:J141">
    <cfRule type="cellIs" dxfId="67" priority="19" operator="lessThan">
      <formula>0</formula>
    </cfRule>
  </conditionalFormatting>
  <conditionalFormatting sqref="I93:I95">
    <cfRule type="cellIs" dxfId="66" priority="3" operator="lessThan">
      <formula>0</formula>
    </cfRule>
  </conditionalFormatting>
  <conditionalFormatting sqref="I99:I102">
    <cfRule type="cellIs" dxfId="65" priority="2" operator="lessThan">
      <formula>0</formula>
    </cfRule>
  </conditionalFormatting>
  <conditionalFormatting sqref="I106:I110">
    <cfRule type="cellIs" dxfId="64" priority="1" operator="lessThan">
      <formula>0</formula>
    </cfRule>
  </conditionalFormatting>
  <conditionalFormatting sqref="J169">
    <cfRule type="cellIs" dxfId="63" priority="17" operator="lessThan">
      <formula>0</formula>
    </cfRule>
  </conditionalFormatting>
  <conditionalFormatting sqref="L131:L134">
    <cfRule type="cellIs" dxfId="62" priority="7" operator="lessThan">
      <formula>0</formula>
    </cfRule>
  </conditionalFormatting>
  <conditionalFormatting sqref="L137">
    <cfRule type="cellIs" dxfId="61" priority="12" operator="lessThan">
      <formula>0</formula>
    </cfRule>
  </conditionalFormatting>
  <conditionalFormatting sqref="L143:L146">
    <cfRule type="cellIs" dxfId="60" priority="6" operator="lessThan">
      <formula>0</formula>
    </cfRule>
  </conditionalFormatting>
  <conditionalFormatting sqref="L149">
    <cfRule type="cellIs" dxfId="59" priority="11" operator="lessThan">
      <formula>0</formula>
    </cfRule>
  </conditionalFormatting>
  <conditionalFormatting sqref="L155:L158">
    <cfRule type="cellIs" dxfId="58" priority="5" operator="lessThan">
      <formula>0</formula>
    </cfRule>
  </conditionalFormatting>
  <conditionalFormatting sqref="L161">
    <cfRule type="cellIs" dxfId="57" priority="10" operator="lessThan">
      <formula>0</formula>
    </cfRule>
  </conditionalFormatting>
  <conditionalFormatting sqref="L167:L170">
    <cfRule type="cellIs" dxfId="56" priority="4" operator="lessThan">
      <formula>0</formula>
    </cfRule>
  </conditionalFormatting>
  <conditionalFormatting sqref="L173">
    <cfRule type="cellIs" dxfId="55" priority="9" operator="lessThan">
      <formula>0</formula>
    </cfRule>
  </conditionalFormatting>
  <conditionalFormatting sqref="L177:L178">
    <cfRule type="cellIs" dxfId="54" priority="8" operator="lessThan">
      <formula>0</formula>
    </cfRule>
  </conditionalFormatting>
  <conditionalFormatting sqref="L230 L232:L235 L237 J245:J247 J250:J252">
    <cfRule type="cellIs" dxfId="53" priority="27" operator="lessThan">
      <formula>0</formula>
    </cfRule>
  </conditionalFormatting>
  <dataValidations count="9">
    <dataValidation type="list" allowBlank="1" showInputMessage="1" showErrorMessage="1" sqref="D12:D21" xr:uid="{EFC56CC9-CD32-42D1-BC43-2ACA9D92D452}">
      <formula1>INDIRECT("FertiliserProducts[Product]")</formula1>
    </dataValidation>
    <dataValidation type="list" allowBlank="1" showInputMessage="1" showErrorMessage="1" sqref="Q25:R34" xr:uid="{91272C9C-99EC-437A-9C31-2E6CF33ABFEC}">
      <formula1>INDIRECT("Table_SourceData_Fertiliser_UreaAmmoniaSources[Source]")</formula1>
    </dataValidation>
    <dataValidation type="list" allowBlank="1" showInputMessage="1" showErrorMessage="1" sqref="D54:D56" xr:uid="{4F7FFE15-9374-4F1B-8D6D-37DD3C73AE35}">
      <formula1>INDIRECT("Table_SourceData_OrganicFertiliserTypes[Organic fertiliser type]")</formula1>
    </dataValidation>
    <dataValidation type="list" allowBlank="1" showInputMessage="1" showErrorMessage="1" sqref="H25:H34 J25:J34 L25:L34 N25:N34" xr:uid="{D3388D95-021E-4611-8416-8C1F453E6A23}">
      <formula1>INDIRECT("Table_Fertiliser_ChemicalCompounds[Fertiliser type f]")</formula1>
    </dataValidation>
    <dataValidation type="list" allowBlank="1" showInputMessage="1" showErrorMessage="1" sqref="E81" xr:uid="{C4F51571-A9B3-4A1E-A4A2-D7F89E4AAB5F}">
      <formula1>INDIRECT("Table_SourceData_Swine_CropProdSystems[Production system]")</formula1>
    </dataValidation>
    <dataValidation type="list" allowBlank="1" showInputMessage="1" showErrorMessage="1" sqref="E82" xr:uid="{71958C16-0EB3-40BE-B0AD-9E9905CC5BD2}">
      <formula1>INDIRECT("Table_SourceData_Swine_IrrigationMethods[Irrigation method]")</formula1>
    </dataValidation>
    <dataValidation type="list" allowBlank="1" showInputMessage="1" showErrorMessage="1" sqref="E266 E271 E276 E310 E305 E300 E178 E166 E142 E154" xr:uid="{AA533072-FE43-4A37-B548-E120698A43D1}">
      <formula1>"Yes, No"</formula1>
    </dataValidation>
    <dataValidation type="list" allowBlank="1" showInputMessage="1" showErrorMessage="1" sqref="E242" xr:uid="{59541AD8-8927-4AB6-8D5B-369B4125F112}">
      <formula1>INDIRECT("Table_SourceData_Dairy_ProductionSystemTemplates[Area]")</formula1>
    </dataValidation>
    <dataValidation type="list" allowBlank="1" showInputMessage="1" showErrorMessage="1" sqref="D294" xr:uid="{63DBC6B5-DBB7-4D6C-973D-A3769B7CE77D}">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AB0ED-323F-478C-BF77-51CA43AEF534}">
  <sheetPr>
    <tabColor theme="5" tint="-0.249977111117893"/>
  </sheetPr>
  <dimension ref="A1:K346"/>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817</v>
      </c>
    </row>
    <row r="2" spans="1:11" s="3" customFormat="1" ht="20.100000000000001" customHeight="1" x14ac:dyDescent="0.2">
      <c r="A2"/>
    </row>
    <row r="3" spans="1:11" ht="20.100000000000001" customHeight="1" x14ac:dyDescent="0.2">
      <c r="A3" s="5" t="str">
        <f>HYPERLINK("#'Home'!A1", "Home")</f>
        <v>Home</v>
      </c>
      <c r="C3" s="29"/>
      <c r="D3" s="29"/>
      <c r="E3" s="29"/>
      <c r="F3" s="29"/>
      <c r="G3" s="29"/>
      <c r="H3" s="29"/>
      <c r="I3" s="29"/>
      <c r="J3" s="29"/>
      <c r="K3" s="29"/>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818</v>
      </c>
      <c r="E5" s="25"/>
      <c r="F5" s="25"/>
      <c r="G5" s="25"/>
      <c r="H5" s="25"/>
    </row>
    <row r="6" spans="1:11" ht="20.100000000000001" customHeight="1" x14ac:dyDescent="0.2">
      <c r="D6" s="8"/>
      <c r="E6" s="8"/>
      <c r="F6" s="8"/>
      <c r="G6" s="8"/>
      <c r="H6" s="8"/>
      <c r="I6" s="8"/>
      <c r="J6" s="8"/>
    </row>
    <row r="7" spans="1:11" ht="20.100000000000001" customHeight="1" x14ac:dyDescent="0.2">
      <c r="D7" s="1" t="s">
        <v>819</v>
      </c>
    </row>
    <row r="8" spans="1:11" ht="20.100000000000001" customHeight="1" x14ac:dyDescent="0.2">
      <c r="A8" s="7" t="s">
        <v>0</v>
      </c>
      <c r="D8" s="1" t="s">
        <v>820</v>
      </c>
    </row>
    <row r="9" spans="1:11" ht="20.100000000000001" customHeight="1" x14ac:dyDescent="0.2">
      <c r="A9" s="5" t="str">
        <f>HYPERLINK("#'Input - Enterprise'!A1", "Enterprise")</f>
        <v>Enterprise</v>
      </c>
      <c r="D9" s="1" t="s">
        <v>821</v>
      </c>
    </row>
    <row r="10" spans="1:11" ht="20.100000000000001" customHeight="1" x14ac:dyDescent="0.2">
      <c r="A10" s="5" t="str">
        <f>HYPERLINK("#'Input - Site'!A1", "Site")</f>
        <v>Site</v>
      </c>
    </row>
    <row r="11" spans="1:11" ht="20.100000000000001" customHeight="1" x14ac:dyDescent="0.2">
      <c r="A11" s="5" t="str">
        <f>HYPERLINK("#'Input - Pasture Beef'!A1", "Pasture Beef")</f>
        <v>Pasture Beef</v>
      </c>
      <c r="D11" s="1" t="s">
        <v>822</v>
      </c>
      <c r="E11" s="13" t="s">
        <v>823</v>
      </c>
      <c r="F11" s="16" t="s">
        <v>109</v>
      </c>
    </row>
    <row r="12" spans="1:11" ht="20.100000000000001" customHeight="1" x14ac:dyDescent="0.2">
      <c r="A12" s="5" t="str">
        <f>HYPERLINK("#'Input - Livestock sales'!A1", "Livestock sales")</f>
        <v>Livestock sales</v>
      </c>
    </row>
    <row r="13" spans="1:11" ht="20.100000000000001" customHeight="1" x14ac:dyDescent="0.2">
      <c r="A13" s="5" t="str">
        <f>HYPERLINK("#'Input - Beef cattle purchases'!A1", "Beef cattle purchases")</f>
        <v>Beef cattle purchases</v>
      </c>
      <c r="D13" s="127" t="s">
        <v>790</v>
      </c>
      <c r="E13" s="44"/>
      <c r="F13" s="44"/>
      <c r="G13" s="44"/>
      <c r="H13" s="45"/>
    </row>
    <row r="14" spans="1:11" ht="20.100000000000001" customHeight="1" x14ac:dyDescent="0.2">
      <c r="A14" s="5" t="str">
        <f>HYPERLINK("#'Input - Pasture'!A1", "Pasture")</f>
        <v>Pasture</v>
      </c>
      <c r="D14" s="46" t="s">
        <v>824</v>
      </c>
      <c r="E14" s="47"/>
      <c r="F14" s="47"/>
      <c r="G14" s="47"/>
      <c r="H14" s="48"/>
    </row>
    <row r="15" spans="1:11" ht="20.100000000000001" customHeight="1" x14ac:dyDescent="0.2">
      <c r="A15" s="5" t="str">
        <f>HYPERLINK("#'Input - Fert Prod System'!A1", "Fert Prod System")</f>
        <v>Fert Prod System</v>
      </c>
      <c r="D15" s="8"/>
      <c r="E15" s="8"/>
      <c r="F15" s="8"/>
      <c r="G15" s="8"/>
      <c r="H15" s="8"/>
      <c r="I15" s="8"/>
      <c r="J15" s="8"/>
    </row>
    <row r="16" spans="1:11" ht="20.100000000000001" customHeight="1" x14ac:dyDescent="0.2">
      <c r="A16" s="5" t="str">
        <f>HYPERLINK("#'Input - Fertiliser'!A1", "Fertiliser")</f>
        <v>Fertiliser</v>
      </c>
      <c r="D16" s="82" t="s">
        <v>825</v>
      </c>
      <c r="E16" s="82" t="s">
        <v>826</v>
      </c>
      <c r="F16" s="82" t="s">
        <v>827</v>
      </c>
      <c r="G16" s="82" t="s">
        <v>828</v>
      </c>
      <c r="H16" s="82" t="s">
        <v>829</v>
      </c>
      <c r="I16" s="82" t="s">
        <v>830</v>
      </c>
      <c r="J16" s="82" t="s">
        <v>831</v>
      </c>
    </row>
    <row r="17" spans="1:10" ht="20.100000000000001" customHeight="1" x14ac:dyDescent="0.2">
      <c r="A17" s="100" t="str">
        <f>HYPERLINK("#'Input - Fuel'!A1", "Fuel")</f>
        <v>Fuel</v>
      </c>
      <c r="D17" s="13" t="s">
        <v>832</v>
      </c>
      <c r="E17" s="13" t="s">
        <v>833</v>
      </c>
      <c r="F17" s="187">
        <v>100</v>
      </c>
      <c r="G17" s="15" t="str" cm="1">
        <f t="array" ref="G17">Common_InputFunctions.Utility_LookupValueInTable(Table_Input_Fuel[[#This Row],[Fuel type (select)]],Table_FuelTypes_Units[Fuel type], Table_FuelTypes_Units[Input Unit])</f>
        <v>GJ</v>
      </c>
      <c r="H17" s="188">
        <f>1</f>
        <v>1</v>
      </c>
      <c r="I17" s="15">
        <f>Table_Input_Fuel[[#This Row],[Amount purchased]]*Table_Input_Fuel[[#This Row],[Percent consumed]]*IF(Table_Input_Fuel[[#This Row],[Amount unit]]="L", 10^-3, 1)</f>
        <v>100</v>
      </c>
      <c r="J17" s="15" t="str" cm="1">
        <f t="array" ref="J17">Common_InputFunctions.Utility_LookupValueInTable(Table_Input_Fuel[[#This Row],[Fuel type (select)]],Table_FuelTypes_Units[Fuel type], Table_FuelTypes_Units[Unit])</f>
        <v>GJ</v>
      </c>
    </row>
    <row r="18" spans="1:10" ht="20.100000000000001" customHeight="1" x14ac:dyDescent="0.2">
      <c r="A18" s="5" t="str">
        <f>HYPERLINK("#'Input - Electricity'!A1", "Electricity")</f>
        <v>Electricity</v>
      </c>
      <c r="D18" s="13" t="s">
        <v>832</v>
      </c>
      <c r="E18" s="13" t="s">
        <v>834</v>
      </c>
      <c r="F18" s="187">
        <v>10000</v>
      </c>
      <c r="G18" s="15" t="str" cm="1">
        <f t="array" ref="G18">Common_InputFunctions.Utility_LookupValueInTable(Table_Input_Fuel[[#This Row],[Fuel type (select)]],Table_FuelTypes_Units[Fuel type], Table_FuelTypes_Units[Input Unit])</f>
        <v>L</v>
      </c>
      <c r="H18" s="189">
        <f>1</f>
        <v>1</v>
      </c>
      <c r="I18" s="15">
        <f>Table_Input_Fuel[[#This Row],[Amount purchased]]*Table_Input_Fuel[[#This Row],[Percent consumed]]*IF(Table_Input_Fuel[[#This Row],[Amount unit]]="L", 10^-3, 1)</f>
        <v>10</v>
      </c>
      <c r="J18" s="15" t="str" cm="1">
        <f t="array" ref="J18">Common_InputFunctions.Utility_LookupValueInTable(Table_Input_Fuel[[#This Row],[Fuel type (select)]],Table_FuelTypes_Units[Fuel type], Table_FuelTypes_Units[Unit])</f>
        <v>kL</v>
      </c>
    </row>
    <row r="19" spans="1:10" ht="20.100000000000001" customHeight="1" x14ac:dyDescent="0.2">
      <c r="A19" s="5" t="str">
        <f>HYPERLINK("#'Input - Common farm inputs'!A1", "Common farm inputs")</f>
        <v>Common farm inputs</v>
      </c>
      <c r="D19" s="13" t="s">
        <v>835</v>
      </c>
      <c r="E19" s="13" t="s">
        <v>836</v>
      </c>
      <c r="F19" s="187">
        <v>10000</v>
      </c>
      <c r="G19" s="15" t="str" cm="1">
        <f t="array" ref="G19">Common_InputFunctions.Utility_LookupValueInTable(Table_Input_Fuel[[#This Row],[Fuel type (select)]],Table_FuelTypes_Units[Fuel type], Table_FuelTypes_Units[Input Unit])</f>
        <v>L</v>
      </c>
      <c r="H19" s="189">
        <f>1</f>
        <v>1</v>
      </c>
      <c r="I19" s="15">
        <f>Table_Input_Fuel[[#This Row],[Amount purchased]]*Table_Input_Fuel[[#This Row],[Percent consumed]]*IF(Table_Input_Fuel[[#This Row],[Amount unit]]="L", 10^-3, 1)</f>
        <v>10</v>
      </c>
      <c r="J19" s="15" t="str" cm="1">
        <f t="array" ref="J19">Common_InputFunctions.Utility_LookupValueInTable(Table_Input_Fuel[[#This Row],[Fuel type (select)]],Table_FuelTypes_Units[Fuel type], Table_FuelTypes_Units[Unit])</f>
        <v>kL</v>
      </c>
    </row>
    <row r="20" spans="1:10" ht="20.100000000000001" customHeight="1" x14ac:dyDescent="0.2">
      <c r="A20" s="5" t="str">
        <f>HYPERLINK("#'Input - Crop pasture farm input'!A1", "Crop pasture farm input")</f>
        <v>Crop pasture farm input</v>
      </c>
      <c r="D20" s="13" t="s">
        <v>837</v>
      </c>
      <c r="E20" s="13" t="s">
        <v>836</v>
      </c>
      <c r="F20" s="187">
        <v>10000</v>
      </c>
      <c r="G20" s="15" t="str" cm="1">
        <f t="array" ref="G20">Common_InputFunctions.Utility_LookupValueInTable(Table_Input_Fuel[[#This Row],[Fuel type (select)]],Table_FuelTypes_Units[Fuel type], Table_FuelTypes_Units[Input Unit])</f>
        <v>L</v>
      </c>
      <c r="H20" s="189">
        <f>1</f>
        <v>1</v>
      </c>
      <c r="I20" s="15">
        <f>Table_Input_Fuel[[#This Row],[Amount purchased]]*Table_Input_Fuel[[#This Row],[Percent consumed]]*IF(Table_Input_Fuel[[#This Row],[Amount unit]]="L", 10^-3, 1)</f>
        <v>10</v>
      </c>
      <c r="J20" s="15" t="str" cm="1">
        <f t="array" ref="J20">Common_InputFunctions.Utility_LookupValueInTable(Table_Input_Fuel[[#This Row],[Fuel type (select)]],Table_FuelTypes_Units[Fuel type], Table_FuelTypes_Units[Unit])</f>
        <v>kL</v>
      </c>
    </row>
    <row r="21" spans="1:10" ht="20.100000000000001" customHeight="1" x14ac:dyDescent="0.2">
      <c r="A21" s="5" t="str">
        <f>HYPERLINK("#'Input - Livestock farm Inputs'!A1", "Livestock farm Inputs")</f>
        <v>Livestock farm Inputs</v>
      </c>
      <c r="D21" s="84" t="s">
        <v>838</v>
      </c>
      <c r="E21" s="84" t="s">
        <v>839</v>
      </c>
      <c r="F21" s="187">
        <v>10000</v>
      </c>
      <c r="G21" s="190" t="str" cm="1">
        <f t="array" ref="G21">Common_InputFunctions.Utility_LookupValueInTable(Table_Input_Fuel[[#This Row],[Fuel type (select)]],Table_FuelTypes_Units[Fuel type], Table_FuelTypes_Units[Input Unit])</f>
        <v>L</v>
      </c>
      <c r="H21" s="191">
        <f>1</f>
        <v>1</v>
      </c>
      <c r="I21" s="190">
        <f>Table_Input_Fuel[[#This Row],[Amount purchased]]*Table_Input_Fuel[[#This Row],[Percent consumed]]*IF(Table_Input_Fuel[[#This Row],[Amount unit]]="L", 10^-3, 1)</f>
        <v>10</v>
      </c>
      <c r="J21" s="15" t="str" cm="1">
        <f t="array" ref="J21">Common_InputFunctions.Utility_LookupValueInTable(Table_Input_Fuel[[#This Row],[Fuel type (select)]],Table_FuelTypes_Units[Fuel type], Table_FuelTypes_Units[Unit])</f>
        <v>kL</v>
      </c>
    </row>
    <row r="22" spans="1:10" ht="20.100000000000001" customHeight="1" x14ac:dyDescent="0.2">
      <c r="A22" s="5" t="str">
        <f>HYPERLINK("#'Input - Freight'!A1", "Freight")</f>
        <v>Freight</v>
      </c>
    </row>
    <row r="23" spans="1:10" ht="20.100000000000001" customHeight="1" x14ac:dyDescent="0.2">
      <c r="A23" s="5" t="str">
        <f>HYPERLINK("#'Input - Solid waste'!A1", "Solid waste")</f>
        <v>Solid waste</v>
      </c>
    </row>
    <row r="24" spans="1:10" ht="20.100000000000001" customHeight="1" x14ac:dyDescent="0.2">
      <c r="A24" s="5" t="str">
        <f>HYPERLINK("#'Input - Manure sent off-site'!A1", "Manure sent off-site")</f>
        <v>Manure sent off-site</v>
      </c>
    </row>
    <row r="25" spans="1:10" ht="20.100000000000001" customHeight="1" x14ac:dyDescent="0.2">
      <c r="A25" s="5" t="str">
        <f>HYPERLINK("#'Input - Data quality'!A1", "Data quality")</f>
        <v>Data quality</v>
      </c>
    </row>
    <row r="28" spans="1:10" ht="20.100000000000001" customHeight="1" x14ac:dyDescent="0.2">
      <c r="A28" s="6" t="s">
        <v>2</v>
      </c>
    </row>
    <row r="29" spans="1:10" ht="20.100000000000001" customHeight="1" x14ac:dyDescent="0.2">
      <c r="A29" s="5" t="str">
        <f>HYPERLINK("#'3.2.1.1-2 Enteric Methane'!A1", "3.2.1.1-2 Enteric Methane")</f>
        <v>3.2.1.1-2 Enteric Methane</v>
      </c>
    </row>
    <row r="30" spans="1:10" ht="20.100000000000001" customHeight="1" x14ac:dyDescent="0.2">
      <c r="A30" s="5" t="str">
        <f>HYPERLINK("#'4.2.1.1-2 Methane'!A1", "4.2.1.1-2 Manure methane")</f>
        <v>4.2.1.1-2 Manure methane</v>
      </c>
    </row>
    <row r="31" spans="1:10" ht="20.100000000000001" customHeight="1" x14ac:dyDescent="0.2">
      <c r="A31" s="5" t="str">
        <f>HYPERLINK("#'4.2.1.3-4 Soil direct N20'!A1", "4.2.1.3-4 Soil direct N2O")</f>
        <v>4.2.1.3-4 Soil direct N2O</v>
      </c>
    </row>
    <row r="32" spans="1:10" ht="20.100000000000001" customHeight="1" x14ac:dyDescent="0.2">
      <c r="A32" s="5" t="str">
        <f>HYPERLINK("#'4.2.1.5-6 Soil Atmos Dep'!A1", "4.2.1.5-6 Soil atm. deposition")</f>
        <v>4.2.1.5-6 Soil atm. deposition</v>
      </c>
    </row>
    <row r="33" spans="1:11" ht="20.100000000000001" customHeight="1" x14ac:dyDescent="0.2">
      <c r="A33" s="5" t="str">
        <f>HYPERLINK("#'4.2.1.7-8 Soil leach runoff'!A1", "4.2.1.7-8 Soil leach &amp; runoff")</f>
        <v>4.2.1.7-8 Soil leach &amp; runoff</v>
      </c>
    </row>
    <row r="34" spans="1:11" ht="20.100000000000001" customHeight="1" x14ac:dyDescent="0.2">
      <c r="A34" s="5" t="str">
        <f>HYPERLINK("#'5.1.1.1-2 Inorganic fert N2O'!A1", "5.1.1.1-2 Inorganic fert N2O")</f>
        <v>5.1.1.1-2 Inorganic fert N2O</v>
      </c>
    </row>
    <row r="35" spans="1:11" ht="20.100000000000001" customHeight="1" x14ac:dyDescent="0.2">
      <c r="A35" s="5" t="str">
        <f>HYPERLINK("#'5.1.1.3-4 Inorganic fert CO2'!A1", "5.1.1.3-4 Inorganic fert CO2")</f>
        <v>5.1.1.3-4 Inorganic fert CO2</v>
      </c>
    </row>
    <row r="36" spans="1:11" ht="20.100000000000001" customHeight="1" x14ac:dyDescent="0.2">
      <c r="A36" s="5" t="str">
        <f>HYPERLINK("#'5.2.1.1-2 Organic Fert N2O'!A1", "5.2.1.1-2 Organic fert N2O")</f>
        <v>5.2.1.1-2 Organic fert N2O</v>
      </c>
    </row>
    <row r="37" spans="1:11" ht="20.100000000000001" customHeight="1" x14ac:dyDescent="0.2">
      <c r="A37" s="5" t="str">
        <f>HYPERLINK("#'5.3.1.1-2 Lime CO2'!A1", "5.3.1.1-2 Lime CO2")</f>
        <v>5.3.1.1-2 Lime CO2</v>
      </c>
    </row>
    <row r="38" spans="1:11" ht="20.100000000000001" customHeight="1" x14ac:dyDescent="0.2">
      <c r="A38" s="5" t="str">
        <f>HYPERLINK("#'5.4.1.1-4 Atmos deposition'!A1", "5.4.1.1-4 Atmos. deposition")</f>
        <v>5.4.1.1-4 Atmos. deposition</v>
      </c>
      <c r="C38" s="143"/>
      <c r="K38" s="143"/>
    </row>
    <row r="39" spans="1:11" ht="20.100000000000001" customHeight="1" x14ac:dyDescent="0.2">
      <c r="A39" s="5" t="str">
        <f>HYPERLINK("#'5.5.1.1-2 Leaching and runoff'!A1", "5.5.1.1-2 Leaching &amp; runoff")</f>
        <v>5.5.1.1-2 Leaching &amp; runoff</v>
      </c>
      <c r="C39" s="143"/>
      <c r="K39" s="143"/>
    </row>
    <row r="40" spans="1:11" s="155" customFormat="1" ht="20.100000000000001" customHeight="1" x14ac:dyDescent="0.2">
      <c r="A40" s="5" t="str">
        <f>HYPERLINK("#'6.2.1.1-2 Pasture residue N2O'!A1", "6.2.1.1-2 Pasture residue N2O")</f>
        <v>6.2.1.1-2 Pasture residue N2O</v>
      </c>
      <c r="C40" s="1"/>
      <c r="D40" s="1"/>
      <c r="E40" s="1"/>
      <c r="F40" s="1"/>
      <c r="G40" s="1"/>
      <c r="H40" s="1"/>
      <c r="I40" s="1"/>
      <c r="J40" s="1"/>
      <c r="K40" s="1"/>
    </row>
    <row r="41" spans="1:11" s="155" customFormat="1" ht="20.100000000000001" customHeight="1" x14ac:dyDescent="0.2">
      <c r="A41" s="5" t="str">
        <f>HYPERLINK("#'6.3.1.1-2 Leach runoff pasture'!A1", "6.3.1.1-2 Leach &amp; runoff (pasture)")</f>
        <v>6.3.1.1-2 Leach &amp; runoff (pasture)</v>
      </c>
      <c r="C41" s="1"/>
      <c r="D41" s="1"/>
      <c r="E41" s="1"/>
      <c r="F41" s="1"/>
      <c r="G41" s="1"/>
      <c r="H41" s="1"/>
      <c r="I41" s="1"/>
      <c r="J41" s="1"/>
      <c r="K41" s="1"/>
    </row>
    <row r="42" spans="1:11" ht="20.100000000000001" customHeight="1" x14ac:dyDescent="0.2">
      <c r="A42" s="5" t="str">
        <f>HYPERLINK("#'8.1.1.1-2 Transport fuel'!A1", "8.1.1.1-2 Transport fuel")</f>
        <v>8.1.1.1-2 Transport fuel</v>
      </c>
    </row>
    <row r="43" spans="1:11" ht="20.100000000000001" customHeight="1" x14ac:dyDescent="0.2">
      <c r="A43" s="5" t="str">
        <f>HYPERLINK("#'8.2.1.1-2 Stationary fuel'!A1", "8.2.1.1-2 Stationary fuel")</f>
        <v>8.2.1.1-2 Stationary fuel</v>
      </c>
    </row>
    <row r="44" spans="1:11" ht="20.100000000000001" customHeight="1" x14ac:dyDescent="0.2">
      <c r="A44" s="5" t="str">
        <f>HYPERLINK("#'10.1.1-2 Solid waste treatment'!A1", "10.1.1.1-2 Solid waste")</f>
        <v>10.1.1.1-2 Solid waste</v>
      </c>
    </row>
    <row r="45" spans="1:11" ht="20.100000000000001" customHeight="1" x14ac:dyDescent="0.2">
      <c r="A45" s="5" t="str">
        <f>HYPERLINK("#'14.1.1-2 Purchased electricity'!A1", "14.1.1-2 Purchased electricity")</f>
        <v>14.1.1-2 Purchased electricity</v>
      </c>
    </row>
    <row r="46" spans="1:11" ht="20.100000000000001" customHeight="1" x14ac:dyDescent="0.2">
      <c r="A46" s="5" t="str">
        <f>HYPERLINK("#'15 Scope 3'!A1", "15 Scope 3")</f>
        <v>15 Scope 3</v>
      </c>
    </row>
    <row r="47" spans="1:11"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row r="346" spans="4:4" ht="20.100000000000001" customHeight="1" x14ac:dyDescent="0.2">
      <c r="D346" s="80"/>
    </row>
  </sheetData>
  <conditionalFormatting sqref="F32">
    <cfRule type="cellIs" dxfId="52" priority="9" operator="lessThan">
      <formula>0</formula>
    </cfRule>
  </conditionalFormatting>
  <conditionalFormatting sqref="F111:F112">
    <cfRule type="cellIs" dxfId="51" priority="8" operator="lessThan">
      <formula>0</formula>
    </cfRule>
  </conditionalFormatting>
  <conditionalFormatting sqref="F123:F124">
    <cfRule type="cellIs" dxfId="50" priority="7" operator="lessThan">
      <formula>0</formula>
    </cfRule>
  </conditionalFormatting>
  <conditionalFormatting sqref="F135:F136">
    <cfRule type="cellIs" dxfId="49" priority="6" operator="lessThan">
      <formula>0</formula>
    </cfRule>
  </conditionalFormatting>
  <conditionalFormatting sqref="F147:F148">
    <cfRule type="cellIs" dxfId="48" priority="5" operator="lessThan">
      <formula>0</formula>
    </cfRule>
  </conditionalFormatting>
  <conditionalFormatting sqref="F235:F236">
    <cfRule type="cellIs" dxfId="47" priority="17" operator="lessThan">
      <formula>0</formula>
    </cfRule>
  </conditionalFormatting>
  <conditionalFormatting sqref="F240:F241">
    <cfRule type="cellIs" dxfId="46" priority="16" operator="lessThan">
      <formula>0</formula>
    </cfRule>
  </conditionalFormatting>
  <conditionalFormatting sqref="F245:F246">
    <cfRule type="cellIs" dxfId="45" priority="15" operator="lessThan">
      <formula>0</formula>
    </cfRule>
  </conditionalFormatting>
  <conditionalFormatting sqref="F269:F270">
    <cfRule type="cellIs" dxfId="44" priority="14" operator="lessThan">
      <formula>0</formula>
    </cfRule>
  </conditionalFormatting>
  <conditionalFormatting sqref="F274:F275">
    <cfRule type="cellIs" dxfId="43" priority="13" operator="lessThan">
      <formula>0</formula>
    </cfRule>
  </conditionalFormatting>
  <conditionalFormatting sqref="F279:F280">
    <cfRule type="cellIs" dxfId="42" priority="12" operator="lessThan">
      <formula>0</formula>
    </cfRule>
  </conditionalFormatting>
  <conditionalFormatting sqref="I26:J27 H28:H30 I31:J31 I33:J35 I37:J38 I189:J189 E195:G195 I195:J195">
    <cfRule type="cellIs" dxfId="41" priority="11" operator="lessThan">
      <formula>0</formula>
    </cfRule>
  </conditionalFormatting>
  <conditionalFormatting sqref="I42:J46">
    <cfRule type="cellIs" dxfId="40" priority="4" operator="lessThan">
      <formula>0</formula>
    </cfRule>
  </conditionalFormatting>
  <conditionalFormatting sqref="I50:J50 I109:J109">
    <cfRule type="cellIs" dxfId="39" priority="10" operator="lessThan">
      <formula>0</formula>
    </cfRule>
  </conditionalFormatting>
  <conditionalFormatting sqref="I61:J63">
    <cfRule type="cellIs" dxfId="38" priority="3" operator="lessThan">
      <formula>0</formula>
    </cfRule>
  </conditionalFormatting>
  <conditionalFormatting sqref="I67:J70">
    <cfRule type="cellIs" dxfId="37" priority="2" operator="lessThan">
      <formula>0</formula>
    </cfRule>
  </conditionalFormatting>
  <conditionalFormatting sqref="I74:J78">
    <cfRule type="cellIs" dxfId="36" priority="1" operator="lessThan">
      <formula>0</formula>
    </cfRule>
  </conditionalFormatting>
  <dataValidations count="9">
    <dataValidation type="list" allowBlank="1" showInputMessage="1" showErrorMessage="1" sqref="E17:E21" xr:uid="{D0DE8710-769C-4B68-9911-AA0EC889DA0E}">
      <formula1>_xlfn.TRIMRANGE(INDIRECT("Table_FuelTypesPerUse["&amp;D17&amp;"]"))</formula1>
    </dataValidation>
    <dataValidation type="list" allowBlank="1" showInputMessage="1" showErrorMessage="1" sqref="D17:D21" xr:uid="{70725DC3-D3D1-4AC8-BC23-F9F4AF608463}">
      <formula1>INDIRECT("Table_FuelTypesPerUse[#Headers]")</formula1>
    </dataValidation>
    <dataValidation type="list" allowBlank="1" showInputMessage="1" showErrorMessage="1" sqref="E11" xr:uid="{24CB7742-063C-42F3-8D7B-49F5BC6A826A}">
      <formula1>"Metro, Non-metro"</formula1>
    </dataValidation>
    <dataValidation type="list" allowBlank="1" showInputMessage="1" showErrorMessage="1" sqref="D29:D30" xr:uid="{83191297-5BC9-44E6-8DAC-CB5F451F4B27}">
      <formula1>INDIRECT("Table_SourceData_OrganicFertiliserTypes[Organic fertiliser type]")</formula1>
    </dataValidation>
    <dataValidation type="list" allowBlank="1" showInputMessage="1" showErrorMessage="1" sqref="E49" xr:uid="{B435AEFC-528B-4841-A8D6-8DADC38036EB}">
      <formula1>INDIRECT("Table_SourceData_Swine_CropProdSystems[Production system]")</formula1>
    </dataValidation>
    <dataValidation type="list" allowBlank="1" showInputMessage="1" showErrorMessage="1" sqref="E50" xr:uid="{B6811960-FB1A-4D07-917A-2F0F5E6F4A9F}">
      <formula1>INDIRECT("Table_SourceData_Swine_IrrigationMethods[Irrigation method]")</formula1>
    </dataValidation>
    <dataValidation type="list" allowBlank="1" showInputMessage="1" showErrorMessage="1" sqref="E234 E239 E244 E278 E273 E268 E146 E134 E110 E122" xr:uid="{4C3BB92E-BA01-467E-9FAF-2F052E7981E7}">
      <formula1>"Yes, No"</formula1>
    </dataValidation>
    <dataValidation type="list" allowBlank="1" showInputMessage="1" showErrorMessage="1" sqref="E210" xr:uid="{A21DAB99-6FAC-4091-AF7C-28AD56F4B6DF}">
      <formula1>INDIRECT("Table_SourceData_Dairy_ProductionSystemTemplates[Area]")</formula1>
    </dataValidation>
    <dataValidation type="list" allowBlank="1" showInputMessage="1" showErrorMessage="1" sqref="D262" xr:uid="{7B6BA00F-B7A0-49B3-B5FA-7A201DBE384F}">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138A7-6C1D-4FAD-A526-84E3FFDFDCBF}">
  <sheetPr>
    <tabColor theme="5" tint="-0.249977111117893"/>
  </sheetPr>
  <dimension ref="A1:L365"/>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771</v>
      </c>
    </row>
    <row r="2" spans="1:10" s="3" customFormat="1" ht="20.100000000000001" customHeight="1" x14ac:dyDescent="0.2">
      <c r="A2"/>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1" t="s">
        <v>772</v>
      </c>
      <c r="E5" s="13" t="s">
        <v>773</v>
      </c>
      <c r="F5" s="16" t="s">
        <v>109</v>
      </c>
    </row>
    <row r="6" spans="1:10" ht="20.100000000000001" customHeight="1" x14ac:dyDescent="0.2">
      <c r="E6" s="80" t="str">
        <f>IF(X_Cell_Electricity_CalculationMethod="Location-based (simpler)", "Complete the fields in the Location-based section", "Complete the fields in the Market-based section")</f>
        <v>Complete the fields in the Location-based section</v>
      </c>
    </row>
    <row r="8" spans="1:10" ht="20.100000000000001" customHeight="1" x14ac:dyDescent="0.2">
      <c r="A8" s="7" t="s">
        <v>0</v>
      </c>
      <c r="C8" s="88"/>
      <c r="D8" s="88"/>
      <c r="E8" s="88"/>
      <c r="F8" s="88"/>
      <c r="G8" s="88"/>
      <c r="H8" s="88"/>
      <c r="I8" s="88"/>
      <c r="J8" s="88"/>
    </row>
    <row r="9" spans="1:10" ht="20.100000000000001" customHeight="1" x14ac:dyDescent="0.2">
      <c r="A9" s="5" t="str">
        <f>HYPERLINK("#'Input - Enterprise'!A1", "Enterprise")</f>
        <v>Enterprise</v>
      </c>
      <c r="D9" s="2" t="s">
        <v>774</v>
      </c>
    </row>
    <row r="10" spans="1:10" ht="20.100000000000001" customHeight="1" x14ac:dyDescent="0.2">
      <c r="A10" s="5" t="str">
        <f>HYPERLINK("#'Input - Site'!A1", "Site")</f>
        <v>Site</v>
      </c>
    </row>
    <row r="11" spans="1:10" ht="20.100000000000001" customHeight="1" x14ac:dyDescent="0.2">
      <c r="A11" s="5" t="str">
        <f>HYPERLINK("#'Input - Pasture Beef'!A1", "Pasture Beef")</f>
        <v>Pasture Beef</v>
      </c>
      <c r="D11" s="79" t="s">
        <v>775</v>
      </c>
    </row>
    <row r="12" spans="1:10" ht="20.100000000000001" customHeight="1" x14ac:dyDescent="0.2">
      <c r="A12" s="5" t="str">
        <f>HYPERLINK("#'Input - Livestock sales'!A1", "Livestock sales")</f>
        <v>Livestock sales</v>
      </c>
    </row>
    <row r="13" spans="1:10" ht="20.100000000000001" customHeight="1" x14ac:dyDescent="0.2">
      <c r="A13" s="5" t="str">
        <f>HYPERLINK("#'Input - Beef cattle purchases'!A1", "Beef cattle purchases")</f>
        <v>Beef cattle purchases</v>
      </c>
      <c r="D13" s="36" t="s">
        <v>776</v>
      </c>
      <c r="E13" s="39"/>
      <c r="F13" s="8"/>
    </row>
    <row r="14" spans="1:10" ht="20.100000000000001" customHeight="1" x14ac:dyDescent="0.2">
      <c r="A14" s="5" t="str">
        <f>HYPERLINK("#'Input - Pasture'!A1", "Pasture")</f>
        <v>Pasture</v>
      </c>
      <c r="D14" s="8"/>
      <c r="E14" s="8"/>
      <c r="F14" s="8"/>
    </row>
    <row r="15" spans="1:10" ht="20.100000000000001" customHeight="1" x14ac:dyDescent="0.2">
      <c r="A15" s="5" t="str">
        <f>HYPERLINK("#'Input - Fert Prod System'!A1", "Fert Prod System")</f>
        <v>Fert Prod System</v>
      </c>
      <c r="D15" s="1" t="s">
        <v>777</v>
      </c>
      <c r="E15" s="179">
        <v>30000</v>
      </c>
      <c r="F15" s="16" t="s">
        <v>778</v>
      </c>
    </row>
    <row r="16" spans="1:10" ht="20.100000000000001" customHeight="1" x14ac:dyDescent="0.2">
      <c r="A16" s="5" t="str">
        <f>HYPERLINK("#'Input - Fertiliser'!A1", "Fertiliser")</f>
        <v>Fertiliser</v>
      </c>
      <c r="D16" s="1" t="s">
        <v>779</v>
      </c>
      <c r="E16" s="15" t="str">
        <f>IF(X_Cell_Site_State="Western Australia", X_Cell_Site_Region, X_Cell_Site_State)</f>
        <v>Western Australia - Outback (South)</v>
      </c>
      <c r="F16" s="8"/>
    </row>
    <row r="17" spans="1:11" ht="20.100000000000001" customHeight="1" x14ac:dyDescent="0.2">
      <c r="A17" s="5" t="str">
        <f>HYPERLINK("#'Input - Fuel'!A1", "Fuel")</f>
        <v>Fuel</v>
      </c>
      <c r="D17" s="1" t="s">
        <v>780</v>
      </c>
      <c r="E17" s="13" t="s">
        <v>781</v>
      </c>
      <c r="F17" s="16" t="s">
        <v>109</v>
      </c>
    </row>
    <row r="18" spans="1:11" ht="20.100000000000001" customHeight="1" x14ac:dyDescent="0.2">
      <c r="A18" s="100" t="str">
        <f>HYPERLINK("#'Input - Electricity'!A1", "Electricity")</f>
        <v>Electricity</v>
      </c>
    </row>
    <row r="19" spans="1:11" ht="20.100000000000001" customHeight="1" x14ac:dyDescent="0.2">
      <c r="A19" s="5" t="str">
        <f>HYPERLINK("#'Input - Common farm inputs'!A1", "Common farm inputs")</f>
        <v>Common farm inputs</v>
      </c>
    </row>
    <row r="20" spans="1:11" ht="20.100000000000001" customHeight="1" x14ac:dyDescent="0.2">
      <c r="A20" s="5" t="str">
        <f>HYPERLINK("#'Input - Crop pasture farm input'!A1", "Crop pasture farm input")</f>
        <v>Crop pasture farm input</v>
      </c>
      <c r="C20" s="88"/>
      <c r="D20" s="88"/>
      <c r="E20" s="88"/>
      <c r="F20" s="88"/>
      <c r="G20" s="88"/>
      <c r="H20" s="88"/>
      <c r="I20" s="88"/>
      <c r="J20" s="88"/>
    </row>
    <row r="21" spans="1:11" ht="20.100000000000001" customHeight="1" x14ac:dyDescent="0.2">
      <c r="A21" s="5" t="str">
        <f>HYPERLINK("#'Input - Livestock farm Inputs'!A1", "Livestock farm Inputs")</f>
        <v>Livestock farm Inputs</v>
      </c>
      <c r="D21" s="2" t="s">
        <v>782</v>
      </c>
    </row>
    <row r="22" spans="1:11" ht="20.100000000000001" customHeight="1" x14ac:dyDescent="0.2">
      <c r="A22" s="5" t="str">
        <f>HYPERLINK("#'Input - Freight'!A1", "Freight")</f>
        <v>Freight</v>
      </c>
      <c r="E22" s="80" t="str">
        <f>IF(E16="ACT", "", "ALERT: Your farm is not in the ACT, so the JRPP is not applicable")</f>
        <v>ALERT: Your farm is not in the ACT, so the JRPP is not applicable</v>
      </c>
    </row>
    <row r="23" spans="1:11" ht="20.100000000000001" customHeight="1" x14ac:dyDescent="0.2">
      <c r="A23" s="5" t="str">
        <f>HYPERLINK("#'Input - Solid waste'!A1", "Solid waste")</f>
        <v>Solid waste</v>
      </c>
      <c r="D23" s="1" t="s">
        <v>783</v>
      </c>
      <c r="E23" s="179">
        <v>30000</v>
      </c>
      <c r="F23" s="16" t="s">
        <v>778</v>
      </c>
    </row>
    <row r="24" spans="1:11" ht="20.100000000000001" customHeight="1" x14ac:dyDescent="0.2">
      <c r="A24" s="5" t="str">
        <f>HYPERLINK("#'Input - Manure sent off-site'!A1", "Manure sent off-site")</f>
        <v>Manure sent off-site</v>
      </c>
      <c r="D24" s="1" t="s">
        <v>784</v>
      </c>
      <c r="E24" s="18">
        <v>0.1</v>
      </c>
      <c r="F24" s="16" t="s">
        <v>162</v>
      </c>
    </row>
    <row r="25" spans="1:11" ht="20.100000000000001" customHeight="1" x14ac:dyDescent="0.2">
      <c r="A25" s="5" t="str">
        <f>HYPERLINK("#'Input - Data quality'!A1", "Data quality")</f>
        <v>Data quality</v>
      </c>
      <c r="D25" s="1" t="s">
        <v>785</v>
      </c>
      <c r="E25" s="18">
        <v>0.1</v>
      </c>
      <c r="F25" s="16" t="s">
        <v>162</v>
      </c>
    </row>
    <row r="27" spans="1:11" ht="20.100000000000001" customHeight="1" x14ac:dyDescent="0.2">
      <c r="D27" s="1" t="s">
        <v>786</v>
      </c>
      <c r="E27" s="179">
        <v>10000</v>
      </c>
      <c r="F27" s="16" t="s">
        <v>778</v>
      </c>
    </row>
    <row r="28" spans="1:11" ht="20.100000000000001" customHeight="1" x14ac:dyDescent="0.2">
      <c r="A28" s="6" t="s">
        <v>2</v>
      </c>
    </row>
    <row r="29" spans="1:11" ht="20.100000000000001" customHeight="1" x14ac:dyDescent="0.2">
      <c r="A29" s="5" t="str">
        <f>HYPERLINK("#'3.2.1.1-2 Enteric Methane'!A1", "3.2.1.1-2 Enteric Methane")</f>
        <v>3.2.1.1-2 Enteric Methane</v>
      </c>
      <c r="D29" s="1" t="s">
        <v>787</v>
      </c>
      <c r="E29" s="180" t="str">
        <f>TEXT(X_Cell_Site_StartDate, "dd mmm yyyy")</f>
        <v>01 Jan 2024</v>
      </c>
      <c r="K29" s="155"/>
    </row>
    <row r="30" spans="1:11" ht="20.100000000000001" customHeight="1" x14ac:dyDescent="0.2">
      <c r="A30" s="5" t="str">
        <f>HYPERLINK("#'4.2.1.1-2 Methane'!A1", "4.2.1.1-2 Manure methane")</f>
        <v>4.2.1.1-2 Manure methane</v>
      </c>
      <c r="D30" s="1" t="s">
        <v>788</v>
      </c>
      <c r="E30" s="180" t="str">
        <f>TEXT(X_Cell_Site_EndDate, "dd mmm yyyy")</f>
        <v>31 Dec 2024</v>
      </c>
      <c r="K30" s="155"/>
    </row>
    <row r="31" spans="1:11" ht="20.100000000000001" customHeight="1" x14ac:dyDescent="0.2">
      <c r="A31" s="5" t="str">
        <f>HYPERLINK("#'4.2.1.3-4 Soil direct N20'!A1", "4.2.1.3-4 Soil direct N2O")</f>
        <v>4.2.1.3-4 Soil direct N2O</v>
      </c>
      <c r="K31" s="155"/>
    </row>
    <row r="32" spans="1:11" ht="20.100000000000001" customHeight="1" x14ac:dyDescent="0.2">
      <c r="A32" s="5" t="str">
        <f>HYPERLINK("#'4.2.1.5-6 Soil Atmos Dep'!A1", "4.2.1.5-6 Soil atm. deposition")</f>
        <v>4.2.1.5-6 Soil atm. deposition</v>
      </c>
      <c r="D32" s="79" t="s">
        <v>789</v>
      </c>
      <c r="K32" s="155"/>
    </row>
    <row r="33" spans="1:12" ht="20.100000000000001" customHeight="1" x14ac:dyDescent="0.2">
      <c r="A33" s="5" t="str">
        <f>HYPERLINK("#'4.2.1.7-8 Soil leach runoff'!A1", "4.2.1.7-8 Soil leach &amp; runoff")</f>
        <v>4.2.1.7-8 Soil leach &amp; runoff</v>
      </c>
      <c r="K33" s="155"/>
    </row>
    <row r="34" spans="1:12" ht="20.100000000000001" customHeight="1" x14ac:dyDescent="0.2">
      <c r="A34" s="5" t="str">
        <f>HYPERLINK("#'5.1.1.1-2 Inorganic fert N2O'!A1", "5.1.1.1-2 Inorganic fert N2O")</f>
        <v>5.1.1.1-2 Inorganic fert N2O</v>
      </c>
      <c r="D34" s="36" t="s">
        <v>790</v>
      </c>
      <c r="E34" s="39"/>
      <c r="K34" s="155"/>
    </row>
    <row r="35" spans="1:12" ht="20.100000000000001" customHeight="1" x14ac:dyDescent="0.2">
      <c r="A35" s="5" t="str">
        <f>HYPERLINK("#'5.1.1.3-4 Inorganic fert CO2'!A1", "5.1.1.3-4 Inorganic fert CO2")</f>
        <v>5.1.1.3-4 Inorganic fert CO2</v>
      </c>
    </row>
    <row r="36" spans="1:12" ht="20.100000000000001" customHeight="1" x14ac:dyDescent="0.2">
      <c r="A36" s="5" t="str">
        <f>HYPERLINK("#'5.2.1.1-2 Organic Fert N2O'!A1", "5.2.1.1-2 Organic fert N2O")</f>
        <v>5.2.1.1-2 Organic fert N2O</v>
      </c>
      <c r="D36" s="82" t="s">
        <v>199</v>
      </c>
      <c r="E36" s="82" t="s">
        <v>791</v>
      </c>
      <c r="F36" s="82" t="s">
        <v>792</v>
      </c>
      <c r="G36" s="82" t="s">
        <v>793</v>
      </c>
      <c r="H36" s="82" t="s">
        <v>794</v>
      </c>
      <c r="I36" s="82" t="s">
        <v>795</v>
      </c>
      <c r="L36" s="155"/>
    </row>
    <row r="37" spans="1:12" ht="20.100000000000001" customHeight="1" x14ac:dyDescent="0.2">
      <c r="A37" s="5" t="str">
        <f>HYPERLINK("#'5.3.1.1-2 Lime CO2'!A1", "5.3.1.1-2 Lime CO2")</f>
        <v>5.3.1.1-2 Lime CO2</v>
      </c>
      <c r="D37" s="20" t="s">
        <v>796</v>
      </c>
      <c r="E37" s="13" t="s">
        <v>797</v>
      </c>
      <c r="F37" s="181">
        <v>44185</v>
      </c>
      <c r="G37" s="20">
        <v>12</v>
      </c>
      <c r="H37" s="15">
        <f>Table_Input_RECSurrendered[[#This Row],[Number of certificates]]</f>
        <v>12</v>
      </c>
      <c r="I37" s="15" t="str">
        <f>IF(DATEDIF(Table_Input_RECSurrendered[[#This Row],[Generation date]],DATEVALUE($E$30),"M")&gt;36,"Ineligible - older than 36 months","Elegible")</f>
        <v>Ineligible - older than 36 months</v>
      </c>
      <c r="L37" s="155"/>
    </row>
    <row r="38" spans="1:12" ht="20.100000000000001" customHeight="1" x14ac:dyDescent="0.2">
      <c r="A38" s="5" t="str">
        <f>HYPERLINK("#'5.4.1.1-4 Atmos deposition'!A1", "5.4.1.1-4 Atmos. deposition")</f>
        <v>5.4.1.1-4 Atmos. deposition</v>
      </c>
      <c r="D38" s="20" t="s">
        <v>798</v>
      </c>
      <c r="E38" s="13" t="s">
        <v>799</v>
      </c>
      <c r="F38" s="181">
        <v>44575</v>
      </c>
      <c r="G38" s="20">
        <v>5</v>
      </c>
      <c r="H38" s="15">
        <f>Table_Input_RECSurrendered[[#This Row],[Number of certificates]]</f>
        <v>5</v>
      </c>
      <c r="I38" s="15" t="str">
        <f>IF(DATEDIF(Table_Input_RECSurrendered[[#This Row],[Generation date]],DATEVALUE($E$30),"M")&gt;36,"Ineligible - older than 36 months","Elegible")</f>
        <v>Elegible</v>
      </c>
    </row>
    <row r="39" spans="1:12" ht="20.100000000000001" customHeight="1" x14ac:dyDescent="0.2">
      <c r="A39" s="5" t="str">
        <f>HYPERLINK("#'5.5.1.1-2 Leaching and runoff'!A1", "5.5.1.1-2 Leaching &amp; runoff")</f>
        <v>5.5.1.1-2 Leaching &amp; runoff</v>
      </c>
      <c r="D39" s="20" t="s">
        <v>800</v>
      </c>
      <c r="E39" s="13" t="s">
        <v>797</v>
      </c>
      <c r="F39" s="181">
        <v>45438</v>
      </c>
      <c r="G39" s="20">
        <v>5</v>
      </c>
      <c r="H39" s="15">
        <f>Table_Input_RECSurrendered[[#This Row],[Number of certificates]]</f>
        <v>5</v>
      </c>
      <c r="I39" s="15" t="str">
        <f>IF(DATEDIF(Table_Input_RECSurrendered[[#This Row],[Generation date]],DATEVALUE($E$30),"M")&gt;36,"Ineligible - older than 36 months","Elegible")</f>
        <v>Elegible</v>
      </c>
    </row>
    <row r="40" spans="1:12" s="155" customFormat="1" ht="20.100000000000001" customHeight="1" x14ac:dyDescent="0.2">
      <c r="A40" s="5" t="str">
        <f>HYPERLINK("#'6.2.1.1-2 Pasture residue N2O'!A1", "6.2.1.1-2 Pasture residue N2O")</f>
        <v>6.2.1.1-2 Pasture residue N2O</v>
      </c>
      <c r="C40" s="1"/>
      <c r="D40" s="1"/>
      <c r="E40" s="1"/>
      <c r="F40" s="1"/>
      <c r="G40" s="1"/>
      <c r="H40" s="1"/>
      <c r="I40" s="1"/>
      <c r="J40" s="1"/>
    </row>
    <row r="41" spans="1:12" s="155" customFormat="1" ht="20.100000000000001" customHeight="1" x14ac:dyDescent="0.2">
      <c r="A41" s="5" t="str">
        <f>HYPERLINK("#'6.3.1.1-2 Leach runoff pasture'!A1", "6.3.1.1-2 Leach &amp; runoff (pasture)")</f>
        <v>6.3.1.1-2 Leach &amp; runoff (pasture)</v>
      </c>
      <c r="C41" s="1"/>
      <c r="D41" s="1" t="s">
        <v>801</v>
      </c>
      <c r="E41" s="15">
        <f>SUMIF(Table_Input_RECSurrendered[Elegibility], "Elegible", Table_Input_RECSurrendered[MWh])</f>
        <v>10</v>
      </c>
      <c r="F41" s="16" t="s">
        <v>794</v>
      </c>
      <c r="G41" s="1"/>
      <c r="H41" s="1"/>
      <c r="I41" s="1"/>
      <c r="J41" s="1"/>
      <c r="L41" s="155" t="s">
        <v>802</v>
      </c>
    </row>
    <row r="42" spans="1:12" ht="20.100000000000001" customHeight="1" x14ac:dyDescent="0.2">
      <c r="A42" s="5" t="str">
        <f>HYPERLINK("#'8.1.1.1-2 Transport fuel'!A1", "8.1.1.1-2 Transport fuel")</f>
        <v>8.1.1.1-2 Transport fuel</v>
      </c>
      <c r="C42" s="143"/>
    </row>
    <row r="43" spans="1:12" ht="20.100000000000001" customHeight="1" x14ac:dyDescent="0.2">
      <c r="A43" s="5" t="str">
        <f>HYPERLINK("#'8.2.1.1-2 Stationary fuel'!A1", "8.2.1.1-2 Stationary fuel")</f>
        <v>8.2.1.1-2 Stationary fuel</v>
      </c>
      <c r="C43" s="143"/>
      <c r="D43" s="79" t="s">
        <v>803</v>
      </c>
      <c r="J43" s="143"/>
    </row>
    <row r="44" spans="1:12" ht="20.100000000000001" customHeight="1" x14ac:dyDescent="0.2">
      <c r="A44" s="5" t="str">
        <f>HYPERLINK("#'10.1.1-2 Solid waste treatment'!A1", "10.1.1.1-2 Solid waste")</f>
        <v>10.1.1.1-2 Solid waste</v>
      </c>
    </row>
    <row r="45" spans="1:12" ht="20.100000000000001" customHeight="1" x14ac:dyDescent="0.2">
      <c r="A45" s="5" t="str">
        <f>HYPERLINK("#'14.1.1-2 Purchased electricity'!A1", "14.1.1-2 Purchased electricity")</f>
        <v>14.1.1-2 Purchased electricity</v>
      </c>
      <c r="D45" s="82" t="s">
        <v>199</v>
      </c>
      <c r="E45" s="82" t="s">
        <v>744</v>
      </c>
      <c r="F45" s="82" t="s">
        <v>792</v>
      </c>
      <c r="G45" s="82" t="s">
        <v>793</v>
      </c>
      <c r="H45" s="82" t="s">
        <v>794</v>
      </c>
      <c r="I45" s="82" t="s">
        <v>795</v>
      </c>
    </row>
    <row r="46" spans="1:12" ht="20.100000000000001" customHeight="1" x14ac:dyDescent="0.2">
      <c r="A46" s="5" t="str">
        <f>HYPERLINK("#'15 Scope 3'!A1", "15 Scope 3")</f>
        <v>15 Scope 3</v>
      </c>
      <c r="D46" s="20" t="s">
        <v>804</v>
      </c>
      <c r="E46" s="182" t="str">
        <f>"Issued for generated electricity"</f>
        <v>Issued for generated electricity</v>
      </c>
      <c r="F46" s="181">
        <v>44697</v>
      </c>
      <c r="G46" s="20">
        <v>10</v>
      </c>
      <c r="H46" s="15">
        <f>Table_Input_RECConsumedByEntity[[#This Row],[Number of certificates]]</f>
        <v>10</v>
      </c>
      <c r="I46" s="15"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
      <c r="A47" s="5" t="str">
        <f>HYPERLINK("#'Calcs - Manure sent off-site'!A1", "Calcs - Manure sent off-site")</f>
        <v>Calcs - Manure sent off-site</v>
      </c>
      <c r="D47" s="20" t="s">
        <v>805</v>
      </c>
      <c r="E47" s="182" t="str">
        <f>"Issued for generated electricity"</f>
        <v>Issued for generated electricity</v>
      </c>
      <c r="F47" s="181">
        <v>45483</v>
      </c>
      <c r="G47" s="20">
        <v>4</v>
      </c>
      <c r="H47" s="15">
        <f>Table_Input_RECConsumedByEntity[[#This Row],[Number of certificates]]</f>
        <v>4</v>
      </c>
      <c r="I47" s="15" t="str">
        <f>IF(AND(Table_Input_RECConsumedByEntity[[#This Row],[Generation date]]&gt;=DATEVALUE($E$29), Table_Input_RECConsumedByEntity[[#This Row],[Generation date]]&lt;= DATEVALUE($E$30)), "Elegible", "Ineligible - outside reporting year")</f>
        <v>Elegible</v>
      </c>
    </row>
    <row r="48" spans="1:12" ht="20.100000000000001" customHeight="1" x14ac:dyDescent="0.2">
      <c r="D48" s="183">
        <v>45597</v>
      </c>
      <c r="E48" s="182" t="str">
        <f>"Issued for generated electricity"</f>
        <v>Issued for generated electricity</v>
      </c>
      <c r="F48" s="181">
        <v>45607</v>
      </c>
      <c r="G48" s="20">
        <v>7</v>
      </c>
      <c r="H48" s="15">
        <f>Table_Input_RECConsumedByEntity[[#This Row],[Number of certificates]]</f>
        <v>7</v>
      </c>
      <c r="I48" s="15" t="str">
        <f>IF(AND(Table_Input_RECConsumedByEntity[[#This Row],[Generation date]]&gt;=DATEVALUE($E$29), Table_Input_RECConsumedByEntity[[#This Row],[Generation date]]&lt;= DATEVALUE($E$30)), "Elegible", "Ineligible - outside reporting year")</f>
        <v>Elegible</v>
      </c>
    </row>
    <row r="50" spans="1:6" ht="20.100000000000001" customHeight="1" x14ac:dyDescent="0.2">
      <c r="A50" s="86" t="s">
        <v>1</v>
      </c>
      <c r="D50" s="1" t="s">
        <v>806</v>
      </c>
      <c r="E50" s="15">
        <f>SUMIF(Table_Input_RECConsumedByEntity[Elegibility], "Elegible", Table_Input_RECConsumedByEntity[Number of certificates])</f>
        <v>11</v>
      </c>
      <c r="F50" s="16" t="s">
        <v>794</v>
      </c>
    </row>
    <row r="51" spans="1:6" ht="20.100000000000001" customHeight="1" x14ac:dyDescent="0.2">
      <c r="A51" s="5" t="str">
        <f>HYPERLINK("#'Constants - Pasture Beef'!A1", "Constants - Pasture Beef")</f>
        <v>Constants - Pasture Beef</v>
      </c>
    </row>
    <row r="52" spans="1:6" ht="20.100000000000001" customHeight="1" x14ac:dyDescent="0.2">
      <c r="A52" s="5" t="str">
        <f>HYPERLINK("#'Constants - Ag Residue'!A1", "Constants - Ag residue")</f>
        <v>Constants - Ag residue</v>
      </c>
    </row>
    <row r="53" spans="1:6" ht="20.100000000000001" customHeight="1" x14ac:dyDescent="0.2">
      <c r="A53" s="5" t="str">
        <f>HYPERLINK("#'Constants - Common Livestock'!A1", "Constants - Common Livestock")</f>
        <v>Constants - Common Livestock</v>
      </c>
    </row>
    <row r="54" spans="1:6" ht="20.100000000000001" customHeight="1" x14ac:dyDescent="0.2">
      <c r="A54" s="5" t="str">
        <f>HYPERLINK("#'Constants - Electricity'!A1", "Constants - Electricity")</f>
        <v>Constants - Electricity</v>
      </c>
    </row>
    <row r="55" spans="1:6" ht="20.100000000000001" customHeight="1" x14ac:dyDescent="0.2">
      <c r="A55" s="5" t="str">
        <f>HYPERLINK("#'Constants - Fertiliser'!A1", "Constants - Fertiliser")</f>
        <v>Constants - Fertiliser</v>
      </c>
      <c r="D55" s="184"/>
    </row>
    <row r="56" spans="1:6" ht="20.100000000000001" customHeight="1" x14ac:dyDescent="0.2">
      <c r="A56" s="5" t="str">
        <f>HYPERLINK("#'Constants - Fuel'!A1", "Constants - Fuel")</f>
        <v>Constants - Fuel</v>
      </c>
      <c r="D56" s="184"/>
    </row>
    <row r="57" spans="1:6" ht="20.100000000000001" customHeight="1" x14ac:dyDescent="0.2">
      <c r="A57" s="5" t="str">
        <f>HYPERLINK("#'Constants - Scope 3'!A1", "Constants - Scope 3")</f>
        <v>Constants - Scope 3</v>
      </c>
    </row>
    <row r="58" spans="1:6" ht="20.100000000000001" customHeight="1" x14ac:dyDescent="0.2">
      <c r="A58" s="5" t="str">
        <f>HYPERLINK("#'Constants - Solid Waste'!A1", "Constants - Solid Waste")</f>
        <v>Constants - Solid Waste</v>
      </c>
    </row>
    <row r="59" spans="1:6" ht="20.100000000000001" customHeight="1" x14ac:dyDescent="0.2">
      <c r="A59" s="5" t="str">
        <f>HYPERLINK("#'Constants - Common'!A1", "Constants - Common")</f>
        <v>Constants - Common</v>
      </c>
    </row>
    <row r="60" spans="1:6" ht="20.100000000000001" customHeight="1" x14ac:dyDescent="0.2">
      <c r="A60" s="5" t="str">
        <f>HYPERLINK("#'Acknowledgements'!A1", "Acknowledgements")</f>
        <v>Acknowledgements</v>
      </c>
    </row>
    <row r="365" spans="4:4" ht="20.100000000000001" customHeight="1" x14ac:dyDescent="0.2">
      <c r="D365" s="80"/>
    </row>
  </sheetData>
  <conditionalFormatting sqref="F130:F131">
    <cfRule type="cellIs" dxfId="35" priority="8" operator="lessThan">
      <formula>0</formula>
    </cfRule>
  </conditionalFormatting>
  <conditionalFormatting sqref="F142:F143">
    <cfRule type="cellIs" dxfId="34" priority="7" operator="lessThan">
      <formula>0</formula>
    </cfRule>
  </conditionalFormatting>
  <conditionalFormatting sqref="F154:F155">
    <cfRule type="cellIs" dxfId="33" priority="6" operator="lessThan">
      <formula>0</formula>
    </cfRule>
  </conditionalFormatting>
  <conditionalFormatting sqref="F166:F167">
    <cfRule type="cellIs" dxfId="32" priority="5" operator="lessThan">
      <formula>0</formula>
    </cfRule>
  </conditionalFormatting>
  <conditionalFormatting sqref="F254:F255">
    <cfRule type="cellIs" dxfId="31" priority="17" operator="lessThan">
      <formula>0</formula>
    </cfRule>
  </conditionalFormatting>
  <conditionalFormatting sqref="F259:F260">
    <cfRule type="cellIs" dxfId="30" priority="16" operator="lessThan">
      <formula>0</formula>
    </cfRule>
  </conditionalFormatting>
  <conditionalFormatting sqref="F264:F265">
    <cfRule type="cellIs" dxfId="29" priority="15" operator="lessThan">
      <formula>0</formula>
    </cfRule>
  </conditionalFormatting>
  <conditionalFormatting sqref="F288:F289">
    <cfRule type="cellIs" dxfId="28" priority="14" operator="lessThan">
      <formula>0</formula>
    </cfRule>
  </conditionalFormatting>
  <conditionalFormatting sqref="F293:F294">
    <cfRule type="cellIs" dxfId="27" priority="13" operator="lessThan">
      <formula>0</formula>
    </cfRule>
  </conditionalFormatting>
  <conditionalFormatting sqref="F298:F299">
    <cfRule type="cellIs" dxfId="26" priority="12" operator="lessThan">
      <formula>0</formula>
    </cfRule>
  </conditionalFormatting>
  <conditionalFormatting sqref="I59:I63">
    <cfRule type="cellIs" dxfId="25" priority="4" operator="lessThan">
      <formula>0</formula>
    </cfRule>
  </conditionalFormatting>
  <conditionalFormatting sqref="I67 I126">
    <cfRule type="cellIs" dxfId="24" priority="10" operator="lessThan">
      <formula>0</formula>
    </cfRule>
  </conditionalFormatting>
  <conditionalFormatting sqref="I78:I80">
    <cfRule type="cellIs" dxfId="23" priority="3" operator="lessThan">
      <formula>0</formula>
    </cfRule>
  </conditionalFormatting>
  <conditionalFormatting sqref="I84:I87">
    <cfRule type="cellIs" dxfId="22" priority="2" operator="lessThan">
      <formula>0</formula>
    </cfRule>
  </conditionalFormatting>
  <conditionalFormatting sqref="I91:I95">
    <cfRule type="cellIs" dxfId="21" priority="1" operator="lessThan">
      <formula>0</formula>
    </cfRule>
  </conditionalFormatting>
  <conditionalFormatting sqref="J35 I49:I50 H51:H53 I52 I54:I55 I206 I212 E214:G214">
    <cfRule type="cellIs" dxfId="20" priority="11" operator="lessThan">
      <formula>0</formula>
    </cfRule>
  </conditionalFormatting>
  <conditionalFormatting sqref="J39 I40 J41 I43">
    <cfRule type="cellIs" dxfId="19" priority="9" operator="lessThan">
      <formula>0</formula>
    </cfRule>
  </conditionalFormatting>
  <dataValidations count="7">
    <dataValidation type="list" allowBlank="1" showInputMessage="1" showErrorMessage="1" sqref="E5" xr:uid="{1E220566-DD7A-4629-AE20-9BE5B12CA094}">
      <formula1>"Location-based (simpler), Market-based (more complex)"</formula1>
    </dataValidation>
    <dataValidation type="list" allowBlank="1" showInputMessage="1" showErrorMessage="1" sqref="E37:E39" xr:uid="{1A5F7A61-9573-4348-9B17-BD6246CA56C6}">
      <formula1>"Purchased certificate, Issued for generated electricity"</formula1>
    </dataValidation>
    <dataValidation type="list" allowBlank="1" showInputMessage="1" showErrorMessage="1" sqref="E17" xr:uid="{3433453F-16A7-4242-A106-CB55161C22CA}">
      <formula1>INDIRECT("Table_SourceData_ElectricityEFs[State, Territory or grid description]")</formula1>
    </dataValidation>
    <dataValidation type="list" allowBlank="1" showInputMessage="1" showErrorMessage="1" sqref="E69" xr:uid="{8F5DB1A3-9A2B-4208-A54A-C831723E9CA7}">
      <formula1>INDIRECT("Table_SourceData_Swine_IrrigationMethods[Irrigation method]")</formula1>
    </dataValidation>
    <dataValidation type="list" allowBlank="1" showInputMessage="1" showErrorMessage="1" sqref="E253 E258 E263 E297 E292 E287 E165 E153 E129 E141" xr:uid="{EA872A6B-5764-4677-AAD5-D3A412BB136A}">
      <formula1>"Yes, No"</formula1>
    </dataValidation>
    <dataValidation type="list" allowBlank="1" showInputMessage="1" showErrorMessage="1" sqref="E229" xr:uid="{77706D32-3526-4C45-9705-33C8857EDF55}">
      <formula1>INDIRECT("Table_SourceData_Dairy_ProductionSystemTemplates[Area]")</formula1>
    </dataValidation>
    <dataValidation type="list" allowBlank="1" showInputMessage="1" showErrorMessage="1" sqref="D281" xr:uid="{EFA22164-68A0-4FBF-A3B2-425B597559B9}">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45C68-FE1D-4F5F-972B-6D256B935718}">
  <sheetPr>
    <tabColor theme="5" tint="-0.249977111117893"/>
  </sheetPr>
  <dimension ref="A1:S195"/>
  <sheetViews>
    <sheetView showGridLines="0" zoomScaleNormal="100" workbookViewId="0">
      <pane xSplit="1" topLeftCell="B1" activePane="topRight" state="frozenSplit"/>
      <selection pane="topRight" activeCell="A59" sqref="A59"/>
    </sheetView>
  </sheetViews>
  <sheetFormatPr defaultColWidth="9" defaultRowHeight="20.100000000000001" customHeight="1" x14ac:dyDescent="0.2"/>
  <cols>
    <col min="1" max="1" width="36.7109375" style="237" customWidth="1"/>
    <col min="2" max="2" width="4.140625" style="237" customWidth="1"/>
    <col min="3" max="3" width="4.140625" style="238" customWidth="1"/>
    <col min="4" max="4" width="41.28515625" style="238" customWidth="1"/>
    <col min="5" max="10" width="26.85546875" style="238" customWidth="1"/>
    <col min="11" max="18" width="30.5703125" style="1" customWidth="1"/>
    <col min="19" max="19" width="4.5703125" style="1" customWidth="1"/>
    <col min="20" max="16384" width="9" style="237"/>
  </cols>
  <sheetData>
    <row r="1" spans="1:19" ht="30" customHeight="1" x14ac:dyDescent="0.35">
      <c r="A1" s="10" t="e" vm="1">
        <v>#VALUE!</v>
      </c>
      <c r="C1" s="28" t="s">
        <v>1055</v>
      </c>
      <c r="D1" s="22"/>
      <c r="E1" s="22"/>
      <c r="F1" s="22"/>
      <c r="G1" s="22"/>
      <c r="H1" s="22"/>
      <c r="I1" s="22"/>
      <c r="J1" s="22"/>
      <c r="K1" s="22"/>
      <c r="L1" s="22"/>
      <c r="M1" s="22"/>
      <c r="N1" s="22"/>
      <c r="O1" s="22"/>
      <c r="P1" s="22"/>
      <c r="Q1" s="22"/>
      <c r="R1" s="22"/>
      <c r="S1" s="22"/>
    </row>
    <row r="2" spans="1:19" ht="20.100000000000001" customHeight="1" x14ac:dyDescent="0.2">
      <c r="A2"/>
      <c r="C2" s="3"/>
      <c r="D2" s="3"/>
      <c r="E2" s="3"/>
      <c r="F2" s="3"/>
      <c r="G2" s="3"/>
      <c r="H2" s="3"/>
      <c r="I2" s="3"/>
      <c r="J2" s="3"/>
      <c r="K2" s="3"/>
      <c r="L2" s="3"/>
      <c r="M2" s="3"/>
      <c r="N2" s="3"/>
      <c r="O2" s="3"/>
      <c r="P2" s="3"/>
      <c r="Q2" s="3"/>
      <c r="R2" s="3"/>
      <c r="S2" s="3"/>
    </row>
    <row r="3" spans="1:19" ht="20.100000000000001" customHeight="1" x14ac:dyDescent="0.2">
      <c r="A3" s="5" t="str">
        <f>HYPERLINK("#'Home'!A1", "Home")</f>
        <v>Home</v>
      </c>
      <c r="C3" s="29"/>
      <c r="D3" s="29"/>
      <c r="E3" s="29"/>
      <c r="F3" s="29"/>
      <c r="G3" s="29"/>
      <c r="H3" s="29"/>
      <c r="I3" s="29"/>
      <c r="J3" s="29"/>
      <c r="K3" s="29"/>
      <c r="L3" s="29"/>
      <c r="M3" s="29"/>
      <c r="N3" s="29"/>
      <c r="O3" s="29"/>
      <c r="P3" s="29"/>
      <c r="Q3" s="29"/>
      <c r="R3" s="29"/>
      <c r="S3" s="29"/>
    </row>
    <row r="4" spans="1:19" ht="20.100000000000001" customHeight="1" x14ac:dyDescent="0.2">
      <c r="A4" s="5" t="str">
        <f>HYPERLINK("#'Results - Activity period'!A1", "Results - Activity period")</f>
        <v>Results - Activity period</v>
      </c>
      <c r="C4" s="25"/>
      <c r="D4" s="25"/>
      <c r="E4" s="25"/>
      <c r="F4" s="25"/>
      <c r="G4" s="25"/>
      <c r="H4" s="25"/>
      <c r="I4" s="25"/>
      <c r="J4" s="25"/>
    </row>
    <row r="5" spans="1:19" ht="20.100000000000001" customHeight="1" x14ac:dyDescent="0.2">
      <c r="A5" s="5" t="str">
        <f>HYPERLINK("#'Results - Product EI'!A1", "Results - Product Emissions Intensity")</f>
        <v>Results - Product Emissions Intensity</v>
      </c>
      <c r="C5" s="1"/>
      <c r="D5" s="2" t="s">
        <v>1056</v>
      </c>
      <c r="E5" s="25"/>
      <c r="F5" s="25"/>
      <c r="G5" s="25"/>
      <c r="H5" s="25"/>
      <c r="I5" s="25"/>
      <c r="J5" s="25"/>
    </row>
    <row r="6" spans="1:19" ht="20.100000000000001" customHeight="1" x14ac:dyDescent="0.2">
      <c r="A6"/>
      <c r="C6" s="1"/>
    </row>
    <row r="7" spans="1:19" ht="20.100000000000001" customHeight="1" x14ac:dyDescent="0.2">
      <c r="A7"/>
      <c r="C7" s="1"/>
      <c r="D7" s="82" t="s">
        <v>1057</v>
      </c>
      <c r="E7" s="82" t="s">
        <v>1058</v>
      </c>
      <c r="F7" s="82" t="s">
        <v>1059</v>
      </c>
    </row>
    <row r="8" spans="1:19" ht="20.100000000000001" customHeight="1" x14ac:dyDescent="0.2">
      <c r="A8" s="7" t="s">
        <v>0</v>
      </c>
      <c r="C8" s="1"/>
      <c r="D8" s="34" t="s">
        <v>1060</v>
      </c>
      <c r="E8" s="13" t="s">
        <v>1061</v>
      </c>
      <c r="F8" s="76">
        <v>100</v>
      </c>
    </row>
    <row r="9" spans="1:19" ht="20.100000000000001" customHeight="1" x14ac:dyDescent="0.2">
      <c r="A9" s="5" t="str">
        <f>HYPERLINK("#'Input - Enterprise'!A1", "Enterprise")</f>
        <v>Enterprise</v>
      </c>
      <c r="C9" s="1"/>
      <c r="D9" s="34" t="s">
        <v>1062</v>
      </c>
      <c r="E9" s="84" t="s">
        <v>1063</v>
      </c>
      <c r="F9" s="242">
        <v>100</v>
      </c>
    </row>
    <row r="10" spans="1:19" ht="20.100000000000001" customHeight="1" x14ac:dyDescent="0.2">
      <c r="A10" s="5" t="str">
        <f>HYPERLINK("#'Input - Site'!A1", "Site")</f>
        <v>Site</v>
      </c>
      <c r="D10" s="34" t="s">
        <v>1064</v>
      </c>
      <c r="E10" s="84" t="s">
        <v>1065</v>
      </c>
      <c r="F10" s="242">
        <v>100</v>
      </c>
    </row>
    <row r="11" spans="1:19" ht="20.100000000000001" customHeight="1" x14ac:dyDescent="0.2">
      <c r="A11" s="5" t="str">
        <f>HYPERLINK("#'Input - Pasture Beef'!A1", "Pasture Beef")</f>
        <v>Pasture Beef</v>
      </c>
      <c r="D11" s="34" t="s">
        <v>1064</v>
      </c>
      <c r="E11" s="84" t="s">
        <v>1065</v>
      </c>
      <c r="F11" s="242">
        <v>100</v>
      </c>
    </row>
    <row r="12" spans="1:19" ht="20.100000000000001" customHeight="1" x14ac:dyDescent="0.2">
      <c r="A12" s="5" t="str">
        <f>HYPERLINK("#'Input - Livestock sales'!A1", "Livestock sales")</f>
        <v>Livestock sales</v>
      </c>
      <c r="C12" s="1"/>
      <c r="D12" s="34" t="s">
        <v>1060</v>
      </c>
      <c r="E12" s="84" t="s">
        <v>1061</v>
      </c>
      <c r="F12" s="242">
        <v>100</v>
      </c>
    </row>
    <row r="13" spans="1:19" ht="20.100000000000001" customHeight="1" x14ac:dyDescent="0.2">
      <c r="A13" s="5" t="str">
        <f>HYPERLINK("#'Input - Beef cattle purchases'!A1", "Beef cattle purchases")</f>
        <v>Beef cattle purchases</v>
      </c>
      <c r="C13" s="1"/>
      <c r="D13" s="34" t="s">
        <v>1060</v>
      </c>
      <c r="E13" s="84" t="s">
        <v>1061</v>
      </c>
      <c r="F13" s="242">
        <v>100</v>
      </c>
    </row>
    <row r="14" spans="1:19" ht="20.100000000000001" customHeight="1" x14ac:dyDescent="0.2">
      <c r="A14" s="5" t="str">
        <f>HYPERLINK("#'Input - Pasture'!A1", "Pasture")</f>
        <v>Pasture</v>
      </c>
      <c r="D14" s="34"/>
      <c r="E14" s="13"/>
      <c r="F14" s="76"/>
    </row>
    <row r="15" spans="1:19" ht="20.100000000000001" customHeight="1" x14ac:dyDescent="0.2">
      <c r="A15" s="5" t="str">
        <f>HYPERLINK("#'Input - Fert Prod System'!A1", "Fert Prod System")</f>
        <v>Fert Prod System</v>
      </c>
      <c r="D15" s="34"/>
      <c r="E15" s="13"/>
      <c r="F15" s="76"/>
    </row>
    <row r="16" spans="1:19" ht="20.100000000000001" customHeight="1" x14ac:dyDescent="0.2">
      <c r="A16" s="5" t="str">
        <f>HYPERLINK("#'Input - Fertiliser'!A1", "Fertiliser")</f>
        <v>Fertiliser</v>
      </c>
      <c r="D16" s="34"/>
      <c r="E16" s="13"/>
      <c r="F16" s="76"/>
    </row>
    <row r="17" spans="1:10" ht="20.100000000000001" customHeight="1" x14ac:dyDescent="0.2">
      <c r="A17" s="5" t="str">
        <f>HYPERLINK("#'Input - Fuel'!A1", "Fuel")</f>
        <v>Fuel</v>
      </c>
      <c r="C17" s="1"/>
      <c r="D17" s="34"/>
      <c r="E17" s="13"/>
      <c r="F17" s="76"/>
    </row>
    <row r="18" spans="1:10" ht="20.100000000000001" customHeight="1" x14ac:dyDescent="0.2">
      <c r="A18" s="5" t="str">
        <f>HYPERLINK("#'Input - Electricity'!A1", "Electricity")</f>
        <v>Electricity</v>
      </c>
      <c r="C18" s="1"/>
    </row>
    <row r="19" spans="1:10" ht="20.100000000000001" customHeight="1" x14ac:dyDescent="0.2">
      <c r="A19" s="100" t="str">
        <f>HYPERLINK("#'Input - Common farm inputs'!A1", "Common farm inputs")</f>
        <v>Common farm inputs</v>
      </c>
    </row>
    <row r="20" spans="1:10" ht="20.100000000000001" customHeight="1" x14ac:dyDescent="0.2">
      <c r="A20" s="5" t="str">
        <f>HYPERLINK("#'Input - Crop pasture farm input'!A1", "Crop pasture farm input")</f>
        <v>Crop pasture farm input</v>
      </c>
      <c r="D20" s="2" t="s">
        <v>1066</v>
      </c>
    </row>
    <row r="21" spans="1:10" ht="20.100000000000001" customHeight="1" x14ac:dyDescent="0.2">
      <c r="A21" s="5" t="str">
        <f>HYPERLINK("#'Input - Livestock farm Inputs'!A1", "Livestock farm Inputs")</f>
        <v>Livestock farm Inputs</v>
      </c>
      <c r="D21" s="26"/>
      <c r="I21" s="25"/>
      <c r="J21" s="25"/>
    </row>
    <row r="22" spans="1:10" ht="20.100000000000001" customHeight="1" x14ac:dyDescent="0.2">
      <c r="A22" s="5" t="str">
        <f>HYPERLINK("#'Input - Freight'!A1", "Freight")</f>
        <v>Freight</v>
      </c>
      <c r="D22" s="243" t="s">
        <v>1067</v>
      </c>
      <c r="E22" s="243" t="s">
        <v>1068</v>
      </c>
      <c r="F22" s="243" t="s">
        <v>1069</v>
      </c>
      <c r="G22" s="243" t="s">
        <v>828</v>
      </c>
    </row>
    <row r="23" spans="1:10" ht="20.100000000000001" customHeight="1" x14ac:dyDescent="0.2">
      <c r="A23" s="5" t="str">
        <f>HYPERLINK("#'Input - Solid waste'!A1", "Solid waste")</f>
        <v>Solid waste</v>
      </c>
      <c r="D23" s="34" t="s">
        <v>1070</v>
      </c>
      <c r="E23" s="34" t="s">
        <v>1071</v>
      </c>
      <c r="F23" s="76">
        <v>10000</v>
      </c>
      <c r="G23" s="13" t="s">
        <v>1072</v>
      </c>
    </row>
    <row r="24" spans="1:10" ht="20.100000000000001" customHeight="1" x14ac:dyDescent="0.2">
      <c r="A24" s="5" t="str">
        <f>HYPERLINK("#'Input - Manure sent off-site'!A1", "Manure sent off-site")</f>
        <v>Manure sent off-site</v>
      </c>
      <c r="D24" s="34" t="s">
        <v>1073</v>
      </c>
      <c r="E24" s="34" t="s">
        <v>1074</v>
      </c>
      <c r="F24" s="76">
        <v>1000</v>
      </c>
      <c r="G24" s="13" t="s">
        <v>1075</v>
      </c>
    </row>
    <row r="25" spans="1:10" ht="20.100000000000001" customHeight="1" x14ac:dyDescent="0.2">
      <c r="A25" s="5" t="str">
        <f>HYPERLINK("#'Input - Data quality'!A1", "Data quality")</f>
        <v>Data quality</v>
      </c>
      <c r="C25" s="1"/>
      <c r="D25" s="34"/>
      <c r="E25" s="34"/>
      <c r="F25" s="76"/>
      <c r="G25" s="13"/>
    </row>
    <row r="26" spans="1:10" ht="20.100000000000001" customHeight="1" x14ac:dyDescent="0.2">
      <c r="A26"/>
      <c r="C26" s="1"/>
      <c r="D26" s="34"/>
      <c r="E26" s="34"/>
      <c r="F26" s="76"/>
      <c r="G26" s="13"/>
    </row>
    <row r="27" spans="1:10" ht="20.100000000000001" customHeight="1" x14ac:dyDescent="0.2">
      <c r="A27"/>
      <c r="C27" s="1"/>
      <c r="D27" s="34"/>
      <c r="E27" s="34"/>
      <c r="F27" s="76"/>
      <c r="G27" s="13"/>
    </row>
    <row r="28" spans="1:10" ht="20.100000000000001" customHeight="1" x14ac:dyDescent="0.2">
      <c r="A28" s="6" t="s">
        <v>2</v>
      </c>
      <c r="D28" s="34"/>
      <c r="E28" s="34"/>
      <c r="F28" s="76"/>
      <c r="G28" s="13"/>
    </row>
    <row r="29" spans="1:10" ht="20.100000000000001" customHeight="1" x14ac:dyDescent="0.2">
      <c r="A29" s="5" t="str">
        <f>HYPERLINK("#'3.2.1.1-2 Enteric Methane'!A1", "3.2.1.1-2 Enteric Methane")</f>
        <v>3.2.1.1-2 Enteric Methane</v>
      </c>
      <c r="D29" s="34"/>
      <c r="E29" s="34"/>
      <c r="F29" s="76"/>
      <c r="G29" s="13"/>
    </row>
    <row r="30" spans="1:10" ht="20.100000000000001" customHeight="1" x14ac:dyDescent="0.2">
      <c r="A30" s="5" t="str">
        <f>HYPERLINK("#'4.2.1.1-2 Methane'!A1", "4.2.1.1-2 Manure methane")</f>
        <v>4.2.1.1-2 Manure methane</v>
      </c>
      <c r="D30" s="34"/>
      <c r="E30" s="34"/>
      <c r="F30" s="76"/>
      <c r="G30" s="13"/>
    </row>
    <row r="31" spans="1:10" ht="20.100000000000001" customHeight="1" x14ac:dyDescent="0.2">
      <c r="A31" s="5" t="str">
        <f>HYPERLINK("#'4.2.1.3-4 Soil direct N20'!A1", "4.2.1.3-4 Soil direct N2O")</f>
        <v>4.2.1.3-4 Soil direct N2O</v>
      </c>
      <c r="D31" s="34"/>
      <c r="E31" s="34"/>
      <c r="F31" s="76"/>
      <c r="G31" s="13"/>
    </row>
    <row r="32" spans="1:10" ht="20.100000000000001" customHeight="1" x14ac:dyDescent="0.2">
      <c r="A32" s="5" t="str">
        <f>HYPERLINK("#'4.2.1.5-6 Soil Atmos Dep'!A1", "4.2.1.5-6 Soil atm. deposition")</f>
        <v>4.2.1.5-6 Soil atm. deposition</v>
      </c>
      <c r="D32" s="34"/>
      <c r="E32" s="34"/>
      <c r="F32" s="76"/>
      <c r="G32" s="13"/>
    </row>
    <row r="33" spans="1:6" ht="20.100000000000001" customHeight="1" x14ac:dyDescent="0.2">
      <c r="A33" s="5" t="str">
        <f>HYPERLINK("#'4.2.1.7-8 Soil leach runoff'!A1", "4.2.1.7-8 Soil leach &amp; runoff")</f>
        <v>4.2.1.7-8 Soil leach &amp; runoff</v>
      </c>
    </row>
    <row r="34" spans="1:6" ht="20.100000000000001" customHeight="1" x14ac:dyDescent="0.2">
      <c r="A34" s="5" t="str">
        <f>HYPERLINK("#'5.1.1.1-2 Inorganic fert N2O'!A1", "5.1.1.1-2 Inorganic fert N2O")</f>
        <v>5.1.1.1-2 Inorganic fert N2O</v>
      </c>
    </row>
    <row r="35" spans="1:6" ht="20.100000000000001" customHeight="1" x14ac:dyDescent="0.2">
      <c r="A35" s="5" t="str">
        <f>HYPERLINK("#'5.1.1.3-4 Inorganic fert CO2'!A1", "5.1.1.3-4 Inorganic fert CO2")</f>
        <v>5.1.1.3-4 Inorganic fert CO2</v>
      </c>
      <c r="D35" s="2" t="s">
        <v>1076</v>
      </c>
    </row>
    <row r="36" spans="1:6" ht="20.100000000000001" customHeight="1" x14ac:dyDescent="0.2">
      <c r="A36" s="5" t="str">
        <f>HYPERLINK("#'5.2.1.1-2 Organic Fert N2O'!A1", "5.2.1.1-2 Organic fert N2O")</f>
        <v>5.2.1.1-2 Organic fert N2O</v>
      </c>
      <c r="D36" s="26"/>
    </row>
    <row r="37" spans="1:6" ht="20.100000000000001" customHeight="1" x14ac:dyDescent="0.2">
      <c r="A37" s="5" t="str">
        <f>HYPERLINK("#'5.3.1.1-2 Lime CO2'!A1", "5.3.1.1-2 Lime CO2")</f>
        <v>5.3.1.1-2 Lime CO2</v>
      </c>
      <c r="D37" s="82" t="s">
        <v>1077</v>
      </c>
      <c r="E37" s="82" t="s">
        <v>919</v>
      </c>
      <c r="F37" s="82" t="s">
        <v>828</v>
      </c>
    </row>
    <row r="38" spans="1:6" ht="20.100000000000001" customHeight="1" x14ac:dyDescent="0.2">
      <c r="A38" s="5" t="str">
        <f>HYPERLINK("#'5.4.1.1-4 Atmos deposition'!A1", "5.4.1.1-4 Atmos. deposition")</f>
        <v>5.4.1.1-4 Atmos. deposition</v>
      </c>
      <c r="D38" s="34" t="s">
        <v>1078</v>
      </c>
      <c r="E38" s="76">
        <v>1000</v>
      </c>
      <c r="F38" s="34" t="s">
        <v>653</v>
      </c>
    </row>
    <row r="39" spans="1:6" ht="20.100000000000001" customHeight="1" x14ac:dyDescent="0.2">
      <c r="A39" s="5" t="str">
        <f>HYPERLINK("#'5.5.1.1-2 Leaching and runoff'!A1", "5.5.1.1-2 Leaching &amp; runoff")</f>
        <v>5.5.1.1-2 Leaching &amp; runoff</v>
      </c>
      <c r="D39" s="34"/>
      <c r="E39" s="76"/>
      <c r="F39" s="34"/>
    </row>
    <row r="40" spans="1:6" ht="20.100000000000001" customHeight="1" x14ac:dyDescent="0.2">
      <c r="A40" s="5" t="str">
        <f>HYPERLINK("#'6.2.1.1-2 Pasture residue N2O'!A1", "6.2.1.1-2 Pasture residue N2O")</f>
        <v>6.2.1.1-2 Pasture residue N2O</v>
      </c>
      <c r="D40" s="34"/>
      <c r="E40" s="76"/>
      <c r="F40" s="34"/>
    </row>
    <row r="41" spans="1:6" ht="20.100000000000001" customHeight="1" x14ac:dyDescent="0.2">
      <c r="A41" s="5" t="str">
        <f>HYPERLINK("#'6.3.1.1-2 Leach runoff pasture'!A1", "6.3.1.1-2 Leach &amp; runoff (pasture)")</f>
        <v>6.3.1.1-2 Leach &amp; runoff (pasture)</v>
      </c>
      <c r="D41" s="34"/>
      <c r="E41" s="76"/>
      <c r="F41" s="34"/>
    </row>
    <row r="42" spans="1:6" ht="20.100000000000001" customHeight="1" x14ac:dyDescent="0.2">
      <c r="A42" s="5" t="str">
        <f>HYPERLINK("#'8.1.1.1-2 Transport fuel'!A1", "8.1.1.1-2 Transport fuel")</f>
        <v>8.1.1.1-2 Transport fuel</v>
      </c>
      <c r="D42" s="34"/>
      <c r="E42" s="76"/>
      <c r="F42" s="34"/>
    </row>
    <row r="43" spans="1:6" ht="20.100000000000001" customHeight="1" x14ac:dyDescent="0.2">
      <c r="A43" s="5" t="str">
        <f>HYPERLINK("#'8.2.1.1-2 Stationary fuel'!A1", "8.2.1.1-2 Stationary fuel")</f>
        <v>8.2.1.1-2 Stationary fuel</v>
      </c>
      <c r="D43" s="34"/>
      <c r="E43" s="76"/>
      <c r="F43" s="34"/>
    </row>
    <row r="44" spans="1:6" ht="20.100000000000001" customHeight="1" x14ac:dyDescent="0.2">
      <c r="A44" s="5" t="str">
        <f>HYPERLINK("#'10.1.1-2 Solid waste treatment'!A1", "10.1.1.1-2 Solid waste")</f>
        <v>10.1.1.1-2 Solid waste</v>
      </c>
      <c r="C44" s="1"/>
      <c r="D44" s="34"/>
      <c r="E44" s="76"/>
      <c r="F44" s="34"/>
    </row>
    <row r="45" spans="1:6" ht="20.100000000000001" customHeight="1" x14ac:dyDescent="0.2">
      <c r="A45" s="5" t="str">
        <f>HYPERLINK("#'14.1.1-2 Purchased electricity'!A1", "14.1.1-2 Purchased electricity")</f>
        <v>14.1.1-2 Purchased electricity</v>
      </c>
      <c r="C45" s="1"/>
      <c r="D45" s="34"/>
      <c r="E45" s="76"/>
      <c r="F45" s="34"/>
    </row>
    <row r="46" spans="1:6" ht="20.100000000000001" customHeight="1" x14ac:dyDescent="0.2">
      <c r="A46" s="5" t="str">
        <f>HYPERLINK("#'15 Scope 3'!A1", "15 Scope 3")</f>
        <v>15 Scope 3</v>
      </c>
      <c r="C46" s="1"/>
      <c r="D46" s="34"/>
      <c r="E46" s="76"/>
      <c r="F46" s="34"/>
    </row>
    <row r="47" spans="1:6" ht="20.100000000000001" customHeight="1" x14ac:dyDescent="0.2">
      <c r="A47" s="5" t="str">
        <f>HYPERLINK("#'Calcs - Manure sent off-site'!A1", "Calcs - Manure sent off-site")</f>
        <v>Calcs - Manure sent off-site</v>
      </c>
      <c r="C47" s="1"/>
      <c r="D47" s="34"/>
      <c r="E47" s="76"/>
      <c r="F47" s="34"/>
    </row>
    <row r="48" spans="1:6" ht="20.100000000000001" customHeight="1" x14ac:dyDescent="0.2">
      <c r="A48"/>
      <c r="C48" s="1"/>
    </row>
    <row r="49" spans="1:3" ht="20.100000000000001" customHeight="1" x14ac:dyDescent="0.2">
      <c r="A49"/>
      <c r="C49" s="1"/>
    </row>
    <row r="50" spans="1:3" ht="20.100000000000001" customHeight="1" x14ac:dyDescent="0.2">
      <c r="A50" s="86" t="s">
        <v>1</v>
      </c>
    </row>
    <row r="51" spans="1:3" ht="20.100000000000001" customHeight="1" x14ac:dyDescent="0.2">
      <c r="A51" s="5" t="str">
        <f>HYPERLINK("#'Constants - Pasture Beef'!A1", "Constants - Pasture Beef")</f>
        <v>Constants - Pasture Beef</v>
      </c>
    </row>
    <row r="52" spans="1:3" ht="20.100000000000001" customHeight="1" x14ac:dyDescent="0.2">
      <c r="A52" s="5" t="str">
        <f>HYPERLINK("#'Constants - Ag Residue'!A1", "Constants - Ag residue")</f>
        <v>Constants - Ag residue</v>
      </c>
    </row>
    <row r="53" spans="1:3" ht="20.100000000000001" customHeight="1" x14ac:dyDescent="0.2">
      <c r="A53" s="5" t="str">
        <f>HYPERLINK("#'Constants - Common Livestock'!A1", "Constants - Common Livestock")</f>
        <v>Constants - Common Livestock</v>
      </c>
    </row>
    <row r="54" spans="1:3" ht="20.100000000000001" customHeight="1" x14ac:dyDescent="0.2">
      <c r="A54" s="5" t="str">
        <f>HYPERLINK("#'Constants - Electricity'!A1", "Constants - Electricity")</f>
        <v>Constants - Electricity</v>
      </c>
    </row>
    <row r="55" spans="1:3" ht="20.100000000000001" customHeight="1" x14ac:dyDescent="0.2">
      <c r="A55" s="5" t="str">
        <f>HYPERLINK("#'Constants - Fertiliser'!A1", "Constants - Fertiliser")</f>
        <v>Constants - Fertiliser</v>
      </c>
    </row>
    <row r="56" spans="1:3" ht="20.100000000000001" customHeight="1" x14ac:dyDescent="0.2">
      <c r="A56" s="5" t="str">
        <f>HYPERLINK("#'Constants - Fuel'!A1", "Constants - Fuel")</f>
        <v>Constants - Fuel</v>
      </c>
    </row>
    <row r="57" spans="1:3" ht="20.100000000000001" customHeight="1" x14ac:dyDescent="0.2">
      <c r="A57" s="5" t="str">
        <f>HYPERLINK("#'Constants - Scope 3'!A1", "Constants - Scope 3")</f>
        <v>Constants - Scope 3</v>
      </c>
    </row>
    <row r="58" spans="1:3" ht="20.100000000000001" customHeight="1" x14ac:dyDescent="0.2">
      <c r="A58" s="5" t="str">
        <f>HYPERLINK("#'Constants - Solid Waste'!A1", "Constants - Solid Waste")</f>
        <v>Constants - Solid Waste</v>
      </c>
    </row>
    <row r="59" spans="1:3" ht="20.100000000000001" customHeight="1" x14ac:dyDescent="0.2">
      <c r="A59" s="5" t="str">
        <f>HYPERLINK("#'Constants - Common'!A1", "Constants - Common")</f>
        <v>Constants - Common</v>
      </c>
    </row>
    <row r="60" spans="1:3" ht="20.100000000000001" customHeight="1" x14ac:dyDescent="0.2">
      <c r="A60" s="5" t="str">
        <f>HYPERLINK("#'Acknowledgements'!A1", "Acknowledgements")</f>
        <v>Acknowledgements</v>
      </c>
    </row>
    <row r="61" spans="1:3" ht="20.100000000000001" customHeight="1" x14ac:dyDescent="0.2">
      <c r="A61"/>
    </row>
    <row r="62" spans="1:3" ht="20.100000000000001" customHeight="1" x14ac:dyDescent="0.2">
      <c r="A62"/>
    </row>
    <row r="63" spans="1:3" ht="20.100000000000001" customHeight="1" x14ac:dyDescent="0.2">
      <c r="A63"/>
    </row>
    <row r="64" spans="1:3" ht="20.100000000000001" customHeight="1" x14ac:dyDescent="0.2">
      <c r="A64"/>
    </row>
    <row r="65" spans="1:11" ht="20.100000000000001" customHeight="1" x14ac:dyDescent="0.2">
      <c r="A65"/>
    </row>
    <row r="66" spans="1:11" ht="20.100000000000001" customHeight="1" x14ac:dyDescent="0.2">
      <c r="A66"/>
    </row>
    <row r="67" spans="1:11" ht="20.100000000000001" customHeight="1" x14ac:dyDescent="0.2">
      <c r="A67"/>
    </row>
    <row r="68" spans="1:11" ht="20.100000000000001" customHeight="1" x14ac:dyDescent="0.2">
      <c r="A68"/>
    </row>
    <row r="69" spans="1:11" ht="20.100000000000001" customHeight="1" x14ac:dyDescent="0.2">
      <c r="A69"/>
    </row>
    <row r="70" spans="1:11" ht="20.100000000000001" customHeight="1" x14ac:dyDescent="0.2">
      <c r="A70"/>
    </row>
    <row r="71" spans="1:11" ht="20.100000000000001" customHeight="1" x14ac:dyDescent="0.2">
      <c r="A71"/>
    </row>
    <row r="72" spans="1:11" ht="20.100000000000001" customHeight="1" x14ac:dyDescent="0.2">
      <c r="A72"/>
    </row>
    <row r="73" spans="1:11" ht="20.100000000000001" customHeight="1" x14ac:dyDescent="0.2">
      <c r="A73"/>
    </row>
    <row r="74" spans="1:11" ht="20.100000000000001" customHeight="1" x14ac:dyDescent="0.2">
      <c r="A74"/>
      <c r="K74" s="238"/>
    </row>
    <row r="75" spans="1:11" ht="20.100000000000001" customHeight="1" x14ac:dyDescent="0.2">
      <c r="A75"/>
    </row>
    <row r="76" spans="1:11" ht="20.100000000000001" customHeight="1" x14ac:dyDescent="0.2">
      <c r="A76"/>
    </row>
    <row r="77" spans="1:11" ht="20.100000000000001" customHeight="1" x14ac:dyDescent="0.2">
      <c r="A77"/>
    </row>
    <row r="78" spans="1:11" ht="20.100000000000001" customHeight="1" x14ac:dyDescent="0.2">
      <c r="A78"/>
    </row>
    <row r="79" spans="1:11" ht="20.100000000000001" customHeight="1" x14ac:dyDescent="0.2">
      <c r="A79"/>
    </row>
    <row r="80" spans="1:11" ht="20.100000000000001" customHeight="1" x14ac:dyDescent="0.2">
      <c r="A80"/>
    </row>
    <row r="81" spans="1:10" ht="20.100000000000001" customHeight="1" x14ac:dyDescent="0.2">
      <c r="A81"/>
    </row>
    <row r="82" spans="1:10" ht="20.100000000000001" customHeight="1" x14ac:dyDescent="0.2">
      <c r="A82"/>
    </row>
    <row r="83" spans="1:10" ht="20.100000000000001" customHeight="1" x14ac:dyDescent="0.2">
      <c r="A83"/>
    </row>
    <row r="84" spans="1:10" ht="20.100000000000001" customHeight="1" x14ac:dyDescent="0.2">
      <c r="A84"/>
    </row>
    <row r="85" spans="1:10" ht="20.100000000000001" customHeight="1" x14ac:dyDescent="0.2">
      <c r="A85"/>
    </row>
    <row r="86" spans="1:10" ht="20.100000000000001" customHeight="1" x14ac:dyDescent="0.2">
      <c r="A86"/>
    </row>
    <row r="87" spans="1:10" ht="20.100000000000001" customHeight="1" x14ac:dyDescent="0.2">
      <c r="A87"/>
    </row>
    <row r="88" spans="1:10" ht="20.100000000000001" customHeight="1" x14ac:dyDescent="0.2">
      <c r="A88"/>
    </row>
    <row r="89" spans="1:10" ht="20.100000000000001" customHeight="1" x14ac:dyDescent="0.2">
      <c r="A89"/>
    </row>
    <row r="90" spans="1:10" ht="20.100000000000001" customHeight="1" x14ac:dyDescent="0.2">
      <c r="A90"/>
    </row>
    <row r="91" spans="1:10" ht="20.100000000000001" customHeight="1" x14ac:dyDescent="0.2">
      <c r="A91"/>
    </row>
    <row r="92" spans="1:10" ht="20.100000000000001" customHeight="1" x14ac:dyDescent="0.2">
      <c r="A92"/>
      <c r="J92" s="25"/>
    </row>
    <row r="93" spans="1:10" ht="20.100000000000001" customHeight="1" x14ac:dyDescent="0.2">
      <c r="A93"/>
      <c r="J93" s="25"/>
    </row>
    <row r="94" spans="1:10" ht="20.100000000000001" customHeight="1" x14ac:dyDescent="0.2">
      <c r="A94"/>
      <c r="J94" s="25"/>
    </row>
    <row r="95" spans="1:10" ht="20.100000000000001" customHeight="1" x14ac:dyDescent="0.2">
      <c r="A95"/>
      <c r="J95" s="25"/>
    </row>
    <row r="96" spans="1:10" ht="20.100000000000001" customHeight="1" x14ac:dyDescent="0.2">
      <c r="A96"/>
      <c r="J96" s="25"/>
    </row>
    <row r="97" spans="1:10" ht="20.100000000000001" customHeight="1" x14ac:dyDescent="0.2">
      <c r="A97"/>
      <c r="J97" s="2"/>
    </row>
    <row r="98" spans="1:10" ht="20.100000000000001" customHeight="1" x14ac:dyDescent="0.2">
      <c r="A98"/>
      <c r="J98" s="1"/>
    </row>
    <row r="99" spans="1:10" ht="20.100000000000001" customHeight="1" x14ac:dyDescent="0.2">
      <c r="A99"/>
      <c r="J99" s="1"/>
    </row>
    <row r="100" spans="1:10" ht="20.100000000000001" customHeight="1" x14ac:dyDescent="0.2">
      <c r="A100"/>
      <c r="J100" s="1"/>
    </row>
    <row r="101" spans="1:10" ht="20.100000000000001" customHeight="1" x14ac:dyDescent="0.2">
      <c r="A101"/>
      <c r="J101" s="1"/>
    </row>
    <row r="102" spans="1:10" ht="20.100000000000001" customHeight="1" x14ac:dyDescent="0.2">
      <c r="A102"/>
      <c r="J102" s="1"/>
    </row>
    <row r="103" spans="1:10" ht="20.100000000000001" customHeight="1" x14ac:dyDescent="0.2">
      <c r="A103"/>
    </row>
    <row r="104" spans="1:10" ht="20.100000000000001" customHeight="1" x14ac:dyDescent="0.2">
      <c r="A104"/>
    </row>
    <row r="105" spans="1:10" ht="20.100000000000001" customHeight="1" x14ac:dyDescent="0.2">
      <c r="A105"/>
    </row>
    <row r="106" spans="1:10" ht="20.100000000000001" customHeight="1" x14ac:dyDescent="0.2">
      <c r="A106"/>
    </row>
    <row r="107" spans="1:10" ht="20.100000000000001" customHeight="1" x14ac:dyDescent="0.2">
      <c r="A107"/>
      <c r="J107" s="1"/>
    </row>
    <row r="108" spans="1:10" ht="20.100000000000001" customHeight="1" x14ac:dyDescent="0.2">
      <c r="A108"/>
      <c r="J108" s="1"/>
    </row>
    <row r="109" spans="1:10" ht="20.100000000000001" customHeight="1" x14ac:dyDescent="0.2">
      <c r="A109"/>
      <c r="J109" s="1"/>
    </row>
    <row r="110" spans="1:10" ht="20.100000000000001" customHeight="1" x14ac:dyDescent="0.2">
      <c r="A110"/>
      <c r="J110" s="1"/>
    </row>
    <row r="111" spans="1:10" ht="20.100000000000001" customHeight="1" x14ac:dyDescent="0.2">
      <c r="A111"/>
      <c r="J111" s="1"/>
    </row>
    <row r="112" spans="1:10" ht="20.100000000000001" customHeight="1" x14ac:dyDescent="0.2">
      <c r="A112"/>
      <c r="J112" s="1"/>
    </row>
    <row r="113" spans="1:16" ht="20.100000000000001" customHeight="1" x14ac:dyDescent="0.2">
      <c r="A113"/>
      <c r="J113" s="1"/>
      <c r="L113" s="25"/>
      <c r="M113" s="25"/>
      <c r="N113" s="25"/>
      <c r="O113" s="25"/>
      <c r="P113" s="25"/>
    </row>
    <row r="114" spans="1:16" ht="20.100000000000001" customHeight="1" x14ac:dyDescent="0.2">
      <c r="A114"/>
      <c r="J114" s="1"/>
      <c r="L114" s="25"/>
      <c r="M114" s="25"/>
      <c r="N114" s="25"/>
      <c r="O114" s="25"/>
      <c r="P114" s="25"/>
    </row>
    <row r="115" spans="1:16" ht="20.100000000000001" customHeight="1" x14ac:dyDescent="0.2">
      <c r="A115"/>
      <c r="J115" s="1"/>
      <c r="L115" s="25"/>
      <c r="M115" s="25"/>
      <c r="N115" s="25"/>
      <c r="O115" s="25"/>
      <c r="P115" s="25"/>
    </row>
    <row r="116" spans="1:16" ht="20.100000000000001" customHeight="1" x14ac:dyDescent="0.2">
      <c r="A116"/>
      <c r="I116" s="25"/>
      <c r="J116" s="1"/>
      <c r="N116" s="25"/>
      <c r="O116" s="25"/>
      <c r="P116" s="25"/>
    </row>
    <row r="117" spans="1:16" ht="20.100000000000001" customHeight="1" x14ac:dyDescent="0.2">
      <c r="A117"/>
      <c r="I117" s="25"/>
      <c r="J117" s="1"/>
      <c r="N117" s="25"/>
      <c r="O117" s="25"/>
      <c r="P117" s="25"/>
    </row>
    <row r="118" spans="1:16" ht="20.100000000000001" customHeight="1" x14ac:dyDescent="0.2">
      <c r="A118"/>
      <c r="J118" s="25"/>
      <c r="N118" s="2"/>
      <c r="O118" s="2"/>
      <c r="P118" s="25"/>
    </row>
    <row r="119" spans="1:16" ht="20.100000000000001" customHeight="1" x14ac:dyDescent="0.2">
      <c r="A119"/>
      <c r="J119" s="25"/>
      <c r="P119" s="8"/>
    </row>
    <row r="120" spans="1:16" ht="20.100000000000001" customHeight="1" x14ac:dyDescent="0.2">
      <c r="A120"/>
      <c r="J120" s="25"/>
      <c r="P120" s="8"/>
    </row>
    <row r="121" spans="1:16" ht="20.100000000000001" customHeight="1" x14ac:dyDescent="0.2">
      <c r="A121"/>
      <c r="J121" s="2"/>
      <c r="P121" s="8"/>
    </row>
    <row r="122" spans="1:16" ht="20.100000000000001" customHeight="1" x14ac:dyDescent="0.2">
      <c r="A122"/>
      <c r="G122" s="25"/>
      <c r="H122" s="1"/>
      <c r="J122" s="1"/>
      <c r="P122" s="8"/>
    </row>
    <row r="123" spans="1:16" ht="20.100000000000001" customHeight="1" x14ac:dyDescent="0.2">
      <c r="A123"/>
      <c r="G123" s="25"/>
      <c r="H123" s="1"/>
      <c r="J123" s="1"/>
      <c r="P123" s="8"/>
    </row>
    <row r="124" spans="1:16" ht="20.100000000000001" customHeight="1" x14ac:dyDescent="0.2">
      <c r="A124"/>
      <c r="G124" s="25"/>
      <c r="H124" s="25"/>
      <c r="J124" s="1"/>
      <c r="N124" s="25"/>
      <c r="O124" s="25"/>
      <c r="P124" s="25"/>
    </row>
    <row r="125" spans="1:16" ht="20.100000000000001" customHeight="1" x14ac:dyDescent="0.2">
      <c r="A125"/>
      <c r="G125" s="25"/>
      <c r="H125" s="25"/>
      <c r="I125" s="25"/>
      <c r="J125" s="1"/>
      <c r="N125" s="25"/>
      <c r="O125" s="25"/>
      <c r="P125" s="25"/>
    </row>
    <row r="126" spans="1:16" ht="20.100000000000001" customHeight="1" x14ac:dyDescent="0.2">
      <c r="A126"/>
      <c r="G126" s="25"/>
      <c r="I126" s="25"/>
      <c r="J126" s="1"/>
    </row>
    <row r="127" spans="1:16" ht="20.100000000000001" customHeight="1" x14ac:dyDescent="0.2">
      <c r="A127"/>
      <c r="I127" s="25"/>
      <c r="J127" s="25"/>
    </row>
    <row r="128" spans="1:16" ht="20.100000000000001" customHeight="1" x14ac:dyDescent="0.2">
      <c r="A128"/>
      <c r="I128" s="25"/>
      <c r="J128" s="25"/>
    </row>
    <row r="129" spans="1:13" ht="20.100000000000001" customHeight="1" x14ac:dyDescent="0.2">
      <c r="A129"/>
      <c r="I129" s="25"/>
      <c r="L129" s="25"/>
      <c r="M129" s="25"/>
    </row>
    <row r="130" spans="1:13" ht="20.100000000000001" customHeight="1" x14ac:dyDescent="0.2">
      <c r="A130"/>
      <c r="I130" s="25"/>
      <c r="L130" s="25"/>
      <c r="M130" s="25"/>
    </row>
    <row r="131" spans="1:13" ht="20.100000000000001" customHeight="1" x14ac:dyDescent="0.2">
      <c r="A131"/>
      <c r="G131" s="1"/>
      <c r="I131" s="1"/>
      <c r="L131" s="2"/>
      <c r="M131" s="2"/>
    </row>
    <row r="132" spans="1:13" ht="20.100000000000001" customHeight="1" x14ac:dyDescent="0.2">
      <c r="A132"/>
      <c r="G132" s="25"/>
      <c r="I132" s="1"/>
    </row>
    <row r="133" spans="1:13" ht="20.100000000000001" customHeight="1" x14ac:dyDescent="0.2">
      <c r="A133"/>
      <c r="G133" s="25"/>
      <c r="I133" s="1"/>
    </row>
    <row r="134" spans="1:13" ht="20.100000000000001" customHeight="1" x14ac:dyDescent="0.2">
      <c r="A134"/>
      <c r="I134" s="1"/>
    </row>
    <row r="135" spans="1:13" ht="20.100000000000001" customHeight="1" x14ac:dyDescent="0.2">
      <c r="A135"/>
      <c r="I135" s="1"/>
    </row>
    <row r="136" spans="1:13" ht="20.100000000000001" customHeight="1" x14ac:dyDescent="0.2">
      <c r="A136"/>
      <c r="I136" s="25"/>
    </row>
    <row r="137" spans="1:13" ht="20.100000000000001" customHeight="1" x14ac:dyDescent="0.2">
      <c r="A137"/>
      <c r="I137" s="25"/>
      <c r="L137" s="25"/>
      <c r="M137" s="25"/>
    </row>
    <row r="138" spans="1:13" ht="20.100000000000001" customHeight="1" x14ac:dyDescent="0.2">
      <c r="A138"/>
      <c r="L138" s="25"/>
      <c r="M138" s="25"/>
    </row>
    <row r="139" spans="1:13" ht="20.100000000000001" customHeight="1" x14ac:dyDescent="0.2">
      <c r="A139"/>
    </row>
    <row r="140" spans="1:13" ht="20.100000000000001" customHeight="1" x14ac:dyDescent="0.2">
      <c r="A140"/>
    </row>
    <row r="141" spans="1:13" ht="20.100000000000001" customHeight="1" x14ac:dyDescent="0.2">
      <c r="A141"/>
    </row>
    <row r="142" spans="1:13" ht="20.100000000000001" customHeight="1" x14ac:dyDescent="0.2">
      <c r="A142"/>
    </row>
    <row r="143" spans="1:13" ht="20.100000000000001" customHeight="1" x14ac:dyDescent="0.2">
      <c r="A143"/>
    </row>
    <row r="144" spans="1:13"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9" ht="20.100000000000001" customHeight="1" x14ac:dyDescent="0.2">
      <c r="A161"/>
    </row>
    <row r="162" spans="1:19" ht="20.100000000000001" customHeight="1" x14ac:dyDescent="0.2">
      <c r="A162"/>
    </row>
    <row r="163" spans="1:19" ht="20.100000000000001" customHeight="1" x14ac:dyDescent="0.2">
      <c r="A163"/>
    </row>
    <row r="164" spans="1:19" ht="20.100000000000001" customHeight="1" x14ac:dyDescent="0.2">
      <c r="A164"/>
    </row>
    <row r="165" spans="1:19" ht="20.100000000000001" customHeight="1" x14ac:dyDescent="0.2">
      <c r="A165"/>
      <c r="S165" s="237"/>
    </row>
    <row r="166" spans="1:19" ht="20.100000000000001" customHeight="1" x14ac:dyDescent="0.2">
      <c r="A166"/>
      <c r="S166" s="237"/>
    </row>
    <row r="167" spans="1:19" ht="20.100000000000001" customHeight="1" x14ac:dyDescent="0.2">
      <c r="A167"/>
      <c r="S167" s="237"/>
    </row>
    <row r="168" spans="1:19" ht="20.100000000000001" customHeight="1" x14ac:dyDescent="0.2">
      <c r="A168"/>
      <c r="S168" s="237"/>
    </row>
    <row r="169" spans="1:19" ht="20.100000000000001" customHeight="1" x14ac:dyDescent="0.2">
      <c r="A169"/>
      <c r="S169" s="237"/>
    </row>
    <row r="170" spans="1:19" ht="20.100000000000001" customHeight="1" x14ac:dyDescent="0.2">
      <c r="A170"/>
      <c r="S170" s="237"/>
    </row>
    <row r="171" spans="1:19" ht="20.100000000000001" customHeight="1" x14ac:dyDescent="0.2">
      <c r="A171"/>
      <c r="S171" s="237"/>
    </row>
    <row r="172" spans="1:19" ht="20.100000000000001" customHeight="1" x14ac:dyDescent="0.2">
      <c r="A172"/>
      <c r="S172" s="237"/>
    </row>
    <row r="173" spans="1:19" ht="20.100000000000001" customHeight="1" x14ac:dyDescent="0.2">
      <c r="A173"/>
      <c r="S173" s="237"/>
    </row>
    <row r="174" spans="1:19" ht="20.100000000000001" customHeight="1" x14ac:dyDescent="0.2">
      <c r="A174"/>
      <c r="S174" s="237"/>
    </row>
    <row r="175" spans="1:19" ht="20.100000000000001" customHeight="1" x14ac:dyDescent="0.2">
      <c r="A175"/>
      <c r="S175" s="237"/>
    </row>
    <row r="176" spans="1:19" ht="20.100000000000001" customHeight="1" x14ac:dyDescent="0.2">
      <c r="A176"/>
      <c r="K176" s="25"/>
    </row>
    <row r="177" spans="1:19" ht="20.100000000000001" customHeight="1" x14ac:dyDescent="0.2">
      <c r="A177"/>
      <c r="K177" s="25"/>
    </row>
    <row r="178" spans="1:19" ht="20.100000000000001" customHeight="1" x14ac:dyDescent="0.2">
      <c r="A178"/>
    </row>
    <row r="179" spans="1:19" ht="20.100000000000001" customHeight="1" x14ac:dyDescent="0.2">
      <c r="A179"/>
    </row>
    <row r="180" spans="1:19" ht="20.100000000000001" customHeight="1" x14ac:dyDescent="0.2">
      <c r="A180"/>
      <c r="S180" s="237"/>
    </row>
    <row r="181" spans="1:19" ht="20.100000000000001" customHeight="1" x14ac:dyDescent="0.2">
      <c r="A181"/>
      <c r="S181" s="237"/>
    </row>
    <row r="182" spans="1:19" ht="20.100000000000001" customHeight="1" x14ac:dyDescent="0.2">
      <c r="A182"/>
      <c r="S182" s="237"/>
    </row>
    <row r="183" spans="1:19" ht="20.100000000000001" customHeight="1" x14ac:dyDescent="0.2">
      <c r="A183"/>
      <c r="S183" s="237"/>
    </row>
    <row r="184" spans="1:19" ht="20.100000000000001" customHeight="1" x14ac:dyDescent="0.2">
      <c r="A184"/>
      <c r="S184" s="237"/>
    </row>
    <row r="185" spans="1:19" ht="20.100000000000001" customHeight="1" x14ac:dyDescent="0.2">
      <c r="A185"/>
      <c r="S185" s="237"/>
    </row>
    <row r="186" spans="1:19" ht="20.100000000000001" customHeight="1" x14ac:dyDescent="0.2">
      <c r="A186"/>
      <c r="S186" s="237"/>
    </row>
    <row r="187" spans="1:19" ht="20.100000000000001" customHeight="1" x14ac:dyDescent="0.2">
      <c r="A187"/>
      <c r="S187" s="237"/>
    </row>
    <row r="188" spans="1:19" ht="20.100000000000001" customHeight="1" x14ac:dyDescent="0.2">
      <c r="A188"/>
      <c r="S188" s="237"/>
    </row>
    <row r="189" spans="1:19" ht="20.100000000000001" customHeight="1" x14ac:dyDescent="0.2">
      <c r="A189"/>
      <c r="S189" s="237"/>
    </row>
    <row r="190" spans="1:19" ht="20.100000000000001" customHeight="1" x14ac:dyDescent="0.2">
      <c r="A190"/>
      <c r="S190" s="237"/>
    </row>
    <row r="191" spans="1:19" ht="20.100000000000001" customHeight="1" x14ac:dyDescent="0.2">
      <c r="A191"/>
    </row>
    <row r="192" spans="1:19"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3">
    <dataValidation type="list" allowBlank="1" showInputMessage="1" showErrorMessage="1" sqref="N122:N123 H122:H123 J125:J126 L135:L136" xr:uid="{D1332EF8-7E87-4381-AA3E-1B4E508D1255}">
      <formula1>INDIRECT("Table_Scope3_AquacultureFeedBait[Feed / Bait ingredient]")</formula1>
    </dataValidation>
    <dataValidation type="list" allowBlank="1" showInputMessage="1" showErrorMessage="1" sqref="G23:G32" xr:uid="{4232FEDB-692B-4449-AE67-52ED74554F59}">
      <formula1>"Hour, Hectare"</formula1>
    </dataValidation>
    <dataValidation type="list" allowBlank="1" showInputMessage="1" showErrorMessage="1" sqref="E8:E17" xr:uid="{361ADCFC-7041-4137-901C-57BBA0BAE89C}">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BAD07-7FB5-4C2D-8863-0336720CFED5}">
  <sheetPr>
    <tabColor theme="5" tint="-0.249977111117893"/>
  </sheetPr>
  <dimension ref="A1:S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5703125" customWidth="1"/>
    <col min="3" max="3" width="4.5703125" style="1" customWidth="1"/>
    <col min="4" max="18" width="30.5703125" style="1" customWidth="1"/>
    <col min="19" max="19" width="4.5703125" style="1" customWidth="1"/>
  </cols>
  <sheetData>
    <row r="1" spans="1:19" s="10" customFormat="1" ht="30" customHeight="1" x14ac:dyDescent="0.35">
      <c r="C1" s="10" t="s">
        <v>1079</v>
      </c>
    </row>
    <row r="2" spans="1:19" s="3" customFormat="1" ht="20.100000000000001" customHeight="1" x14ac:dyDescent="0.2">
      <c r="A2"/>
    </row>
    <row r="3" spans="1:19" ht="20.100000000000001" customHeight="1" x14ac:dyDescent="0.2">
      <c r="A3" s="5" t="str">
        <f>HYPERLINK("#'Home'!A1", "Home")</f>
        <v>Home</v>
      </c>
      <c r="C3" s="29"/>
      <c r="D3" s="29"/>
      <c r="E3" s="29"/>
      <c r="F3" s="29"/>
      <c r="G3" s="29"/>
      <c r="H3" s="29"/>
      <c r="I3" s="29"/>
      <c r="J3" s="29"/>
      <c r="K3" s="29"/>
      <c r="L3" s="29"/>
      <c r="M3" s="29"/>
      <c r="N3" s="29"/>
      <c r="O3" s="29"/>
      <c r="P3" s="29"/>
      <c r="Q3" s="29"/>
      <c r="R3" s="29"/>
      <c r="S3" s="29"/>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Emissions Intensity")</f>
        <v>Results - Product Emissions Intensity</v>
      </c>
      <c r="D5" s="241" t="s">
        <v>1080</v>
      </c>
      <c r="E5" s="8"/>
      <c r="F5" s="8"/>
      <c r="G5" s="8"/>
      <c r="H5" s="8"/>
      <c r="I5" s="8"/>
      <c r="J5" s="8"/>
    </row>
    <row r="6" spans="1:19" ht="20.100000000000001" customHeight="1" x14ac:dyDescent="0.2">
      <c r="D6" s="244" t="s">
        <v>1081</v>
      </c>
      <c r="E6" s="244"/>
      <c r="F6" s="127"/>
      <c r="G6" s="45"/>
      <c r="H6" s="25"/>
      <c r="I6" s="25"/>
      <c r="J6" s="25"/>
    </row>
    <row r="7" spans="1:19" ht="20.100000000000001" customHeight="1" x14ac:dyDescent="0.2">
      <c r="D7" s="46" t="s">
        <v>1082</v>
      </c>
      <c r="E7" s="47"/>
      <c r="F7" s="47"/>
      <c r="G7" s="48"/>
      <c r="H7" s="25"/>
      <c r="I7" s="25"/>
      <c r="J7" s="25"/>
    </row>
    <row r="8" spans="1:19" ht="20.100000000000001" customHeight="1" x14ac:dyDescent="0.2">
      <c r="A8" s="7" t="s">
        <v>0</v>
      </c>
      <c r="D8" s="8"/>
      <c r="E8" s="8"/>
      <c r="F8" s="8"/>
      <c r="G8" s="8"/>
      <c r="H8" s="8"/>
      <c r="I8" s="8"/>
      <c r="J8" s="8"/>
      <c r="K8" s="80"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80"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80"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1:19" ht="20.100000000000001" customHeight="1" x14ac:dyDescent="0.2">
      <c r="A9" s="5" t="str">
        <f>HYPERLINK("#'Input - Enterprise'!A1", "Enterprise")</f>
        <v>Enterprise</v>
      </c>
      <c r="D9" s="131" t="s">
        <v>1057</v>
      </c>
      <c r="E9" s="131" t="s">
        <v>1083</v>
      </c>
      <c r="F9" s="131" t="s">
        <v>1084</v>
      </c>
      <c r="G9" s="131" t="s">
        <v>587</v>
      </c>
      <c r="H9" s="131" t="s">
        <v>1085</v>
      </c>
      <c r="I9" s="131" t="s">
        <v>1086</v>
      </c>
      <c r="J9" s="131" t="s">
        <v>1087</v>
      </c>
      <c r="K9" s="239" t="s">
        <v>1088</v>
      </c>
      <c r="L9" s="239" t="s">
        <v>1089</v>
      </c>
      <c r="M9" s="239" t="s">
        <v>1090</v>
      </c>
      <c r="N9" s="239" t="s">
        <v>1091</v>
      </c>
      <c r="O9" s="239" t="s">
        <v>1092</v>
      </c>
      <c r="P9" s="239" t="s">
        <v>1093</v>
      </c>
      <c r="Q9" s="239" t="s">
        <v>1094</v>
      </c>
      <c r="R9" s="239" t="s">
        <v>1095</v>
      </c>
    </row>
    <row r="10" spans="1:19" ht="20.100000000000001" customHeight="1" x14ac:dyDescent="0.2">
      <c r="A10" s="5" t="str">
        <f>HYPERLINK("#'Input - Site'!A1", "Site")</f>
        <v>Site</v>
      </c>
      <c r="D10" s="245" t="s">
        <v>1096</v>
      </c>
      <c r="E10" s="246">
        <v>10</v>
      </c>
      <c r="F10" s="13" t="s">
        <v>651</v>
      </c>
      <c r="G10" s="76">
        <v>100</v>
      </c>
      <c r="H10" s="15">
        <f>Table_Input_Pesticides[[#This Row],[Amount applied per ha]]*Table_Input_Pesticides[[#This Row],[Application area (ha)]]</f>
        <v>1000</v>
      </c>
      <c r="I10" s="13" t="s">
        <v>1097</v>
      </c>
      <c r="J10" s="13" t="s">
        <v>1098</v>
      </c>
      <c r="K10" s="76">
        <v>100</v>
      </c>
      <c r="L10" s="15">
        <f>Table_Input_Pesticides[[#This Row],[Total applied]]*Table_Input_Pesticides[[#This Row],[Active ingredient 1 amount]]*IF(Table_Input_Pesticides[[#This Row],[Constituent unit (select)]]="fraction of product", 1, 10^-3)</f>
        <v>100</v>
      </c>
      <c r="M10" s="13" t="s">
        <v>1098</v>
      </c>
      <c r="N10" s="76">
        <v>100</v>
      </c>
      <c r="O10" s="15">
        <f>Table_Input_Pesticides[[#This Row],[Total applied]]*Table_Input_Pesticides[[#This Row],[Active ingredient 2 amount]]*IF(Table_Input_Pesticides[[#This Row],[Constituent unit (select)]]="fraction of product", 1, 10^-3)</f>
        <v>100</v>
      </c>
      <c r="P10" s="13" t="s">
        <v>1099</v>
      </c>
      <c r="Q10" s="76">
        <v>100</v>
      </c>
      <c r="R10" s="15">
        <f>Table_Input_Pesticides[[#This Row],[Total applied]]*Table_Input_Pesticides[[#This Row],[Active ingredient 3 amount]]*IF(Table_Input_Pesticides[[#This Row],[Constituent unit (select)]]="fraction of product", 1, 10^-3)</f>
        <v>100</v>
      </c>
    </row>
    <row r="11" spans="1:19" ht="20.100000000000001" customHeight="1" x14ac:dyDescent="0.2">
      <c r="A11" s="5" t="str">
        <f>HYPERLINK("#'Input - Pasture Beef'!A1", "Pasture Beef")</f>
        <v>Pasture Beef</v>
      </c>
      <c r="D11" s="245" t="s">
        <v>1100</v>
      </c>
      <c r="E11" s="246">
        <v>10</v>
      </c>
      <c r="F11" s="13" t="s">
        <v>1101</v>
      </c>
      <c r="G11" s="76">
        <v>100</v>
      </c>
      <c r="H11" s="15">
        <f>Table_Input_Pesticides[[#This Row],[Amount applied per ha]]*Table_Input_Pesticides[[#This Row],[Application area (ha)]]</f>
        <v>1000</v>
      </c>
      <c r="I11" s="13" t="s">
        <v>1097</v>
      </c>
      <c r="J11" s="13" t="s">
        <v>1098</v>
      </c>
      <c r="K11" s="76">
        <v>100</v>
      </c>
      <c r="L11" s="15">
        <f>Table_Input_Pesticides[[#This Row],[Total applied]]*Table_Input_Pesticides[[#This Row],[Active ingredient 1 amount]]*IF(Table_Input_Pesticides[[#This Row],[Constituent unit (select)]]="fraction of product", 1, 10^-3)</f>
        <v>100</v>
      </c>
      <c r="M11" s="13" t="s">
        <v>1102</v>
      </c>
      <c r="N11" s="76">
        <v>100</v>
      </c>
      <c r="O11" s="15">
        <f>Table_Input_Pesticides[[#This Row],[Total applied]]*Table_Input_Pesticides[[#This Row],[Active ingredient 2 amount]]*IF(Table_Input_Pesticides[[#This Row],[Constituent unit (select)]]="fraction of product", 1, 10^-3)</f>
        <v>100</v>
      </c>
      <c r="P11" s="13" t="s">
        <v>1103</v>
      </c>
      <c r="Q11" s="76">
        <v>100</v>
      </c>
      <c r="R11" s="15">
        <f>Table_Input_Pesticides[[#This Row],[Total applied]]*Table_Input_Pesticides[[#This Row],[Active ingredient 3 amount]]*IF(Table_Input_Pesticides[[#This Row],[Constituent unit (select)]]="fraction of product", 1, 10^-3)</f>
        <v>100</v>
      </c>
    </row>
    <row r="12" spans="1:19" ht="20.100000000000001" customHeight="1" x14ac:dyDescent="0.2">
      <c r="A12" s="5" t="str">
        <f>HYPERLINK("#'Input - Livestock sales'!A1", "Livestock sales")</f>
        <v>Livestock sales</v>
      </c>
      <c r="D12" s="245" t="s">
        <v>1104</v>
      </c>
      <c r="E12" s="246">
        <v>10</v>
      </c>
      <c r="F12" s="13" t="s">
        <v>651</v>
      </c>
      <c r="G12" s="76">
        <v>100</v>
      </c>
      <c r="H12" s="15">
        <f>Table_Input_Pesticides[[#This Row],[Amount applied per ha]]*Table_Input_Pesticides[[#This Row],[Application area (ha)]]</f>
        <v>1000</v>
      </c>
      <c r="I12" s="13" t="s">
        <v>1097</v>
      </c>
      <c r="J12" s="13" t="s">
        <v>1098</v>
      </c>
      <c r="K12" s="76">
        <v>100</v>
      </c>
      <c r="L12" s="15">
        <f>Table_Input_Pesticides[[#This Row],[Total applied]]*Table_Input_Pesticides[[#This Row],[Active ingredient 1 amount]]*IF(Table_Input_Pesticides[[#This Row],[Constituent unit (select)]]="fraction of product", 1, 10^-3)</f>
        <v>100</v>
      </c>
      <c r="M12" s="13" t="s">
        <v>1105</v>
      </c>
      <c r="N12" s="76">
        <v>100</v>
      </c>
      <c r="O12" s="15">
        <f>Table_Input_Pesticides[[#This Row],[Total applied]]*Table_Input_Pesticides[[#This Row],[Active ingredient 2 amount]]*IF(Table_Input_Pesticides[[#This Row],[Constituent unit (select)]]="fraction of product", 1, 10^-3)</f>
        <v>100</v>
      </c>
      <c r="P12" s="13" t="s">
        <v>1106</v>
      </c>
      <c r="Q12" s="76">
        <v>100</v>
      </c>
      <c r="R12" s="15">
        <f>Table_Input_Pesticides[[#This Row],[Total applied]]*Table_Input_Pesticides[[#This Row],[Active ingredient 3 amount]]*IF(Table_Input_Pesticides[[#This Row],[Constituent unit (select)]]="fraction of product", 1, 10^-3)</f>
        <v>100</v>
      </c>
    </row>
    <row r="13" spans="1:19" ht="20.100000000000001" customHeight="1" x14ac:dyDescent="0.2">
      <c r="A13" s="5" t="str">
        <f>HYPERLINK("#'Input - Beef cattle purchases'!A1", "Beef cattle purchases")</f>
        <v>Beef cattle purchases</v>
      </c>
      <c r="D13" s="245"/>
      <c r="E13" s="246"/>
      <c r="F13" s="13"/>
      <c r="G13" s="76"/>
      <c r="H13" s="15">
        <f>Table_Input_Pesticides[[#This Row],[Amount applied per ha]]*Table_Input_Pesticides[[#This Row],[Application area (ha)]]</f>
        <v>0</v>
      </c>
      <c r="I13" s="13"/>
      <c r="J13" s="13"/>
      <c r="K13" s="76"/>
      <c r="L13" s="15">
        <f>Table_Input_Pesticides[[#This Row],[Total applied]]*Table_Input_Pesticides[[#This Row],[Active ingredient 1 amount]]*IF(Table_Input_Pesticides[[#This Row],[Constituent unit (select)]]="fraction of product", 1, 10^-3)</f>
        <v>0</v>
      </c>
      <c r="M13" s="13"/>
      <c r="N13" s="76"/>
      <c r="O13" s="15">
        <f>Table_Input_Pesticides[[#This Row],[Total applied]]*Table_Input_Pesticides[[#This Row],[Active ingredient 2 amount]]*IF(Table_Input_Pesticides[[#This Row],[Constituent unit (select)]]="fraction of product", 1, 10^-3)</f>
        <v>0</v>
      </c>
      <c r="P13" s="13"/>
      <c r="Q13" s="76"/>
      <c r="R13" s="15">
        <f>Table_Input_Pesticides[[#This Row],[Total applied]]*Table_Input_Pesticides[[#This Row],[Active ingredient 3 amount]]*IF(Table_Input_Pesticides[[#This Row],[Constituent unit (select)]]="fraction of product", 1, 10^-3)</f>
        <v>0</v>
      </c>
    </row>
    <row r="14" spans="1:19" ht="20.100000000000001" customHeight="1" x14ac:dyDescent="0.2">
      <c r="A14" s="5" t="str">
        <f>HYPERLINK("#'Input - Pasture'!A1", "Pasture")</f>
        <v>Pasture</v>
      </c>
      <c r="D14" s="245"/>
      <c r="E14" s="246"/>
      <c r="F14" s="13"/>
      <c r="G14" s="76"/>
      <c r="H14" s="15">
        <f>Table_Input_Pesticides[[#This Row],[Amount applied per ha]]*Table_Input_Pesticides[[#This Row],[Application area (ha)]]</f>
        <v>0</v>
      </c>
      <c r="I14" s="13"/>
      <c r="J14" s="13"/>
      <c r="K14" s="76"/>
      <c r="L14" s="15">
        <f>Table_Input_Pesticides[[#This Row],[Total applied]]*Table_Input_Pesticides[[#This Row],[Active ingredient 1 amount]]*IF(Table_Input_Pesticides[[#This Row],[Constituent unit (select)]]="fraction of product", 1, 10^-3)</f>
        <v>0</v>
      </c>
      <c r="M14" s="13"/>
      <c r="N14" s="76"/>
      <c r="O14" s="15">
        <f>Table_Input_Pesticides[[#This Row],[Total applied]]*Table_Input_Pesticides[[#This Row],[Active ingredient 2 amount]]*IF(Table_Input_Pesticides[[#This Row],[Constituent unit (select)]]="fraction of product", 1, 10^-3)</f>
        <v>0</v>
      </c>
      <c r="P14" s="13"/>
      <c r="Q14" s="76"/>
      <c r="R14" s="15">
        <f>Table_Input_Pesticides[[#This Row],[Total applied]]*Table_Input_Pesticides[[#This Row],[Active ingredient 3 amount]]*IF(Table_Input_Pesticides[[#This Row],[Constituent unit (select)]]="fraction of product", 1, 10^-3)</f>
        <v>0</v>
      </c>
    </row>
    <row r="15" spans="1:19" ht="20.100000000000001" customHeight="1" x14ac:dyDescent="0.2">
      <c r="A15" s="5" t="str">
        <f>HYPERLINK("#'Input - Fert Prod System'!A1", "Fert Prod System")</f>
        <v>Fert Prod System</v>
      </c>
      <c r="D15" s="245"/>
      <c r="E15" s="246"/>
      <c r="F15" s="13"/>
      <c r="G15" s="76"/>
      <c r="H15" s="15">
        <f>Table_Input_Pesticides[[#This Row],[Amount applied per ha]]*Table_Input_Pesticides[[#This Row],[Application area (ha)]]</f>
        <v>0</v>
      </c>
      <c r="I15" s="13"/>
      <c r="J15" s="13"/>
      <c r="K15" s="76"/>
      <c r="L15" s="15">
        <f>Table_Input_Pesticides[[#This Row],[Total applied]]*Table_Input_Pesticides[[#This Row],[Active ingredient 1 amount]]*IF(Table_Input_Pesticides[[#This Row],[Constituent unit (select)]]="fraction of product", 1, 10^-3)</f>
        <v>0</v>
      </c>
      <c r="M15" s="13"/>
      <c r="N15" s="76"/>
      <c r="O15" s="15">
        <f>Table_Input_Pesticides[[#This Row],[Total applied]]*Table_Input_Pesticides[[#This Row],[Active ingredient 2 amount]]*IF(Table_Input_Pesticides[[#This Row],[Constituent unit (select)]]="fraction of product", 1, 10^-3)</f>
        <v>0</v>
      </c>
      <c r="P15" s="13"/>
      <c r="Q15" s="76"/>
      <c r="R15" s="15">
        <f>Table_Input_Pesticides[[#This Row],[Total applied]]*Table_Input_Pesticides[[#This Row],[Active ingredient 3 amount]]*IF(Table_Input_Pesticides[[#This Row],[Constituent unit (select)]]="fraction of product", 1, 10^-3)</f>
        <v>0</v>
      </c>
    </row>
    <row r="16" spans="1:19" ht="20.100000000000001" customHeight="1" x14ac:dyDescent="0.2">
      <c r="A16" s="5" t="str">
        <f>HYPERLINK("#'Input - Fertiliser'!A1", "Fertiliser")</f>
        <v>Fertiliser</v>
      </c>
      <c r="D16" s="245"/>
      <c r="E16" s="246"/>
      <c r="F16" s="13"/>
      <c r="G16" s="76"/>
      <c r="H16" s="15">
        <f>Table_Input_Pesticides[[#This Row],[Amount applied per ha]]*Table_Input_Pesticides[[#This Row],[Application area (ha)]]</f>
        <v>0</v>
      </c>
      <c r="I16" s="13"/>
      <c r="J16" s="13"/>
      <c r="K16" s="76"/>
      <c r="L16" s="15">
        <f>Table_Input_Pesticides[[#This Row],[Total applied]]*Table_Input_Pesticides[[#This Row],[Active ingredient 1 amount]]*IF(Table_Input_Pesticides[[#This Row],[Constituent unit (select)]]="fraction of product", 1, 10^-3)</f>
        <v>0</v>
      </c>
      <c r="M16" s="13"/>
      <c r="N16" s="76"/>
      <c r="O16" s="15">
        <f>Table_Input_Pesticides[[#This Row],[Total applied]]*Table_Input_Pesticides[[#This Row],[Active ingredient 2 amount]]*IF(Table_Input_Pesticides[[#This Row],[Constituent unit (select)]]="fraction of product", 1, 10^-3)</f>
        <v>0</v>
      </c>
      <c r="P16" s="13"/>
      <c r="Q16" s="76"/>
      <c r="R16" s="15">
        <f>Table_Input_Pesticides[[#This Row],[Total applied]]*Table_Input_Pesticides[[#This Row],[Active ingredient 3 amount]]*IF(Table_Input_Pesticides[[#This Row],[Constituent unit (select)]]="fraction of product", 1, 10^-3)</f>
        <v>0</v>
      </c>
    </row>
    <row r="17" spans="1:18" ht="20.100000000000001" customHeight="1" x14ac:dyDescent="0.2">
      <c r="A17" s="5" t="str">
        <f>HYPERLINK("#'Input - Fuel'!A1", "Fuel")</f>
        <v>Fuel</v>
      </c>
      <c r="D17" s="245"/>
      <c r="E17" s="246"/>
      <c r="F17" s="13"/>
      <c r="G17" s="76"/>
      <c r="H17" s="15">
        <f>Table_Input_Pesticides[[#This Row],[Amount applied per ha]]*Table_Input_Pesticides[[#This Row],[Application area (ha)]]</f>
        <v>0</v>
      </c>
      <c r="I17" s="13"/>
      <c r="J17" s="13"/>
      <c r="K17" s="76"/>
      <c r="L17" s="15">
        <f>Table_Input_Pesticides[[#This Row],[Total applied]]*Table_Input_Pesticides[[#This Row],[Active ingredient 1 amount]]*IF(Table_Input_Pesticides[[#This Row],[Constituent unit (select)]]="fraction of product", 1, 10^-3)</f>
        <v>0</v>
      </c>
      <c r="M17" s="13"/>
      <c r="N17" s="76"/>
      <c r="O17" s="15">
        <f>Table_Input_Pesticides[[#This Row],[Total applied]]*Table_Input_Pesticides[[#This Row],[Active ingredient 2 amount]]*IF(Table_Input_Pesticides[[#This Row],[Constituent unit (select)]]="fraction of product", 1, 10^-3)</f>
        <v>0</v>
      </c>
      <c r="P17" s="13"/>
      <c r="Q17" s="76"/>
      <c r="R17" s="15">
        <f>Table_Input_Pesticides[[#This Row],[Total applied]]*Table_Input_Pesticides[[#This Row],[Active ingredient 3 amount]]*IF(Table_Input_Pesticides[[#This Row],[Constituent unit (select)]]="fraction of product", 1, 10^-3)</f>
        <v>0</v>
      </c>
    </row>
    <row r="18" spans="1:18" ht="20.100000000000001" customHeight="1" x14ac:dyDescent="0.2">
      <c r="A18" s="5" t="str">
        <f>HYPERLINK("#'Input - Electricity'!A1", "Electricity")</f>
        <v>Electricity</v>
      </c>
      <c r="D18" s="245"/>
      <c r="E18" s="246"/>
      <c r="F18" s="13"/>
      <c r="G18" s="76"/>
      <c r="H18" s="15">
        <f>Table_Input_Pesticides[[#This Row],[Amount applied per ha]]*Table_Input_Pesticides[[#This Row],[Application area (ha)]]</f>
        <v>0</v>
      </c>
      <c r="I18" s="13"/>
      <c r="J18" s="13"/>
      <c r="K18" s="76"/>
      <c r="L18" s="15">
        <f>Table_Input_Pesticides[[#This Row],[Total applied]]*Table_Input_Pesticides[[#This Row],[Active ingredient 1 amount]]*IF(Table_Input_Pesticides[[#This Row],[Constituent unit (select)]]="fraction of product", 1, 10^-3)</f>
        <v>0</v>
      </c>
      <c r="M18" s="13"/>
      <c r="N18" s="76"/>
      <c r="O18" s="15">
        <f>Table_Input_Pesticides[[#This Row],[Total applied]]*Table_Input_Pesticides[[#This Row],[Active ingredient 2 amount]]*IF(Table_Input_Pesticides[[#This Row],[Constituent unit (select)]]="fraction of product", 1, 10^-3)</f>
        <v>0</v>
      </c>
      <c r="P18" s="13"/>
      <c r="Q18" s="76"/>
      <c r="R18" s="15">
        <f>Table_Input_Pesticides[[#This Row],[Total applied]]*Table_Input_Pesticides[[#This Row],[Active ingredient 3 amount]]*IF(Table_Input_Pesticides[[#This Row],[Constituent unit (select)]]="fraction of product", 1, 10^-3)</f>
        <v>0</v>
      </c>
    </row>
    <row r="19" spans="1:18" ht="20.100000000000001" customHeight="1" x14ac:dyDescent="0.2">
      <c r="A19" s="5" t="str">
        <f>HYPERLINK("#'Input - Common farm inputs'!A1", "Common farm inputs")</f>
        <v>Common farm inputs</v>
      </c>
      <c r="D19" s="245"/>
      <c r="E19" s="246"/>
      <c r="F19" s="13"/>
      <c r="G19" s="76"/>
      <c r="H19" s="15">
        <f>Table_Input_Pesticides[[#This Row],[Amount applied per ha]]*Table_Input_Pesticides[[#This Row],[Application area (ha)]]</f>
        <v>0</v>
      </c>
      <c r="I19" s="13"/>
      <c r="J19" s="13"/>
      <c r="K19" s="76"/>
      <c r="L19" s="15">
        <f>Table_Input_Pesticides[[#This Row],[Total applied]]*Table_Input_Pesticides[[#This Row],[Active ingredient 1 amount]]*IF(Table_Input_Pesticides[[#This Row],[Constituent unit (select)]]="fraction of product", 1, 10^-3)</f>
        <v>0</v>
      </c>
      <c r="M19" s="13"/>
      <c r="N19" s="76"/>
      <c r="O19" s="15">
        <f>Table_Input_Pesticides[[#This Row],[Total applied]]*Table_Input_Pesticides[[#This Row],[Active ingredient 2 amount]]*IF(Table_Input_Pesticides[[#This Row],[Constituent unit (select)]]="fraction of product", 1, 10^-3)</f>
        <v>0</v>
      </c>
      <c r="P19" s="13"/>
      <c r="Q19" s="76"/>
      <c r="R19" s="15">
        <f>Table_Input_Pesticides[[#This Row],[Total applied]]*Table_Input_Pesticides[[#This Row],[Active ingredient 3 amount]]*IF(Table_Input_Pesticides[[#This Row],[Constituent unit (select)]]="fraction of product", 1, 10^-3)</f>
        <v>0</v>
      </c>
    </row>
    <row r="20" spans="1:18" ht="20.100000000000001" customHeight="1" x14ac:dyDescent="0.2">
      <c r="A20" s="100" t="str">
        <f>HYPERLINK("#'Input - Crop pasture farm input'!A1", "Crop pasture farm input")</f>
        <v>Crop pasture farm input</v>
      </c>
    </row>
    <row r="21" spans="1:18" ht="20.100000000000001" customHeight="1" x14ac:dyDescent="0.2">
      <c r="A21" s="5" t="str">
        <f>HYPERLINK("#'Input - Livestock farm Inputs'!A1", "Livestock farm Inputs")</f>
        <v>Livestock farm Inputs</v>
      </c>
    </row>
    <row r="22" spans="1:18" ht="20.100000000000001" customHeight="1" x14ac:dyDescent="0.2">
      <c r="A22" s="5" t="str">
        <f>HYPERLINK("#'Input - Freight'!A1", "Freight")</f>
        <v>Freight</v>
      </c>
      <c r="D22" s="2" t="s">
        <v>1107</v>
      </c>
      <c r="E22" s="238"/>
      <c r="F22" s="238"/>
    </row>
    <row r="23" spans="1:18" ht="20.100000000000001" customHeight="1" x14ac:dyDescent="0.2">
      <c r="A23" s="5" t="str">
        <f>HYPERLINK("#'Input - Solid waste'!A1", "Solid waste")</f>
        <v>Solid waste</v>
      </c>
      <c r="D23" s="1" t="str">
        <f>'Constants - Scope 3'!E204</f>
        <v>Barley grain (for seed)</v>
      </c>
      <c r="E23" s="76">
        <v>500</v>
      </c>
      <c r="F23" s="16" t="s">
        <v>653</v>
      </c>
    </row>
    <row r="24" spans="1:18" ht="20.100000000000001" customHeight="1" x14ac:dyDescent="0.2">
      <c r="A24" s="5" t="str">
        <f>HYPERLINK("#'Input - Manure sent off-site'!A1", "Manure sent off-site")</f>
        <v>Manure sent off-site</v>
      </c>
      <c r="D24" s="1" t="str">
        <f>'Constants - Scope 3'!E205</f>
        <v>Maize grain (for seed)</v>
      </c>
      <c r="E24" s="76">
        <v>600</v>
      </c>
      <c r="F24" s="16" t="s">
        <v>653</v>
      </c>
    </row>
    <row r="25" spans="1:18" ht="20.100000000000001" customHeight="1" x14ac:dyDescent="0.2">
      <c r="A25" s="5" t="str">
        <f>HYPERLINK("#'Input - Data quality'!A1", "Data quality")</f>
        <v>Data quality</v>
      </c>
      <c r="D25" s="1" t="str">
        <f>'Constants - Scope 3'!E207</f>
        <v>Oat grain (for seed)</v>
      </c>
      <c r="E25" s="76">
        <v>700</v>
      </c>
      <c r="F25" s="16" t="s">
        <v>653</v>
      </c>
    </row>
    <row r="26" spans="1:18" ht="20.100000000000001" customHeight="1" x14ac:dyDescent="0.2">
      <c r="D26" s="1" t="str">
        <f>'Constants - Scope 3'!E208</f>
        <v>Sorghum grain (for seed)</v>
      </c>
      <c r="E26" s="76">
        <v>800</v>
      </c>
      <c r="F26" s="16" t="s">
        <v>653</v>
      </c>
    </row>
    <row r="27" spans="1:18" ht="20.100000000000001" customHeight="1" x14ac:dyDescent="0.2">
      <c r="D27" s="1" t="str">
        <f>'Constants - Scope 3'!E209</f>
        <v>Wheat grain (for seed)</v>
      </c>
      <c r="E27" s="76">
        <v>900</v>
      </c>
      <c r="F27" s="16" t="s">
        <v>653</v>
      </c>
    </row>
    <row r="28" spans="1:18" ht="20.100000000000001" customHeight="1" x14ac:dyDescent="0.2">
      <c r="A28" s="6" t="s">
        <v>2</v>
      </c>
    </row>
    <row r="29" spans="1:18" ht="20.100000000000001" customHeight="1" x14ac:dyDescent="0.2">
      <c r="A29" s="5" t="str">
        <f>HYPERLINK("#'3.2.1.1-2 Enteric Methane'!A1", "3.2.1.1-2 Enteric Methane")</f>
        <v>3.2.1.1-2 Enteric Methane</v>
      </c>
    </row>
    <row r="30" spans="1:18" ht="20.100000000000001" customHeight="1" x14ac:dyDescent="0.2">
      <c r="A30" s="5" t="str">
        <f>HYPERLINK("#'4.2.1.1-2 Methane'!A1", "4.2.1.1-2 Manure methane")</f>
        <v>4.2.1.1-2 Manure methane</v>
      </c>
    </row>
    <row r="31" spans="1:18" ht="20.100000000000001" customHeight="1" x14ac:dyDescent="0.2">
      <c r="A31" s="5" t="str">
        <f>HYPERLINK("#'4.2.1.3-4 Soil direct N20'!A1", "4.2.1.3-4 Soil direct N2O")</f>
        <v>4.2.1.3-4 Soil direct N2O</v>
      </c>
    </row>
    <row r="32" spans="1:18"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dataValidations count="3">
    <dataValidation type="list" allowBlank="1" showInputMessage="1" showErrorMessage="1" sqref="J10:J19 M10:M19 P10:P19" xr:uid="{945A5D4C-6646-45B7-950B-1D13DE3835DE}">
      <formula1>INDIRECT("Table_SourceData_Scope3_Pesticides[Product]")</formula1>
    </dataValidation>
    <dataValidation type="list" allowBlank="1" showInputMessage="1" showErrorMessage="1" sqref="I10:I19" xr:uid="{55CAC9AA-7ACC-41DF-9694-B14A23928D47}">
      <formula1>"grams/litre or grams/kg, fraction of product"</formula1>
    </dataValidation>
    <dataValidation type="list" allowBlank="1" showInputMessage="1" showErrorMessage="1" sqref="F10:F19" xr:uid="{5A8917DC-72C3-41F6-ADEA-877CBC738E1A}">
      <formula1>"kg / hectare, litre / hectare"</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2608C-ACF1-43B2-811B-B97FB57E348E}">
  <sheetPr>
    <tabColor theme="5" tint="-0.249977111117893"/>
  </sheetPr>
  <dimension ref="A1:R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 min="18" max="18" width="4.5703125" style="1" customWidth="1"/>
  </cols>
  <sheetData>
    <row r="1" spans="1:18" s="10" customFormat="1" ht="30" customHeight="1" x14ac:dyDescent="0.35">
      <c r="C1" s="10" t="s">
        <v>1108</v>
      </c>
    </row>
    <row r="2" spans="1:18" s="3" customFormat="1" ht="20.100000000000001" customHeight="1" x14ac:dyDescent="0.2">
      <c r="A2"/>
    </row>
    <row r="3" spans="1:18" ht="20.100000000000001" customHeight="1" x14ac:dyDescent="0.2">
      <c r="A3" s="5" t="str">
        <f>HYPERLINK("#'Home'!A1", "Home")</f>
        <v>Home</v>
      </c>
      <c r="C3" s="29"/>
      <c r="D3" s="29"/>
      <c r="E3" s="29"/>
      <c r="F3" s="29"/>
      <c r="G3" s="29"/>
      <c r="H3" s="29"/>
      <c r="I3" s="29"/>
      <c r="J3" s="29"/>
      <c r="K3" s="29"/>
      <c r="L3" s="29"/>
      <c r="M3" s="29"/>
      <c r="N3" s="29"/>
      <c r="O3" s="29"/>
      <c r="P3" s="29"/>
      <c r="Q3" s="29"/>
      <c r="R3" s="29"/>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1109</v>
      </c>
      <c r="E5" s="238"/>
      <c r="F5" s="238"/>
      <c r="G5" s="238"/>
      <c r="H5" s="238"/>
      <c r="I5" s="238"/>
      <c r="J5" s="238"/>
    </row>
    <row r="6" spans="1:18" ht="20.100000000000001" customHeight="1" x14ac:dyDescent="0.2">
      <c r="D6" s="241" t="s">
        <v>1110</v>
      </c>
      <c r="E6" s="247"/>
      <c r="F6" s="248"/>
      <c r="G6" s="238"/>
      <c r="H6" s="238"/>
      <c r="I6" s="238"/>
      <c r="J6" s="238"/>
    </row>
    <row r="7" spans="1:18" ht="20.100000000000001" customHeight="1" x14ac:dyDescent="0.2">
      <c r="D7" s="1" t="str" cm="1">
        <f t="array" ref="D7:D9">Table_SourceData_Scope3_LickBlocks[Product]</f>
        <v>Lick block, dry season mix</v>
      </c>
      <c r="E7" s="76">
        <v>100</v>
      </c>
      <c r="F7" s="16" t="s">
        <v>653</v>
      </c>
      <c r="G7" s="238"/>
      <c r="H7" s="238"/>
      <c r="I7" s="238"/>
      <c r="J7" s="238"/>
    </row>
    <row r="8" spans="1:18" ht="20.100000000000001" customHeight="1" x14ac:dyDescent="0.2">
      <c r="A8" s="7" t="s">
        <v>0</v>
      </c>
      <c r="D8" s="1" t="str">
        <v>Lick block, mineral</v>
      </c>
      <c r="E8" s="76">
        <v>100</v>
      </c>
      <c r="F8" s="16" t="s">
        <v>653</v>
      </c>
      <c r="G8" s="238"/>
      <c r="H8" s="238"/>
      <c r="I8" s="238"/>
      <c r="J8" s="238"/>
    </row>
    <row r="9" spans="1:18" ht="20.100000000000001" customHeight="1" x14ac:dyDescent="0.2">
      <c r="A9" s="5" t="str">
        <f>HYPERLINK("#'Input - Enterprise'!A1", "Enterprise")</f>
        <v>Enterprise</v>
      </c>
      <c r="D9" s="1" t="str">
        <v>Lick block, weaner</v>
      </c>
      <c r="E9" s="76">
        <v>100</v>
      </c>
      <c r="F9" s="16" t="s">
        <v>653</v>
      </c>
      <c r="G9" s="238"/>
      <c r="H9" s="238"/>
      <c r="I9" s="238"/>
      <c r="J9" s="238"/>
    </row>
    <row r="10" spans="1:18" ht="20.100000000000001" customHeight="1" x14ac:dyDescent="0.2">
      <c r="A10" s="5" t="str">
        <f>HYPERLINK("#'Input - Site'!A1", "Site")</f>
        <v>Site</v>
      </c>
      <c r="G10" s="238"/>
      <c r="H10" s="238"/>
      <c r="I10" s="238"/>
      <c r="J10" s="238"/>
    </row>
    <row r="11" spans="1:18" ht="20.100000000000001" customHeight="1" x14ac:dyDescent="0.2">
      <c r="A11" s="5" t="str">
        <f>HYPERLINK("#'Input - Pasture Beef'!A1", "Pasture Beef")</f>
        <v>Pasture Beef</v>
      </c>
      <c r="D11" s="241" t="s">
        <v>1111</v>
      </c>
      <c r="E11" s="25"/>
      <c r="F11" s="25"/>
      <c r="G11" s="238"/>
      <c r="H11" s="238"/>
      <c r="I11" s="238"/>
      <c r="J11" s="238"/>
    </row>
    <row r="12" spans="1:18" ht="20.100000000000001" customHeight="1" x14ac:dyDescent="0.2">
      <c r="A12" s="5" t="str">
        <f>HYPERLINK("#'Input - Livestock sales'!A1", "Livestock sales")</f>
        <v>Livestock sales</v>
      </c>
      <c r="D12" s="1" t="str" cm="1">
        <f t="array" ref="D12:D15">Table_SourceData_Scope3_MixedRations[Product]</f>
        <v>Feed for chickens</v>
      </c>
      <c r="E12" s="76">
        <v>100</v>
      </c>
      <c r="F12" s="16" t="s">
        <v>653</v>
      </c>
      <c r="G12" s="238"/>
      <c r="H12" s="238"/>
      <c r="I12" s="238"/>
      <c r="J12" s="238"/>
    </row>
    <row r="13" spans="1:18" ht="20.100000000000001" customHeight="1" x14ac:dyDescent="0.2">
      <c r="A13" s="5" t="str">
        <f>HYPERLINK("#'Input - Beef cattle purchases'!A1", "Beef cattle purchases")</f>
        <v>Beef cattle purchases</v>
      </c>
      <c r="D13" s="1" t="str">
        <v>Feed for dairy calves</v>
      </c>
      <c r="E13" s="76">
        <v>100</v>
      </c>
      <c r="F13" s="16" t="s">
        <v>653</v>
      </c>
      <c r="G13" s="238"/>
      <c r="H13" s="238"/>
      <c r="I13" s="238"/>
      <c r="J13" s="238"/>
    </row>
    <row r="14" spans="1:18" ht="20.100000000000001" customHeight="1" x14ac:dyDescent="0.2">
      <c r="A14" s="5" t="str">
        <f>HYPERLINK("#'Input - Pasture'!A1", "Pasture")</f>
        <v>Pasture</v>
      </c>
      <c r="D14" s="1" t="str">
        <v>Feed for dairy cows</v>
      </c>
      <c r="E14" s="76">
        <v>100</v>
      </c>
      <c r="F14" s="16" t="s">
        <v>653</v>
      </c>
      <c r="G14" s="238"/>
      <c r="H14" s="238"/>
      <c r="I14" s="238"/>
      <c r="J14" s="238"/>
    </row>
    <row r="15" spans="1:18" ht="20.100000000000001" customHeight="1" x14ac:dyDescent="0.2">
      <c r="A15" s="5" t="str">
        <f>HYPERLINK("#'Input - Fert Prod System'!A1", "Fert Prod System")</f>
        <v>Fert Prod System</v>
      </c>
      <c r="D15" s="1" t="str">
        <v>Feed for pigs</v>
      </c>
      <c r="E15" s="76">
        <v>100</v>
      </c>
      <c r="F15" s="16" t="s">
        <v>653</v>
      </c>
      <c r="G15" s="238"/>
      <c r="H15" s="238"/>
      <c r="I15" s="238"/>
      <c r="J15" s="238"/>
    </row>
    <row r="16" spans="1:18" ht="20.100000000000001" customHeight="1" x14ac:dyDescent="0.2">
      <c r="A16" s="5" t="str">
        <f>HYPERLINK("#'Input - Fertiliser'!A1", "Fertiliser")</f>
        <v>Fertiliser</v>
      </c>
      <c r="D16" s="25"/>
      <c r="E16" s="25"/>
      <c r="F16" s="25"/>
      <c r="G16" s="238"/>
      <c r="H16" s="238"/>
      <c r="I16" s="238"/>
      <c r="J16" s="238"/>
    </row>
    <row r="17" spans="1:17" ht="20.100000000000001" customHeight="1" x14ac:dyDescent="0.2">
      <c r="A17" s="5" t="str">
        <f>HYPERLINK("#'Input - Fuel'!A1", "Fuel")</f>
        <v>Fuel</v>
      </c>
      <c r="D17" s="241" t="s">
        <v>1112</v>
      </c>
      <c r="E17" s="25"/>
      <c r="F17" s="25"/>
      <c r="G17" s="238"/>
      <c r="H17" s="238"/>
      <c r="I17" s="238"/>
      <c r="J17" s="238"/>
    </row>
    <row r="18" spans="1:17" ht="20.100000000000001" customHeight="1" x14ac:dyDescent="0.2">
      <c r="A18" s="5" t="str">
        <f>HYPERLINK("#'Input - Electricity'!A1", "Electricity")</f>
        <v>Electricity</v>
      </c>
      <c r="D18" s="82" t="s">
        <v>1113</v>
      </c>
      <c r="E18" s="82" t="s">
        <v>1114</v>
      </c>
      <c r="F18" s="82" t="s">
        <v>613</v>
      </c>
      <c r="G18" s="82" t="s">
        <v>1115</v>
      </c>
      <c r="H18" s="82" t="s">
        <v>591</v>
      </c>
      <c r="I18" s="82" t="s">
        <v>1116</v>
      </c>
      <c r="J18" s="82" t="s">
        <v>1117</v>
      </c>
      <c r="K18" s="82" t="s">
        <v>593</v>
      </c>
      <c r="L18" s="82" t="s">
        <v>1118</v>
      </c>
      <c r="M18" s="82" t="s">
        <v>1119</v>
      </c>
      <c r="N18" s="82" t="s">
        <v>595</v>
      </c>
      <c r="O18" s="82" t="s">
        <v>1120</v>
      </c>
      <c r="P18" s="82" t="s">
        <v>1121</v>
      </c>
      <c r="Q18" s="187" t="s">
        <v>597</v>
      </c>
    </row>
    <row r="19" spans="1:17" ht="20.100000000000001" customHeight="1" x14ac:dyDescent="0.2">
      <c r="A19" s="5" t="str">
        <f>HYPERLINK("#'Input - Common farm inputs'!A1", "Common farm inputs")</f>
        <v>Common farm inputs</v>
      </c>
      <c r="D19" s="34"/>
      <c r="E19" s="249">
        <v>1200</v>
      </c>
      <c r="F19" s="13" t="s">
        <v>1122</v>
      </c>
      <c r="G19" s="13" t="s">
        <v>522</v>
      </c>
      <c r="H19" s="188">
        <v>0.35</v>
      </c>
      <c r="I19" s="13" t="s">
        <v>1123</v>
      </c>
      <c r="J19" s="13" t="s">
        <v>522</v>
      </c>
      <c r="K19" s="188">
        <v>0.22</v>
      </c>
      <c r="L19" s="13" t="s">
        <v>1124</v>
      </c>
      <c r="M19" s="13" t="s">
        <v>538</v>
      </c>
      <c r="N19" s="188">
        <v>0.12</v>
      </c>
      <c r="O19" s="13" t="s">
        <v>1125</v>
      </c>
      <c r="P19" s="13" t="s">
        <v>534</v>
      </c>
      <c r="Q19" s="188">
        <v>0.05</v>
      </c>
    </row>
    <row r="20" spans="1:17" ht="20.100000000000001" customHeight="1" x14ac:dyDescent="0.2">
      <c r="A20" s="5" t="str">
        <f>HYPERLINK("#'Input - Crop pasture farm input'!A1", "Crop pasture farm input")</f>
        <v>Crop pasture farm input</v>
      </c>
      <c r="D20" s="34"/>
      <c r="E20" s="249">
        <v>3456</v>
      </c>
      <c r="F20" s="13" t="s">
        <v>1126</v>
      </c>
      <c r="G20" s="13" t="s">
        <v>538</v>
      </c>
      <c r="H20" s="188">
        <v>0.2</v>
      </c>
      <c r="I20" s="13" t="s">
        <v>1126</v>
      </c>
      <c r="J20" s="13" t="s">
        <v>521</v>
      </c>
      <c r="K20" s="188">
        <v>0.2</v>
      </c>
      <c r="L20" s="13"/>
      <c r="M20" s="13"/>
      <c r="N20" s="188"/>
      <c r="O20" s="13"/>
      <c r="P20" s="13"/>
      <c r="Q20" s="188"/>
    </row>
    <row r="21" spans="1:17" ht="20.100000000000001" customHeight="1" x14ac:dyDescent="0.2">
      <c r="A21" s="100" t="str">
        <f>HYPERLINK("#'Input - Livestock farm Inputs'!A1", "Livestock farm Inputs")</f>
        <v>Livestock farm Inputs</v>
      </c>
      <c r="D21" s="34" t="s">
        <v>1127</v>
      </c>
      <c r="E21" s="249">
        <v>300</v>
      </c>
      <c r="F21" s="13" t="s">
        <v>1128</v>
      </c>
      <c r="G21" s="13" t="s">
        <v>522</v>
      </c>
      <c r="H21" s="188">
        <v>0.8</v>
      </c>
      <c r="I21" s="13" t="s">
        <v>1129</v>
      </c>
      <c r="J21" s="13" t="s">
        <v>1130</v>
      </c>
      <c r="K21" s="188">
        <v>0.2</v>
      </c>
      <c r="L21" s="13"/>
      <c r="M21" s="13"/>
      <c r="N21" s="188"/>
      <c r="O21" s="13"/>
      <c r="P21" s="13"/>
      <c r="Q21" s="188"/>
    </row>
    <row r="22" spans="1:17" ht="20.100000000000001" customHeight="1" x14ac:dyDescent="0.2">
      <c r="A22" s="5" t="str">
        <f>HYPERLINK("#'Input - Freight'!A1", "Freight")</f>
        <v>Freight</v>
      </c>
      <c r="D22" s="34"/>
      <c r="E22" s="249">
        <v>500</v>
      </c>
      <c r="F22" s="13" t="s">
        <v>1131</v>
      </c>
      <c r="G22" s="13" t="s">
        <v>524</v>
      </c>
      <c r="H22" s="188">
        <v>1</v>
      </c>
      <c r="I22" s="13"/>
      <c r="J22" s="13"/>
      <c r="K22" s="188"/>
      <c r="L22" s="13"/>
      <c r="M22" s="13"/>
      <c r="N22" s="188"/>
      <c r="O22" s="13"/>
      <c r="P22" s="13"/>
      <c r="Q22" s="188"/>
    </row>
    <row r="23" spans="1:17" ht="20.100000000000001" customHeight="1" x14ac:dyDescent="0.2">
      <c r="A23" s="5" t="str">
        <f>HYPERLINK("#'Input - Solid waste'!A1", "Solid waste")</f>
        <v>Solid waste</v>
      </c>
      <c r="D23" s="34"/>
      <c r="E23" s="249"/>
      <c r="F23" s="13"/>
      <c r="G23" s="13"/>
      <c r="H23" s="188"/>
      <c r="I23" s="13"/>
      <c r="J23" s="13"/>
      <c r="K23" s="188"/>
      <c r="L23" s="13"/>
      <c r="M23" s="13"/>
      <c r="N23" s="188"/>
      <c r="O23" s="13"/>
      <c r="P23" s="13"/>
      <c r="Q23" s="188"/>
    </row>
    <row r="24" spans="1:17" ht="20.100000000000001" customHeight="1" x14ac:dyDescent="0.2">
      <c r="A24" s="5" t="str">
        <f>HYPERLINK("#'Input - Manure sent off-site'!A1", "Manure sent off-site")</f>
        <v>Manure sent off-site</v>
      </c>
      <c r="D24" s="34"/>
      <c r="E24" s="249"/>
      <c r="F24" s="13"/>
      <c r="G24" s="13"/>
      <c r="H24" s="188"/>
      <c r="I24" s="13"/>
      <c r="J24" s="13"/>
      <c r="K24" s="188"/>
      <c r="L24" s="13"/>
      <c r="M24" s="13"/>
      <c r="N24" s="188"/>
      <c r="O24" s="13"/>
      <c r="P24" s="13"/>
      <c r="Q24" s="188"/>
    </row>
    <row r="25" spans="1:17" ht="20.100000000000001" customHeight="1" x14ac:dyDescent="0.2">
      <c r="A25" s="5" t="str">
        <f>HYPERLINK("#'Input - Data quality'!A1", "Data quality")</f>
        <v>Data quality</v>
      </c>
      <c r="D25" s="34"/>
      <c r="E25" s="249"/>
      <c r="F25" s="13"/>
      <c r="G25" s="13"/>
      <c r="H25" s="188"/>
      <c r="I25" s="13"/>
      <c r="J25" s="13"/>
      <c r="K25" s="188"/>
      <c r="L25" s="13"/>
      <c r="M25" s="13"/>
      <c r="N25" s="188"/>
      <c r="O25" s="13"/>
      <c r="P25" s="13"/>
      <c r="Q25" s="188"/>
    </row>
    <row r="26" spans="1:17" ht="20.100000000000001" customHeight="1" x14ac:dyDescent="0.2">
      <c r="D26" s="34"/>
      <c r="E26" s="249"/>
      <c r="F26" s="13"/>
      <c r="G26" s="13"/>
      <c r="H26" s="188"/>
      <c r="I26" s="13"/>
      <c r="J26" s="13"/>
      <c r="K26" s="188"/>
      <c r="L26" s="13"/>
      <c r="M26" s="13"/>
      <c r="N26" s="188"/>
      <c r="O26" s="13"/>
      <c r="P26" s="13"/>
      <c r="Q26" s="188"/>
    </row>
    <row r="27" spans="1:17" ht="20.100000000000001" customHeight="1" x14ac:dyDescent="0.2">
      <c r="D27" s="34"/>
      <c r="E27" s="249"/>
      <c r="F27" s="13"/>
      <c r="G27" s="13"/>
      <c r="H27" s="188"/>
      <c r="I27" s="13"/>
      <c r="J27" s="13"/>
      <c r="K27" s="188"/>
      <c r="L27" s="13"/>
      <c r="M27" s="13"/>
      <c r="N27" s="188"/>
      <c r="O27" s="13"/>
      <c r="P27" s="13"/>
      <c r="Q27" s="188"/>
    </row>
    <row r="28" spans="1:17" ht="20.100000000000001" customHeight="1" x14ac:dyDescent="0.2">
      <c r="A28" s="6" t="s">
        <v>2</v>
      </c>
      <c r="D28" s="34"/>
      <c r="E28" s="249"/>
      <c r="F28" s="13"/>
      <c r="G28" s="13"/>
      <c r="H28" s="188"/>
      <c r="I28" s="13"/>
      <c r="J28" s="13"/>
      <c r="K28" s="188"/>
      <c r="L28" s="13"/>
      <c r="M28" s="13"/>
      <c r="N28" s="188"/>
      <c r="O28" s="13"/>
      <c r="P28" s="13"/>
      <c r="Q28" s="188"/>
    </row>
    <row r="29" spans="1:17" ht="20.100000000000001" customHeight="1" x14ac:dyDescent="0.2">
      <c r="A29" s="5" t="str">
        <f>HYPERLINK("#'3.2.1.1-2 Enteric Methane'!A1", "3.2.1.1-2 Enteric Methane")</f>
        <v>3.2.1.1-2 Enteric Methane</v>
      </c>
    </row>
    <row r="30" spans="1:17" ht="20.100000000000001" customHeight="1" x14ac:dyDescent="0.2">
      <c r="A30" s="5" t="str">
        <f>HYPERLINK("#'4.2.1.1-2 Methane'!A1", "4.2.1.1-2 Manure methane")</f>
        <v>4.2.1.1-2 Manure methane</v>
      </c>
    </row>
    <row r="31" spans="1:17" ht="20.100000000000001" customHeight="1" x14ac:dyDescent="0.2">
      <c r="A31" s="5" t="str">
        <f>HYPERLINK("#'4.2.1.3-4 Soil direct N20'!A1", "4.2.1.3-4 Soil direct N2O")</f>
        <v>4.2.1.3-4 Soil direct N2O</v>
      </c>
      <c r="D31" s="241" t="s">
        <v>1132</v>
      </c>
    </row>
    <row r="32" spans="1:17" ht="20.100000000000001" customHeight="1" x14ac:dyDescent="0.2">
      <c r="A32" s="5" t="str">
        <f>HYPERLINK("#'4.2.1.5-6 Soil Atmos Dep'!A1", "4.2.1.5-6 Soil atm. deposition")</f>
        <v>4.2.1.5-6 Soil atm. deposition</v>
      </c>
      <c r="D32" s="82" t="s">
        <v>1057</v>
      </c>
      <c r="E32" s="82" t="s">
        <v>1058</v>
      </c>
      <c r="F32" s="82" t="s">
        <v>1133</v>
      </c>
    </row>
    <row r="33" spans="1:6" ht="20.100000000000001" customHeight="1" x14ac:dyDescent="0.2">
      <c r="A33" s="5" t="str">
        <f>HYPERLINK("#'4.2.1.7-8 Soil leach runoff'!A1", "4.2.1.7-8 Soil leach &amp; runoff")</f>
        <v>4.2.1.7-8 Soil leach &amp; runoff</v>
      </c>
      <c r="D33" s="34" t="s">
        <v>1134</v>
      </c>
      <c r="E33" s="133" t="s">
        <v>1135</v>
      </c>
      <c r="F33" s="76">
        <v>100</v>
      </c>
    </row>
    <row r="34" spans="1:6" ht="20.100000000000001" customHeight="1" x14ac:dyDescent="0.2">
      <c r="A34" s="5" t="str">
        <f>HYPERLINK("#'5.1.1.1-2 Inorganic fert N2O'!A1", "5.1.1.1-2 Inorganic fert N2O")</f>
        <v>5.1.1.1-2 Inorganic fert N2O</v>
      </c>
      <c r="D34" s="34" t="s">
        <v>1136</v>
      </c>
      <c r="E34" s="250" t="s">
        <v>1137</v>
      </c>
      <c r="F34" s="242">
        <v>100</v>
      </c>
    </row>
    <row r="35" spans="1:6" ht="20.100000000000001" customHeight="1" x14ac:dyDescent="0.2">
      <c r="A35" s="5" t="str">
        <f>HYPERLINK("#'5.1.1.3-4 Inorganic fert CO2'!A1", "5.1.1.3-4 Inorganic fert CO2")</f>
        <v>5.1.1.3-4 Inorganic fert CO2</v>
      </c>
      <c r="D35" s="34" t="s">
        <v>1138</v>
      </c>
      <c r="E35" s="250" t="s">
        <v>1139</v>
      </c>
      <c r="F35" s="242">
        <v>100</v>
      </c>
    </row>
    <row r="36" spans="1:6" ht="20.100000000000001" customHeight="1" x14ac:dyDescent="0.2">
      <c r="A36" s="5" t="str">
        <f>HYPERLINK("#'5.2.1.1-2 Organic Fert N2O'!A1", "5.2.1.1-2 Organic fert N2O")</f>
        <v>5.2.1.1-2 Organic fert N2O</v>
      </c>
      <c r="D36" s="34" t="s">
        <v>1140</v>
      </c>
      <c r="E36" s="250" t="s">
        <v>1141</v>
      </c>
      <c r="F36" s="242">
        <v>100</v>
      </c>
    </row>
    <row r="37" spans="1:6" ht="20.100000000000001" customHeight="1" x14ac:dyDescent="0.2">
      <c r="A37" s="5" t="str">
        <f>HYPERLINK("#'5.3.1.1-2 Lime CO2'!A1", "5.3.1.1-2 Lime CO2")</f>
        <v>5.3.1.1-2 Lime CO2</v>
      </c>
      <c r="D37" s="34" t="s">
        <v>1134</v>
      </c>
      <c r="E37" s="250" t="s">
        <v>1135</v>
      </c>
      <c r="F37" s="242">
        <v>100</v>
      </c>
    </row>
    <row r="38" spans="1:6" ht="20.100000000000001" customHeight="1" x14ac:dyDescent="0.2">
      <c r="A38" s="5" t="str">
        <f>HYPERLINK("#'5.4.1.1-4 Atmos deposition'!A1", "5.4.1.1-4 Atmos. deposition")</f>
        <v>5.4.1.1-4 Atmos. deposition</v>
      </c>
      <c r="D38" s="34" t="s">
        <v>1136</v>
      </c>
      <c r="E38" s="250" t="s">
        <v>1137</v>
      </c>
      <c r="F38" s="242">
        <v>100</v>
      </c>
    </row>
    <row r="39" spans="1:6" ht="20.100000000000001" customHeight="1" x14ac:dyDescent="0.2">
      <c r="A39" s="5" t="str">
        <f>HYPERLINK("#'5.5.1.1-2 Leaching and runoff'!A1", "5.5.1.1-2 Leaching &amp; runoff")</f>
        <v>5.5.1.1-2 Leaching &amp; runoff</v>
      </c>
      <c r="D39" s="34"/>
      <c r="E39" s="133"/>
      <c r="F39" s="76"/>
    </row>
    <row r="40" spans="1:6" ht="20.100000000000001" customHeight="1" x14ac:dyDescent="0.2">
      <c r="A40" s="5" t="str">
        <f>HYPERLINK("#'6.2.1.1-2 Pasture residue N2O'!A1", "6.2.1.1-2 Pasture residue N2O")</f>
        <v>6.2.1.1-2 Pasture residue N2O</v>
      </c>
      <c r="D40" s="34"/>
      <c r="E40" s="133"/>
      <c r="F40" s="76"/>
    </row>
    <row r="41" spans="1:6" ht="20.100000000000001" customHeight="1" x14ac:dyDescent="0.2">
      <c r="A41" s="5" t="str">
        <f>HYPERLINK("#'6.3.1.1-2 Leach runoff pasture'!A1", "6.3.1.1-2 Leach &amp; runoff (pasture)")</f>
        <v>6.3.1.1-2 Leach &amp; runoff (pasture)</v>
      </c>
      <c r="D41" s="34"/>
      <c r="E41" s="133"/>
      <c r="F41" s="76"/>
    </row>
    <row r="42" spans="1:6" ht="20.100000000000001" customHeight="1" x14ac:dyDescent="0.2">
      <c r="A42" s="5" t="str">
        <f>HYPERLINK("#'8.1.1.1-2 Transport fuel'!A1", "8.1.1.1-2 Transport fuel")</f>
        <v>8.1.1.1-2 Transport fuel</v>
      </c>
      <c r="D42" s="34"/>
      <c r="E42" s="133"/>
      <c r="F42" s="76"/>
    </row>
    <row r="43" spans="1:6" ht="20.100000000000001" customHeight="1" x14ac:dyDescent="0.2">
      <c r="A43" s="5" t="str">
        <f>HYPERLINK("#'8.2.1.1-2 Stationary fuel'!A1", "8.2.1.1-2 Stationary fuel")</f>
        <v>8.2.1.1-2 Stationary fuel</v>
      </c>
    </row>
    <row r="44" spans="1:6" ht="20.100000000000001" customHeight="1" x14ac:dyDescent="0.2">
      <c r="A44" s="5" t="str">
        <f>HYPERLINK("#'10.1.1-2 Solid waste treatment'!A1", "10.1.1.1-2 Solid waste")</f>
        <v>10.1.1.1-2 Solid waste</v>
      </c>
    </row>
    <row r="45" spans="1:6" ht="20.100000000000001" customHeight="1" x14ac:dyDescent="0.2">
      <c r="A45" s="5" t="str">
        <f>HYPERLINK("#'14.1.1-2 Purchased electricity'!A1", "14.1.1-2 Purchased electricity")</f>
        <v>14.1.1-2 Purchased electricity</v>
      </c>
    </row>
    <row r="46" spans="1:6" ht="20.100000000000001" customHeight="1" x14ac:dyDescent="0.2">
      <c r="A46" s="5" t="str">
        <f>HYPERLINK("#'15 Scope 3'!A1", "15 Scope 3")</f>
        <v>15 Scope 3</v>
      </c>
      <c r="D46" s="2" t="s">
        <v>1142</v>
      </c>
      <c r="E46" s="238"/>
      <c r="F46" s="238"/>
    </row>
    <row r="47" spans="1:6" ht="20.100000000000001" customHeight="1" x14ac:dyDescent="0.2">
      <c r="A47" s="5" t="str">
        <f>HYPERLINK("#'Calcs - Manure sent off-site'!A1", "Calcs - Manure sent off-site")</f>
        <v>Calcs - Manure sent off-site</v>
      </c>
      <c r="D47" s="1" t="str">
        <f>'Constants - Scope 3'!E202</f>
        <v>Animal ear tags (large)</v>
      </c>
      <c r="E47" s="76">
        <v>100</v>
      </c>
      <c r="F47" s="16" t="s">
        <v>1143</v>
      </c>
    </row>
    <row r="48" spans="1:6" ht="20.100000000000001" customHeight="1" x14ac:dyDescent="0.2">
      <c r="D48" s="1" t="str">
        <f>'Constants - Scope 3'!E203</f>
        <v>Animal ear tags (small)</v>
      </c>
      <c r="E48" s="76">
        <v>200</v>
      </c>
      <c r="F48" s="16" t="s">
        <v>1143</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dataValidations count="3">
    <dataValidation type="list" allowBlank="1" showInputMessage="1" showErrorMessage="1" sqref="E33:E42" xr:uid="{DFCC4E30-A158-456D-A225-4B17F1E298A6}">
      <formula1>INDIRECT("Table_SourceData_Scope3_ChemicalsPharmacy[Product]")</formula1>
    </dataValidation>
    <dataValidation type="list" allowBlank="1" showInputMessage="1" showErrorMessage="1" sqref="M19:M28 P19:P28 J19:J28 G19:G28" xr:uid="{5B65AC68-ADFD-4C8E-86CB-2CEB78BC2D3E}">
      <formula1>INDIRECT("Table_ProductRegions_" &amp; SUBSTITUTE(SUBSTITUTE(SUBSTITUTE(SUBSTITUTE(F19, " ", ""), ",", ""), "(", ""), ")", "") &amp; "[Region]")</formula1>
    </dataValidation>
    <dataValidation type="list" allowBlank="1" showInputMessage="1" showErrorMessage="1" sqref="F19:F28 I19:I28 L19:L28 O19:O28" xr:uid="{EADE6E62-33EE-4E30-81F4-D5CF32B6B9E7}">
      <formula1>INDIRECT(_xlfn.UNIQUE("Table_SourceData_Scope3_Feed[Product]"))</formula1>
    </dataValidation>
  </dataValidations>
  <pageMargins left="0.7" right="0.7" top="0.75" bottom="0.75" header="0.3" footer="0.3"/>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2577-FBC2-4B29-B367-DCFE81B97A5C}">
  <sheetPr>
    <tabColor theme="5" tint="-0.249977111117893"/>
  </sheetPr>
  <dimension ref="A1:J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5703125" customWidth="1"/>
    <col min="3" max="3" width="4.5703125" style="1" customWidth="1"/>
    <col min="4" max="4" width="40.7109375" style="1" customWidth="1"/>
    <col min="5" max="9" width="30.5703125" style="1" customWidth="1"/>
    <col min="10" max="10" width="4.5703125" style="1" customWidth="1"/>
  </cols>
  <sheetData>
    <row r="1" spans="1:10" s="10" customFormat="1" ht="30" customHeight="1" x14ac:dyDescent="0.35">
      <c r="C1" s="10" t="s">
        <v>1144</v>
      </c>
    </row>
    <row r="2" spans="1:10" s="3" customFormat="1" ht="20.100000000000001" customHeight="1" x14ac:dyDescent="0.2">
      <c r="A2"/>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row>
    <row r="6" spans="1:10" ht="20.100000000000001" customHeight="1" x14ac:dyDescent="0.2">
      <c r="D6" s="2" t="s">
        <v>1145</v>
      </c>
    </row>
    <row r="8" spans="1:10" ht="20.100000000000001" customHeight="1" x14ac:dyDescent="0.2">
      <c r="A8" s="7" t="s">
        <v>0</v>
      </c>
      <c r="D8" s="20" t="s">
        <v>1146</v>
      </c>
      <c r="E8" s="20" t="s">
        <v>1147</v>
      </c>
      <c r="F8" s="20" t="s">
        <v>1148</v>
      </c>
      <c r="G8" s="20" t="s">
        <v>1149</v>
      </c>
      <c r="H8" s="20" t="s">
        <v>1150</v>
      </c>
    </row>
    <row r="9" spans="1:10" ht="20.100000000000001" customHeight="1" x14ac:dyDescent="0.2">
      <c r="A9" s="5" t="str">
        <f>HYPERLINK("#'Input - Enterprise'!A1", "Enterprise")</f>
        <v>Enterprise</v>
      </c>
      <c r="D9" s="34" t="s">
        <v>1151</v>
      </c>
      <c r="E9" s="13" t="s">
        <v>1152</v>
      </c>
      <c r="F9" s="20">
        <v>986</v>
      </c>
      <c r="G9" s="20">
        <v>10</v>
      </c>
      <c r="H9" s="20">
        <v>52</v>
      </c>
    </row>
    <row r="10" spans="1:10" ht="20.100000000000001" customHeight="1" x14ac:dyDescent="0.2">
      <c r="A10" s="5" t="str">
        <f>HYPERLINK("#'Input - Site'!A1", "Site")</f>
        <v>Site</v>
      </c>
      <c r="D10" s="34" t="s">
        <v>1153</v>
      </c>
      <c r="E10" s="13" t="s">
        <v>1154</v>
      </c>
      <c r="F10" s="20">
        <v>65</v>
      </c>
      <c r="G10" s="20">
        <v>10</v>
      </c>
      <c r="H10" s="20">
        <v>6</v>
      </c>
    </row>
    <row r="11" spans="1:10" ht="20.100000000000001" customHeight="1" x14ac:dyDescent="0.2">
      <c r="A11" s="5" t="str">
        <f>HYPERLINK("#'Input - Pasture Beef'!A1", "Pasture Beef")</f>
        <v>Pasture Beef</v>
      </c>
      <c r="D11" s="34"/>
      <c r="E11" s="13"/>
      <c r="F11" s="20"/>
      <c r="G11" s="20"/>
      <c r="H11" s="20"/>
    </row>
    <row r="12" spans="1:10" ht="20.100000000000001" customHeight="1" x14ac:dyDescent="0.2">
      <c r="A12" s="5" t="str">
        <f>HYPERLINK("#'Input - Livestock sales'!A1", "Livestock sales")</f>
        <v>Livestock sales</v>
      </c>
      <c r="D12" s="34"/>
      <c r="E12" s="13"/>
      <c r="F12" s="20"/>
      <c r="G12" s="20"/>
      <c r="H12" s="20"/>
    </row>
    <row r="13" spans="1:10" ht="20.100000000000001" customHeight="1" x14ac:dyDescent="0.2">
      <c r="A13" s="5" t="str">
        <f>HYPERLINK("#'Input - Beef cattle purchases'!A1", "Beef cattle purchases")</f>
        <v>Beef cattle purchases</v>
      </c>
      <c r="D13" s="34"/>
      <c r="E13" s="13"/>
      <c r="F13" s="20"/>
      <c r="G13" s="20"/>
      <c r="H13" s="20"/>
    </row>
    <row r="14" spans="1:10" ht="20.100000000000001" customHeight="1" x14ac:dyDescent="0.2">
      <c r="A14" s="5" t="str">
        <f>HYPERLINK("#'Input - Pasture'!A1", "Pasture")</f>
        <v>Pasture</v>
      </c>
      <c r="D14" s="34"/>
      <c r="E14" s="13"/>
      <c r="F14" s="20"/>
      <c r="G14" s="20"/>
      <c r="H14" s="20"/>
    </row>
    <row r="15" spans="1:10" ht="20.100000000000001" customHeight="1" x14ac:dyDescent="0.2">
      <c r="A15" s="5" t="str">
        <f>HYPERLINK("#'Input - Fert Prod System'!A1", "Fert Prod System")</f>
        <v>Fert Prod System</v>
      </c>
      <c r="D15" s="34"/>
      <c r="E15" s="13"/>
      <c r="F15" s="20"/>
      <c r="G15" s="20"/>
      <c r="H15" s="20"/>
    </row>
    <row r="16" spans="1:10" ht="20.100000000000001" customHeight="1" x14ac:dyDescent="0.2">
      <c r="A16" s="5" t="str">
        <f>HYPERLINK("#'Input - Fertiliser'!A1", "Fertiliser")</f>
        <v>Fertiliser</v>
      </c>
      <c r="D16" s="34"/>
      <c r="E16" s="13"/>
      <c r="F16" s="20"/>
      <c r="G16" s="20"/>
      <c r="H16" s="20"/>
    </row>
    <row r="17" spans="1:8" ht="20.100000000000001" customHeight="1" x14ac:dyDescent="0.2">
      <c r="A17" s="5" t="str">
        <f>HYPERLINK("#'Input - Fuel'!A1", "Fuel")</f>
        <v>Fuel</v>
      </c>
      <c r="D17" s="34"/>
      <c r="E17" s="13"/>
      <c r="F17" s="20"/>
      <c r="G17" s="20"/>
      <c r="H17" s="20"/>
    </row>
    <row r="18" spans="1:8" ht="20.100000000000001" customHeight="1" x14ac:dyDescent="0.2">
      <c r="A18" s="5" t="str">
        <f>HYPERLINK("#'Input - Electricity'!A1", "Electricity")</f>
        <v>Electricity</v>
      </c>
      <c r="D18" s="34"/>
      <c r="E18" s="13"/>
      <c r="F18" s="20"/>
      <c r="G18" s="20"/>
      <c r="H18" s="20"/>
    </row>
    <row r="19" spans="1:8" ht="20.100000000000001" customHeight="1" x14ac:dyDescent="0.2">
      <c r="A19" s="5" t="str">
        <f>HYPERLINK("#'Input - Common farm inputs'!A1", "Common farm inputs")</f>
        <v>Common farm inputs</v>
      </c>
    </row>
    <row r="20" spans="1:8" ht="20.100000000000001" customHeight="1" x14ac:dyDescent="0.2">
      <c r="A20" s="5" t="str">
        <f>HYPERLINK("#'Input - Crop pasture farm input'!A1", "Crop pasture farm input")</f>
        <v>Crop pasture farm input</v>
      </c>
    </row>
    <row r="21" spans="1:8" ht="20.100000000000001" customHeight="1" x14ac:dyDescent="0.2">
      <c r="A21" s="5" t="str">
        <f>HYPERLINK("#'Input - Livestock farm Inputs'!A1", "Livestock farm Inputs")</f>
        <v>Livestock farm Inputs</v>
      </c>
    </row>
    <row r="22" spans="1:8" ht="20.100000000000001" customHeight="1" x14ac:dyDescent="0.2">
      <c r="A22" s="100" t="str">
        <f>HYPERLINK("#'Input - Freight'!A1", "Freight")</f>
        <v>Freight</v>
      </c>
      <c r="D22" s="2" t="s">
        <v>1155</v>
      </c>
    </row>
    <row r="23" spans="1:8" ht="20.100000000000001" customHeight="1" x14ac:dyDescent="0.2">
      <c r="A23" s="5" t="str">
        <f>HYPERLINK("#'Input - Solid waste'!A1", "Solid waste")</f>
        <v>Solid waste</v>
      </c>
    </row>
    <row r="24" spans="1:8" ht="20.100000000000001" customHeight="1" x14ac:dyDescent="0.2">
      <c r="A24" s="5" t="str">
        <f>HYPERLINK("#'Input - Manure sent off-site'!A1", "Manure sent off-site")</f>
        <v>Manure sent off-site</v>
      </c>
      <c r="D24" s="20" t="s">
        <v>1146</v>
      </c>
      <c r="E24" s="20" t="s">
        <v>1147</v>
      </c>
      <c r="F24" s="20" t="s">
        <v>1148</v>
      </c>
      <c r="G24" s="20" t="s">
        <v>1149</v>
      </c>
      <c r="H24" s="20" t="s">
        <v>1150</v>
      </c>
    </row>
    <row r="25" spans="1:8" ht="20.100000000000001" customHeight="1" x14ac:dyDescent="0.2">
      <c r="A25" s="5" t="str">
        <f>HYPERLINK("#'Input - Data quality'!A1", "Data quality")</f>
        <v>Data quality</v>
      </c>
      <c r="D25" s="34" t="s">
        <v>1156</v>
      </c>
      <c r="E25" s="13" t="s">
        <v>1152</v>
      </c>
      <c r="F25" s="20">
        <v>65</v>
      </c>
      <c r="G25" s="20">
        <v>20</v>
      </c>
      <c r="H25" s="20">
        <v>52</v>
      </c>
    </row>
    <row r="26" spans="1:8" ht="20.100000000000001" customHeight="1" x14ac:dyDescent="0.2">
      <c r="D26" s="34"/>
      <c r="E26" s="13"/>
      <c r="F26" s="20"/>
      <c r="G26" s="20"/>
      <c r="H26" s="20"/>
    </row>
    <row r="27" spans="1:8" ht="20.100000000000001" customHeight="1" x14ac:dyDescent="0.2">
      <c r="D27" s="34"/>
      <c r="E27" s="13"/>
      <c r="F27" s="20"/>
      <c r="G27" s="20"/>
      <c r="H27" s="20"/>
    </row>
    <row r="28" spans="1:8" ht="20.100000000000001" customHeight="1" x14ac:dyDescent="0.2">
      <c r="A28" s="6" t="s">
        <v>2</v>
      </c>
      <c r="D28" s="34"/>
      <c r="E28" s="13"/>
      <c r="F28" s="20"/>
      <c r="G28" s="20"/>
      <c r="H28" s="20"/>
    </row>
    <row r="29" spans="1:8" ht="20.100000000000001" customHeight="1" x14ac:dyDescent="0.2">
      <c r="A29" s="5" t="str">
        <f>HYPERLINK("#'3.2.1.1-2 Enteric Methane'!A1", "3.2.1.1-2 Enteric Methane")</f>
        <v>3.2.1.1-2 Enteric Methane</v>
      </c>
      <c r="D29" s="34"/>
      <c r="E29" s="13"/>
      <c r="F29" s="20"/>
      <c r="G29" s="20"/>
      <c r="H29" s="20"/>
    </row>
    <row r="30" spans="1:8" ht="20.100000000000001" customHeight="1" x14ac:dyDescent="0.2">
      <c r="A30" s="5" t="str">
        <f>HYPERLINK("#'4.2.1.1-2 Methane'!A1", "4.2.1.1-2 Manure methane")</f>
        <v>4.2.1.1-2 Manure methane</v>
      </c>
      <c r="D30" s="34"/>
      <c r="E30" s="13"/>
      <c r="F30" s="20"/>
      <c r="G30" s="20"/>
      <c r="H30" s="20"/>
    </row>
    <row r="31" spans="1:8" ht="20.100000000000001" customHeight="1" x14ac:dyDescent="0.2">
      <c r="A31" s="5" t="str">
        <f>HYPERLINK("#'4.2.1.3-4 Soil direct N20'!A1", "4.2.1.3-4 Soil direct N2O")</f>
        <v>4.2.1.3-4 Soil direct N2O</v>
      </c>
      <c r="D31" s="34"/>
      <c r="E31" s="13"/>
      <c r="F31" s="20"/>
      <c r="G31" s="20"/>
      <c r="H31" s="20"/>
    </row>
    <row r="32" spans="1:8" ht="20.100000000000001" customHeight="1" x14ac:dyDescent="0.2">
      <c r="A32" s="5" t="str">
        <f>HYPERLINK("#'4.2.1.5-6 Soil Atmos Dep'!A1", "4.2.1.5-6 Soil atm. deposition")</f>
        <v>4.2.1.5-6 Soil atm. deposition</v>
      </c>
      <c r="D32" s="34"/>
      <c r="E32" s="13"/>
      <c r="F32" s="20"/>
      <c r="G32" s="20"/>
      <c r="H32" s="20"/>
    </row>
    <row r="33" spans="1:8" ht="20.100000000000001" customHeight="1" x14ac:dyDescent="0.2">
      <c r="A33" s="5" t="str">
        <f>HYPERLINK("#'4.2.1.7-8 Soil leach runoff'!A1", "4.2.1.7-8 Soil leach &amp; runoff")</f>
        <v>4.2.1.7-8 Soil leach &amp; runoff</v>
      </c>
      <c r="D33" s="34"/>
      <c r="E33" s="13"/>
      <c r="F33" s="20"/>
      <c r="G33" s="20"/>
      <c r="H33" s="20"/>
    </row>
    <row r="34" spans="1:8" ht="20.100000000000001" customHeight="1" x14ac:dyDescent="0.2">
      <c r="A34" s="5" t="str">
        <f>HYPERLINK("#'5.1.1.1-2 Inorganic fert N2O'!A1", "5.1.1.1-2 Inorganic fert N2O")</f>
        <v>5.1.1.1-2 Inorganic fert N2O</v>
      </c>
      <c r="D34" s="34"/>
      <c r="E34" s="13"/>
      <c r="F34" s="20"/>
      <c r="G34" s="20"/>
      <c r="H34" s="20"/>
    </row>
    <row r="35" spans="1:8" ht="20.100000000000001" customHeight="1" x14ac:dyDescent="0.2">
      <c r="A35" s="5" t="str">
        <f>HYPERLINK("#'5.1.1.3-4 Inorganic fert CO2'!A1", "5.1.1.3-4 Inorganic fert CO2")</f>
        <v>5.1.1.3-4 Inorganic fert CO2</v>
      </c>
    </row>
    <row r="36" spans="1:8" ht="20.100000000000001" customHeight="1" x14ac:dyDescent="0.2">
      <c r="A36" s="5" t="str">
        <f>HYPERLINK("#'5.2.1.1-2 Organic Fert N2O'!A1", "5.2.1.1-2 Organic fert N2O")</f>
        <v>5.2.1.1-2 Organic fert N2O</v>
      </c>
    </row>
    <row r="37" spans="1:8" ht="20.100000000000001" customHeight="1" x14ac:dyDescent="0.2">
      <c r="A37" s="5" t="str">
        <f>HYPERLINK("#'5.3.1.1-2 Lime CO2'!A1", "5.3.1.1-2 Lime CO2")</f>
        <v>5.3.1.1-2 Lime CO2</v>
      </c>
    </row>
    <row r="38" spans="1:8" ht="20.100000000000001" customHeight="1" x14ac:dyDescent="0.2">
      <c r="A38" s="5" t="str">
        <f>HYPERLINK("#'5.4.1.1-4 Atmos deposition'!A1", "5.4.1.1-4 Atmos. deposition")</f>
        <v>5.4.1.1-4 Atmos. deposition</v>
      </c>
    </row>
    <row r="39" spans="1:8" ht="20.100000000000001" customHeight="1" x14ac:dyDescent="0.2">
      <c r="A39" s="5" t="str">
        <f>HYPERLINK("#'5.5.1.1-2 Leaching and runoff'!A1", "5.5.1.1-2 Leaching &amp; runoff")</f>
        <v>5.5.1.1-2 Leaching &amp; runoff</v>
      </c>
    </row>
    <row r="40" spans="1:8" ht="20.100000000000001" customHeight="1" x14ac:dyDescent="0.2">
      <c r="A40" s="5" t="str">
        <f>HYPERLINK("#'6.2.1.1-2 Pasture residue N2O'!A1", "6.2.1.1-2 Pasture residue N2O")</f>
        <v>6.2.1.1-2 Pasture residue N2O</v>
      </c>
    </row>
    <row r="41" spans="1:8" ht="20.100000000000001" customHeight="1" x14ac:dyDescent="0.2">
      <c r="A41" s="5" t="str">
        <f>HYPERLINK("#'6.3.1.1-2 Leach runoff pasture'!A1", "6.3.1.1-2 Leach &amp; runoff (pasture)")</f>
        <v>6.3.1.1-2 Leach &amp; runoff (pasture)</v>
      </c>
    </row>
    <row r="42" spans="1:8" ht="20.100000000000001" customHeight="1" x14ac:dyDescent="0.2">
      <c r="A42" s="5" t="str">
        <f>HYPERLINK("#'8.1.1.1-2 Transport fuel'!A1", "8.1.1.1-2 Transport fuel")</f>
        <v>8.1.1.1-2 Transport fuel</v>
      </c>
    </row>
    <row r="43" spans="1:8" ht="20.100000000000001" customHeight="1" x14ac:dyDescent="0.2">
      <c r="A43" s="5" t="str">
        <f>HYPERLINK("#'8.2.1.1-2 Stationary fuel'!A1", "8.2.1.1-2 Stationary fuel")</f>
        <v>8.2.1.1-2 Stationary fuel</v>
      </c>
    </row>
    <row r="44" spans="1:8" ht="20.100000000000001" customHeight="1" x14ac:dyDescent="0.2">
      <c r="A44" s="5" t="str">
        <f>HYPERLINK("#'10.1.1-2 Solid waste treatment'!A1", "10.1.1.1-2 Solid waste")</f>
        <v>10.1.1.1-2 Solid waste</v>
      </c>
    </row>
    <row r="45" spans="1:8" ht="20.100000000000001" customHeight="1" x14ac:dyDescent="0.2">
      <c r="A45" s="5" t="str">
        <f>HYPERLINK("#'14.1.1-2 Purchased electricity'!A1", "14.1.1-2 Purchased electricity")</f>
        <v>14.1.1-2 Purchased electricity</v>
      </c>
    </row>
    <row r="46" spans="1:8" ht="20.100000000000001" customHeight="1" x14ac:dyDescent="0.2">
      <c r="A46" s="5" t="str">
        <f>HYPERLINK("#'15 Scope 3'!A1", "15 Scope 3")</f>
        <v>15 Scope 3</v>
      </c>
    </row>
    <row r="47" spans="1:8"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dataValidations count="1">
    <dataValidation type="list" allowBlank="1" showInputMessage="1" showErrorMessage="1" sqref="E9:E18 E25:E34" xr:uid="{4248932E-5E04-4462-A028-10422E5CB969}">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0D3A-E26F-4022-AC71-6ACFAA6CCC6B}">
  <sheetPr>
    <tabColor theme="5" tint="-0.249977111117893"/>
  </sheetPr>
  <dimension ref="A1:L385"/>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914</v>
      </c>
    </row>
    <row r="2" spans="1:10" s="3" customFormat="1" ht="20.100000000000001" customHeight="1" x14ac:dyDescent="0.2">
      <c r="A2"/>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Emissions Intensity")</f>
        <v>Results - Product Emissions Intensity</v>
      </c>
      <c r="D5" s="2" t="s">
        <v>915</v>
      </c>
    </row>
    <row r="7" spans="1:10" ht="20.100000000000001" customHeight="1" x14ac:dyDescent="0.2">
      <c r="D7" s="36" t="s">
        <v>790</v>
      </c>
      <c r="E7" s="39"/>
    </row>
    <row r="8" spans="1:10" ht="20.100000000000001" customHeight="1" x14ac:dyDescent="0.2">
      <c r="A8" s="7" t="s">
        <v>0</v>
      </c>
    </row>
    <row r="9" spans="1:10" ht="20.100000000000001" customHeight="1" x14ac:dyDescent="0.2">
      <c r="A9" s="5" t="str">
        <f>HYPERLINK("#'Input - Enterprise'!A1", "Enterprise")</f>
        <v>Enterprise</v>
      </c>
      <c r="D9" s="82" t="s">
        <v>199</v>
      </c>
      <c r="E9" s="82" t="s">
        <v>916</v>
      </c>
      <c r="F9" s="82" t="s">
        <v>917</v>
      </c>
      <c r="G9" s="82" t="s">
        <v>918</v>
      </c>
      <c r="H9" s="82" t="s">
        <v>919</v>
      </c>
      <c r="I9" s="82" t="s">
        <v>920</v>
      </c>
    </row>
    <row r="10" spans="1:10" ht="20.100000000000001" customHeight="1" x14ac:dyDescent="0.2">
      <c r="A10" s="5" t="str">
        <f>HYPERLINK("#'Input - Site'!A1", "Site")</f>
        <v>Site</v>
      </c>
      <c r="D10" s="34" t="s">
        <v>921</v>
      </c>
      <c r="E10" s="13" t="s">
        <v>922</v>
      </c>
      <c r="F10" s="13" t="s">
        <v>923</v>
      </c>
      <c r="G10" s="13" t="s">
        <v>924</v>
      </c>
      <c r="H10" s="76">
        <v>50</v>
      </c>
      <c r="I10" s="13" t="s">
        <v>28</v>
      </c>
    </row>
    <row r="11" spans="1:10" ht="20.100000000000001" customHeight="1" x14ac:dyDescent="0.2">
      <c r="A11" s="5" t="str">
        <f>HYPERLINK("#'Input - Pasture Beef'!A1", "Pasture Beef")</f>
        <v>Pasture Beef</v>
      </c>
      <c r="D11" s="34" t="s">
        <v>925</v>
      </c>
      <c r="E11" s="13" t="s">
        <v>922</v>
      </c>
      <c r="F11" s="13" t="s">
        <v>923</v>
      </c>
      <c r="G11" s="13" t="s">
        <v>926</v>
      </c>
      <c r="H11" s="76">
        <v>50</v>
      </c>
      <c r="I11" s="13" t="s">
        <v>927</v>
      </c>
    </row>
    <row r="12" spans="1:10" ht="20.100000000000001" customHeight="1" x14ac:dyDescent="0.2">
      <c r="A12" s="5" t="str">
        <f>HYPERLINK("#'Input - Livestock sales'!A1", "Livestock sales")</f>
        <v>Livestock sales</v>
      </c>
      <c r="D12" s="34" t="s">
        <v>928</v>
      </c>
      <c r="E12" s="13" t="s">
        <v>922</v>
      </c>
      <c r="F12" s="13" t="s">
        <v>929</v>
      </c>
      <c r="G12" s="13" t="s">
        <v>924</v>
      </c>
      <c r="H12" s="76">
        <v>50</v>
      </c>
      <c r="I12" s="13" t="s">
        <v>28</v>
      </c>
    </row>
    <row r="13" spans="1:10" ht="20.100000000000001" customHeight="1" x14ac:dyDescent="0.2">
      <c r="A13" s="5" t="str">
        <f>HYPERLINK("#'Input - Beef cattle purchases'!A1", "Beef cattle purchases")</f>
        <v>Beef cattle purchases</v>
      </c>
      <c r="D13" s="34" t="s">
        <v>930</v>
      </c>
      <c r="E13" s="13" t="s">
        <v>922</v>
      </c>
      <c r="F13" s="13" t="s">
        <v>929</v>
      </c>
      <c r="G13" s="13" t="s">
        <v>926</v>
      </c>
      <c r="H13" s="76">
        <v>50</v>
      </c>
      <c r="I13" s="13" t="s">
        <v>927</v>
      </c>
    </row>
    <row r="14" spans="1:10" ht="20.100000000000001" customHeight="1" x14ac:dyDescent="0.2">
      <c r="A14" s="5" t="str">
        <f>HYPERLINK("#'Input - Pasture'!A1", "Pasture")</f>
        <v>Pasture</v>
      </c>
      <c r="D14" s="34" t="s">
        <v>931</v>
      </c>
      <c r="E14" s="13" t="s">
        <v>932</v>
      </c>
      <c r="F14" s="13" t="s">
        <v>929</v>
      </c>
      <c r="G14" s="13" t="s">
        <v>924</v>
      </c>
      <c r="H14" s="76">
        <v>50</v>
      </c>
      <c r="I14" s="13" t="s">
        <v>28</v>
      </c>
    </row>
    <row r="15" spans="1:10" ht="20.100000000000001" customHeight="1" x14ac:dyDescent="0.2">
      <c r="A15" s="5" t="str">
        <f>HYPERLINK("#'Input - Fert Prod System'!A1", "Fert Prod System")</f>
        <v>Fert Prod System</v>
      </c>
      <c r="D15" s="34" t="s">
        <v>933</v>
      </c>
      <c r="E15" s="13" t="s">
        <v>932</v>
      </c>
      <c r="F15" s="13" t="s">
        <v>929</v>
      </c>
      <c r="G15" s="13" t="s">
        <v>924</v>
      </c>
      <c r="H15" s="76">
        <v>50</v>
      </c>
      <c r="I15" s="13" t="s">
        <v>927</v>
      </c>
    </row>
    <row r="16" spans="1:10" ht="20.100000000000001" customHeight="1" x14ac:dyDescent="0.2">
      <c r="A16" s="5" t="str">
        <f>HYPERLINK("#'Input - Fertiliser'!A1", "Fertiliser")</f>
        <v>Fertiliser</v>
      </c>
      <c r="D16" s="34" t="s">
        <v>934</v>
      </c>
      <c r="E16" s="13" t="s">
        <v>932</v>
      </c>
      <c r="F16" s="13" t="s">
        <v>929</v>
      </c>
      <c r="G16" s="13" t="s">
        <v>926</v>
      </c>
      <c r="H16" s="76">
        <v>50</v>
      </c>
      <c r="I16" s="13" t="s">
        <v>28</v>
      </c>
    </row>
    <row r="17" spans="1:11" ht="20.100000000000001" customHeight="1" x14ac:dyDescent="0.2">
      <c r="A17" s="5" t="str">
        <f>HYPERLINK("#'Input - Fuel'!A1", "Fuel")</f>
        <v>Fuel</v>
      </c>
      <c r="D17" s="34" t="s">
        <v>935</v>
      </c>
      <c r="E17" s="13" t="s">
        <v>932</v>
      </c>
      <c r="F17" s="13" t="s">
        <v>929</v>
      </c>
      <c r="G17" s="13" t="s">
        <v>926</v>
      </c>
      <c r="H17" s="76">
        <v>50</v>
      </c>
      <c r="I17" s="13" t="s">
        <v>927</v>
      </c>
    </row>
    <row r="18" spans="1:11" ht="20.100000000000001" customHeight="1" x14ac:dyDescent="0.2">
      <c r="A18" s="5" t="str">
        <f>HYPERLINK("#'Input - Electricity'!A1", "Electricity")</f>
        <v>Electricity</v>
      </c>
      <c r="D18" s="34" t="s">
        <v>936</v>
      </c>
      <c r="E18" s="13" t="s">
        <v>932</v>
      </c>
      <c r="F18" s="13" t="s">
        <v>923</v>
      </c>
      <c r="G18" s="13" t="s">
        <v>924</v>
      </c>
      <c r="H18" s="76">
        <v>50</v>
      </c>
      <c r="I18" s="13" t="s">
        <v>28</v>
      </c>
    </row>
    <row r="19" spans="1:11" ht="20.100000000000001" customHeight="1" x14ac:dyDescent="0.2">
      <c r="A19" s="5" t="str">
        <f>HYPERLINK("#'Input - Common farm inputs'!A1", "Common farm inputs")</f>
        <v>Common farm inputs</v>
      </c>
      <c r="D19" s="34" t="s">
        <v>937</v>
      </c>
      <c r="E19" s="13" t="s">
        <v>932</v>
      </c>
      <c r="F19" s="13" t="s">
        <v>923</v>
      </c>
      <c r="G19" s="13" t="s">
        <v>924</v>
      </c>
      <c r="H19" s="76">
        <v>50</v>
      </c>
      <c r="I19" s="13" t="s">
        <v>927</v>
      </c>
    </row>
    <row r="20" spans="1:11" ht="20.100000000000001" customHeight="1" x14ac:dyDescent="0.2">
      <c r="A20" s="5" t="str">
        <f>HYPERLINK("#'Input - Crop pasture farm input'!A1", "Crop pasture farm input")</f>
        <v>Crop pasture farm input</v>
      </c>
      <c r="D20" s="34" t="s">
        <v>938</v>
      </c>
      <c r="E20" s="13" t="s">
        <v>932</v>
      </c>
      <c r="F20" s="13" t="s">
        <v>923</v>
      </c>
      <c r="G20" s="13" t="s">
        <v>926</v>
      </c>
      <c r="H20" s="76">
        <v>50</v>
      </c>
      <c r="I20" s="13" t="s">
        <v>28</v>
      </c>
    </row>
    <row r="21" spans="1:11" ht="20.100000000000001" customHeight="1" x14ac:dyDescent="0.2">
      <c r="A21" s="5" t="str">
        <f>HYPERLINK("#'Input - Livestock farm Inputs'!A1", "Livestock farm Inputs")</f>
        <v>Livestock farm Inputs</v>
      </c>
      <c r="D21" s="34" t="s">
        <v>939</v>
      </c>
      <c r="E21" s="13" t="s">
        <v>932</v>
      </c>
      <c r="F21" s="13" t="s">
        <v>923</v>
      </c>
      <c r="G21" s="13" t="s">
        <v>926</v>
      </c>
      <c r="H21" s="76">
        <v>50</v>
      </c>
      <c r="I21" s="13" t="s">
        <v>927</v>
      </c>
    </row>
    <row r="22" spans="1:11" ht="20.100000000000001" customHeight="1" x14ac:dyDescent="0.2">
      <c r="A22" s="5" t="str">
        <f>HYPERLINK("#'Input - Freight'!A1", "Freight")</f>
        <v>Freight</v>
      </c>
      <c r="D22" s="34" t="s">
        <v>940</v>
      </c>
      <c r="E22" s="13" t="s">
        <v>932</v>
      </c>
      <c r="F22" s="13" t="s">
        <v>941</v>
      </c>
      <c r="G22" s="13" t="s">
        <v>924</v>
      </c>
      <c r="H22" s="76">
        <v>50</v>
      </c>
      <c r="I22" s="13" t="s">
        <v>28</v>
      </c>
    </row>
    <row r="23" spans="1:11" ht="20.100000000000001" customHeight="1" x14ac:dyDescent="0.2">
      <c r="A23" s="100" t="str">
        <f>HYPERLINK("#'Input - Solid waste'!A1", "Solid waste")</f>
        <v>Solid waste</v>
      </c>
      <c r="D23" s="34" t="s">
        <v>942</v>
      </c>
      <c r="E23" s="13" t="s">
        <v>932</v>
      </c>
      <c r="F23" s="13" t="s">
        <v>941</v>
      </c>
      <c r="G23" s="13" t="s">
        <v>924</v>
      </c>
      <c r="H23" s="76">
        <v>50</v>
      </c>
      <c r="I23" s="13" t="s">
        <v>927</v>
      </c>
    </row>
    <row r="24" spans="1:11" ht="20.100000000000001" customHeight="1" x14ac:dyDescent="0.2">
      <c r="A24" s="5" t="str">
        <f>HYPERLINK("#'Input - Manure sent off-site'!A1", "Manure sent off-site")</f>
        <v>Manure sent off-site</v>
      </c>
      <c r="D24" s="34" t="s">
        <v>943</v>
      </c>
      <c r="E24" s="13" t="s">
        <v>932</v>
      </c>
      <c r="F24" s="13" t="s">
        <v>941</v>
      </c>
      <c r="G24" s="13" t="s">
        <v>926</v>
      </c>
      <c r="H24" s="76">
        <v>50</v>
      </c>
      <c r="I24" s="13" t="s">
        <v>28</v>
      </c>
    </row>
    <row r="25" spans="1:11" ht="20.100000000000001" customHeight="1" x14ac:dyDescent="0.2">
      <c r="A25" s="5" t="str">
        <f>HYPERLINK("#'Input - Data quality'!A1", "Data quality")</f>
        <v>Data quality</v>
      </c>
      <c r="D25" s="34" t="s">
        <v>944</v>
      </c>
      <c r="E25" s="13" t="s">
        <v>932</v>
      </c>
      <c r="F25" s="13" t="s">
        <v>941</v>
      </c>
      <c r="G25" s="13" t="s">
        <v>926</v>
      </c>
      <c r="H25" s="76">
        <v>50</v>
      </c>
      <c r="I25" s="13" t="s">
        <v>927</v>
      </c>
    </row>
    <row r="26" spans="1:11" ht="20.100000000000001" customHeight="1" x14ac:dyDescent="0.2">
      <c r="D26" s="34" t="s">
        <v>945</v>
      </c>
      <c r="E26" s="13" t="s">
        <v>946</v>
      </c>
      <c r="F26" s="13" t="s">
        <v>923</v>
      </c>
      <c r="G26" s="13" t="s">
        <v>926</v>
      </c>
      <c r="H26" s="76">
        <v>50</v>
      </c>
      <c r="I26" s="13" t="s">
        <v>28</v>
      </c>
    </row>
    <row r="27" spans="1:11" ht="20.100000000000001" customHeight="1" x14ac:dyDescent="0.2">
      <c r="D27" s="34" t="s">
        <v>947</v>
      </c>
      <c r="E27" s="13" t="s">
        <v>946</v>
      </c>
      <c r="F27" s="13" t="s">
        <v>923</v>
      </c>
      <c r="G27" s="13" t="s">
        <v>926</v>
      </c>
      <c r="H27" s="76">
        <v>50</v>
      </c>
      <c r="I27" s="13" t="s">
        <v>927</v>
      </c>
    </row>
    <row r="28" spans="1:11" ht="20.100000000000001" customHeight="1" x14ac:dyDescent="0.2">
      <c r="A28" s="6" t="s">
        <v>2</v>
      </c>
      <c r="D28" s="34" t="s">
        <v>948</v>
      </c>
      <c r="E28" s="13" t="s">
        <v>946</v>
      </c>
      <c r="F28" s="13" t="s">
        <v>941</v>
      </c>
      <c r="G28" s="13" t="s">
        <v>926</v>
      </c>
      <c r="H28" s="76">
        <v>50</v>
      </c>
      <c r="I28" s="13" t="s">
        <v>28</v>
      </c>
    </row>
    <row r="29" spans="1:11" ht="20.100000000000001" customHeight="1" x14ac:dyDescent="0.2">
      <c r="A29" s="5" t="str">
        <f>HYPERLINK("#'3.2.1.1-2 Enteric Methane'!A1", "3.2.1.1-2 Enteric Methane")</f>
        <v>3.2.1.1-2 Enteric Methane</v>
      </c>
      <c r="D29" s="34" t="s">
        <v>949</v>
      </c>
      <c r="E29" s="13" t="s">
        <v>946</v>
      </c>
      <c r="F29" s="13" t="s">
        <v>941</v>
      </c>
      <c r="G29" s="13" t="s">
        <v>926</v>
      </c>
      <c r="H29" s="76">
        <v>50</v>
      </c>
      <c r="I29" s="13" t="s">
        <v>927</v>
      </c>
      <c r="K29" s="155"/>
    </row>
    <row r="30" spans="1:11" ht="20.100000000000001" customHeight="1" x14ac:dyDescent="0.2">
      <c r="A30" s="5" t="str">
        <f>HYPERLINK("#'4.2.1.1-2 Methane'!A1", "4.2.1.1-2 Manure methane")</f>
        <v>4.2.1.1-2 Manure methane</v>
      </c>
      <c r="D30" s="34" t="s">
        <v>950</v>
      </c>
      <c r="E30" s="13" t="s">
        <v>946</v>
      </c>
      <c r="F30" s="13" t="s">
        <v>941</v>
      </c>
      <c r="G30" s="13" t="s">
        <v>924</v>
      </c>
      <c r="H30" s="76">
        <v>50</v>
      </c>
      <c r="I30" s="13" t="s">
        <v>28</v>
      </c>
      <c r="K30" s="155"/>
    </row>
    <row r="31" spans="1:11" ht="20.100000000000001" customHeight="1" x14ac:dyDescent="0.2">
      <c r="A31" s="5" t="str">
        <f>HYPERLINK("#'4.2.1.3-4 Soil direct N20'!A1", "4.2.1.3-4 Soil direct N2O")</f>
        <v>4.2.1.3-4 Soil direct N2O</v>
      </c>
      <c r="D31" s="34" t="s">
        <v>951</v>
      </c>
      <c r="E31" s="13" t="s">
        <v>946</v>
      </c>
      <c r="F31" s="13" t="s">
        <v>941</v>
      </c>
      <c r="G31" s="13" t="s">
        <v>924</v>
      </c>
      <c r="H31" s="76">
        <v>50</v>
      </c>
      <c r="I31" s="13" t="s">
        <v>927</v>
      </c>
      <c r="K31" s="155"/>
    </row>
    <row r="32" spans="1:11" ht="20.100000000000001" customHeight="1" x14ac:dyDescent="0.2">
      <c r="A32" s="5" t="str">
        <f>HYPERLINK("#'4.2.1.5-6 Soil Atmos Dep'!A1", "4.2.1.5-6 Soil atm. deposition")</f>
        <v>4.2.1.5-6 Soil atm. deposition</v>
      </c>
      <c r="D32" s="34" t="s">
        <v>949</v>
      </c>
      <c r="E32" s="13" t="s">
        <v>946</v>
      </c>
      <c r="F32" s="13" t="s">
        <v>941</v>
      </c>
      <c r="G32" s="13" t="s">
        <v>926</v>
      </c>
      <c r="H32" s="76">
        <v>50</v>
      </c>
      <c r="I32" s="13" t="s">
        <v>927</v>
      </c>
      <c r="K32" s="155"/>
    </row>
    <row r="33" spans="1:12" ht="20.100000000000001" customHeight="1" x14ac:dyDescent="0.2">
      <c r="A33" s="5" t="str">
        <f>HYPERLINK("#'4.2.1.7-8 Soil leach runoff'!A1", "4.2.1.7-8 Soil leach &amp; runoff")</f>
        <v>4.2.1.7-8 Soil leach &amp; runoff</v>
      </c>
      <c r="K33" s="155"/>
    </row>
    <row r="34" spans="1:12" ht="20.100000000000001" customHeight="1" x14ac:dyDescent="0.2">
      <c r="A34" s="5" t="str">
        <f>HYPERLINK("#'5.1.1.1-2 Inorganic fert N2O'!A1", "5.1.1.1-2 Inorganic fert N2O")</f>
        <v>5.1.1.1-2 Inorganic fert N2O</v>
      </c>
      <c r="K34" s="155"/>
    </row>
    <row r="35" spans="1:12" ht="20.100000000000001" customHeight="1" x14ac:dyDescent="0.2">
      <c r="A35" s="5" t="str">
        <f>HYPERLINK("#'5.1.1.3-4 Inorganic fert CO2'!A1", "5.1.1.3-4 Inorganic fert CO2")</f>
        <v>5.1.1.3-4 Inorganic fert CO2</v>
      </c>
    </row>
    <row r="36" spans="1:12" ht="20.100000000000001" customHeight="1" x14ac:dyDescent="0.2">
      <c r="A36" s="5" t="str">
        <f>HYPERLINK("#'5.2.1.1-2 Organic Fert N2O'!A1", "5.2.1.1-2 Organic fert N2O")</f>
        <v>5.2.1.1-2 Organic fert N2O</v>
      </c>
      <c r="L36" s="155"/>
    </row>
    <row r="37" spans="1:12" ht="20.100000000000001" customHeight="1" x14ac:dyDescent="0.2">
      <c r="A37" s="5" t="str">
        <f>HYPERLINK("#'5.3.1.1-2 Lime CO2'!A1", "5.3.1.1-2 Lime CO2")</f>
        <v>5.3.1.1-2 Lime CO2</v>
      </c>
      <c r="L37" s="155"/>
    </row>
    <row r="38" spans="1:12" ht="20.100000000000001" customHeight="1" x14ac:dyDescent="0.2">
      <c r="A38" s="5" t="str">
        <f>HYPERLINK("#'5.4.1.1-4 Atmos deposition'!A1", "5.4.1.1-4 Atmos. deposition")</f>
        <v>5.4.1.1-4 Atmos. deposition</v>
      </c>
      <c r="C38" s="143"/>
    </row>
    <row r="39" spans="1:12" ht="20.100000000000001" customHeight="1" x14ac:dyDescent="0.2">
      <c r="A39" s="5" t="str">
        <f>HYPERLINK("#'5.5.1.1-2 Leaching and runoff'!A1", "5.5.1.1-2 Leaching &amp; runoff")</f>
        <v>5.5.1.1-2 Leaching &amp; runoff</v>
      </c>
      <c r="C39" s="143"/>
      <c r="J39" s="143"/>
    </row>
    <row r="40" spans="1:12" s="155" customFormat="1" ht="20.100000000000001" customHeight="1" x14ac:dyDescent="0.2">
      <c r="A40" s="5" t="str">
        <f>HYPERLINK("#'6.2.1.1-2 Pasture residue N2O'!A1", "6.2.1.1-2 Pasture residue N2O")</f>
        <v>6.2.1.1-2 Pasture residue N2O</v>
      </c>
      <c r="C40" s="1"/>
      <c r="D40" s="1"/>
      <c r="E40" s="1"/>
      <c r="F40" s="1"/>
      <c r="G40" s="1"/>
      <c r="H40" s="1"/>
      <c r="I40" s="1"/>
      <c r="J40" s="1"/>
    </row>
    <row r="41" spans="1:12" s="155" customFormat="1" ht="20.100000000000001" customHeight="1" x14ac:dyDescent="0.2">
      <c r="A41" s="5" t="str">
        <f>HYPERLINK("#'6.3.1.1-2 Leach runoff pasture'!A1", "6.3.1.1-2 Leach &amp; runoff (pasture)")</f>
        <v>6.3.1.1-2 Leach &amp; runoff (pasture)</v>
      </c>
      <c r="C41" s="1"/>
      <c r="D41" s="1"/>
      <c r="E41" s="1"/>
      <c r="F41" s="1"/>
      <c r="G41" s="1"/>
      <c r="H41" s="1"/>
      <c r="I41" s="1"/>
      <c r="J41" s="1"/>
      <c r="L41" s="155" t="s">
        <v>802</v>
      </c>
    </row>
    <row r="42" spans="1:12" ht="20.100000000000001" customHeight="1" x14ac:dyDescent="0.2">
      <c r="A42" s="5" t="str">
        <f>HYPERLINK("#'8.1.1.1-2 Transport fuel'!A1", "8.1.1.1-2 Transport fuel")</f>
        <v>8.1.1.1-2 Transport fuel</v>
      </c>
    </row>
    <row r="43" spans="1:12" ht="20.100000000000001" customHeight="1" x14ac:dyDescent="0.2">
      <c r="A43" s="5" t="str">
        <f>HYPERLINK("#'8.2.1.1-2 Stationary fuel'!A1", "8.2.1.1-2 Stationary fuel")</f>
        <v>8.2.1.1-2 Stationary fuel</v>
      </c>
    </row>
    <row r="44" spans="1:12" ht="20.100000000000001" customHeight="1" x14ac:dyDescent="0.2">
      <c r="A44" s="5" t="str">
        <f>HYPERLINK("#'10.1.1-2 Solid waste treatment'!A1", "10.1.1.1-2 Solid waste")</f>
        <v>10.1.1.1-2 Solid waste</v>
      </c>
    </row>
    <row r="45" spans="1:12" ht="20.100000000000001" customHeight="1" x14ac:dyDescent="0.2">
      <c r="A45" s="5" t="str">
        <f>HYPERLINK("#'14.1.1-2 Purchased electricity'!A1", "14.1.1-2 Purchased electricity")</f>
        <v>14.1.1-2 Purchased electricity</v>
      </c>
    </row>
    <row r="46" spans="1:12" ht="20.100000000000001" customHeight="1" x14ac:dyDescent="0.2">
      <c r="A46" s="5" t="str">
        <f>HYPERLINK("#'15 Scope 3'!A1", "15 Scope 3")</f>
        <v>15 Scope 3</v>
      </c>
    </row>
    <row r="47" spans="1:12"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row r="73" spans="4:4" ht="20.100000000000001" customHeight="1" x14ac:dyDescent="0.2">
      <c r="D73" s="184"/>
    </row>
    <row r="75" spans="4:4" ht="20.100000000000001" customHeight="1" x14ac:dyDescent="0.2">
      <c r="D75" s="184"/>
    </row>
    <row r="76" spans="4:4" ht="20.100000000000001" customHeight="1" x14ac:dyDescent="0.2">
      <c r="D76" s="184"/>
    </row>
    <row r="385" spans="4:4" ht="20.100000000000001" customHeight="1" x14ac:dyDescent="0.2">
      <c r="D385" s="80"/>
    </row>
  </sheetData>
  <conditionalFormatting sqref="F162:F163">
    <cfRule type="cellIs" dxfId="18" priority="7" operator="lessThan">
      <formula>0</formula>
    </cfRule>
  </conditionalFormatting>
  <conditionalFormatting sqref="F174:F175">
    <cfRule type="cellIs" dxfId="17" priority="6" operator="lessThan">
      <formula>0</formula>
    </cfRule>
  </conditionalFormatting>
  <conditionalFormatting sqref="F186:F187">
    <cfRule type="cellIs" dxfId="16" priority="5" operator="lessThan">
      <formula>0</formula>
    </cfRule>
  </conditionalFormatting>
  <conditionalFormatting sqref="F274:F275">
    <cfRule type="cellIs" dxfId="15" priority="17" operator="lessThan">
      <formula>0</formula>
    </cfRule>
  </conditionalFormatting>
  <conditionalFormatting sqref="F279:F280">
    <cfRule type="cellIs" dxfId="14" priority="16" operator="lessThan">
      <formula>0</formula>
    </cfRule>
  </conditionalFormatting>
  <conditionalFormatting sqref="F284:F285">
    <cfRule type="cellIs" dxfId="13" priority="15" operator="lessThan">
      <formula>0</formula>
    </cfRule>
  </conditionalFormatting>
  <conditionalFormatting sqref="F308:F309">
    <cfRule type="cellIs" dxfId="12" priority="14" operator="lessThan">
      <formula>0</formula>
    </cfRule>
  </conditionalFormatting>
  <conditionalFormatting sqref="F313:F314">
    <cfRule type="cellIs" dxfId="11" priority="13" operator="lessThan">
      <formula>0</formula>
    </cfRule>
  </conditionalFormatting>
  <conditionalFormatting sqref="F318:F319">
    <cfRule type="cellIs" dxfId="10" priority="12" operator="lessThan">
      <formula>0</formula>
    </cfRule>
  </conditionalFormatting>
  <conditionalFormatting sqref="I33 F71">
    <cfRule type="cellIs" dxfId="9" priority="9" operator="lessThan">
      <formula>0</formula>
    </cfRule>
  </conditionalFormatting>
  <conditionalFormatting sqref="I79:I83">
    <cfRule type="cellIs" dxfId="8" priority="4" operator="lessThan">
      <formula>0</formula>
    </cfRule>
  </conditionalFormatting>
  <conditionalFormatting sqref="I87 I146">
    <cfRule type="cellIs" dxfId="7" priority="10" operator="lessThan">
      <formula>0</formula>
    </cfRule>
  </conditionalFormatting>
  <conditionalFormatting sqref="I98:I100">
    <cfRule type="cellIs" dxfId="6" priority="3" operator="lessThan">
      <formula>0</formula>
    </cfRule>
  </conditionalFormatting>
  <conditionalFormatting sqref="I104:I107">
    <cfRule type="cellIs" dxfId="5" priority="2" operator="lessThan">
      <formula>0</formula>
    </cfRule>
  </conditionalFormatting>
  <conditionalFormatting sqref="I111:I115">
    <cfRule type="cellIs" dxfId="4" priority="1" operator="lessThan">
      <formula>0</formula>
    </cfRule>
  </conditionalFormatting>
  <conditionalFormatting sqref="J8 I65:I66 H67:H69 I68 I70:I72 I74:I75 I226 I232 E234:G234">
    <cfRule type="cellIs" dxfId="3" priority="11" operator="lessThan">
      <formula>0</formula>
    </cfRule>
  </conditionalFormatting>
  <conditionalFormatting sqref="J37 I59 F150:F151">
    <cfRule type="cellIs" dxfId="2" priority="8" operator="lessThan">
      <formula>0</formula>
    </cfRule>
  </conditionalFormatting>
  <dataValidations count="9">
    <dataValidation type="list" allowBlank="1" showInputMessage="1" showErrorMessage="1" sqref="F10:F32" xr:uid="{DD547D89-0B7D-4A85-A595-61AA249BA273}">
      <formula1>INDIRECT("Table_WasteTypes_" &amp; SUBSTITUTE(E10, " ", "") &amp; "[Waste type w]")</formula1>
    </dataValidation>
    <dataValidation type="list" allowBlank="1" showInputMessage="1" showErrorMessage="1" sqref="I10:I32" xr:uid="{AC3AF5D9-2C3C-49A4-AF3B-BA77C94A65AD}">
      <formula1>"tonnes, cubic metres m3"</formula1>
    </dataValidation>
    <dataValidation type="list" allowBlank="1" showInputMessage="1" showErrorMessage="1" sqref="G10:G32" xr:uid="{547EB48D-39AC-4996-A777-F31FCC836E07}">
      <formula1>"Treated on-site, Removed and treated off-site"</formula1>
    </dataValidation>
    <dataValidation type="list" allowBlank="1" showInputMessage="1" showErrorMessage="1" sqref="E10:E32" xr:uid="{03E04F4E-3DED-4221-AE7F-CC5FCA0AE539}">
      <formula1>INDIRECT(_xlfn.UNIQUE("Table_SourceData_WasteSolid_WasteTreatmentEFs[Treatment type t]"))</formula1>
    </dataValidation>
    <dataValidation type="list" allowBlank="1" showInputMessage="1" showErrorMessage="1" sqref="E35" xr:uid="{50976735-4D19-484A-9F7A-D4C99E2F4E01}">
      <formula1>INDIRECT("Table_SourceData_ElectricityEFs[State, Territory or grid description]")</formula1>
    </dataValidation>
    <dataValidation type="list" allowBlank="1" showInputMessage="1" showErrorMessage="1" sqref="E89" xr:uid="{8AAB3A1A-5675-46C7-B67F-77E81AD02CBC}">
      <formula1>INDIRECT("Table_SourceData_Swine_IrrigationMethods[Irrigation method]")</formula1>
    </dataValidation>
    <dataValidation type="list" allowBlank="1" showInputMessage="1" showErrorMessage="1" sqref="E273 E278 E283 E317 E312 E307 E185 E173 E149 E161" xr:uid="{F554A302-6836-4D9E-A1BD-7FC3197E6C00}">
      <formula1>"Yes, No"</formula1>
    </dataValidation>
    <dataValidation type="list" allowBlank="1" showInputMessage="1" showErrorMessage="1" sqref="E249" xr:uid="{09CC0EEC-F5B8-4F87-A6A3-7D6BC3013717}">
      <formula1>INDIRECT("Table_SourceData_Dairy_ProductionSystemTemplates[Area]")</formula1>
    </dataValidation>
    <dataValidation type="list" allowBlank="1" showInputMessage="1" showErrorMessage="1" sqref="D301" xr:uid="{587CD409-BD34-4F6C-A6F5-165BED80CD90}">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9F41A-3A79-482A-AF54-0313E5F0CB87}">
  <sheetPr>
    <tabColor theme="5" tint="-0.249977111117893"/>
  </sheetPr>
  <dimension ref="A1:K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5703125" customWidth="1"/>
    <col min="3" max="3" width="4.5703125" style="1" customWidth="1"/>
    <col min="4" max="10" width="30.5703125" style="1" customWidth="1"/>
    <col min="11" max="11" width="4.5703125" style="1" customWidth="1"/>
  </cols>
  <sheetData>
    <row r="1" spans="1:11" ht="30" customHeight="1" x14ac:dyDescent="0.35">
      <c r="A1" s="10" t="e" vm="1">
        <v>#VALUE!</v>
      </c>
      <c r="C1" s="10" t="s">
        <v>1157</v>
      </c>
      <c r="D1" s="10"/>
      <c r="E1" s="10"/>
      <c r="F1" s="10"/>
      <c r="G1" s="10"/>
      <c r="H1" s="10"/>
      <c r="I1" s="10"/>
      <c r="J1" s="10"/>
      <c r="K1" s="10"/>
    </row>
    <row r="2" spans="1:11" s="3" customFormat="1" ht="20.100000000000001" customHeight="1" x14ac:dyDescent="0.2">
      <c r="A2"/>
    </row>
    <row r="3" spans="1:11" ht="20.100000000000001" customHeight="1" x14ac:dyDescent="0.2">
      <c r="A3" s="5" t="str">
        <f>HYPERLINK("#'Home'!A1", "Home")</f>
        <v>Home</v>
      </c>
      <c r="C3" s="29"/>
      <c r="D3" s="29"/>
      <c r="E3" s="29"/>
      <c r="F3" s="29"/>
      <c r="G3" s="29"/>
      <c r="H3" s="29"/>
      <c r="I3" s="29"/>
      <c r="J3" s="29"/>
      <c r="K3" s="29"/>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1158</v>
      </c>
    </row>
    <row r="7" spans="1:11" ht="20.100000000000001" customHeight="1" x14ac:dyDescent="0.2">
      <c r="D7" s="1" t="s">
        <v>1159</v>
      </c>
    </row>
    <row r="8" spans="1:11" ht="20.100000000000001" customHeight="1" x14ac:dyDescent="0.2">
      <c r="A8" s="7" t="s">
        <v>0</v>
      </c>
      <c r="D8" s="1" t="s">
        <v>1160</v>
      </c>
    </row>
    <row r="9" spans="1:11" ht="20.100000000000001" customHeight="1" x14ac:dyDescent="0.2">
      <c r="A9" s="5" t="str">
        <f>HYPERLINK("#'Input - Enterprise'!A1", "Enterprise")</f>
        <v>Enterprise</v>
      </c>
    </row>
    <row r="10" spans="1:11" ht="20.100000000000001" customHeight="1" x14ac:dyDescent="0.2">
      <c r="A10" s="5" t="str">
        <f>HYPERLINK("#'Input - Site'!A1", "Site")</f>
        <v>Site</v>
      </c>
      <c r="D10" s="1" t="s">
        <v>1161</v>
      </c>
      <c r="F10" s="76">
        <v>1000</v>
      </c>
      <c r="G10" s="16" t="s">
        <v>1162</v>
      </c>
    </row>
    <row r="11" spans="1:11" ht="20.100000000000001" customHeight="1" x14ac:dyDescent="0.2">
      <c r="A11" s="5" t="str">
        <f>HYPERLINK("#'Input - Pasture Beef'!A1", "Pasture Beef")</f>
        <v>Pasture Beef</v>
      </c>
      <c r="D11" s="1" t="s">
        <v>1163</v>
      </c>
      <c r="F11" s="76">
        <v>2000</v>
      </c>
      <c r="G11" s="16" t="s">
        <v>1162</v>
      </c>
    </row>
    <row r="12" spans="1:11" ht="20.100000000000001" customHeight="1" x14ac:dyDescent="0.2">
      <c r="A12" s="5" t="str">
        <f>HYPERLINK("#'Input - Livestock sales'!A1", "Livestock sales")</f>
        <v>Livestock sales</v>
      </c>
    </row>
    <row r="13" spans="1:11" ht="20.100000000000001" customHeight="1" x14ac:dyDescent="0.2">
      <c r="A13" s="5" t="str">
        <f>HYPERLINK("#'Input - Beef cattle purchases'!A1", "Beef cattle purchases")</f>
        <v>Beef cattle purchases</v>
      </c>
      <c r="D13" s="1" t="s">
        <v>1164</v>
      </c>
      <c r="F13" s="13" t="s">
        <v>750</v>
      </c>
      <c r="G13" s="16" t="s">
        <v>109</v>
      </c>
    </row>
    <row r="14" spans="1:11" ht="20.100000000000001" customHeight="1" x14ac:dyDescent="0.2">
      <c r="A14" s="5" t="str">
        <f>HYPERLINK("#'Input - Pasture'!A1", "Pasture")</f>
        <v>Pasture</v>
      </c>
      <c r="D14" s="1" t="s">
        <v>1165</v>
      </c>
      <c r="F14" s="13" t="s">
        <v>356</v>
      </c>
      <c r="G14" s="16" t="s">
        <v>109</v>
      </c>
    </row>
    <row r="15" spans="1:11" ht="20.100000000000001" customHeight="1" x14ac:dyDescent="0.2">
      <c r="A15" s="5" t="str">
        <f>HYPERLINK("#'Input - Fert Prod System'!A1", "Fert Prod System")</f>
        <v>Fert Prod System</v>
      </c>
    </row>
    <row r="16" spans="1:11" ht="20.100000000000001" customHeight="1" x14ac:dyDescent="0.2">
      <c r="A16" s="5" t="str">
        <f>HYPERLINK("#'Input - Fertiliser'!A1", "Fertiliser")</f>
        <v>Fertiliser</v>
      </c>
    </row>
    <row r="17" spans="1:1" ht="20.100000000000001" customHeight="1" x14ac:dyDescent="0.2">
      <c r="A17" s="5" t="str">
        <f>HYPERLINK("#'Input - Fuel'!A1", "Fuel")</f>
        <v>Fuel</v>
      </c>
    </row>
    <row r="18" spans="1:1" ht="20.100000000000001" customHeight="1" x14ac:dyDescent="0.2">
      <c r="A18" s="5" t="str">
        <f>HYPERLINK("#'Input - Electricity'!A1", "Electricity")</f>
        <v>Electricity</v>
      </c>
    </row>
    <row r="19" spans="1:1" ht="20.100000000000001" customHeight="1" x14ac:dyDescent="0.2">
      <c r="A19" s="5" t="str">
        <f>HYPERLINK("#'Input - Common farm inputs'!A1", "Common farm inputs")</f>
        <v>Common farm inputs</v>
      </c>
    </row>
    <row r="20" spans="1:1" ht="20.100000000000001" customHeight="1" x14ac:dyDescent="0.2">
      <c r="A20" s="5" t="str">
        <f>HYPERLINK("#'Input - Crop pasture farm input'!A1", "Crop pasture farm input")</f>
        <v>Crop pasture farm input</v>
      </c>
    </row>
    <row r="21" spans="1:1" ht="20.100000000000001" customHeight="1" x14ac:dyDescent="0.2">
      <c r="A21" s="5" t="str">
        <f>HYPERLINK("#'Input - Livestock farm Inputs'!A1", "Livestock farm Inputs")</f>
        <v>Livestock farm Inputs</v>
      </c>
    </row>
    <row r="22" spans="1:1" ht="20.100000000000001" customHeight="1" x14ac:dyDescent="0.2">
      <c r="A22" s="5" t="str">
        <f>HYPERLINK("#'Input - Freight'!A1", "Freight")</f>
        <v>Freight</v>
      </c>
    </row>
    <row r="23" spans="1:1" ht="20.100000000000001" customHeight="1" x14ac:dyDescent="0.2">
      <c r="A23" s="5" t="str">
        <f>HYPERLINK("#'Input - Solid waste'!A1", "Solid waste")</f>
        <v>Solid waste</v>
      </c>
    </row>
    <row r="24" spans="1:1" ht="20.100000000000001" customHeight="1" x14ac:dyDescent="0.2">
      <c r="A24" s="100" t="str">
        <f>HYPERLINK("#'Input - Manure sent off-site'!A1", "Manure sent off-site")</f>
        <v>Manure sent off-site</v>
      </c>
    </row>
    <row r="25" spans="1:1" ht="20.100000000000001" customHeight="1" x14ac:dyDescent="0.2">
      <c r="A25" s="5" t="str">
        <f>HYPERLINK("#'Input - Data quality'!A1", "Data quality")</f>
        <v>Data quality</v>
      </c>
    </row>
    <row r="28" spans="1:1" ht="20.100000000000001" customHeight="1" x14ac:dyDescent="0.2">
      <c r="A28" s="6" t="s">
        <v>2</v>
      </c>
    </row>
    <row r="29" spans="1:1" ht="20.100000000000001" customHeight="1" x14ac:dyDescent="0.2">
      <c r="A29" s="5" t="str">
        <f>HYPERLINK("#'3.2.1.1-2 Enteric Methane'!A1", "3.2.1.1-2 Enteric Methane")</f>
        <v>3.2.1.1-2 Enteric Methane</v>
      </c>
    </row>
    <row r="30" spans="1:1" ht="20.100000000000001" customHeight="1" x14ac:dyDescent="0.2">
      <c r="A30" s="5" t="str">
        <f>HYPERLINK("#'4.2.1.1-2 Methane'!A1", "4.2.1.1-2 Manure methane")</f>
        <v>4.2.1.1-2 Manure methane</v>
      </c>
    </row>
    <row r="31" spans="1:1" ht="20.100000000000001" customHeight="1" x14ac:dyDescent="0.2">
      <c r="A31" s="5" t="str">
        <f>HYPERLINK("#'4.2.1.3-4 Soil direct N20'!A1", "4.2.1.3-4 Soil direct N2O")</f>
        <v>4.2.1.3-4 Soil direct N2O</v>
      </c>
    </row>
    <row r="32" spans="1:1"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dataValidations count="2">
    <dataValidation type="list" allowBlank="1" showInputMessage="1" showErrorMessage="1" sqref="F14" xr:uid="{396AF550-F28D-4231-9D63-9126546E0D25}">
      <formula1>INDIRECT("Table_SourceData_Fertiliser_IrrigationMethods[Irrigation method]")</formula1>
    </dataValidation>
    <dataValidation type="list" allowBlank="1" showInputMessage="1" showErrorMessage="1" sqref="F13" xr:uid="{6526A645-9198-4023-8C68-218C5975DE17}">
      <formula1>INDIRECT("Table_SourceData_Fertiliser_CropProdSystems[Production system]")</formula1>
    </dataValidation>
  </dataValidation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5A635-C926-4C02-B86C-072EC0457B83}">
  <sheetPr>
    <tabColor rgb="FFCC6600"/>
  </sheetPr>
  <dimension ref="A1:K84"/>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49" style="1" customWidth="1"/>
    <col min="5" max="5" width="66.140625" style="1" customWidth="1"/>
    <col min="6" max="6" width="71.5703125" style="1" customWidth="1"/>
    <col min="7" max="7" width="55.5703125" style="1" customWidth="1"/>
    <col min="8" max="8" width="101.28515625" style="1" customWidth="1"/>
    <col min="9" max="9" width="74.5703125" style="1" customWidth="1"/>
    <col min="10" max="10" width="30.7109375" style="1" customWidth="1"/>
    <col min="11" max="11" width="4.7109375" style="1" customWidth="1"/>
    <col min="12" max="12" width="30.7109375" customWidth="1"/>
  </cols>
  <sheetData>
    <row r="1" spans="1:11" s="10" customFormat="1" ht="30" customHeight="1" x14ac:dyDescent="0.35">
      <c r="C1" s="10" t="s">
        <v>190</v>
      </c>
    </row>
    <row r="2" spans="1:11" s="3" customFormat="1" ht="20.100000000000001" customHeight="1" x14ac:dyDescent="0.2">
      <c r="A2"/>
    </row>
    <row r="3" spans="1:11" ht="20.100000000000001" customHeight="1" x14ac:dyDescent="0.2">
      <c r="A3" s="5" t="str">
        <f>HYPERLINK("#'Home'!A1", "Home")</f>
        <v>Home</v>
      </c>
      <c r="C3" s="29"/>
      <c r="D3" s="29"/>
      <c r="E3" s="29"/>
      <c r="F3" s="29"/>
      <c r="G3" s="29"/>
      <c r="H3" s="29"/>
      <c r="I3" s="29"/>
      <c r="J3" s="29"/>
      <c r="K3" s="29"/>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241</v>
      </c>
    </row>
    <row r="7" spans="1:11" ht="20.100000000000001" customHeight="1" x14ac:dyDescent="0.2">
      <c r="D7" s="82" t="s">
        <v>270</v>
      </c>
      <c r="E7" s="82" t="s">
        <v>242</v>
      </c>
      <c r="F7" s="82" t="s">
        <v>243</v>
      </c>
      <c r="G7" s="82" t="s">
        <v>244</v>
      </c>
      <c r="H7" s="82" t="s">
        <v>191</v>
      </c>
      <c r="I7" s="82" t="s">
        <v>192</v>
      </c>
      <c r="J7" s="82" t="s">
        <v>193</v>
      </c>
    </row>
    <row r="8" spans="1:11" ht="20.100000000000001" customHeight="1" x14ac:dyDescent="0.2">
      <c r="A8" s="7" t="s">
        <v>0</v>
      </c>
      <c r="D8" s="1" t="str">
        <f>"Liveweight sold"</f>
        <v>Liveweight sold</v>
      </c>
      <c r="E8" s="13" t="s">
        <v>245</v>
      </c>
      <c r="F8" s="13" t="s">
        <v>260</v>
      </c>
      <c r="G8" s="13" t="s">
        <v>247</v>
      </c>
      <c r="H8" s="83"/>
      <c r="I8" s="83"/>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1:11" ht="20.100000000000001" customHeight="1" x14ac:dyDescent="0.2">
      <c r="A9" s="5" t="str">
        <f>HYPERLINK("#'Input - Enterprise'!A1", "Enterprise")</f>
        <v>Enterprise</v>
      </c>
      <c r="D9" s="1" t="str">
        <f>"Liveweight grown"</f>
        <v>Liveweight grown</v>
      </c>
      <c r="E9" s="13" t="s">
        <v>252</v>
      </c>
      <c r="F9" s="13" t="s">
        <v>246</v>
      </c>
      <c r="G9" s="13" t="s">
        <v>250</v>
      </c>
      <c r="H9" s="83"/>
      <c r="I9" s="83"/>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0" spans="1:11" ht="20.100000000000001" customHeight="1" x14ac:dyDescent="0.2">
      <c r="A10" s="5" t="str">
        <f>HYPERLINK("#'Input - Site'!A1", "Site")</f>
        <v>Site</v>
      </c>
      <c r="D10" s="1" t="str">
        <f>"Manure produced"</f>
        <v>Manure produced</v>
      </c>
      <c r="E10" s="13" t="s">
        <v>253</v>
      </c>
      <c r="F10" s="13" t="s">
        <v>249</v>
      </c>
      <c r="G10" s="13" t="s">
        <v>250</v>
      </c>
      <c r="H10" s="83"/>
      <c r="I10" s="83"/>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1" spans="1:11" ht="20.100000000000001" customHeight="1" x14ac:dyDescent="0.2">
      <c r="A11" s="5" t="str">
        <f>HYPERLINK("#'Input - Pasture Beef'!A1", "Pasture Beef")</f>
        <v>Pasture Beef</v>
      </c>
      <c r="D11" s="1" t="str">
        <f>"Manure sold"</f>
        <v>Manure sold</v>
      </c>
      <c r="E11" s="13" t="s">
        <v>262</v>
      </c>
      <c r="F11" s="13" t="s">
        <v>258</v>
      </c>
      <c r="G11" s="13" t="s">
        <v>255</v>
      </c>
      <c r="H11" s="83"/>
      <c r="I11" s="83"/>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6</v>
      </c>
    </row>
    <row r="12" spans="1:11" ht="20.100000000000001" customHeight="1" x14ac:dyDescent="0.2">
      <c r="A12" s="5" t="str">
        <f>HYPERLINK("#'Input - Livestock sales'!A1", "Livestock sales")</f>
        <v>Livestock sales</v>
      </c>
      <c r="D12" s="1" t="str">
        <f>"Percent income from liveweight sold"</f>
        <v>Percent income from liveweight sold</v>
      </c>
      <c r="E12" s="13" t="s">
        <v>263</v>
      </c>
      <c r="F12" s="13" t="s">
        <v>261</v>
      </c>
      <c r="G12" s="13" t="s">
        <v>256</v>
      </c>
      <c r="H12" s="83"/>
      <c r="I12" s="83"/>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3" spans="1:11" ht="20.100000000000001" customHeight="1" x14ac:dyDescent="0.2">
      <c r="A13" s="5" t="str">
        <f>HYPERLINK("#'Input - Beef cattle purchases'!A1", "Beef cattle purchases")</f>
        <v>Beef cattle purchases</v>
      </c>
      <c r="D13" s="1" t="str">
        <f>"Percent income from manure sold"</f>
        <v>Percent income from manure sold</v>
      </c>
      <c r="E13" s="13" t="s">
        <v>245</v>
      </c>
      <c r="F13" s="13" t="s">
        <v>246</v>
      </c>
      <c r="G13" s="13" t="s">
        <v>247</v>
      </c>
      <c r="H13" s="83"/>
      <c r="I13" s="83"/>
      <c r="J13"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4" spans="1:11" ht="20.100000000000001" customHeight="1" x14ac:dyDescent="0.2">
      <c r="A14" s="5" t="str">
        <f>HYPERLINK("#'Input - Pasture'!A1", "Pasture")</f>
        <v>Pasture</v>
      </c>
    </row>
    <row r="15" spans="1:11" ht="20.100000000000001" customHeight="1" x14ac:dyDescent="0.2">
      <c r="A15" s="5" t="str">
        <f>HYPERLINK("#'Input - Fert Prod System'!A1", "Fert Prod System")</f>
        <v>Fert Prod System</v>
      </c>
      <c r="J15" s="88">
        <f>SUM(Table_Input_DataQuality_Enterprise[Score])</f>
        <v>60</v>
      </c>
    </row>
    <row r="16" spans="1:11" ht="20.100000000000001" customHeight="1" x14ac:dyDescent="0.2">
      <c r="A16" s="5" t="str">
        <f>HYPERLINK("#'Input - Fertiliser'!A1", "Fertiliser")</f>
        <v>Fertiliser</v>
      </c>
      <c r="D16" s="2" t="s">
        <v>251</v>
      </c>
    </row>
    <row r="17" spans="1:10" ht="20.100000000000001" customHeight="1" x14ac:dyDescent="0.2">
      <c r="A17" s="5" t="str">
        <f>HYPERLINK("#'Input - Fuel'!A1", "Fuel")</f>
        <v>Fuel</v>
      </c>
    </row>
    <row r="18" spans="1:10" ht="20.100000000000001" customHeight="1" x14ac:dyDescent="0.2">
      <c r="A18" s="5" t="str">
        <f>HYPERLINK("#'Input - Electricity'!A1", "Electricity")</f>
        <v>Electricity</v>
      </c>
      <c r="D18" s="82" t="s">
        <v>270</v>
      </c>
      <c r="E18" s="82" t="s">
        <v>242</v>
      </c>
      <c r="F18" s="82" t="s">
        <v>243</v>
      </c>
      <c r="G18" s="82" t="s">
        <v>244</v>
      </c>
      <c r="H18" s="82" t="s">
        <v>191</v>
      </c>
      <c r="I18" s="82" t="s">
        <v>192</v>
      </c>
      <c r="J18" s="82" t="s">
        <v>193</v>
      </c>
    </row>
    <row r="19" spans="1:10" ht="20.100000000000001" customHeight="1" x14ac:dyDescent="0.2">
      <c r="A19" s="5" t="str">
        <f>HYPERLINK("#'Input - Common farm inputs'!A1", "Common farm inputs")</f>
        <v>Common farm inputs</v>
      </c>
      <c r="D19" s="1" t="str">
        <f>"Leaching zone"</f>
        <v>Leaching zone</v>
      </c>
      <c r="E19" s="13" t="s">
        <v>252</v>
      </c>
      <c r="F19" s="13" t="s">
        <v>249</v>
      </c>
      <c r="G19" s="13" t="s">
        <v>247</v>
      </c>
      <c r="H19" s="83"/>
      <c r="I19" s="83"/>
      <c r="J19"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0" spans="1:10" ht="20.100000000000001" customHeight="1" x14ac:dyDescent="0.2">
      <c r="A20" s="5" t="str">
        <f>HYPERLINK("#'Input - Crop pasture farm input'!A1", "Crop pasture farm input")</f>
        <v>Crop pasture farm input</v>
      </c>
      <c r="D20" s="1" t="str">
        <f>"Elevation"</f>
        <v>Elevation</v>
      </c>
      <c r="E20" s="13" t="s">
        <v>252</v>
      </c>
      <c r="F20" s="13" t="s">
        <v>249</v>
      </c>
      <c r="G20" s="13" t="s">
        <v>247</v>
      </c>
      <c r="H20" s="83"/>
      <c r="I20" s="83"/>
      <c r="J20"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1:10" ht="20.100000000000001" customHeight="1" x14ac:dyDescent="0.2">
      <c r="A21" s="5" t="str">
        <f>HYPERLINK("#'Input - Livestock farm Inputs'!A1", "Livestock farm Inputs")</f>
        <v>Livestock farm Inputs</v>
      </c>
      <c r="D21" s="1" t="str">
        <f>"Average temperature for reporting period"</f>
        <v>Average temperature for reporting period</v>
      </c>
      <c r="E21" s="13" t="s">
        <v>252</v>
      </c>
      <c r="F21" s="13" t="s">
        <v>249</v>
      </c>
      <c r="G21" s="13" t="s">
        <v>247</v>
      </c>
      <c r="H21" s="83"/>
      <c r="I21" s="83"/>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1:10" ht="20.100000000000001" customHeight="1" x14ac:dyDescent="0.2">
      <c r="A22" s="5" t="str">
        <f>HYPERLINK("#'Input - Freight'!A1", "Freight")</f>
        <v>Freight</v>
      </c>
      <c r="D22" s="1" t="str">
        <f>"Total rainfall for reporting period"</f>
        <v>Total rainfall for reporting period</v>
      </c>
      <c r="E22" s="13" t="s">
        <v>245</v>
      </c>
      <c r="F22" s="13" t="s">
        <v>246</v>
      </c>
      <c r="G22" s="13" t="s">
        <v>247</v>
      </c>
      <c r="H22" s="83"/>
      <c r="I22" s="83"/>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3" spans="1:10" ht="20.100000000000001" customHeight="1" x14ac:dyDescent="0.2">
      <c r="A23" s="5" t="str">
        <f>HYPERLINK("#'Input - Solid waste'!A1", "Solid waste")</f>
        <v>Solid waste</v>
      </c>
      <c r="D23" s="1" t="str">
        <f>"Potential evapotranspiration for reporting period"</f>
        <v>Potential evapotranspiration for reporting period</v>
      </c>
      <c r="E23" s="13" t="s">
        <v>252</v>
      </c>
      <c r="F23" s="13" t="s">
        <v>249</v>
      </c>
      <c r="G23" s="13" t="s">
        <v>247</v>
      </c>
      <c r="H23" s="83"/>
      <c r="I23" s="83"/>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4" spans="1:10" ht="20.100000000000001" customHeight="1" x14ac:dyDescent="0.2">
      <c r="A24" s="5" t="str">
        <f>HYPERLINK("#'Input - Manure sent off-site'!A1", "Manure sent off-site")</f>
        <v>Manure sent off-site</v>
      </c>
      <c r="D24" s="1" t="str">
        <f>"Number of frost days for reporting period"</f>
        <v>Number of frost days for reporting period</v>
      </c>
      <c r="E24" s="84" t="s">
        <v>253</v>
      </c>
      <c r="F24" s="84" t="s">
        <v>249</v>
      </c>
      <c r="G24" s="84" t="s">
        <v>247</v>
      </c>
      <c r="H24" s="83"/>
      <c r="I24" s="83"/>
      <c r="J24"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5" spans="1:10" ht="20.100000000000001" customHeight="1" x14ac:dyDescent="0.2">
      <c r="A25" s="100" t="str">
        <f>HYPERLINK("#'Input - Data quality'!A1", "Data quality")</f>
        <v>Data quality</v>
      </c>
    </row>
    <row r="26" spans="1:10" ht="20.100000000000001" customHeight="1" x14ac:dyDescent="0.2">
      <c r="J26" s="88">
        <f>SUM(Table_Input_DataQuality_Site[Score])</f>
        <v>73</v>
      </c>
    </row>
    <row r="27" spans="1:10" ht="20.100000000000001" customHeight="1" x14ac:dyDescent="0.2">
      <c r="D27" s="2" t="s">
        <v>254</v>
      </c>
    </row>
    <row r="28" spans="1:10" ht="20.100000000000001" customHeight="1" x14ac:dyDescent="0.2">
      <c r="A28" s="6" t="s">
        <v>2</v>
      </c>
    </row>
    <row r="29" spans="1:10" ht="20.100000000000001" customHeight="1" x14ac:dyDescent="0.2">
      <c r="A29" s="5" t="str">
        <f>HYPERLINK("#'3.2.1.1-2 Enteric Methane'!A1", "3.2.1.1-2 Enteric Methane")</f>
        <v>3.2.1.1-2 Enteric Methane</v>
      </c>
      <c r="D29" s="82" t="s">
        <v>270</v>
      </c>
      <c r="E29" s="82" t="s">
        <v>242</v>
      </c>
      <c r="F29" s="82" t="s">
        <v>243</v>
      </c>
      <c r="G29" s="82" t="s">
        <v>244</v>
      </c>
      <c r="H29" s="82" t="s">
        <v>191</v>
      </c>
      <c r="I29" s="82" t="s">
        <v>192</v>
      </c>
      <c r="J29" s="82" t="s">
        <v>193</v>
      </c>
    </row>
    <row r="30" spans="1:10" ht="20.100000000000001" customHeight="1" x14ac:dyDescent="0.2">
      <c r="A30" s="5" t="str">
        <f>HYPERLINK("#'4.2.1.1-2 Methane'!A1", "4.2.1.1-2 Manure methane")</f>
        <v>4.2.1.1-2 Manure methane</v>
      </c>
      <c r="D30" s="1" t="str">
        <f>"Livestock production region"</f>
        <v>Livestock production region</v>
      </c>
      <c r="E30" s="13" t="s">
        <v>245</v>
      </c>
      <c r="F30" s="13" t="s">
        <v>249</v>
      </c>
      <c r="G30" s="13" t="s">
        <v>247</v>
      </c>
      <c r="H30" s="83"/>
      <c r="I30" s="83"/>
      <c r="J30"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31" spans="1:10" ht="20.100000000000001" customHeight="1" x14ac:dyDescent="0.2">
      <c r="A31" s="5" t="str">
        <f>HYPERLINK("#'4.2.1.3-4 Soil direct N20'!A1", "4.2.1.3-4 Soil direct N2O")</f>
        <v>4.2.1.3-4 Soil direct N2O</v>
      </c>
      <c r="D31" s="1" t="str">
        <f>"Cattle breed"</f>
        <v>Cattle breed</v>
      </c>
      <c r="E31" s="13" t="s">
        <v>245</v>
      </c>
      <c r="F31" s="13" t="s">
        <v>246</v>
      </c>
      <c r="G31" s="13" t="s">
        <v>247</v>
      </c>
      <c r="H31" s="83"/>
      <c r="I31" s="83"/>
      <c r="J31"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32" spans="1:10" ht="20.100000000000001" customHeight="1" x14ac:dyDescent="0.2">
      <c r="A32" s="5" t="str">
        <f>HYPERLINK("#'4.2.1.5-6 Soil Atmos Dep'!A1", "4.2.1.5-6 Soil atm. deposition")</f>
        <v>4.2.1.5-6 Soil atm. deposition</v>
      </c>
      <c r="D32" s="1" t="str">
        <f>"Head count"</f>
        <v>Head count</v>
      </c>
      <c r="E32" s="13" t="s">
        <v>245</v>
      </c>
      <c r="F32" s="13" t="s">
        <v>246</v>
      </c>
      <c r="G32" s="13" t="s">
        <v>250</v>
      </c>
      <c r="H32" s="83"/>
      <c r="I32" s="83"/>
      <c r="J32"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33" spans="1:10" ht="20.100000000000001" customHeight="1" x14ac:dyDescent="0.2">
      <c r="A33" s="5" t="str">
        <f>HYPERLINK("#'4.2.1.7-8 Soil leach runoff'!A1", "4.2.1.7-8 Soil leach &amp; runoff")</f>
        <v>4.2.1.7-8 Soil leach &amp; runoff</v>
      </c>
      <c r="D33" s="1" t="str">
        <f>"Liveweight"</f>
        <v>Liveweight</v>
      </c>
      <c r="E33" s="13" t="s">
        <v>245</v>
      </c>
      <c r="F33" s="13" t="s">
        <v>246</v>
      </c>
      <c r="G33" s="13" t="s">
        <v>248</v>
      </c>
      <c r="H33" s="83"/>
      <c r="I33" s="83"/>
      <c r="J33"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12</v>
      </c>
    </row>
    <row r="34" spans="1:10" ht="20.100000000000001" customHeight="1" x14ac:dyDescent="0.2">
      <c r="A34" s="5" t="str">
        <f>HYPERLINK("#'5.1.1.1-2 Inorganic fert N2O'!A1", "5.1.1.1-2 Inorganic fert N2O")</f>
        <v>5.1.1.1-2 Inorganic fert N2O</v>
      </c>
      <c r="D34" s="1" t="str">
        <f>"Liveweight gain"</f>
        <v>Liveweight gain</v>
      </c>
      <c r="E34" s="13" t="s">
        <v>245</v>
      </c>
      <c r="F34" s="13" t="s">
        <v>246</v>
      </c>
      <c r="G34" s="13" t="s">
        <v>255</v>
      </c>
      <c r="H34" s="83"/>
      <c r="I34" s="83"/>
      <c r="J34"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11</v>
      </c>
    </row>
    <row r="35" spans="1:10" ht="20.100000000000001" customHeight="1" x14ac:dyDescent="0.2">
      <c r="A35" s="5" t="str">
        <f>HYPERLINK("#'5.1.1.3-4 Inorganic fert CO2'!A1", "5.1.1.3-4 Inorganic fert CO2")</f>
        <v>5.1.1.3-4 Inorganic fert CO2</v>
      </c>
      <c r="D35" s="1" t="str">
        <f>"Dry matter digestibility of diet"</f>
        <v>Dry matter digestibility of diet</v>
      </c>
      <c r="E35" s="13" t="s">
        <v>245</v>
      </c>
      <c r="F35" s="84" t="s">
        <v>249</v>
      </c>
      <c r="G35" s="84" t="s">
        <v>256</v>
      </c>
      <c r="H35" s="83"/>
      <c r="I35" s="83"/>
      <c r="J35"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9</v>
      </c>
    </row>
    <row r="36" spans="1:10" ht="20.100000000000001" customHeight="1" x14ac:dyDescent="0.2">
      <c r="A36" s="5" t="str">
        <f>HYPERLINK("#'5.2.1.1-2 Organic Fert N2O'!A1", "5.2.1.1-2 Organic fert N2O")</f>
        <v>5.2.1.1-2 Organic fert N2O</v>
      </c>
      <c r="D36" s="1" t="str">
        <f>"Crude protein in diet"</f>
        <v>Crude protein in diet</v>
      </c>
      <c r="E36" s="13" t="s">
        <v>245</v>
      </c>
      <c r="F36" s="84" t="s">
        <v>249</v>
      </c>
      <c r="G36" s="84" t="s">
        <v>256</v>
      </c>
      <c r="H36" s="83"/>
      <c r="I36" s="83"/>
      <c r="J36"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9</v>
      </c>
    </row>
    <row r="37" spans="1:10" ht="20.100000000000001" customHeight="1" x14ac:dyDescent="0.2">
      <c r="A37" s="5" t="str">
        <f>HYPERLINK("#'5.3.1.1-2 Lime CO2'!A1", "5.3.1.1-2 Lime CO2")</f>
        <v>5.3.1.1-2 Lime CO2</v>
      </c>
      <c r="D37" s="1" t="str">
        <f>"Livestock access to water bodies"</f>
        <v>Livestock access to water bodies</v>
      </c>
      <c r="E37" s="13" t="s">
        <v>245</v>
      </c>
      <c r="F37" s="84" t="s">
        <v>246</v>
      </c>
      <c r="G37" s="84" t="s">
        <v>247</v>
      </c>
      <c r="H37" s="83"/>
      <c r="I37" s="83"/>
      <c r="J37"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38" spans="1:10" ht="20.100000000000001" customHeight="1" x14ac:dyDescent="0.2">
      <c r="A38" s="5" t="str">
        <f>HYPERLINK("#'5.4.1.1-4 Atmos deposition'!A1", "5.4.1.1-4 Atmos. deposition")</f>
        <v>5.4.1.1-4 Atmos. deposition</v>
      </c>
      <c r="D38" s="1" t="str">
        <f>"Calving timing"</f>
        <v>Calving timing</v>
      </c>
      <c r="E38" s="13" t="s">
        <v>245</v>
      </c>
      <c r="F38" s="84" t="s">
        <v>246</v>
      </c>
      <c r="G38" s="84" t="s">
        <v>250</v>
      </c>
      <c r="H38" s="83"/>
      <c r="I38" s="83"/>
      <c r="J38"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39" spans="1:10" ht="20.100000000000001" customHeight="1" x14ac:dyDescent="0.2">
      <c r="A39" s="5" t="str">
        <f>HYPERLINK("#'5.5.1.1-2 Leaching and runoff'!A1", "5.5.1.1-2 Leaching &amp; runoff")</f>
        <v>5.5.1.1-2 Leaching &amp; runoff</v>
      </c>
      <c r="D39" s="1" t="str">
        <f>"Calving rates"</f>
        <v>Calving rates</v>
      </c>
      <c r="E39" s="13" t="s">
        <v>245</v>
      </c>
      <c r="F39" s="84" t="s">
        <v>246</v>
      </c>
      <c r="G39" s="84" t="s">
        <v>250</v>
      </c>
      <c r="H39" s="83"/>
      <c r="I39" s="83"/>
      <c r="J39"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13</v>
      </c>
    </row>
    <row r="40" spans="1:10" ht="20.100000000000001" customHeight="1" x14ac:dyDescent="0.2">
      <c r="A40" s="5" t="str">
        <f>HYPERLINK("#'6.2.1.1-2 Pasture residue N2O'!A1", "6.2.1.1-2 Pasture residue N2O")</f>
        <v>6.2.1.1-2 Pasture residue N2O</v>
      </c>
      <c r="D40" s="1" t="str">
        <f>"Livestock sales"</f>
        <v>Livestock sales</v>
      </c>
      <c r="E40" s="13" t="s">
        <v>245</v>
      </c>
      <c r="F40" s="84" t="s">
        <v>246</v>
      </c>
      <c r="G40" s="84" t="s">
        <v>247</v>
      </c>
      <c r="H40" s="83"/>
      <c r="I40" s="83"/>
      <c r="J40"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41" spans="1:10" ht="20.100000000000001" customHeight="1" x14ac:dyDescent="0.2">
      <c r="A41" s="5" t="str">
        <f>HYPERLINK("#'6.3.1.1-2 Leach runoff pasture'!A1", "6.3.1.1-2 Leach &amp; runoff (pasture)")</f>
        <v>6.3.1.1-2 Leach &amp; runoff (pasture)</v>
      </c>
      <c r="D41" s="1" t="str">
        <f>"Livestock purchases"</f>
        <v>Livestock purchases</v>
      </c>
      <c r="E41" s="13" t="s">
        <v>245</v>
      </c>
      <c r="F41" s="84" t="s">
        <v>246</v>
      </c>
      <c r="G41" s="84" t="s">
        <v>247</v>
      </c>
      <c r="H41" s="83"/>
      <c r="I41" s="83"/>
      <c r="J41" s="15">
        <f>IFERROR(_xlfn.XLOOKUP(Table_Input_DataQuality_PastureBeef[[#This Row],[When was the data sourced?]],Table_SourceData_DataQuality_TemporalRepresentativeness[User friendly description],Table_SourceData_DataQuality_TemporalRepresentativeness[Score])+_xlfn.XLOOKUP(Table_Input_DataQuality_PastureBeef[[#This Row],[Where is the data sourced from?]],Table_SourceData_DataQuality_SpatialRepresentativeness[User friendly description],Table_SourceData_DataQuality_SpatialRepresentativeness[Score])+_xlfn.XLOOKUP(Table_Input_DataQuality_PastureBeef[[#This Row],[How much of the data was from direct samples?]],Table_SourceData_DataQuality_SampleSize[User friendly description],Table_SourceData_DataQuality_SampleSize[Score]), 0)</f>
        <v>14</v>
      </c>
    </row>
    <row r="42" spans="1:10" ht="20.100000000000001" customHeight="1" x14ac:dyDescent="0.2">
      <c r="A42" s="5" t="str">
        <f>HYPERLINK("#'8.1.1.1-2 Transport fuel'!A1", "8.1.1.1-2 Transport fuel")</f>
        <v>8.1.1.1-2 Transport fuel</v>
      </c>
    </row>
    <row r="43" spans="1:10" ht="20.100000000000001" customHeight="1" x14ac:dyDescent="0.2">
      <c r="A43" s="5" t="str">
        <f>HYPERLINK("#'8.2.1.1-2 Stationary fuel'!A1", "8.2.1.1-2 Stationary fuel")</f>
        <v>8.2.1.1-2 Stationary fuel</v>
      </c>
      <c r="J43" s="88">
        <f>SUM(Table_Input_DataQuality_PastureBeef[Score])</f>
        <v>149</v>
      </c>
    </row>
    <row r="44" spans="1:10" ht="20.100000000000001" customHeight="1" x14ac:dyDescent="0.2">
      <c r="A44" s="5" t="str">
        <f>HYPERLINK("#'10.1.1-2 Solid waste treatment'!A1", "10.1.1.1-2 Solid waste")</f>
        <v>10.1.1.1-2 Solid waste</v>
      </c>
      <c r="D44" s="2" t="s">
        <v>257</v>
      </c>
    </row>
    <row r="45" spans="1:10" ht="20.100000000000001" customHeight="1" x14ac:dyDescent="0.2">
      <c r="A45" s="5" t="str">
        <f>HYPERLINK("#'14.1.1-2 Purchased electricity'!A1", "14.1.1-2 Purchased electricity")</f>
        <v>14.1.1-2 Purchased electricity</v>
      </c>
    </row>
    <row r="46" spans="1:10" ht="20.100000000000001" customHeight="1" x14ac:dyDescent="0.2">
      <c r="A46" s="5" t="str">
        <f>HYPERLINK("#'15 Scope 3'!A1", "15 Scope 3")</f>
        <v>15 Scope 3</v>
      </c>
      <c r="D46" s="82" t="s">
        <v>270</v>
      </c>
      <c r="E46" s="82" t="s">
        <v>242</v>
      </c>
      <c r="F46" s="82" t="s">
        <v>243</v>
      </c>
      <c r="G46" s="82" t="s">
        <v>244</v>
      </c>
      <c r="H46" s="82" t="s">
        <v>191</v>
      </c>
      <c r="I46" s="82" t="s">
        <v>192</v>
      </c>
      <c r="J46" s="82" t="s">
        <v>193</v>
      </c>
    </row>
    <row r="47" spans="1:10" ht="20.100000000000001" customHeight="1" x14ac:dyDescent="0.2">
      <c r="A47" s="5" t="str">
        <f>HYPERLINK("#'Calcs - Manure sent off-site'!A1", "Calcs - Manure sent off-site")</f>
        <v>Calcs - Manure sent off-site</v>
      </c>
      <c r="D47" s="1" t="str">
        <f>"Pasture type"</f>
        <v>Pasture type</v>
      </c>
      <c r="E47" s="13" t="s">
        <v>245</v>
      </c>
      <c r="F47" s="13" t="s">
        <v>246</v>
      </c>
      <c r="G47" s="13" t="s">
        <v>247</v>
      </c>
      <c r="H47" s="83"/>
      <c r="I47" s="83"/>
      <c r="J47"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48" spans="1:10" ht="20.100000000000001" customHeight="1" x14ac:dyDescent="0.2">
      <c r="D48" s="1" t="str">
        <f>"Irrigation method"</f>
        <v>Irrigation method</v>
      </c>
      <c r="E48" s="13" t="s">
        <v>245</v>
      </c>
      <c r="F48" s="13" t="s">
        <v>246</v>
      </c>
      <c r="G48" s="13" t="s">
        <v>247</v>
      </c>
      <c r="H48" s="83"/>
      <c r="I48" s="83"/>
      <c r="J48"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49" spans="1:10" ht="20.100000000000001" customHeight="1" x14ac:dyDescent="0.2">
      <c r="D49" s="1" t="str">
        <f>"Area under pasture"</f>
        <v>Area under pasture</v>
      </c>
      <c r="E49" s="13" t="s">
        <v>245</v>
      </c>
      <c r="F49" s="13" t="s">
        <v>246</v>
      </c>
      <c r="G49" s="13" t="s">
        <v>247</v>
      </c>
      <c r="H49" s="83"/>
      <c r="I49" s="83"/>
      <c r="J49"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50" spans="1:10" ht="20.100000000000001" customHeight="1" x14ac:dyDescent="0.2">
      <c r="A50" s="86" t="s">
        <v>1</v>
      </c>
      <c r="D50" s="1" t="str">
        <f>"Pasture yield"</f>
        <v>Pasture yield</v>
      </c>
      <c r="E50" s="13" t="s">
        <v>245</v>
      </c>
      <c r="F50" s="13" t="s">
        <v>258</v>
      </c>
      <c r="G50" s="13" t="s">
        <v>256</v>
      </c>
      <c r="H50" s="83"/>
      <c r="I50" s="83"/>
      <c r="J50"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8</v>
      </c>
    </row>
    <row r="51" spans="1:10" ht="20.100000000000001" customHeight="1" x14ac:dyDescent="0.2">
      <c r="A51" s="5" t="str">
        <f>HYPERLINK("#'Constants - Pasture Beef'!A1", "Constants - Pasture Beef")</f>
        <v>Constants - Pasture Beef</v>
      </c>
      <c r="D51" s="1" t="str">
        <f>"Area of pasture renewed or removed"</f>
        <v>Area of pasture renewed or removed</v>
      </c>
      <c r="E51" s="13" t="s">
        <v>245</v>
      </c>
      <c r="F51" s="13" t="s">
        <v>246</v>
      </c>
      <c r="G51" s="13" t="s">
        <v>247</v>
      </c>
      <c r="H51" s="83"/>
      <c r="I51" s="83"/>
      <c r="J51"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52" spans="1:10" ht="20.100000000000001" customHeight="1" x14ac:dyDescent="0.2">
      <c r="A52" s="5" t="str">
        <f>HYPERLINK("#'Constants - Ag Residue'!A1", "Constants - Ag residue")</f>
        <v>Constants - Ag residue</v>
      </c>
    </row>
    <row r="53" spans="1:10" ht="20.100000000000001" customHeight="1" x14ac:dyDescent="0.2">
      <c r="A53" s="5" t="str">
        <f>HYPERLINK("#'Constants - Common Livestock'!A1", "Constants - Common Livestock")</f>
        <v>Constants - Common Livestock</v>
      </c>
      <c r="J53" s="88">
        <f>SUM(Table_Input_DataQuality_PastureManagement[Score])</f>
        <v>64</v>
      </c>
    </row>
    <row r="54" spans="1:10" ht="20.100000000000001" customHeight="1" x14ac:dyDescent="0.2">
      <c r="A54" s="5" t="str">
        <f>HYPERLINK("#'Constants - Electricity'!A1", "Constants - Electricity")</f>
        <v>Constants - Electricity</v>
      </c>
      <c r="D54" s="2" t="s">
        <v>259</v>
      </c>
    </row>
    <row r="55" spans="1:10" ht="20.100000000000001" customHeight="1" x14ac:dyDescent="0.2">
      <c r="A55" s="5" t="str">
        <f>HYPERLINK("#'Constants - Fertiliser'!A1", "Constants - Fertiliser")</f>
        <v>Constants - Fertiliser</v>
      </c>
    </row>
    <row r="56" spans="1:10" ht="20.100000000000001" customHeight="1" x14ac:dyDescent="0.2">
      <c r="A56" s="5" t="str">
        <f>HYPERLINK("#'Constants - Fuel'!A1", "Constants - Fuel")</f>
        <v>Constants - Fuel</v>
      </c>
      <c r="D56" s="82" t="s">
        <v>270</v>
      </c>
      <c r="E56" s="82" t="s">
        <v>242</v>
      </c>
      <c r="F56" s="82" t="s">
        <v>243</v>
      </c>
      <c r="G56" s="82" t="s">
        <v>244</v>
      </c>
      <c r="H56" s="82" t="s">
        <v>191</v>
      </c>
      <c r="I56" s="82" t="s">
        <v>192</v>
      </c>
      <c r="J56" s="82" t="s">
        <v>193</v>
      </c>
    </row>
    <row r="57" spans="1:10" ht="20.100000000000001" customHeight="1" x14ac:dyDescent="0.2">
      <c r="A57" s="5" t="str">
        <f>HYPERLINK("#'Constants - Scope 3'!A1", "Constants - Scope 3")</f>
        <v>Constants - Scope 3</v>
      </c>
      <c r="D57" s="1" t="str">
        <f>"Branded inorganic fertiliser applications"</f>
        <v>Branded inorganic fertiliser applications</v>
      </c>
      <c r="E57" s="13" t="s">
        <v>245</v>
      </c>
      <c r="F57" s="13" t="s">
        <v>246</v>
      </c>
      <c r="G57" s="13" t="s">
        <v>250</v>
      </c>
      <c r="H57" s="83"/>
      <c r="I57" s="83"/>
      <c r="J57"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13</v>
      </c>
    </row>
    <row r="58" spans="1:10" ht="20.100000000000001" customHeight="1" x14ac:dyDescent="0.2">
      <c r="A58" s="5" t="str">
        <f>HYPERLINK("#'Constants - Solid Waste'!A1", "Constants - Solid Waste")</f>
        <v>Constants - Solid Waste</v>
      </c>
      <c r="D58" s="1" t="str">
        <f>"Custom inorganic fertiliser blend applications"</f>
        <v>Custom inorganic fertiliser blend applications</v>
      </c>
      <c r="E58" s="13" t="s">
        <v>245</v>
      </c>
      <c r="F58" s="13" t="s">
        <v>246</v>
      </c>
      <c r="G58" s="13" t="s">
        <v>247</v>
      </c>
      <c r="H58" s="83"/>
      <c r="I58" s="83"/>
      <c r="J58"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59" spans="1:10" ht="20.100000000000001" customHeight="1" x14ac:dyDescent="0.2">
      <c r="A59" s="5" t="str">
        <f>HYPERLINK("#'Constants - Common'!A1", "Constants - Common")</f>
        <v>Constants - Common</v>
      </c>
      <c r="D59" s="1" t="str">
        <f>"Lime applications"</f>
        <v>Lime applications</v>
      </c>
      <c r="E59" s="13" t="s">
        <v>245</v>
      </c>
      <c r="F59" s="13" t="s">
        <v>246</v>
      </c>
      <c r="G59" s="13" t="s">
        <v>247</v>
      </c>
      <c r="H59" s="83"/>
      <c r="I59" s="83"/>
      <c r="J59"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60" spans="1:10" ht="20.100000000000001" customHeight="1" x14ac:dyDescent="0.2">
      <c r="A60" s="5" t="str">
        <f>HYPERLINK("#'Acknowledgements'!A1", "Acknowledgements")</f>
        <v>Acknowledgements</v>
      </c>
      <c r="D60" s="1" t="str">
        <f>"Organic fertiliser applications"</f>
        <v>Organic fertiliser applications</v>
      </c>
      <c r="E60" s="13" t="s">
        <v>245</v>
      </c>
      <c r="F60" s="13" t="s">
        <v>246</v>
      </c>
      <c r="G60" s="13" t="s">
        <v>247</v>
      </c>
      <c r="H60" s="83"/>
      <c r="I60" s="83"/>
      <c r="J60"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62" spans="1:10" ht="20.100000000000001" customHeight="1" x14ac:dyDescent="0.2">
      <c r="J62" s="88">
        <f>SUM(Table_Input_DataQuality_FertiliserApplications[Score])</f>
        <v>55</v>
      </c>
    </row>
    <row r="63" spans="1:10" ht="20.100000000000001" customHeight="1" x14ac:dyDescent="0.2">
      <c r="D63" s="2" t="s">
        <v>271</v>
      </c>
    </row>
    <row r="65" spans="1:10" ht="20.100000000000001" customHeight="1" x14ac:dyDescent="0.2">
      <c r="D65" s="82" t="s">
        <v>270</v>
      </c>
      <c r="E65" s="82" t="s">
        <v>242</v>
      </c>
      <c r="F65" s="82" t="s">
        <v>243</v>
      </c>
      <c r="G65" s="82" t="s">
        <v>244</v>
      </c>
      <c r="H65" s="82" t="s">
        <v>191</v>
      </c>
      <c r="I65" s="82" t="s">
        <v>192</v>
      </c>
      <c r="J65" s="82" t="s">
        <v>193</v>
      </c>
    </row>
    <row r="66" spans="1:10" ht="20.100000000000001" customHeight="1" x14ac:dyDescent="0.2">
      <c r="D66" s="1" t="str">
        <f>"Fuel purchases"</f>
        <v>Fuel purchases</v>
      </c>
      <c r="E66" s="13" t="s">
        <v>245</v>
      </c>
      <c r="F66" s="13" t="s">
        <v>246</v>
      </c>
      <c r="G66" s="13" t="s">
        <v>250</v>
      </c>
      <c r="H66" s="83"/>
      <c r="I66" s="83"/>
      <c r="J66"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67" spans="1:10" ht="20.100000000000001" customHeight="1" x14ac:dyDescent="0.2">
      <c r="D67" s="1" t="str">
        <f>"Fuel consumption"</f>
        <v>Fuel consumption</v>
      </c>
      <c r="E67" s="13" t="s">
        <v>245</v>
      </c>
      <c r="F67" s="13" t="s">
        <v>246</v>
      </c>
      <c r="G67" s="13" t="s">
        <v>247</v>
      </c>
      <c r="H67" s="83"/>
      <c r="I67" s="83"/>
      <c r="J67"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68" spans="1:10" ht="20.100000000000001" customHeight="1" x14ac:dyDescent="0.2">
      <c r="D68" s="1" t="str">
        <f>"Electricity consumption"</f>
        <v>Electricity consumption</v>
      </c>
      <c r="E68" s="13" t="s">
        <v>245</v>
      </c>
      <c r="F68" s="13" t="s">
        <v>246</v>
      </c>
      <c r="G68" s="13" t="s">
        <v>247</v>
      </c>
      <c r="H68" s="83"/>
      <c r="I68" s="83"/>
      <c r="J68"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69" spans="1:10" ht="20.100000000000001" customHeight="1" x14ac:dyDescent="0.2">
      <c r="D69" s="1" t="str">
        <f>"Electricity generation"</f>
        <v>Electricity generation</v>
      </c>
      <c r="E69" s="13" t="s">
        <v>245</v>
      </c>
      <c r="F69" s="13" t="s">
        <v>246</v>
      </c>
      <c r="G69" s="13" t="s">
        <v>247</v>
      </c>
      <c r="H69" s="83"/>
      <c r="I69" s="83"/>
      <c r="J69"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71" spans="1:10" ht="20.100000000000001" customHeight="1" x14ac:dyDescent="0.2">
      <c r="A71" s="85" t="str">
        <f>HYPERLINK("#A1", "▲ Back to top")</f>
        <v>▲ Back to top</v>
      </c>
      <c r="J71" s="88">
        <f>SUM(Table_Input_DataQuality_FuelElectricity[Score])</f>
        <v>55</v>
      </c>
    </row>
    <row r="73" spans="1:10" ht="20.100000000000001" customHeight="1" x14ac:dyDescent="0.2">
      <c r="D73" s="2" t="s">
        <v>272</v>
      </c>
    </row>
    <row r="75" spans="1:10" ht="20.100000000000001" customHeight="1" x14ac:dyDescent="0.2">
      <c r="D75" s="82" t="s">
        <v>270</v>
      </c>
      <c r="E75" s="82" t="s">
        <v>242</v>
      </c>
      <c r="F75" s="82" t="s">
        <v>243</v>
      </c>
      <c r="G75" s="82" t="s">
        <v>244</v>
      </c>
      <c r="H75" s="82" t="s">
        <v>191</v>
      </c>
      <c r="I75" s="82" t="s">
        <v>192</v>
      </c>
      <c r="J75" s="82" t="s">
        <v>193</v>
      </c>
    </row>
    <row r="76" spans="1:10" ht="20.100000000000001" customHeight="1" x14ac:dyDescent="0.2">
      <c r="D76" s="1" t="str">
        <f>"Farm input purchases"</f>
        <v>Farm input purchases</v>
      </c>
      <c r="E76" s="13" t="s">
        <v>245</v>
      </c>
      <c r="F76" s="13" t="s">
        <v>246</v>
      </c>
      <c r="G76" s="13" t="s">
        <v>250</v>
      </c>
      <c r="H76" s="83"/>
      <c r="I76" s="83"/>
      <c r="J76"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77" spans="1:10" ht="20.100000000000001" customHeight="1" x14ac:dyDescent="0.2">
      <c r="D77" s="1" t="str">
        <f>"Inbound freight use"</f>
        <v>Inbound freight use</v>
      </c>
      <c r="E77" s="13" t="s">
        <v>245</v>
      </c>
      <c r="F77" s="13" t="s">
        <v>246</v>
      </c>
      <c r="G77" s="13" t="s">
        <v>247</v>
      </c>
      <c r="H77" s="83"/>
      <c r="I77" s="83"/>
      <c r="J77"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78" spans="1:10" ht="20.100000000000001" customHeight="1" x14ac:dyDescent="0.2">
      <c r="D78" s="1" t="str">
        <f>"Outbound freight use"</f>
        <v>Outbound freight use</v>
      </c>
      <c r="E78" s="13" t="s">
        <v>245</v>
      </c>
      <c r="F78" s="13" t="s">
        <v>246</v>
      </c>
      <c r="G78" s="13" t="s">
        <v>247</v>
      </c>
      <c r="H78" s="83"/>
      <c r="I78" s="83"/>
      <c r="J78"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79" spans="1:10" ht="20.100000000000001" customHeight="1" x14ac:dyDescent="0.2">
      <c r="D79" s="1" t="str">
        <f>"Use of contractors and service providers"</f>
        <v>Use of contractors and service providers</v>
      </c>
      <c r="E79" s="13"/>
      <c r="F79" s="13"/>
      <c r="G79" s="13"/>
      <c r="H79" s="83"/>
      <c r="I79" s="83"/>
      <c r="J79"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80" spans="1:10" ht="20.100000000000001" customHeight="1" x14ac:dyDescent="0.2">
      <c r="D80" s="1" t="str">
        <f>"Solid waste generation and treatment"</f>
        <v>Solid waste generation and treatment</v>
      </c>
      <c r="E80" s="13" t="s">
        <v>245</v>
      </c>
      <c r="F80" s="13" t="s">
        <v>246</v>
      </c>
      <c r="G80" s="13" t="s">
        <v>247</v>
      </c>
      <c r="H80" s="83"/>
      <c r="I80" s="83"/>
      <c r="J80"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82" spans="4:10" ht="20.100000000000001" customHeight="1" x14ac:dyDescent="0.2">
      <c r="J82" s="88">
        <f>SUM(Table_Input_DataQuality_FarmInputsFreightWaste[Score])</f>
        <v>55</v>
      </c>
    </row>
    <row r="84" spans="4:10" ht="20.100000000000001" customHeight="1" x14ac:dyDescent="0.2">
      <c r="D84" s="91" t="s">
        <v>273</v>
      </c>
      <c r="E84" s="92" t="str">
        <f>(J15+J26+J43+J53+J62+J71+J82)&amp;" out of "&amp;((COUNT(Table_Input_DataQuality_Enterprise[Score])*15)+(COUNT(Table_Input_DataQuality_Site[Score])*15)+(COUNT(Table_Input_DataQuality_PastureBeef[Score])*15)+(COUNT(Table_Input_DataQuality_PastureManagement[Score])*15)+(COUNT(Table_Input_DataQuality_FertiliserApplications[Score])*15)+(COUNT(Table_Input_DataQuality_FuelElectricity[Score])*15)+(COUNT(Table_Input_DataQuality_FarmInputsFreightWaste[Score])*15))</f>
        <v>511 out of 630</v>
      </c>
    </row>
  </sheetData>
  <dataValidations count="3">
    <dataValidation type="list" allowBlank="1" showInputMessage="1" showErrorMessage="1" sqref="F8:F13 F19:F24 F30:F41 F47:F51 F57:F60 F66:F69 F76:F80" xr:uid="{7A41F482-9DC2-427F-BD67-9E7030E9FA1D}">
      <formula1>INDIRECT("Table_SourceData_DataQuality_SpatialRepresentativeness[User friendly description]")</formula1>
    </dataValidation>
    <dataValidation type="list" allowBlank="1" showInputMessage="1" showErrorMessage="1" sqref="E8:E13 E19:E24 E30:E41 E47:E51 E57:E60 E66:E69 E76:E80" xr:uid="{A2F79B94-E5F1-44B9-A20F-B6166F7EA291}">
      <formula1>INDIRECT("Table_SourceData_DataQuality_TemporalRepresentativeness[User friendly description]")</formula1>
    </dataValidation>
    <dataValidation type="list" allowBlank="1" showInputMessage="1" showErrorMessage="1" sqref="G8:G13 G19:G24 G30:G41 G47:G51 G57:G60 G66:G69 G76:G80" xr:uid="{BA67DDE5-AE35-4EC9-9563-5791102272E4}">
      <formula1>INDIRECT("Table_SourceData_DataQuality_SampleSize[User friendly description]")</formula1>
    </dataValidation>
  </dataValidations>
  <pageMargins left="0.7" right="0.7" top="0.75" bottom="0.75" header="0.3" footer="0.3"/>
  <tableParts count="7">
    <tablePart r:id="rId1"/>
    <tablePart r:id="rId2"/>
    <tablePart r:id="rId3"/>
    <tablePart r:id="rId4"/>
    <tablePart r:id="rId5"/>
    <tablePart r:id="rId6"/>
    <tablePart r:id="rId7"/>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0E1CB-699A-4CD2-B256-CAC373D40AD1}">
  <sheetPr>
    <tabColor rgb="FF008000"/>
  </sheetPr>
  <dimension ref="A1:AI274"/>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21" customFormat="1" ht="30" customHeight="1" x14ac:dyDescent="0.35">
      <c r="A1" s="10" t="e" vm="1">
        <v>#VALUE!</v>
      </c>
      <c r="C1" s="21" t="s">
        <v>570</v>
      </c>
    </row>
    <row r="2" spans="1:35" s="3" customFormat="1" ht="20.100000000000001" customHeight="1" x14ac:dyDescent="0.2">
      <c r="A2"/>
    </row>
    <row r="3" spans="1:35" ht="20.100000000000001" customHeight="1" x14ac:dyDescent="0.2">
      <c r="A3" s="5" t="str">
        <f>HYPERLINK("#'Home'!A1", "Home")</f>
        <v>Home</v>
      </c>
      <c r="C3" s="23"/>
      <c r="D3" s="23" t="s">
        <v>141</v>
      </c>
      <c r="E3" s="23"/>
      <c r="F3" s="23"/>
      <c r="G3" s="23"/>
      <c r="H3" s="23"/>
      <c r="I3" s="23"/>
      <c r="J3" s="23"/>
      <c r="K3" s="23"/>
      <c r="L3" s="23"/>
      <c r="M3" s="23"/>
      <c r="N3" s="23"/>
      <c r="O3" s="23"/>
      <c r="P3" s="23"/>
      <c r="Q3" s="23"/>
      <c r="R3" s="23"/>
      <c r="T3" s="23"/>
      <c r="U3" s="23" t="s">
        <v>142</v>
      </c>
      <c r="V3" s="23"/>
      <c r="W3" s="23"/>
      <c r="X3" s="23"/>
      <c r="Y3" s="23"/>
      <c r="Z3" s="23"/>
      <c r="AA3" s="23"/>
      <c r="AB3" s="23"/>
      <c r="AC3" s="23"/>
      <c r="AD3" s="23"/>
      <c r="AE3" s="23"/>
      <c r="AF3" s="23"/>
      <c r="AG3" s="23"/>
      <c r="AH3" s="23"/>
      <c r="AI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1314</v>
      </c>
    </row>
    <row r="6" spans="1:35" ht="20.100000000000001" customHeight="1" x14ac:dyDescent="0.2">
      <c r="D6" s="17" t="s">
        <v>1315</v>
      </c>
    </row>
    <row r="7" spans="1:35" ht="20.100000000000001" customHeight="1" x14ac:dyDescent="0.2">
      <c r="D7" s="104"/>
      <c r="E7" s="104" t="s">
        <v>373</v>
      </c>
    </row>
    <row r="8" spans="1:35" ht="20.100000000000001" customHeight="1" x14ac:dyDescent="0.2">
      <c r="A8" s="7" t="s">
        <v>0</v>
      </c>
    </row>
    <row r="9" spans="1:35" ht="20.100000000000001" customHeight="1" x14ac:dyDescent="0.2">
      <c r="A9" s="5" t="str">
        <f>HYPERLINK("#'Input - Enterprise'!A1", "Enterprise")</f>
        <v>Enterprise</v>
      </c>
    </row>
    <row r="10" spans="1:35" ht="20.100000000000001" customHeight="1" x14ac:dyDescent="0.2">
      <c r="A10" s="5" t="str">
        <f>HYPERLINK("#'Input - Site'!A1", "Site")</f>
        <v>Site</v>
      </c>
      <c r="D10" s="77" t="s">
        <v>374</v>
      </c>
      <c r="E10" s="1" t="s">
        <v>1316</v>
      </c>
    </row>
    <row r="11" spans="1:35" ht="20.100000000000001" customHeight="1" x14ac:dyDescent="0.2">
      <c r="A11" s="5" t="str">
        <f>HYPERLINK("#'Input - Pasture Beef'!A1", "Pasture Beef")</f>
        <v>Pasture Beef</v>
      </c>
      <c r="D11" s="77" t="s">
        <v>126</v>
      </c>
      <c r="E11" s="9" t="s">
        <v>347</v>
      </c>
    </row>
    <row r="12" spans="1:35" ht="20.100000000000001" customHeight="1" x14ac:dyDescent="0.2">
      <c r="A12" s="5" t="str">
        <f>HYPERLINK("#'Input - Livestock sales'!A1", "Livestock sales")</f>
        <v>Livestock sales</v>
      </c>
    </row>
    <row r="13" spans="1:35" ht="20.100000000000001" customHeight="1" x14ac:dyDescent="0.2">
      <c r="A13" s="5" t="str">
        <f>HYPERLINK("#'Input - Beef cattle purchases'!A1", "Beef cattle purchases")</f>
        <v>Beef cattle purchases</v>
      </c>
      <c r="D13" s="106" t="s">
        <v>1317</v>
      </c>
      <c r="E13" s="107" t="s">
        <v>1318</v>
      </c>
      <c r="F13" s="108"/>
      <c r="G13" s="109"/>
      <c r="H13" s="106" t="s">
        <v>347</v>
      </c>
      <c r="I13" s="110" t="s">
        <v>1325</v>
      </c>
      <c r="J13" s="112" t="str" cm="1">
        <f t="array" aca="1" ref="J13" ca="1">HYPERLINK(Common_InputFunctions.Utility_SourceHyperlink($D$18), $D$18)</f>
        <v>M1_Table_LC_j_k-4-5</v>
      </c>
    </row>
    <row r="14" spans="1:35" ht="20.100000000000001" customHeight="1" x14ac:dyDescent="0.2">
      <c r="A14" s="5" t="str">
        <f>HYPERLINK("#'Input - Pasture'!A1", "Pasture")</f>
        <v>Pasture</v>
      </c>
      <c r="D14" s="106" t="s">
        <v>1319</v>
      </c>
      <c r="E14" s="107" t="s">
        <v>1320</v>
      </c>
      <c r="F14" s="108"/>
      <c r="G14" s="109"/>
      <c r="H14" s="106" t="s">
        <v>347</v>
      </c>
      <c r="I14" s="111" t="s">
        <v>1326</v>
      </c>
      <c r="J14" s="106"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
      <c r="A15" s="5" t="str">
        <f>HYPERLINK("#'Input - Fert Prod System'!A1", "Fert Prod System")</f>
        <v>Fert Prod System</v>
      </c>
      <c r="D15" s="106" t="s">
        <v>1321</v>
      </c>
      <c r="E15" s="107" t="s">
        <v>1322</v>
      </c>
      <c r="F15" s="108"/>
      <c r="G15" s="109"/>
      <c r="H15" s="106" t="s">
        <v>347</v>
      </c>
      <c r="I15" s="111" t="s">
        <v>1326</v>
      </c>
      <c r="J15" s="106"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
      <c r="A16" s="5" t="str">
        <f>HYPERLINK("#'Input - Fertiliser'!A1", "Fertiliser")</f>
        <v>Fertiliser</v>
      </c>
      <c r="D16" s="106" t="s">
        <v>1323</v>
      </c>
      <c r="E16" s="107" t="s">
        <v>1324</v>
      </c>
      <c r="F16" s="108"/>
      <c r="G16" s="109"/>
      <c r="H16" s="106"/>
      <c r="I16" s="110" t="s">
        <v>1325</v>
      </c>
      <c r="J16" s="106" t="str">
        <f>X_Cell_PastureBeef_Breed</f>
        <v>Hereford or Shorthorn breeds</v>
      </c>
    </row>
    <row r="17" spans="1:34" ht="20.100000000000001" customHeight="1" x14ac:dyDescent="0.2">
      <c r="A17" s="5" t="str">
        <f>HYPERLINK("#'Input - Fuel'!A1", "Fuel")</f>
        <v>Fuel</v>
      </c>
    </row>
    <row r="18" spans="1:34" ht="20.100000000000001" customHeight="1" x14ac:dyDescent="0.2">
      <c r="A18" s="5" t="str">
        <f>HYPERLINK("#'Input - Electricity'!A1", "Electricity")</f>
        <v>Electricity</v>
      </c>
      <c r="D18" s="113" t="s">
        <v>375</v>
      </c>
    </row>
    <row r="19" spans="1:34" ht="20.100000000000001" customHeight="1" x14ac:dyDescent="0.2">
      <c r="A19" s="5" t="str">
        <f>HYPERLINK("#'Input - Common farm inputs'!A1", "Common farm inputs")</f>
        <v>Common farm inputs</v>
      </c>
      <c r="D19" s="114" t="s">
        <v>377</v>
      </c>
      <c r="U19" s="113" t="s">
        <v>376</v>
      </c>
    </row>
    <row r="20" spans="1:34" ht="20.100000000000001" customHeight="1" x14ac:dyDescent="0.2">
      <c r="A20" s="5" t="str">
        <f>HYPERLINK("#'Input - Crop pasture farm input'!A1", "Crop pasture farm input")</f>
        <v>Crop pasture farm input</v>
      </c>
      <c r="D20" s="115" t="s">
        <v>76</v>
      </c>
      <c r="E20" s="82" t="s">
        <v>327</v>
      </c>
      <c r="F20" s="82" t="s">
        <v>328</v>
      </c>
      <c r="G20" s="82" t="s">
        <v>329</v>
      </c>
      <c r="U20" s="114" t="s">
        <v>378</v>
      </c>
    </row>
    <row r="21" spans="1:34" ht="20.100000000000001" customHeight="1" x14ac:dyDescent="0.2">
      <c r="A21" s="5" t="str">
        <f>HYPERLINK("#'Input - Livestock farm Inputs'!A1", "Livestock farm Inputs")</f>
        <v>Livestock farm Inputs</v>
      </c>
      <c r="D21" s="15" t="str">
        <f>'Input - Pasture Beef'!E162</f>
        <v>Winter</v>
      </c>
      <c r="E21" s="126">
        <f>'Input - Pasture Beef'!F168</f>
        <v>0.7</v>
      </c>
      <c r="F21" s="126">
        <f>'Input - Pasture Beef'!G168</f>
        <v>0.5</v>
      </c>
      <c r="G21" s="126">
        <f>'Input - Pasture Beef'!H168</f>
        <v>0.5</v>
      </c>
      <c r="H21" s="16" t="s">
        <v>379</v>
      </c>
      <c r="U21" s="115" t="s">
        <v>75</v>
      </c>
      <c r="V21" s="82" t="s">
        <v>327</v>
      </c>
      <c r="W21" s="82" t="s">
        <v>328</v>
      </c>
      <c r="X21" s="82" t="s">
        <v>329</v>
      </c>
    </row>
    <row r="22" spans="1:34" ht="20.100000000000001" customHeight="1" x14ac:dyDescent="0.2">
      <c r="A22" s="5" t="str">
        <f>HYPERLINK("#'Input - Freight'!A1", "Freight")</f>
        <v>Freight</v>
      </c>
      <c r="U22" s="15" t="str">
        <f>TEXT(EDATE('Input - Pasture Beef'!E176,0), "mmmm") &amp; ", " &amp; TEXT(EDATE('Input - Pasture Beef'!E177,0), "mmmm") &amp; ", " &amp; TEXT(EDATE('Input - Pasture Beef'!E178,0), "mmmm")</f>
        <v>August, September, October</v>
      </c>
      <c r="V22" s="126">
        <f>'Input - Pasture Beef'!E185</f>
        <v>0.75</v>
      </c>
      <c r="W22" s="126">
        <f>'Input - Pasture Beef'!F185</f>
        <v>0.75</v>
      </c>
      <c r="X22" s="126">
        <f>'Input - Pasture Beef'!G185</f>
        <v>0.75</v>
      </c>
      <c r="Y22" s="16" t="s">
        <v>379</v>
      </c>
    </row>
    <row r="23" spans="1:34" ht="20.100000000000001" customHeight="1" x14ac:dyDescent="0.2">
      <c r="A23" s="5" t="str">
        <f>HYPERLINK("#'Input - Solid waste'!A1", "Solid waste")</f>
        <v>Solid waste</v>
      </c>
      <c r="D23" s="113" t="s">
        <v>382</v>
      </c>
      <c r="U23" s="15" t="str">
        <f>TEXT(EDATE('Input - Pasture Beef'!$E$176,1), "mmmm") &amp; ", " &amp; TEXT(EDATE('Input - Pasture Beef'!$E$176,2), "mmmm") &amp; ", " &amp; TEXT(EDATE('Input - Pasture Beef'!$E$176,3), "mmmm")</f>
        <v>September, October, November</v>
      </c>
      <c r="Y23" s="16"/>
    </row>
    <row r="24" spans="1:34" ht="20.100000000000001" customHeight="1" x14ac:dyDescent="0.2">
      <c r="A24" s="5" t="str">
        <f>HYPERLINK("#'Input - Manure sent off-site'!A1", "Manure sent off-site")</f>
        <v>Manure sent off-site</v>
      </c>
      <c r="D24" s="114" t="s">
        <v>384</v>
      </c>
      <c r="Y24" s="16"/>
    </row>
    <row r="25" spans="1:34" ht="20.100000000000001" customHeight="1" x14ac:dyDescent="0.2">
      <c r="A25" s="5" t="str">
        <f>HYPERLINK("#'Input - Data quality'!A1", "Data quality")</f>
        <v>Data quality</v>
      </c>
      <c r="D25" s="115" t="s">
        <v>76</v>
      </c>
      <c r="E25" s="115" t="s">
        <v>358</v>
      </c>
      <c r="F25" s="115" t="s">
        <v>383</v>
      </c>
      <c r="G25" s="115" t="s">
        <v>325</v>
      </c>
      <c r="H25" s="115" t="s">
        <v>189</v>
      </c>
      <c r="I25" s="115" t="s">
        <v>326</v>
      </c>
      <c r="J25" s="115" t="s">
        <v>327</v>
      </c>
      <c r="K25" s="115" t="s">
        <v>328</v>
      </c>
      <c r="L25" s="115" t="s">
        <v>329</v>
      </c>
      <c r="M25" s="115" t="s">
        <v>330</v>
      </c>
      <c r="N25" s="115" t="s">
        <v>331</v>
      </c>
      <c r="O25" s="115" t="s">
        <v>332</v>
      </c>
      <c r="P25" s="115" t="s">
        <v>333</v>
      </c>
      <c r="U25" s="113" t="s">
        <v>380</v>
      </c>
    </row>
    <row r="26" spans="1:34" ht="20.100000000000001" customHeight="1" x14ac:dyDescent="0.2">
      <c r="D26" s="15" t="s">
        <v>334</v>
      </c>
      <c r="E26" s="15" t="str" cm="1">
        <f t="array" ref="E26">_xlfn.IFS(D21=D26, "Calving season", D21=D29, "Season after calving", D21=D27, "", D21=D28, "")</f>
        <v>Season after calving</v>
      </c>
      <c r="F26" s="15" cm="1">
        <f t="array" ref="F26">_xlfn.IFS(E26="Calving season", $J$14, E26="Season after calving", $J$15, E26="", "")</f>
        <v>1.1000000000000001</v>
      </c>
      <c r="G26" s="15">
        <v>1</v>
      </c>
      <c r="H26" s="15">
        <v>1</v>
      </c>
      <c r="I26" s="15">
        <v>1</v>
      </c>
      <c r="J26" s="15">
        <f>IFERROR(((E$21 * $F26) + (1 - E$21)), 1)</f>
        <v>1.07</v>
      </c>
      <c r="K26" s="15">
        <f>IFERROR(((F$21 * $F26) + (1 - F$21)), 1)</f>
        <v>1.05</v>
      </c>
      <c r="L26" s="15">
        <f>IFERROR(((G$21 * $F26) + (1 - G$21)), 1)</f>
        <v>1.05</v>
      </c>
      <c r="M26" s="15">
        <v>1</v>
      </c>
      <c r="N26" s="15">
        <v>1</v>
      </c>
      <c r="O26" s="15">
        <v>1</v>
      </c>
      <c r="P26" s="15">
        <v>1</v>
      </c>
      <c r="Q26" s="16" t="str">
        <f>$E$11</f>
        <v>fraction</v>
      </c>
      <c r="U26" s="114" t="s">
        <v>381</v>
      </c>
    </row>
    <row r="27" spans="1:34" ht="20.100000000000001" customHeight="1" x14ac:dyDescent="0.2">
      <c r="D27" s="15" t="s">
        <v>335</v>
      </c>
      <c r="E27" s="15" t="str" cm="1">
        <f t="array" ref="E27">_xlfn.IFS(D21=D27, "Calving season", D21=D26, "Season after calving", D21=D28, "", D21=D29, "")</f>
        <v/>
      </c>
      <c r="F27" s="15" t="str" cm="1">
        <f t="array" ref="F27">_xlfn.IFS(E27="Calving season", $J$14, E27="Season after calving", $J$15, E27="", "")</f>
        <v/>
      </c>
      <c r="G27" s="15">
        <v>1</v>
      </c>
      <c r="H27" s="15">
        <v>1</v>
      </c>
      <c r="I27" s="15">
        <v>1</v>
      </c>
      <c r="J27" s="15">
        <f>IFERROR(((E$21 * $F27) + (1 - E$21)), 1)</f>
        <v>1</v>
      </c>
      <c r="K27" s="15">
        <f>IFERROR(((F$21 * $F27) + (1 - F$21)), 1)</f>
        <v>1</v>
      </c>
      <c r="L27" s="15">
        <f>IFERROR(((G$21 * $F27) + (1 - G$21)), 1)</f>
        <v>1</v>
      </c>
      <c r="M27" s="15">
        <v>1</v>
      </c>
      <c r="N27" s="15">
        <v>1</v>
      </c>
      <c r="O27" s="15">
        <v>1</v>
      </c>
      <c r="P27" s="15">
        <v>1</v>
      </c>
      <c r="Q27" s="16" t="str">
        <f t="shared" ref="Q27:Q29" si="0">$E$11</f>
        <v>fraction</v>
      </c>
      <c r="U27" s="115" t="s">
        <v>75</v>
      </c>
      <c r="V27" s="115" t="s">
        <v>358</v>
      </c>
      <c r="W27" s="115" t="s">
        <v>383</v>
      </c>
      <c r="X27" s="115" t="s">
        <v>325</v>
      </c>
      <c r="Y27" s="115" t="s">
        <v>189</v>
      </c>
      <c r="Z27" s="115" t="s">
        <v>326</v>
      </c>
      <c r="AA27" s="115" t="s">
        <v>327</v>
      </c>
      <c r="AB27" s="115" t="s">
        <v>328</v>
      </c>
      <c r="AC27" s="115" t="s">
        <v>329</v>
      </c>
      <c r="AD27" s="115" t="s">
        <v>330</v>
      </c>
      <c r="AE27" s="115" t="s">
        <v>331</v>
      </c>
      <c r="AF27" s="115" t="s">
        <v>332</v>
      </c>
      <c r="AG27" s="115" t="s">
        <v>333</v>
      </c>
    </row>
    <row r="28" spans="1:34" ht="20.100000000000001" customHeight="1" x14ac:dyDescent="0.2">
      <c r="A28" s="6" t="s">
        <v>2</v>
      </c>
      <c r="D28" s="15" t="s">
        <v>336</v>
      </c>
      <c r="E28" s="15" t="str" cm="1">
        <f t="array" ref="E28">_xlfn.IFS(D21=D28, "Calving season", D21=D27, "Season after calving", D21=D29, "", D21=D26, "")</f>
        <v/>
      </c>
      <c r="F28" s="15" t="str" cm="1">
        <f t="array" ref="F28">_xlfn.IFS(E28="Calving season", $J$14, E28="Season after calving", $J$15, E28="", "")</f>
        <v/>
      </c>
      <c r="G28" s="15">
        <v>1</v>
      </c>
      <c r="H28" s="15">
        <v>1</v>
      </c>
      <c r="I28" s="15">
        <v>1</v>
      </c>
      <c r="J28" s="15">
        <f>IFERROR(((E$21 * $F28) + (1 - E$21)), 1)</f>
        <v>1</v>
      </c>
      <c r="K28" s="15">
        <f>IFERROR(((F$21 * $F28) + (1 - F$21)), 1)</f>
        <v>1</v>
      </c>
      <c r="L28" s="15">
        <f>IFERROR(((G$21 * $F28) + (1 - G$21)), 1)</f>
        <v>1</v>
      </c>
      <c r="M28" s="15">
        <v>1</v>
      </c>
      <c r="N28" s="15">
        <v>1</v>
      </c>
      <c r="O28" s="15">
        <v>1</v>
      </c>
      <c r="P28" s="15">
        <v>1</v>
      </c>
      <c r="Q28" s="16" t="str">
        <f t="shared" si="0"/>
        <v>fraction</v>
      </c>
      <c r="U28" s="15" t="str">
        <f>TEXT(X_Cell_Site_StartDate,"mmmm")</f>
        <v>January</v>
      </c>
      <c r="V28" s="15" t="str" cm="1">
        <f t="array" ref="V28">IFERROR(_xlfn.IFS(SUMPRODUCT(ISNUMBER(SEARCH(TRIM(_xlfn.TEXTSPLIT($U$22,",")),U28))*1)&gt;0,"Calving season",SUMPRODUCT(ISNUMBER(SEARCH(TRIM(_xlfn.TEXTSPLIT($U$23,",")),U28))*1)&gt;0,"Season after calving"), "")</f>
        <v/>
      </c>
      <c r="W28" s="15" t="str" cm="1">
        <f t="array" ref="W28">_xlfn.IFS(V28="Calving season", $J$14, V28="Season after calving", $J$15, V28="", "")</f>
        <v/>
      </c>
      <c r="X28" s="15">
        <v>1</v>
      </c>
      <c r="Y28" s="15">
        <v>1</v>
      </c>
      <c r="Z28" s="15">
        <v>1</v>
      </c>
      <c r="AA28" s="15">
        <f>IFERROR(((V$22 * $W28) + (1 - V$22)), 1)</f>
        <v>1</v>
      </c>
      <c r="AB28" s="15">
        <f>IFERROR(((W$22 * $W28) + (1 - W$22)), 1)</f>
        <v>1</v>
      </c>
      <c r="AC28" s="15">
        <f>IFERROR(((X$22 * $W28) + (1 - X$22)), 1)</f>
        <v>1</v>
      </c>
      <c r="AD28" s="15">
        <v>1</v>
      </c>
      <c r="AE28" s="15">
        <v>1</v>
      </c>
      <c r="AF28" s="15">
        <v>1</v>
      </c>
      <c r="AG28" s="15">
        <v>1</v>
      </c>
      <c r="AH28" s="16" t="str">
        <f>$E$11</f>
        <v>fraction</v>
      </c>
    </row>
    <row r="29" spans="1:34" ht="20.100000000000001" customHeight="1" x14ac:dyDescent="0.2">
      <c r="A29" s="105" t="str">
        <f>HYPERLINK("#'3.2.1.1-2 Enteric Methane'!A1", "3.2.1.1-2 Enteric Methane")</f>
        <v>3.2.1.1-2 Enteric Methane</v>
      </c>
      <c r="D29" s="15" t="s">
        <v>337</v>
      </c>
      <c r="E29" s="15" t="str" cm="1">
        <f t="array" ref="E29">_xlfn.IFS(D21=D29, "Calving season", D21=D28, "Season after calving", D21=D26, "", D21=D27, "")</f>
        <v>Calving season</v>
      </c>
      <c r="F29" s="15" cm="1">
        <f t="array" ref="F29">_xlfn.IFS(E29="Calving season", $J$14, E29="Season after calving", $J$15, E29="", "")</f>
        <v>1.3</v>
      </c>
      <c r="G29" s="15">
        <v>1</v>
      </c>
      <c r="H29" s="15">
        <v>1</v>
      </c>
      <c r="I29" s="15">
        <v>1</v>
      </c>
      <c r="J29" s="15">
        <f>IFERROR(((E$21 * $F29) + (1 - E$21)), 1)</f>
        <v>1.21</v>
      </c>
      <c r="K29" s="15">
        <f>IFERROR(((F$21 * $F29) + (1 - F$21)), 1)</f>
        <v>1.1499999999999999</v>
      </c>
      <c r="L29" s="15">
        <f>IFERROR(((G$21 * $F29) + (1 - G$21)), 1)</f>
        <v>1.1499999999999999</v>
      </c>
      <c r="M29" s="15">
        <v>1</v>
      </c>
      <c r="N29" s="15">
        <v>1</v>
      </c>
      <c r="O29" s="15">
        <v>1</v>
      </c>
      <c r="P29" s="15">
        <v>1</v>
      </c>
      <c r="Q29" s="16" t="str">
        <f t="shared" si="0"/>
        <v>fraction</v>
      </c>
      <c r="U29" s="15" t="str">
        <f>TEXT(EDATE(X_Cell_Site_StartDate,1), "mmmm")</f>
        <v>February</v>
      </c>
      <c r="V29" s="15" t="str" cm="1">
        <f t="array" ref="V29">IFERROR(_xlfn.IFS(SUMPRODUCT(ISNUMBER(SEARCH(TRIM(_xlfn.TEXTSPLIT($U$22,",")),U29))*1)&gt;0,"Calving season",SUMPRODUCT(ISNUMBER(SEARCH(TRIM(_xlfn.TEXTSPLIT($U$23,",")),U29))*1)&gt;0,"Season after calving"), "")</f>
        <v/>
      </c>
      <c r="W29" s="15" t="str" cm="1">
        <f t="array" ref="W29">_xlfn.IFS(V29="Calving season", $J$14, V29="Season after calving", $J$15, V29="", "")</f>
        <v/>
      </c>
      <c r="X29" s="15">
        <v>1</v>
      </c>
      <c r="Y29" s="15">
        <v>1</v>
      </c>
      <c r="Z29" s="15">
        <v>1</v>
      </c>
      <c r="AA29" s="15">
        <f>IFERROR(((V$22 * $W29) + (1 - V$22)), 1)</f>
        <v>1</v>
      </c>
      <c r="AB29" s="15">
        <f>IFERROR(((W$22 * $W29) + (1 - W$22)), 1)</f>
        <v>1</v>
      </c>
      <c r="AC29" s="15">
        <f>IFERROR(((X$22 * $W29) + (1 - X$22)), 1)</f>
        <v>1</v>
      </c>
      <c r="AD29" s="15">
        <v>1</v>
      </c>
      <c r="AE29" s="15">
        <v>1</v>
      </c>
      <c r="AF29" s="15">
        <v>1</v>
      </c>
      <c r="AG29" s="15">
        <v>1</v>
      </c>
      <c r="AH29" s="16" t="str">
        <f t="shared" ref="AH29:AH39" si="1">$E$11</f>
        <v>fraction</v>
      </c>
    </row>
    <row r="30" spans="1:34" ht="20.100000000000001" customHeight="1" x14ac:dyDescent="0.2">
      <c r="A30" s="5" t="str">
        <f>HYPERLINK("#'4.2.1.1-2 Methane'!A1", "4.2.1.1-2 Manure methane")</f>
        <v>4.2.1.1-2 Manure methane</v>
      </c>
      <c r="U30" s="15" t="str">
        <f>TEXT(EDATE(X_Cell_Site_StartDate,2), "mmmm")</f>
        <v>March</v>
      </c>
      <c r="V30" s="15" t="str" cm="1">
        <f t="array" ref="V30">IFERROR(_xlfn.IFS(SUMPRODUCT(ISNUMBER(SEARCH(TRIM(_xlfn.TEXTSPLIT($U$22,",")),U30))*1)&gt;0,"Calving season",SUMPRODUCT(ISNUMBER(SEARCH(TRIM(_xlfn.TEXTSPLIT($U$23,",")),U30))*1)&gt;0,"Season after calving"), "")</f>
        <v/>
      </c>
      <c r="W30" s="15" t="str" cm="1">
        <f t="array" ref="W30">_xlfn.IFS(V30="Calving season", $J$14, V30="Season after calving", $J$15, V30="", "")</f>
        <v/>
      </c>
      <c r="X30" s="15">
        <v>1</v>
      </c>
      <c r="Y30" s="15">
        <v>1</v>
      </c>
      <c r="Z30" s="15">
        <v>1</v>
      </c>
      <c r="AA30" s="15">
        <f>IFERROR(((V$22 * $W30) + (1 - V$22)), 1)</f>
        <v>1</v>
      </c>
      <c r="AB30" s="15">
        <f>IFERROR(((W$22 * $W30) + (1 - W$22)), 1)</f>
        <v>1</v>
      </c>
      <c r="AC30" s="15">
        <f>IFERROR(((X$22 * $W30) + (1 - X$22)), 1)</f>
        <v>1</v>
      </c>
      <c r="AD30" s="15">
        <v>1</v>
      </c>
      <c r="AE30" s="15">
        <v>1</v>
      </c>
      <c r="AF30" s="15">
        <v>1</v>
      </c>
      <c r="AG30" s="15">
        <v>1</v>
      </c>
      <c r="AH30" s="16" t="str">
        <f t="shared" si="1"/>
        <v>fraction</v>
      </c>
    </row>
    <row r="31" spans="1:34" ht="20.100000000000001" customHeight="1" x14ac:dyDescent="0.2">
      <c r="A31" s="5" t="str">
        <f>HYPERLINK("#'4.2.1.3-4 Soil direct N20'!A1", "4.2.1.3-4 Soil direct N2O")</f>
        <v>4.2.1.3-4 Soil direct N2O</v>
      </c>
      <c r="U31" s="15" t="str">
        <f>TEXT(EDATE(X_Cell_Site_StartDate,3), "mmmm")</f>
        <v>April</v>
      </c>
      <c r="V31" s="15" t="str" cm="1">
        <f t="array" ref="V31">IFERROR(_xlfn.IFS(SUMPRODUCT(ISNUMBER(SEARCH(TRIM(_xlfn.TEXTSPLIT($U$22,",")),U31))*1)&gt;0,"Calving season",SUMPRODUCT(ISNUMBER(SEARCH(TRIM(_xlfn.TEXTSPLIT($U$23,",")),U31))*1)&gt;0,"Season after calving"), "")</f>
        <v/>
      </c>
      <c r="W31" s="15" t="str" cm="1">
        <f t="array" ref="W31">_xlfn.IFS(V31="Calving season", $J$14, V31="Season after calving", $J$15, V31="", "")</f>
        <v/>
      </c>
      <c r="X31" s="15">
        <v>1</v>
      </c>
      <c r="Y31" s="15">
        <v>1</v>
      </c>
      <c r="Z31" s="15">
        <v>1</v>
      </c>
      <c r="AA31" s="15">
        <f>IFERROR(((V$22 * $W31) + (1 - V$22)), 1)</f>
        <v>1</v>
      </c>
      <c r="AB31" s="15">
        <f>IFERROR(((W$22 * $W31) + (1 - W$22)), 1)</f>
        <v>1</v>
      </c>
      <c r="AC31" s="15">
        <f>IFERROR(((X$22 * $W31) + (1 - X$22)), 1)</f>
        <v>1</v>
      </c>
      <c r="AD31" s="15">
        <v>1</v>
      </c>
      <c r="AE31" s="15">
        <v>1</v>
      </c>
      <c r="AF31" s="15">
        <v>1</v>
      </c>
      <c r="AG31" s="15">
        <v>1</v>
      </c>
      <c r="AH31" s="16" t="str">
        <f t="shared" si="1"/>
        <v>fraction</v>
      </c>
    </row>
    <row r="32" spans="1:34" ht="20.100000000000001" customHeight="1" x14ac:dyDescent="0.2">
      <c r="A32" s="5" t="str">
        <f>HYPERLINK("#'4.2.1.5-6 Soil Atmos Dep'!A1", "4.2.1.5-6 Soil atm. deposition")</f>
        <v>4.2.1.5-6 Soil atm. deposition</v>
      </c>
      <c r="C32" s="88"/>
      <c r="D32" s="88"/>
      <c r="E32" s="88"/>
      <c r="F32" s="88"/>
      <c r="G32" s="88"/>
      <c r="H32" s="88"/>
      <c r="I32" s="88"/>
      <c r="J32" s="88"/>
      <c r="K32" s="88"/>
      <c r="L32" s="88"/>
      <c r="M32" s="88"/>
      <c r="N32" s="88"/>
      <c r="O32" s="88"/>
      <c r="P32" s="88"/>
      <c r="Q32" s="88"/>
      <c r="R32" s="88"/>
      <c r="U32" s="15" t="str">
        <f>TEXT(EDATE(X_Cell_Site_StartDate,4), "mmmm")</f>
        <v>May</v>
      </c>
      <c r="V32" s="15" t="str" cm="1">
        <f t="array" ref="V32">IFERROR(_xlfn.IFS(SUMPRODUCT(ISNUMBER(SEARCH(TRIM(_xlfn.TEXTSPLIT($U$22,",")),U32))*1)&gt;0,"Calving season",SUMPRODUCT(ISNUMBER(SEARCH(TRIM(_xlfn.TEXTSPLIT($U$23,",")),U32))*1)&gt;0,"Season after calving"), "")</f>
        <v/>
      </c>
      <c r="W32" s="15" t="str" cm="1">
        <f t="array" ref="W32">_xlfn.IFS(V32="Calving season", $J$14, V32="Season after calving", $J$15, V32="", "")</f>
        <v/>
      </c>
      <c r="X32" s="15">
        <v>1</v>
      </c>
      <c r="Y32" s="15">
        <v>1</v>
      </c>
      <c r="Z32" s="15">
        <v>1</v>
      </c>
      <c r="AA32" s="15">
        <f>IFERROR(((V$22 * $W32) + (1 - V$22)), 1)</f>
        <v>1</v>
      </c>
      <c r="AB32" s="15">
        <f>IFERROR(((W$22 * $W32) + (1 - W$22)), 1)</f>
        <v>1</v>
      </c>
      <c r="AC32" s="15">
        <f>IFERROR(((X$22 * $W32) + (1 - X$22)), 1)</f>
        <v>1</v>
      </c>
      <c r="AD32" s="15">
        <v>1</v>
      </c>
      <c r="AE32" s="15">
        <v>1</v>
      </c>
      <c r="AF32" s="15">
        <v>1</v>
      </c>
      <c r="AG32" s="15">
        <v>1</v>
      </c>
      <c r="AH32" s="16" t="str">
        <f t="shared" si="1"/>
        <v>fraction</v>
      </c>
    </row>
    <row r="33" spans="1:34" ht="20.100000000000001" customHeight="1" x14ac:dyDescent="0.2">
      <c r="A33" s="5" t="str">
        <f>HYPERLINK("#'4.2.1.7-8 Soil leach runoff'!A1", "4.2.1.7-8 Soil leach &amp; runoff")</f>
        <v>4.2.1.7-8 Soil leach &amp; runoff</v>
      </c>
      <c r="D33" s="2" t="s">
        <v>1327</v>
      </c>
      <c r="U33" s="15" t="str">
        <f>TEXT(EDATE(X_Cell_Site_StartDate,5), "mmmm")</f>
        <v>June</v>
      </c>
      <c r="V33" s="15" t="str" cm="1">
        <f t="array" ref="V33">IFERROR(_xlfn.IFS(SUMPRODUCT(ISNUMBER(SEARCH(TRIM(_xlfn.TEXTSPLIT($U$22,",")),U33))*1)&gt;0,"Calving season",SUMPRODUCT(ISNUMBER(SEARCH(TRIM(_xlfn.TEXTSPLIT($U$23,",")),U33))*1)&gt;0,"Season after calving"), "")</f>
        <v/>
      </c>
      <c r="W33" s="15" t="str" cm="1">
        <f t="array" ref="W33">_xlfn.IFS(V33="Calving season", $J$14, V33="Season after calving", $J$15, V33="", "")</f>
        <v/>
      </c>
      <c r="X33" s="15">
        <v>1</v>
      </c>
      <c r="Y33" s="15">
        <v>1</v>
      </c>
      <c r="Z33" s="15">
        <v>1</v>
      </c>
      <c r="AA33" s="15">
        <f>IFERROR(((V$22 * $W33) + (1 - V$22)), 1)</f>
        <v>1</v>
      </c>
      <c r="AB33" s="15">
        <f>IFERROR(((W$22 * $W33) + (1 - W$22)), 1)</f>
        <v>1</v>
      </c>
      <c r="AC33" s="15">
        <f>IFERROR(((X$22 * $W33) + (1 - X$22)), 1)</f>
        <v>1</v>
      </c>
      <c r="AD33" s="15">
        <v>1</v>
      </c>
      <c r="AE33" s="15">
        <v>1</v>
      </c>
      <c r="AF33" s="15">
        <v>1</v>
      </c>
      <c r="AG33" s="15">
        <v>1</v>
      </c>
      <c r="AH33" s="16" t="str">
        <f t="shared" si="1"/>
        <v>fraction</v>
      </c>
    </row>
    <row r="34" spans="1:34" ht="20.100000000000001" customHeight="1" x14ac:dyDescent="0.2">
      <c r="A34" s="5" t="str">
        <f>HYPERLINK("#'5.1.1.1-2 Inorganic fert N2O'!A1", "5.1.1.1-2 Inorganic fert N2O")</f>
        <v>5.1.1.1-2 Inorganic fert N2O</v>
      </c>
      <c r="D34" s="17" t="s">
        <v>1328</v>
      </c>
      <c r="U34" s="15" t="str">
        <f>TEXT(EDATE(X_Cell_Site_StartDate,6), "mmmm")</f>
        <v>July</v>
      </c>
      <c r="V34" s="15" t="str" cm="1">
        <f t="array" ref="V34">IFERROR(_xlfn.IFS(SUMPRODUCT(ISNUMBER(SEARCH(TRIM(_xlfn.TEXTSPLIT($U$22,",")),U34))*1)&gt;0,"Calving season",SUMPRODUCT(ISNUMBER(SEARCH(TRIM(_xlfn.TEXTSPLIT($U$23,",")),U34))*1)&gt;0,"Season after calving"), "")</f>
        <v/>
      </c>
      <c r="W34" s="15" t="str" cm="1">
        <f t="array" ref="W34">_xlfn.IFS(V34="Calving season", $J$14, V34="Season after calving", $J$15, V34="", "")</f>
        <v/>
      </c>
      <c r="X34" s="15">
        <v>1</v>
      </c>
      <c r="Y34" s="15">
        <v>1</v>
      </c>
      <c r="Z34" s="15">
        <v>1</v>
      </c>
      <c r="AA34" s="15">
        <f>IFERROR(((V$22 * $W34) + (1 - V$22)), 1)</f>
        <v>1</v>
      </c>
      <c r="AB34" s="15">
        <f>IFERROR(((W$22 * $W34) + (1 - W$22)), 1)</f>
        <v>1</v>
      </c>
      <c r="AC34" s="15">
        <f>IFERROR(((X$22 * $W34) + (1 - X$22)), 1)</f>
        <v>1</v>
      </c>
      <c r="AD34" s="15">
        <v>1</v>
      </c>
      <c r="AE34" s="15">
        <v>1</v>
      </c>
      <c r="AF34" s="15">
        <v>1</v>
      </c>
      <c r="AG34" s="15">
        <v>1</v>
      </c>
      <c r="AH34" s="16" t="str">
        <f t="shared" si="1"/>
        <v>fraction</v>
      </c>
    </row>
    <row r="35" spans="1:34" ht="20.100000000000001" customHeight="1" x14ac:dyDescent="0.2">
      <c r="A35" s="5" t="str">
        <f>HYPERLINK("#'5.1.1.3-4 Inorganic fert CO2'!A1", "5.1.1.3-4 Inorganic fert CO2")</f>
        <v>5.1.1.3-4 Inorganic fert CO2</v>
      </c>
      <c r="D35" s="104"/>
      <c r="E35" s="104"/>
      <c r="U35" s="15" t="str">
        <f>TEXT(EDATE(X_Cell_Site_StartDate,7), "mmmm")</f>
        <v>August</v>
      </c>
      <c r="V35" s="15" t="str" cm="1">
        <f t="array" ref="V35">IFERROR(_xlfn.IFS(SUMPRODUCT(ISNUMBER(SEARCH(TRIM(_xlfn.TEXTSPLIT($U$22,",")),U35))*1)&gt;0,"Calving season",SUMPRODUCT(ISNUMBER(SEARCH(TRIM(_xlfn.TEXTSPLIT($U$23,",")),U35))*1)&gt;0,"Season after calving"), "")</f>
        <v>Calving season</v>
      </c>
      <c r="W35" s="15" cm="1">
        <f t="array" ref="W35">_xlfn.IFS(V35="Calving season", $J$14, V35="Season after calving", $J$15, V35="", "")</f>
        <v>1.3</v>
      </c>
      <c r="X35" s="15">
        <v>1</v>
      </c>
      <c r="Y35" s="15">
        <v>1</v>
      </c>
      <c r="Z35" s="15">
        <v>1</v>
      </c>
      <c r="AA35" s="15">
        <f>IFERROR(((V$22 * $W35) + (1 - V$22)), 1)</f>
        <v>1.2250000000000001</v>
      </c>
      <c r="AB35" s="15">
        <f>IFERROR(((W$22 * $W35) + (1 - W$22)), 1)</f>
        <v>1.2250000000000001</v>
      </c>
      <c r="AC35" s="15">
        <f>IFERROR(((X$22 * $W35) + (1 - X$22)), 1)</f>
        <v>1.2250000000000001</v>
      </c>
      <c r="AD35" s="15">
        <v>1</v>
      </c>
      <c r="AE35" s="15">
        <v>1</v>
      </c>
      <c r="AF35" s="15">
        <v>1</v>
      </c>
      <c r="AG35" s="15">
        <v>1</v>
      </c>
      <c r="AH35" s="16" t="str">
        <f t="shared" si="1"/>
        <v>fraction</v>
      </c>
    </row>
    <row r="36" spans="1:34" ht="20.100000000000001" customHeight="1" x14ac:dyDescent="0.2">
      <c r="A36" s="5" t="str">
        <f>HYPERLINK("#'5.2.1.1-2 Organic Fert N2O'!A1", "5.2.1.1-2 Organic fert N2O")</f>
        <v>5.2.1.1-2 Organic fert N2O</v>
      </c>
      <c r="U36" s="15" t="str">
        <f>TEXT(EDATE(X_Cell_Site_StartDate,8), "mmmm")</f>
        <v>September</v>
      </c>
      <c r="V36" s="15" t="str" cm="1">
        <f t="array" ref="V36">IFERROR(_xlfn.IFS(SUMPRODUCT(ISNUMBER(SEARCH(TRIM(_xlfn.TEXTSPLIT($U$22,",")),U36))*1)&gt;0,"Calving season",SUMPRODUCT(ISNUMBER(SEARCH(TRIM(_xlfn.TEXTSPLIT($U$23,",")),U36))*1)&gt;0,"Season after calving"), "")</f>
        <v>Calving season</v>
      </c>
      <c r="W36" s="15" cm="1">
        <f t="array" ref="W36">_xlfn.IFS(V36="Calving season", $J$14, V36="Season after calving", $J$15, V36="", "")</f>
        <v>1.3</v>
      </c>
      <c r="X36" s="15">
        <v>1</v>
      </c>
      <c r="Y36" s="15">
        <v>1</v>
      </c>
      <c r="Z36" s="15">
        <v>1</v>
      </c>
      <c r="AA36" s="15">
        <f>IFERROR(((V$22 * $W36) + (1 - V$22)), 1)</f>
        <v>1.2250000000000001</v>
      </c>
      <c r="AB36" s="15">
        <f>IFERROR(((W$22 * $W36) + (1 - W$22)), 1)</f>
        <v>1.2250000000000001</v>
      </c>
      <c r="AC36" s="15">
        <f>IFERROR(((X$22 * $W36) + (1 - X$22)), 1)</f>
        <v>1.2250000000000001</v>
      </c>
      <c r="AD36" s="15">
        <v>1</v>
      </c>
      <c r="AE36" s="15">
        <v>1</v>
      </c>
      <c r="AF36" s="15">
        <v>1</v>
      </c>
      <c r="AG36" s="15">
        <v>1</v>
      </c>
      <c r="AH36" s="16" t="str">
        <f t="shared" si="1"/>
        <v>fraction</v>
      </c>
    </row>
    <row r="37" spans="1:34" ht="20.100000000000001" customHeight="1" x14ac:dyDescent="0.2">
      <c r="A37" s="5" t="str">
        <f>HYPERLINK("#'5.3.1.1-2 Lime CO2'!A1", "5.3.1.1-2 Lime CO2")</f>
        <v>5.3.1.1-2 Lime CO2</v>
      </c>
      <c r="G37" s="2" t="s">
        <v>1329</v>
      </c>
      <c r="U37" s="15" t="str">
        <f>TEXT(EDATE(X_Cell_Site_StartDate,9), "mmmm")</f>
        <v>October</v>
      </c>
      <c r="V37" s="15" t="str" cm="1">
        <f t="array" ref="V37">IFERROR(_xlfn.IFS(SUMPRODUCT(ISNUMBER(SEARCH(TRIM(_xlfn.TEXTSPLIT($U$22,",")),U37))*1)&gt;0,"Calving season",SUMPRODUCT(ISNUMBER(SEARCH(TRIM(_xlfn.TEXTSPLIT($U$23,",")),U37))*1)&gt;0,"Season after calving"), "")</f>
        <v>Calving season</v>
      </c>
      <c r="W37" s="15" cm="1">
        <f t="array" ref="W37">_xlfn.IFS(V37="Calving season", $J$14, V37="Season after calving", $J$15, V37="", "")</f>
        <v>1.3</v>
      </c>
      <c r="X37" s="15">
        <v>1</v>
      </c>
      <c r="Y37" s="15">
        <v>1</v>
      </c>
      <c r="Z37" s="15">
        <v>1</v>
      </c>
      <c r="AA37" s="15">
        <f>IFERROR(((V$22 * $W37) + (1 - V$22)), 1)</f>
        <v>1.2250000000000001</v>
      </c>
      <c r="AB37" s="15">
        <f>IFERROR(((W$22 * $W37) + (1 - W$22)), 1)</f>
        <v>1.2250000000000001</v>
      </c>
      <c r="AC37" s="15">
        <f>IFERROR(((X$22 * $W37) + (1 - X$22)), 1)</f>
        <v>1.2250000000000001</v>
      </c>
      <c r="AD37" s="15">
        <v>1</v>
      </c>
      <c r="AE37" s="15">
        <v>1</v>
      </c>
      <c r="AF37" s="15">
        <v>1</v>
      </c>
      <c r="AG37" s="15">
        <v>1</v>
      </c>
      <c r="AH37" s="16" t="str">
        <f t="shared" si="1"/>
        <v>fraction</v>
      </c>
    </row>
    <row r="38" spans="1:34" ht="20.100000000000001" customHeight="1" x14ac:dyDescent="0.2">
      <c r="A38" s="5" t="str">
        <f>HYPERLINK("#'5.4.1.1-4 Atmos deposition'!A1", "5.4.1.1-4 Atmos. deposition")</f>
        <v>5.4.1.1-4 Atmos. deposition</v>
      </c>
      <c r="D38" s="77" t="s">
        <v>374</v>
      </c>
      <c r="E38" s="1" t="s">
        <v>1330</v>
      </c>
      <c r="U38" s="15" t="str">
        <f>TEXT(EDATE(X_Cell_Site_StartDate,10), "mmmm")</f>
        <v>November</v>
      </c>
      <c r="V38" s="15" t="str" cm="1">
        <f t="array" ref="V38">IFERROR(_xlfn.IFS(SUMPRODUCT(ISNUMBER(SEARCH(TRIM(_xlfn.TEXTSPLIT($U$22,",")),U38))*1)&gt;0,"Calving season",SUMPRODUCT(ISNUMBER(SEARCH(TRIM(_xlfn.TEXTSPLIT($U$23,",")),U38))*1)&gt;0,"Season after calving"), "")</f>
        <v>Season after calving</v>
      </c>
      <c r="W38" s="15" cm="1">
        <f t="array" ref="W38">_xlfn.IFS(V38="Calving season", $J$14, V38="Season after calving", $J$15, V38="", "")</f>
        <v>1.1000000000000001</v>
      </c>
      <c r="X38" s="15">
        <v>1</v>
      </c>
      <c r="Y38" s="15">
        <v>1</v>
      </c>
      <c r="Z38" s="15">
        <v>1</v>
      </c>
      <c r="AA38" s="15">
        <f>IFERROR(((V$22 * $W38) + (1 - V$22)), 1)</f>
        <v>1.0750000000000002</v>
      </c>
      <c r="AB38" s="15">
        <f>IFERROR(((W$22 * $W38) + (1 - W$22)), 1)</f>
        <v>1.0750000000000002</v>
      </c>
      <c r="AC38" s="15">
        <f>IFERROR(((X$22 * $W38) + (1 - X$22)), 1)</f>
        <v>1.0750000000000002</v>
      </c>
      <c r="AD38" s="15">
        <v>1</v>
      </c>
      <c r="AE38" s="15">
        <v>1</v>
      </c>
      <c r="AF38" s="15">
        <v>1</v>
      </c>
      <c r="AG38" s="15">
        <v>1</v>
      </c>
      <c r="AH38" s="16" t="str">
        <f t="shared" si="1"/>
        <v>fraction</v>
      </c>
    </row>
    <row r="39" spans="1:34" ht="20.100000000000001" customHeight="1" x14ac:dyDescent="0.2">
      <c r="A39" s="5" t="str">
        <f>HYPERLINK("#'5.5.1.1-2 Leaching and runoff'!A1", "5.5.1.1-2 Leaching &amp; runoff")</f>
        <v>5.5.1.1-2 Leaching &amp; runoff</v>
      </c>
      <c r="D39" s="77" t="s">
        <v>126</v>
      </c>
      <c r="E39" s="9" t="s">
        <v>1331</v>
      </c>
      <c r="U39" s="15" t="str">
        <f>TEXT(EDATE(X_Cell_Site_StartDate,11), "mmmm")</f>
        <v>December</v>
      </c>
      <c r="V39" s="15" t="str" cm="1">
        <f t="array" ref="V39">IFERROR(_xlfn.IFS(SUMPRODUCT(ISNUMBER(SEARCH(TRIM(_xlfn.TEXTSPLIT($U$22,",")),U39))*1)&gt;0,"Calving season",SUMPRODUCT(ISNUMBER(SEARCH(TRIM(_xlfn.TEXTSPLIT($U$23,",")),U39))*1)&gt;0,"Season after calving"), "")</f>
        <v/>
      </c>
      <c r="W39" s="15" t="str" cm="1">
        <f t="array" ref="W39">_xlfn.IFS(V39="Calving season", $J$14, V39="Season after calving", $J$15, V39="", "")</f>
        <v/>
      </c>
      <c r="X39" s="15">
        <v>1</v>
      </c>
      <c r="Y39" s="15">
        <v>1</v>
      </c>
      <c r="Z39" s="15">
        <v>1</v>
      </c>
      <c r="AA39" s="15">
        <f>IFERROR(((V$22 * $W39) + (1 - V$22)), 1)</f>
        <v>1</v>
      </c>
      <c r="AB39" s="15">
        <f>IFERROR(((W$22 * $W39) + (1 - W$22)), 1)</f>
        <v>1</v>
      </c>
      <c r="AC39" s="15">
        <f>IFERROR(((X$22 * $W39) + (1 - X$22)), 1)</f>
        <v>1</v>
      </c>
      <c r="AD39" s="15">
        <v>1</v>
      </c>
      <c r="AE39" s="15">
        <v>1</v>
      </c>
      <c r="AF39" s="15">
        <v>1</v>
      </c>
      <c r="AG39" s="15">
        <v>1</v>
      </c>
      <c r="AH39" s="16" t="str">
        <f t="shared" si="1"/>
        <v>fraction</v>
      </c>
    </row>
    <row r="40" spans="1:34" ht="20.100000000000001" customHeight="1" x14ac:dyDescent="0.2">
      <c r="A40" s="5" t="str">
        <f>HYPERLINK("#'6.2.1.1-2 Pasture residue N2O'!A1", "6.2.1.1-2 Pasture residue N2O")</f>
        <v>6.2.1.1-2 Pasture residue N2O</v>
      </c>
    </row>
    <row r="41" spans="1:34" ht="20.100000000000001" customHeight="1" x14ac:dyDescent="0.2">
      <c r="A41" s="5" t="str">
        <f>HYPERLINK("#'6.3.1.1-2 Leach runoff pasture'!A1", "6.3.1.1-2 Leach &amp; runoff (pasture)")</f>
        <v>6.3.1.1-2 Leach &amp; runoff (pasture)</v>
      </c>
      <c r="D41" s="106" t="s">
        <v>1332</v>
      </c>
      <c r="E41" s="107" t="s">
        <v>1333</v>
      </c>
      <c r="F41" s="109"/>
      <c r="G41" s="106" t="s">
        <v>653</v>
      </c>
      <c r="H41" s="110" t="s">
        <v>1325</v>
      </c>
      <c r="I41" s="112" t="str" cm="1">
        <f t="array" aca="1" ref="I41" ca="1">HYPERLINK(Common_InputFunctions.Utility_SourceHyperlink($D$45), $D$45)</f>
        <v>M1_Table_W_j_k_l</v>
      </c>
      <c r="U41" s="113" t="s">
        <v>389</v>
      </c>
    </row>
    <row r="42" spans="1:34" ht="20.100000000000001" customHeight="1" x14ac:dyDescent="0.2">
      <c r="A42" s="5" t="str">
        <f>HYPERLINK("#'8.1.1.1-2 Transport fuel'!A1", "8.1.1.1-2 Transport fuel")</f>
        <v>8.1.1.1-2 Transport fuel</v>
      </c>
      <c r="D42" s="106" t="s">
        <v>1334</v>
      </c>
      <c r="E42" s="107" t="s">
        <v>1335</v>
      </c>
      <c r="F42" s="109"/>
      <c r="G42" s="106" t="s">
        <v>345</v>
      </c>
      <c r="H42" s="110" t="s">
        <v>1325</v>
      </c>
      <c r="I42" s="112" t="str" cm="1">
        <f t="array" aca="1" ref="I42" ca="1">HYPERLINK(Common_InputFunctions.Utility_SourceHyperlink($D$53), $D$53)</f>
        <v>M1_Table_LWG_j_k_l</v>
      </c>
      <c r="U42" s="114" t="s">
        <v>390</v>
      </c>
    </row>
    <row r="43" spans="1:34" ht="20.100000000000001" customHeight="1" x14ac:dyDescent="0.2">
      <c r="A43" s="5" t="str">
        <f>HYPERLINK("#'8.2.1.1-2 Stationary fuel'!A1", "8.2.1.1-2 Stationary fuel")</f>
        <v>8.2.1.1-2 Stationary fuel</v>
      </c>
      <c r="D43" s="106" t="s">
        <v>1316</v>
      </c>
      <c r="E43" s="107" t="s">
        <v>1336</v>
      </c>
      <c r="F43" s="109"/>
      <c r="G43" s="106" t="s">
        <v>345</v>
      </c>
      <c r="H43" s="111" t="s">
        <v>1337</v>
      </c>
      <c r="I43" s="112" t="str" cm="1">
        <f t="array" aca="1" ref="I43" ca="1">HYPERLINK(Common_InputFunctions.Utility_SourceHyperlink($D$23), $D$23)</f>
        <v>M1_Table_MA_j_k-4-5</v>
      </c>
      <c r="U43" s="115" t="s">
        <v>75</v>
      </c>
      <c r="V43" s="82" t="s">
        <v>325</v>
      </c>
      <c r="W43" s="82" t="s">
        <v>189</v>
      </c>
      <c r="X43" s="82" t="s">
        <v>326</v>
      </c>
      <c r="Y43" s="82" t="s">
        <v>327</v>
      </c>
      <c r="Z43" s="82" t="s">
        <v>328</v>
      </c>
      <c r="AA43" s="82" t="s">
        <v>329</v>
      </c>
      <c r="AB43" s="82" t="s">
        <v>330</v>
      </c>
      <c r="AC43" s="82" t="s">
        <v>331</v>
      </c>
      <c r="AD43" s="82" t="s">
        <v>332</v>
      </c>
      <c r="AE43" s="82" t="s">
        <v>333</v>
      </c>
      <c r="AF43" s="16"/>
    </row>
    <row r="44" spans="1:34" ht="20.100000000000001" customHeight="1" x14ac:dyDescent="0.2">
      <c r="A44" s="5" t="str">
        <f>HYPERLINK("#'10.1.1-2 Solid waste treatment'!A1", "10.1.1.1-2 Solid waste")</f>
        <v>10.1.1.1-2 Solid waste</v>
      </c>
      <c r="U44" s="15" t="str">
        <f>TEXT(X_Cell_Site_StartDate,"mmmm")</f>
        <v>January</v>
      </c>
      <c r="V44" s="15" cm="1">
        <f t="array" aca="1" ref="V44:AE55" ca="1">OFFSET(X_Table_PastureBeef_Liveweight_Method2,1,1,12,10)</f>
        <v>380</v>
      </c>
      <c r="W44" s="15">
        <f ca="1"/>
        <v>780</v>
      </c>
      <c r="X44" s="15">
        <f ca="1"/>
        <v>300</v>
      </c>
      <c r="Y44" s="15">
        <f ca="1"/>
        <v>450</v>
      </c>
      <c r="Z44" s="15">
        <f ca="1"/>
        <v>530</v>
      </c>
      <c r="AA44" s="15">
        <f ca="1"/>
        <v>530</v>
      </c>
      <c r="AB44" s="15">
        <f ca="1"/>
        <v>340</v>
      </c>
      <c r="AC44" s="15">
        <f ca="1"/>
        <v>470</v>
      </c>
      <c r="AD44" s="15">
        <f ca="1"/>
        <v>470</v>
      </c>
      <c r="AE44" s="15">
        <f ca="1"/>
        <v>470</v>
      </c>
      <c r="AF44" s="16" t="s">
        <v>343</v>
      </c>
    </row>
    <row r="45" spans="1:34" ht="20.100000000000001" customHeight="1" x14ac:dyDescent="0.2">
      <c r="A45" s="5" t="str">
        <f>HYPERLINK("#'14.1.1-2 Purchased electricity'!A1", "14.1.1-2 Purchased electricity")</f>
        <v>14.1.1-2 Purchased electricity</v>
      </c>
      <c r="D45" s="113" t="s">
        <v>391</v>
      </c>
      <c r="U45" s="15" t="str">
        <f>TEXT(EDATE(X_Cell_Site_StartDate,1), "mmmm")</f>
        <v>February</v>
      </c>
      <c r="V45" s="15">
        <f ca="1"/>
        <v>380</v>
      </c>
      <c r="W45" s="15">
        <f ca="1"/>
        <v>780</v>
      </c>
      <c r="X45" s="15">
        <f ca="1"/>
        <v>300</v>
      </c>
      <c r="Y45" s="15">
        <f ca="1"/>
        <v>450</v>
      </c>
      <c r="Z45" s="15">
        <f ca="1"/>
        <v>530</v>
      </c>
      <c r="AA45" s="15">
        <f ca="1"/>
        <v>530</v>
      </c>
      <c r="AB45" s="15">
        <f ca="1"/>
        <v>340</v>
      </c>
      <c r="AC45" s="15">
        <f ca="1"/>
        <v>470</v>
      </c>
      <c r="AD45" s="15">
        <f ca="1"/>
        <v>470</v>
      </c>
      <c r="AE45" s="15">
        <f ca="1"/>
        <v>470</v>
      </c>
      <c r="AF45" s="16" t="s">
        <v>343</v>
      </c>
    </row>
    <row r="46" spans="1:34" ht="20.100000000000001" customHeight="1" x14ac:dyDescent="0.2">
      <c r="A46" s="5" t="str">
        <f>HYPERLINK("#'15 Scope 3'!A1", "15 Scope 3")</f>
        <v>15 Scope 3</v>
      </c>
      <c r="D46" s="114" t="s">
        <v>392</v>
      </c>
      <c r="U46" s="15" t="str">
        <f>TEXT(EDATE(X_Cell_Site_StartDate,2), "mmmm")</f>
        <v>March</v>
      </c>
      <c r="V46" s="15">
        <f ca="1"/>
        <v>100</v>
      </c>
      <c r="W46" s="15">
        <f ca="1"/>
        <v>680</v>
      </c>
      <c r="X46" s="15">
        <f ca="1"/>
        <v>80</v>
      </c>
      <c r="Y46" s="15">
        <f ca="1"/>
        <v>320</v>
      </c>
      <c r="Z46" s="15">
        <f ca="1"/>
        <v>480</v>
      </c>
      <c r="AA46" s="15">
        <f ca="1"/>
        <v>480</v>
      </c>
      <c r="AB46" s="15">
        <f ca="1"/>
        <v>100</v>
      </c>
      <c r="AC46" s="15">
        <f ca="1"/>
        <v>340</v>
      </c>
      <c r="AD46" s="15">
        <f ca="1"/>
        <v>340</v>
      </c>
      <c r="AE46" s="15">
        <f ca="1"/>
        <v>340</v>
      </c>
      <c r="AF46" s="16" t="s">
        <v>343</v>
      </c>
    </row>
    <row r="47" spans="1:34" ht="20.100000000000001" customHeight="1" x14ac:dyDescent="0.2">
      <c r="A47" s="5" t="str">
        <f>HYPERLINK("#'Calcs - Manure sent off-site'!A1", "Calcs - Manure sent off-site")</f>
        <v>Calcs - Manure sent off-site</v>
      </c>
      <c r="D47" s="115" t="s">
        <v>76</v>
      </c>
      <c r="E47" s="82" t="s">
        <v>325</v>
      </c>
      <c r="F47" s="82" t="s">
        <v>189</v>
      </c>
      <c r="G47" s="82" t="s">
        <v>326</v>
      </c>
      <c r="H47" s="82" t="s">
        <v>327</v>
      </c>
      <c r="I47" s="82" t="s">
        <v>328</v>
      </c>
      <c r="J47" s="82" t="s">
        <v>329</v>
      </c>
      <c r="K47" s="82" t="s">
        <v>330</v>
      </c>
      <c r="L47" s="82" t="s">
        <v>331</v>
      </c>
      <c r="M47" s="82" t="s">
        <v>332</v>
      </c>
      <c r="N47" s="82" t="s">
        <v>333</v>
      </c>
      <c r="U47" s="15" t="str">
        <f>TEXT(EDATE(X_Cell_Site_StartDate,3), "mmmm")</f>
        <v>April</v>
      </c>
      <c r="V47" s="15">
        <f ca="1"/>
        <v>100</v>
      </c>
      <c r="W47" s="15">
        <f ca="1"/>
        <v>680</v>
      </c>
      <c r="X47" s="15">
        <f ca="1"/>
        <v>80</v>
      </c>
      <c r="Y47" s="15">
        <f ca="1"/>
        <v>320</v>
      </c>
      <c r="Z47" s="15">
        <f ca="1"/>
        <v>480</v>
      </c>
      <c r="AA47" s="15">
        <f ca="1"/>
        <v>480</v>
      </c>
      <c r="AB47" s="15">
        <f ca="1"/>
        <v>100</v>
      </c>
      <c r="AC47" s="15">
        <f ca="1"/>
        <v>340</v>
      </c>
      <c r="AD47" s="15">
        <f ca="1"/>
        <v>340</v>
      </c>
      <c r="AE47" s="15">
        <f ca="1"/>
        <v>340</v>
      </c>
      <c r="AF47" s="16" t="s">
        <v>343</v>
      </c>
    </row>
    <row r="48" spans="1:34" ht="20.100000000000001" customHeight="1" x14ac:dyDescent="0.2">
      <c r="D48" s="15" t="str">
        <f>INDEX(X_Table_PastureBeef_Liveweight_Method1,2,1)</f>
        <v>Spring</v>
      </c>
      <c r="E48" s="15" cm="1">
        <f t="array" aca="1" ref="E48:N51" ca="1">OFFSET(X_Table_PastureBeef_Liveweight_Method1, 1,1, 4,10)</f>
        <v>340</v>
      </c>
      <c r="F48" s="15">
        <f ca="1"/>
        <v>800</v>
      </c>
      <c r="G48" s="15">
        <f ca="1"/>
        <v>260</v>
      </c>
      <c r="H48" s="15">
        <f ca="1"/>
        <v>420</v>
      </c>
      <c r="I48" s="15">
        <f ca="1"/>
        <v>550</v>
      </c>
      <c r="J48" s="15">
        <f ca="1"/>
        <v>550</v>
      </c>
      <c r="K48" s="15">
        <f ca="1"/>
        <v>300</v>
      </c>
      <c r="L48" s="15">
        <f ca="1"/>
        <v>480</v>
      </c>
      <c r="M48" s="15">
        <f ca="1"/>
        <v>480</v>
      </c>
      <c r="N48" s="15">
        <f ca="1"/>
        <v>480</v>
      </c>
      <c r="O48" s="16" t="s">
        <v>343</v>
      </c>
      <c r="P48" s="16"/>
      <c r="Q48" s="16"/>
      <c r="U48" s="15" t="str">
        <f>TEXT(EDATE(X_Cell_Site_StartDate,4), "mmmm")</f>
        <v>May</v>
      </c>
      <c r="V48" s="15">
        <f ca="1"/>
        <v>100</v>
      </c>
      <c r="W48" s="15">
        <f ca="1"/>
        <v>680</v>
      </c>
      <c r="X48" s="15">
        <f ca="1"/>
        <v>80</v>
      </c>
      <c r="Y48" s="15">
        <f ca="1"/>
        <v>320</v>
      </c>
      <c r="Z48" s="15">
        <f ca="1"/>
        <v>480</v>
      </c>
      <c r="AA48" s="15">
        <f ca="1"/>
        <v>480</v>
      </c>
      <c r="AB48" s="15">
        <f ca="1"/>
        <v>100</v>
      </c>
      <c r="AC48" s="15">
        <f ca="1"/>
        <v>340</v>
      </c>
      <c r="AD48" s="15">
        <f ca="1"/>
        <v>340</v>
      </c>
      <c r="AE48" s="15">
        <f ca="1"/>
        <v>340</v>
      </c>
      <c r="AF48" s="16" t="s">
        <v>343</v>
      </c>
    </row>
    <row r="49" spans="1:34" ht="20.100000000000001" customHeight="1" x14ac:dyDescent="0.2">
      <c r="D49" s="15" t="str">
        <f>INDEX(X_Table_PastureBeef_Liveweight_Method1,3,1)</f>
        <v>Summer</v>
      </c>
      <c r="E49" s="15">
        <f ca="1"/>
        <v>380</v>
      </c>
      <c r="F49" s="15">
        <f ca="1"/>
        <v>780</v>
      </c>
      <c r="G49" s="15">
        <f ca="1"/>
        <v>300</v>
      </c>
      <c r="H49" s="15">
        <f ca="1"/>
        <v>450</v>
      </c>
      <c r="I49" s="15">
        <f ca="1"/>
        <v>530</v>
      </c>
      <c r="J49" s="15">
        <f ca="1"/>
        <v>530</v>
      </c>
      <c r="K49" s="15">
        <f ca="1"/>
        <v>340</v>
      </c>
      <c r="L49" s="15">
        <f ca="1"/>
        <v>470</v>
      </c>
      <c r="M49" s="15">
        <f ca="1"/>
        <v>470</v>
      </c>
      <c r="N49" s="15">
        <f ca="1"/>
        <v>470</v>
      </c>
      <c r="O49" s="16" t="s">
        <v>343</v>
      </c>
      <c r="P49" s="16"/>
      <c r="Q49" s="16"/>
      <c r="U49" s="15" t="str">
        <f>TEXT(EDATE(X_Cell_Site_StartDate,5), "mmmm")</f>
        <v>June</v>
      </c>
      <c r="V49" s="15">
        <f ca="1"/>
        <v>190</v>
      </c>
      <c r="W49" s="15">
        <f ca="1"/>
        <v>700</v>
      </c>
      <c r="X49" s="15">
        <f ca="1"/>
        <v>150</v>
      </c>
      <c r="Y49" s="15">
        <f ca="1"/>
        <v>330</v>
      </c>
      <c r="Z49" s="15">
        <f ca="1"/>
        <v>490</v>
      </c>
      <c r="AA49" s="15">
        <f ca="1"/>
        <v>490</v>
      </c>
      <c r="AB49" s="15">
        <f ca="1"/>
        <v>170</v>
      </c>
      <c r="AC49" s="15">
        <f ca="1"/>
        <v>360</v>
      </c>
      <c r="AD49" s="15">
        <f ca="1"/>
        <v>360</v>
      </c>
      <c r="AE49" s="15">
        <f ca="1"/>
        <v>360</v>
      </c>
      <c r="AF49" s="16" t="s">
        <v>343</v>
      </c>
    </row>
    <row r="50" spans="1:34" ht="20.100000000000001" customHeight="1" x14ac:dyDescent="0.2">
      <c r="A50" s="86" t="s">
        <v>1</v>
      </c>
      <c r="D50" s="15" t="str">
        <f>INDEX(X_Table_PastureBeef_Liveweight_Method1,4,1)</f>
        <v>Autumn</v>
      </c>
      <c r="E50" s="15">
        <f ca="1"/>
        <v>100</v>
      </c>
      <c r="F50" s="15">
        <f ca="1"/>
        <v>680</v>
      </c>
      <c r="G50" s="15">
        <f ca="1"/>
        <v>80</v>
      </c>
      <c r="H50" s="15">
        <f ca="1"/>
        <v>320</v>
      </c>
      <c r="I50" s="15">
        <f ca="1"/>
        <v>480</v>
      </c>
      <c r="J50" s="15">
        <f ca="1"/>
        <v>480</v>
      </c>
      <c r="K50" s="15">
        <f ca="1"/>
        <v>100</v>
      </c>
      <c r="L50" s="15">
        <f ca="1"/>
        <v>340</v>
      </c>
      <c r="M50" s="15">
        <f ca="1"/>
        <v>340</v>
      </c>
      <c r="N50" s="15">
        <f ca="1"/>
        <v>340</v>
      </c>
      <c r="O50" s="16" t="s">
        <v>343</v>
      </c>
      <c r="P50" s="16"/>
      <c r="Q50" s="16"/>
      <c r="U50" s="15" t="str">
        <f>TEXT(EDATE(X_Cell_Site_StartDate,6), "mmmm")</f>
        <v>July</v>
      </c>
      <c r="V50" s="15">
        <f ca="1"/>
        <v>190</v>
      </c>
      <c r="W50" s="15">
        <f ca="1"/>
        <v>700</v>
      </c>
      <c r="X50" s="15">
        <f ca="1"/>
        <v>150</v>
      </c>
      <c r="Y50" s="15">
        <f ca="1"/>
        <v>330</v>
      </c>
      <c r="Z50" s="15">
        <f ca="1"/>
        <v>490</v>
      </c>
      <c r="AA50" s="15">
        <f ca="1"/>
        <v>490</v>
      </c>
      <c r="AB50" s="15">
        <f ca="1"/>
        <v>170</v>
      </c>
      <c r="AC50" s="15">
        <f ca="1"/>
        <v>360</v>
      </c>
      <c r="AD50" s="15">
        <f ca="1"/>
        <v>360</v>
      </c>
      <c r="AE50" s="15">
        <f ca="1"/>
        <v>360</v>
      </c>
      <c r="AF50" s="16" t="s">
        <v>343</v>
      </c>
    </row>
    <row r="51" spans="1:34" ht="20.100000000000001" customHeight="1" x14ac:dyDescent="0.2">
      <c r="A51" s="5" t="str">
        <f>HYPERLINK("#'Constants - Pasture Beef'!A1", "Constants - Pasture Beef")</f>
        <v>Constants - Pasture Beef</v>
      </c>
      <c r="D51" s="15" t="str">
        <f>INDEX(X_Table_PastureBeef_Liveweight_Method1,5,1)</f>
        <v>Winter</v>
      </c>
      <c r="E51" s="15">
        <f ca="1"/>
        <v>190</v>
      </c>
      <c r="F51" s="15">
        <f ca="1"/>
        <v>700</v>
      </c>
      <c r="G51" s="15">
        <f ca="1"/>
        <v>150</v>
      </c>
      <c r="H51" s="15">
        <f ca="1"/>
        <v>330</v>
      </c>
      <c r="I51" s="15">
        <f ca="1"/>
        <v>490</v>
      </c>
      <c r="J51" s="15">
        <f ca="1"/>
        <v>490</v>
      </c>
      <c r="K51" s="15">
        <f ca="1"/>
        <v>170</v>
      </c>
      <c r="L51" s="15">
        <f ca="1"/>
        <v>360</v>
      </c>
      <c r="M51" s="15">
        <f ca="1"/>
        <v>360</v>
      </c>
      <c r="N51" s="15">
        <f ca="1"/>
        <v>360</v>
      </c>
      <c r="O51" s="16" t="s">
        <v>343</v>
      </c>
      <c r="P51" s="16"/>
      <c r="Q51" s="16"/>
      <c r="U51" s="15" t="str">
        <f>TEXT(EDATE(X_Cell_Site_StartDate,7), "mmmm")</f>
        <v>August</v>
      </c>
      <c r="V51" s="15">
        <f ca="1"/>
        <v>190</v>
      </c>
      <c r="W51" s="15">
        <f ca="1"/>
        <v>700</v>
      </c>
      <c r="X51" s="15">
        <f ca="1"/>
        <v>150</v>
      </c>
      <c r="Y51" s="15">
        <f ca="1"/>
        <v>330</v>
      </c>
      <c r="Z51" s="15">
        <f ca="1"/>
        <v>490</v>
      </c>
      <c r="AA51" s="15">
        <f ca="1"/>
        <v>490</v>
      </c>
      <c r="AB51" s="15">
        <f ca="1"/>
        <v>170</v>
      </c>
      <c r="AC51" s="15">
        <f ca="1"/>
        <v>360</v>
      </c>
      <c r="AD51" s="15">
        <f ca="1"/>
        <v>360</v>
      </c>
      <c r="AE51" s="15">
        <f ca="1"/>
        <v>360</v>
      </c>
      <c r="AF51" s="16" t="s">
        <v>343</v>
      </c>
      <c r="AG51" s="16"/>
      <c r="AH51" s="16"/>
    </row>
    <row r="52" spans="1:34" ht="20.100000000000001" customHeight="1" x14ac:dyDescent="0.2">
      <c r="A52" s="5" t="str">
        <f>HYPERLINK("#'Constants - Ag Residue'!A1", "Constants - Ag residue")</f>
        <v>Constants - Ag residue</v>
      </c>
      <c r="U52" s="15" t="str">
        <f>TEXT(EDATE(X_Cell_Site_StartDate,8), "mmmm")</f>
        <v>September</v>
      </c>
      <c r="V52" s="15">
        <f ca="1"/>
        <v>340</v>
      </c>
      <c r="W52" s="15">
        <f ca="1"/>
        <v>800</v>
      </c>
      <c r="X52" s="15">
        <f ca="1"/>
        <v>260</v>
      </c>
      <c r="Y52" s="15">
        <f ca="1"/>
        <v>420</v>
      </c>
      <c r="Z52" s="15">
        <f ca="1"/>
        <v>550</v>
      </c>
      <c r="AA52" s="15">
        <f ca="1"/>
        <v>550</v>
      </c>
      <c r="AB52" s="15">
        <f ca="1"/>
        <v>300</v>
      </c>
      <c r="AC52" s="15">
        <f ca="1"/>
        <v>480</v>
      </c>
      <c r="AD52" s="15">
        <f ca="1"/>
        <v>480</v>
      </c>
      <c r="AE52" s="15">
        <f ca="1"/>
        <v>480</v>
      </c>
      <c r="AF52" s="16" t="s">
        <v>343</v>
      </c>
      <c r="AG52" s="16"/>
      <c r="AH52" s="16"/>
    </row>
    <row r="53" spans="1:34" ht="20.100000000000001" customHeight="1" x14ac:dyDescent="0.2">
      <c r="A53" s="5" t="str">
        <f>HYPERLINK("#'Constants - Common Livestock'!A1", "Constants - Common Livestock")</f>
        <v>Constants - Common Livestock</v>
      </c>
      <c r="D53" s="113" t="s">
        <v>395</v>
      </c>
      <c r="U53" s="15" t="str">
        <f>TEXT(EDATE(X_Cell_Site_StartDate,9), "mmmm")</f>
        <v>October</v>
      </c>
      <c r="V53" s="15">
        <f ca="1"/>
        <v>340</v>
      </c>
      <c r="W53" s="15">
        <f ca="1"/>
        <v>800</v>
      </c>
      <c r="X53" s="15">
        <f ca="1"/>
        <v>260</v>
      </c>
      <c r="Y53" s="15">
        <f ca="1"/>
        <v>420</v>
      </c>
      <c r="Z53" s="15">
        <f ca="1"/>
        <v>550</v>
      </c>
      <c r="AA53" s="15">
        <f ca="1"/>
        <v>550</v>
      </c>
      <c r="AB53" s="15">
        <f ca="1"/>
        <v>300</v>
      </c>
      <c r="AC53" s="15">
        <f ca="1"/>
        <v>480</v>
      </c>
      <c r="AD53" s="15">
        <f ca="1"/>
        <v>480</v>
      </c>
      <c r="AE53" s="15">
        <f ca="1"/>
        <v>480</v>
      </c>
      <c r="AF53" s="16" t="s">
        <v>343</v>
      </c>
      <c r="AG53" s="16"/>
      <c r="AH53" s="16"/>
    </row>
    <row r="54" spans="1:34" ht="20.100000000000001" customHeight="1" x14ac:dyDescent="0.2">
      <c r="A54" s="5" t="str">
        <f>HYPERLINK("#'Constants - Electricity'!A1", "Constants - Electricity")</f>
        <v>Constants - Electricity</v>
      </c>
      <c r="D54" s="114" t="s">
        <v>396</v>
      </c>
      <c r="U54" s="15" t="str">
        <f>TEXT(EDATE(X_Cell_Site_StartDate,10), "mmmm")</f>
        <v>November</v>
      </c>
      <c r="V54" s="15">
        <f ca="1"/>
        <v>340</v>
      </c>
      <c r="W54" s="15">
        <f ca="1"/>
        <v>800</v>
      </c>
      <c r="X54" s="15">
        <f ca="1"/>
        <v>260</v>
      </c>
      <c r="Y54" s="15">
        <f ca="1"/>
        <v>420</v>
      </c>
      <c r="Z54" s="15">
        <f ca="1"/>
        <v>550</v>
      </c>
      <c r="AA54" s="15">
        <f ca="1"/>
        <v>550</v>
      </c>
      <c r="AB54" s="15">
        <f ca="1"/>
        <v>300</v>
      </c>
      <c r="AC54" s="15">
        <f ca="1"/>
        <v>480</v>
      </c>
      <c r="AD54" s="15">
        <f ca="1"/>
        <v>480</v>
      </c>
      <c r="AE54" s="15">
        <f ca="1"/>
        <v>480</v>
      </c>
      <c r="AF54" s="16" t="s">
        <v>343</v>
      </c>
      <c r="AG54" s="16"/>
      <c r="AH54" s="16"/>
    </row>
    <row r="55" spans="1:34" ht="20.100000000000001" customHeight="1" x14ac:dyDescent="0.2">
      <c r="A55" s="5" t="str">
        <f>HYPERLINK("#'Constants - Fertiliser'!A1", "Constants - Fertiliser")</f>
        <v>Constants - Fertiliser</v>
      </c>
      <c r="D55" s="115" t="s">
        <v>76</v>
      </c>
      <c r="E55" s="82" t="s">
        <v>325</v>
      </c>
      <c r="F55" s="82" t="s">
        <v>189</v>
      </c>
      <c r="G55" s="82" t="s">
        <v>326</v>
      </c>
      <c r="H55" s="82" t="s">
        <v>327</v>
      </c>
      <c r="I55" s="82" t="s">
        <v>328</v>
      </c>
      <c r="J55" s="82" t="s">
        <v>329</v>
      </c>
      <c r="K55" s="82" t="s">
        <v>330</v>
      </c>
      <c r="L55" s="82" t="s">
        <v>331</v>
      </c>
      <c r="M55" s="82" t="s">
        <v>332</v>
      </c>
      <c r="N55" s="82" t="s">
        <v>333</v>
      </c>
      <c r="U55" s="15" t="str">
        <f>TEXT(EDATE(X_Cell_Site_StartDate,11), "mmmm")</f>
        <v>December</v>
      </c>
      <c r="V55" s="15">
        <f ca="1"/>
        <v>380</v>
      </c>
      <c r="W55" s="15">
        <f ca="1"/>
        <v>780</v>
      </c>
      <c r="X55" s="15">
        <f ca="1"/>
        <v>300</v>
      </c>
      <c r="Y55" s="15">
        <f ca="1"/>
        <v>450</v>
      </c>
      <c r="Z55" s="15">
        <f ca="1"/>
        <v>530</v>
      </c>
      <c r="AA55" s="15">
        <f ca="1"/>
        <v>530</v>
      </c>
      <c r="AB55" s="15">
        <f ca="1"/>
        <v>340</v>
      </c>
      <c r="AC55" s="15">
        <f ca="1"/>
        <v>470</v>
      </c>
      <c r="AD55" s="15">
        <f ca="1"/>
        <v>470</v>
      </c>
      <c r="AE55" s="15">
        <f ca="1"/>
        <v>470</v>
      </c>
      <c r="AF55" s="16" t="s">
        <v>343</v>
      </c>
      <c r="AG55" s="16"/>
      <c r="AH55" s="16"/>
    </row>
    <row r="56" spans="1:34" ht="20.100000000000001" customHeight="1" x14ac:dyDescent="0.2">
      <c r="A56" s="5" t="str">
        <f>HYPERLINK("#'Constants - Fuel'!A1", "Constants - Fuel")</f>
        <v>Constants - Fuel</v>
      </c>
      <c r="D56" s="15" t="str">
        <f>INDEX(X_Table_PastureBeef_LiveweightGain_Method1,2,1)</f>
        <v>Spring</v>
      </c>
      <c r="E56" s="15" cm="1">
        <f t="array" aca="1" ref="E56:N59" ca="1">OFFSET(X_Table_PastureBeef_LiveweightGain_Method1, 1,1, 4,10)</f>
        <v>1.64</v>
      </c>
      <c r="F56" s="15">
        <f ca="1"/>
        <v>1.1000000000000001</v>
      </c>
      <c r="G56" s="15">
        <f ca="1"/>
        <v>1.21</v>
      </c>
      <c r="H56" s="15">
        <f ca="1"/>
        <v>0.99</v>
      </c>
      <c r="I56" s="15">
        <f ca="1"/>
        <v>0.66</v>
      </c>
      <c r="J56" s="15">
        <f ca="1"/>
        <v>0.66</v>
      </c>
      <c r="K56" s="15">
        <f ca="1"/>
        <v>1.42</v>
      </c>
      <c r="L56" s="15">
        <f ca="1"/>
        <v>1.1000000000000001</v>
      </c>
      <c r="M56" s="15">
        <f ca="1"/>
        <v>1.1000000000000001</v>
      </c>
      <c r="N56" s="15">
        <f ca="1"/>
        <v>1.1000000000000001</v>
      </c>
      <c r="O56" s="16" t="s">
        <v>343</v>
      </c>
      <c r="P56" s="16"/>
      <c r="Q56" s="16"/>
      <c r="AG56" s="16"/>
      <c r="AH56" s="16"/>
    </row>
    <row r="57" spans="1:34" ht="20.100000000000001" customHeight="1" x14ac:dyDescent="0.2">
      <c r="A57" s="5" t="str">
        <f>HYPERLINK("#'Constants - Scope 3'!A1", "Constants - Scope 3")</f>
        <v>Constants - Scope 3</v>
      </c>
      <c r="D57" s="15" t="str">
        <f>INDEX(X_Table_PastureBeef_LiveweightGain_Method1,3,1)</f>
        <v>Summer</v>
      </c>
      <c r="E57" s="15">
        <f ca="1"/>
        <v>0.44</v>
      </c>
      <c r="F57" s="15">
        <f ca="1"/>
        <v>-0.22</v>
      </c>
      <c r="G57" s="15">
        <f ca="1"/>
        <v>0.44</v>
      </c>
      <c r="H57" s="15">
        <f ca="1"/>
        <v>0.33</v>
      </c>
      <c r="I57" s="15">
        <f ca="1"/>
        <v>-0.22</v>
      </c>
      <c r="J57" s="15">
        <f ca="1"/>
        <v>-0.22</v>
      </c>
      <c r="K57" s="15">
        <f ca="1"/>
        <v>0.44</v>
      </c>
      <c r="L57" s="15">
        <f ca="1"/>
        <v>-0.11</v>
      </c>
      <c r="M57" s="15">
        <f ca="1"/>
        <v>-0.11</v>
      </c>
      <c r="N57" s="15">
        <f ca="1"/>
        <v>-0.11</v>
      </c>
      <c r="O57" s="16" t="s">
        <v>343</v>
      </c>
      <c r="P57" s="16"/>
      <c r="Q57" s="16"/>
      <c r="U57" s="113" t="s">
        <v>393</v>
      </c>
      <c r="AG57" s="16"/>
      <c r="AH57" s="16"/>
    </row>
    <row r="58" spans="1:34" ht="20.100000000000001" customHeight="1" x14ac:dyDescent="0.2">
      <c r="A58" s="5" t="str">
        <f>HYPERLINK("#'Constants - Solid Waste'!A1", "Constants - Solid Waste")</f>
        <v>Constants - Solid Waste</v>
      </c>
      <c r="D58" s="15" t="str">
        <f>INDEX(X_Table_PastureBeef_LiveweightGain_Method1,4,1)</f>
        <v>Autumn</v>
      </c>
      <c r="E58" s="15">
        <f ca="1"/>
        <v>0.6</v>
      </c>
      <c r="F58" s="15">
        <f ca="1"/>
        <v>0</v>
      </c>
      <c r="G58" s="15">
        <f ca="1"/>
        <v>0.6</v>
      </c>
      <c r="H58" s="15">
        <f ca="1"/>
        <v>0.22</v>
      </c>
      <c r="I58" s="15">
        <f ca="1"/>
        <v>-0.55000000000000004</v>
      </c>
      <c r="J58" s="15">
        <f ca="1"/>
        <v>-0.55000000000000004</v>
      </c>
      <c r="K58" s="15">
        <f ca="1"/>
        <v>0.6</v>
      </c>
      <c r="L58" s="15">
        <f ca="1"/>
        <v>0</v>
      </c>
      <c r="M58" s="15">
        <f ca="1"/>
        <v>0</v>
      </c>
      <c r="N58" s="15">
        <f ca="1"/>
        <v>0</v>
      </c>
      <c r="O58" s="16" t="s">
        <v>343</v>
      </c>
      <c r="P58" s="16"/>
      <c r="Q58" s="16"/>
      <c r="U58" s="114" t="s">
        <v>394</v>
      </c>
      <c r="AG58" s="16"/>
      <c r="AH58" s="16"/>
    </row>
    <row r="59" spans="1:34" ht="20.100000000000001" customHeight="1" x14ac:dyDescent="0.2">
      <c r="A59" s="5" t="str">
        <f>HYPERLINK("#'Constants - Common'!A1", "Constants - Common")</f>
        <v>Constants - Common</v>
      </c>
      <c r="D59" s="15" t="str">
        <f>INDEX(X_Table_PastureBeef_LiveweightGain_Method1,5,1)</f>
        <v>Winter</v>
      </c>
      <c r="E59" s="15">
        <f ca="1"/>
        <v>0.99</v>
      </c>
      <c r="F59" s="15">
        <f ca="1"/>
        <v>0.22</v>
      </c>
      <c r="G59" s="15">
        <f ca="1"/>
        <v>0.77</v>
      </c>
      <c r="H59" s="15">
        <f ca="1"/>
        <v>0.11</v>
      </c>
      <c r="I59" s="15">
        <f ca="1"/>
        <v>0.11</v>
      </c>
      <c r="J59" s="15">
        <f ca="1"/>
        <v>0.11</v>
      </c>
      <c r="K59" s="15">
        <f ca="1"/>
        <v>0.77</v>
      </c>
      <c r="L59" s="15">
        <f ca="1"/>
        <v>0.44</v>
      </c>
      <c r="M59" s="15">
        <f ca="1"/>
        <v>0.44</v>
      </c>
      <c r="N59" s="15">
        <f ca="1"/>
        <v>0.44</v>
      </c>
      <c r="O59" s="16" t="s">
        <v>343</v>
      </c>
      <c r="P59" s="16"/>
      <c r="Q59" s="16"/>
      <c r="U59" s="115" t="s">
        <v>75</v>
      </c>
      <c r="V59" s="82" t="s">
        <v>325</v>
      </c>
      <c r="W59" s="82" t="s">
        <v>189</v>
      </c>
      <c r="X59" s="82" t="s">
        <v>326</v>
      </c>
      <c r="Y59" s="82" t="s">
        <v>327</v>
      </c>
      <c r="Z59" s="82" t="s">
        <v>328</v>
      </c>
      <c r="AA59" s="82" t="s">
        <v>329</v>
      </c>
      <c r="AB59" s="82" t="s">
        <v>330</v>
      </c>
      <c r="AC59" s="82" t="s">
        <v>331</v>
      </c>
      <c r="AD59" s="82" t="s">
        <v>332</v>
      </c>
      <c r="AE59" s="82" t="s">
        <v>333</v>
      </c>
      <c r="AG59" s="16"/>
      <c r="AH59" s="16"/>
    </row>
    <row r="60" spans="1:34" ht="20.100000000000001" customHeight="1" x14ac:dyDescent="0.2">
      <c r="A60" s="5" t="str">
        <f>HYPERLINK("#'Acknowledgements'!A1", "Acknowledgements")</f>
        <v>Acknowledgements</v>
      </c>
      <c r="U60" s="15" t="str">
        <f>TEXT(X_Cell_Site_StartDate,"mmmm")</f>
        <v>January</v>
      </c>
      <c r="V60" s="15" cm="1">
        <f t="array" aca="1" ref="V60:AE71" ca="1">OFFSET(X_Table_PastureBeef_LiveweightGain_Method2,1,1,12,10)</f>
        <v>0.44</v>
      </c>
      <c r="W60" s="15">
        <f ca="1"/>
        <v>-0.22</v>
      </c>
      <c r="X60" s="15">
        <f ca="1"/>
        <v>0.44</v>
      </c>
      <c r="Y60" s="15">
        <f ca="1"/>
        <v>0.33</v>
      </c>
      <c r="Z60" s="15">
        <f ca="1"/>
        <v>-0.22</v>
      </c>
      <c r="AA60" s="15">
        <f ca="1"/>
        <v>-0.22</v>
      </c>
      <c r="AB60" s="15">
        <f ca="1"/>
        <v>0.44</v>
      </c>
      <c r="AC60" s="15">
        <f ca="1"/>
        <v>-0.11</v>
      </c>
      <c r="AD60" s="15">
        <f ca="1"/>
        <v>-0.11</v>
      </c>
      <c r="AE60" s="15">
        <f ca="1"/>
        <v>-0.11</v>
      </c>
      <c r="AF60" s="16" t="s">
        <v>345</v>
      </c>
      <c r="AG60" s="16"/>
      <c r="AH60" s="16"/>
    </row>
    <row r="61" spans="1:34" ht="20.100000000000001" customHeight="1" x14ac:dyDescent="0.2">
      <c r="D61" s="113" t="s">
        <v>399</v>
      </c>
      <c r="U61" s="15" t="str">
        <f>TEXT(EDATE(X_Cell_Site_StartDate,1), "mmmm")</f>
        <v>February</v>
      </c>
      <c r="V61" s="15">
        <f ca="1"/>
        <v>0.44</v>
      </c>
      <c r="W61" s="15">
        <f ca="1"/>
        <v>-0.22</v>
      </c>
      <c r="X61" s="15">
        <f ca="1"/>
        <v>0.44</v>
      </c>
      <c r="Y61" s="15">
        <f ca="1"/>
        <v>0.33</v>
      </c>
      <c r="Z61" s="15">
        <f ca="1"/>
        <v>-0.22</v>
      </c>
      <c r="AA61" s="15">
        <f ca="1"/>
        <v>-0.22</v>
      </c>
      <c r="AB61" s="15">
        <f ca="1"/>
        <v>0.44</v>
      </c>
      <c r="AC61" s="15">
        <f ca="1"/>
        <v>-0.11</v>
      </c>
      <c r="AD61" s="15">
        <f ca="1"/>
        <v>-0.11</v>
      </c>
      <c r="AE61" s="15">
        <f ca="1"/>
        <v>-0.11</v>
      </c>
      <c r="AF61" s="16" t="s">
        <v>345</v>
      </c>
      <c r="AG61" s="16"/>
      <c r="AH61" s="16"/>
    </row>
    <row r="62" spans="1:34" ht="20.100000000000001" customHeight="1" x14ac:dyDescent="0.2">
      <c r="D62" s="114" t="s">
        <v>400</v>
      </c>
      <c r="U62" s="15" t="str">
        <f>TEXT(EDATE(X_Cell_Site_StartDate,2), "mmmm")</f>
        <v>March</v>
      </c>
      <c r="V62" s="15">
        <f ca="1"/>
        <v>0.6</v>
      </c>
      <c r="W62" s="15">
        <f ca="1"/>
        <v>0</v>
      </c>
      <c r="X62" s="15">
        <f ca="1"/>
        <v>0.6</v>
      </c>
      <c r="Y62" s="15">
        <f ca="1"/>
        <v>0.22</v>
      </c>
      <c r="Z62" s="15">
        <f ca="1"/>
        <v>-0.55000000000000004</v>
      </c>
      <c r="AA62" s="15">
        <f ca="1"/>
        <v>-0.55000000000000004</v>
      </c>
      <c r="AB62" s="15">
        <f ca="1"/>
        <v>0.6</v>
      </c>
      <c r="AC62" s="15">
        <f ca="1"/>
        <v>0</v>
      </c>
      <c r="AD62" s="15">
        <f ca="1"/>
        <v>0</v>
      </c>
      <c r="AE62" s="15">
        <f ca="1"/>
        <v>0</v>
      </c>
      <c r="AF62" s="16" t="s">
        <v>345</v>
      </c>
      <c r="AG62" s="16"/>
      <c r="AH62" s="16"/>
    </row>
    <row r="63" spans="1:34" ht="20.100000000000001" customHeight="1" x14ac:dyDescent="0.2">
      <c r="D63" s="115" t="s">
        <v>76</v>
      </c>
      <c r="E63" s="115" t="s">
        <v>325</v>
      </c>
      <c r="F63" s="115" t="s">
        <v>189</v>
      </c>
      <c r="G63" s="115" t="s">
        <v>326</v>
      </c>
      <c r="H63" s="115" t="s">
        <v>327</v>
      </c>
      <c r="I63" s="115" t="s">
        <v>328</v>
      </c>
      <c r="J63" s="115" t="s">
        <v>329</v>
      </c>
      <c r="K63" s="115" t="s">
        <v>330</v>
      </c>
      <c r="L63" s="115" t="s">
        <v>331</v>
      </c>
      <c r="M63" s="115" t="s">
        <v>332</v>
      </c>
      <c r="N63" s="115" t="s">
        <v>333</v>
      </c>
      <c r="U63" s="15" t="str">
        <f>TEXT(EDATE(X_Cell_Site_StartDate,3), "mmmm")</f>
        <v>April</v>
      </c>
      <c r="V63" s="15">
        <f ca="1"/>
        <v>0.6</v>
      </c>
      <c r="W63" s="15">
        <f ca="1"/>
        <v>0</v>
      </c>
      <c r="X63" s="15">
        <f ca="1"/>
        <v>0.6</v>
      </c>
      <c r="Y63" s="15">
        <f ca="1"/>
        <v>0.22</v>
      </c>
      <c r="Z63" s="15">
        <f ca="1"/>
        <v>-0.55000000000000004</v>
      </c>
      <c r="AA63" s="15">
        <f ca="1"/>
        <v>-0.55000000000000004</v>
      </c>
      <c r="AB63" s="15">
        <f ca="1"/>
        <v>0.6</v>
      </c>
      <c r="AC63" s="15">
        <f ca="1"/>
        <v>0</v>
      </c>
      <c r="AD63" s="15">
        <f ca="1"/>
        <v>0</v>
      </c>
      <c r="AE63" s="15">
        <f ca="1"/>
        <v>0</v>
      </c>
      <c r="AF63" s="16" t="s">
        <v>345</v>
      </c>
      <c r="AG63" s="16"/>
      <c r="AH63" s="16"/>
    </row>
    <row r="64" spans="1:34" ht="20.100000000000001" customHeight="1" x14ac:dyDescent="0.2">
      <c r="D64" s="15" t="s">
        <v>334</v>
      </c>
      <c r="E64" s="15">
        <f ca="1">((1.185 + 0.00454 * E48 - 0.0000026 * E48 ^ 2 + 0.315 * E56) ^ 2 * G26)</f>
        <v>8.6709047296000001</v>
      </c>
      <c r="F64" s="15">
        <f ca="1">((1.185 + 0.00454 * F48 - 0.0000026 * F48 ^ 2 + 0.315 * F56) ^ 2 * H26)</f>
        <v>12.246500250000002</v>
      </c>
      <c r="G64" s="15">
        <f ca="1">((1.185 + 0.00454 * G48 - 0.0000026 * G48 ^ 2 + 0.315 * G56) ^ 2 * I26)</f>
        <v>6.6089612241000006</v>
      </c>
      <c r="H64" s="15">
        <f ca="1">((1.185 + 0.00454 * H48 - 0.0000026 * H48 ^ 2 + 0.315 * H56) ^ 2 * J26)</f>
        <v>9.2801997731070021</v>
      </c>
      <c r="I64" s="15">
        <f ca="1">((1.185 + 0.00454 * I48 - 0.0000026 * I48 ^ 2 + 0.315 * I56) ^ 2 * K26)</f>
        <v>10.112646138000002</v>
      </c>
      <c r="J64" s="15">
        <f ca="1">((1.185 + 0.00454 * J48 - 0.0000026 * J48 ^ 2 + 0.315 * J56) ^ 2 * L26)</f>
        <v>10.112646138000002</v>
      </c>
      <c r="K64" s="15">
        <f ca="1">((1.185 + 0.00454 * K48 - 0.0000026 * K48 ^ 2 + 0.315 * K56) ^ 2 * M26)</f>
        <v>7.6192560899999977</v>
      </c>
      <c r="L64" s="15">
        <f ca="1">((1.185 + 0.00454 * L48 - 0.0000026 * L48 ^ 2 + 0.315 * L56) ^ 2 * N26)</f>
        <v>9.6824279555999979</v>
      </c>
      <c r="M64" s="15">
        <f ca="1">((1.185 + 0.00454 * M48 - 0.0000026 * M48 ^ 2 + 0.315 * M56) ^ 2 * O26)</f>
        <v>9.6824279555999979</v>
      </c>
      <c r="N64" s="15">
        <f ca="1">((1.185 + 0.00454 * N48 - 0.0000026 * N48 ^ 2 + 0.315 * N56) ^ 2 * P26)</f>
        <v>9.6824279555999979</v>
      </c>
      <c r="O64" s="16" t="str">
        <f>$E$39</f>
        <v>kg DM/head/day</v>
      </c>
      <c r="P64" s="16"/>
      <c r="Q64" s="16"/>
      <c r="U64" s="15" t="str">
        <f>TEXT(EDATE(X_Cell_Site_StartDate,4), "mmmm")</f>
        <v>May</v>
      </c>
      <c r="V64" s="15">
        <f ca="1"/>
        <v>0.6</v>
      </c>
      <c r="W64" s="15">
        <f ca="1"/>
        <v>0</v>
      </c>
      <c r="X64" s="15">
        <f ca="1"/>
        <v>0.6</v>
      </c>
      <c r="Y64" s="15">
        <f ca="1"/>
        <v>0.22</v>
      </c>
      <c r="Z64" s="15">
        <f ca="1"/>
        <v>-0.55000000000000004</v>
      </c>
      <c r="AA64" s="15">
        <f ca="1"/>
        <v>-0.55000000000000004</v>
      </c>
      <c r="AB64" s="15">
        <f ca="1"/>
        <v>0.6</v>
      </c>
      <c r="AC64" s="15">
        <f ca="1"/>
        <v>0</v>
      </c>
      <c r="AD64" s="15">
        <f ca="1"/>
        <v>0</v>
      </c>
      <c r="AE64" s="15">
        <f ca="1"/>
        <v>0</v>
      </c>
      <c r="AF64" s="16" t="s">
        <v>345</v>
      </c>
    </row>
    <row r="65" spans="1:34" ht="20.100000000000001" customHeight="1" x14ac:dyDescent="0.2">
      <c r="D65" s="15" t="s">
        <v>335</v>
      </c>
      <c r="E65" s="15">
        <f ca="1">((1.185 + 0.00454 * E49 - 0.0000026 * E49 ^ 2 + 0.315 * E57) ^ 2 * G27)</f>
        <v>7.1468536895999959</v>
      </c>
      <c r="F65" s="15">
        <f ca="1">((1.185 + 0.00454 * F49 - 0.0000026 * F49 ^ 2 + 0.315 * F57) ^ 2 * H27)</f>
        <v>9.4559940036000008</v>
      </c>
      <c r="G65" s="15">
        <f ca="1">((1.185 + 0.00454 * G49 - 0.0000026 * G49 ^ 2 + 0.315 * G57) ^ 2 * I27)</f>
        <v>6.010342559999998</v>
      </c>
      <c r="H65" s="15">
        <f ca="1">((1.185 + 0.00454 * H49 - 0.0000026 * H49 ^ 2 + 0.315 * H57) ^ 2 * J27)</f>
        <v>7.8705497025</v>
      </c>
      <c r="I65" s="15">
        <f ca="1">((1.185 + 0.00454 * I49 - 0.0000026 * I49 ^ 2 + 0.315 * I57) ^ 2 * K27)</f>
        <v>7.7928072335999978</v>
      </c>
      <c r="J65" s="15">
        <f ca="1">((1.185 + 0.00454 * J49 - 0.0000026 * J49 ^ 2 + 0.315 * J57) ^ 2 * L27)</f>
        <v>7.7928072335999978</v>
      </c>
      <c r="K65" s="15">
        <f ca="1">((1.185 + 0.00454 * K49 - 0.0000026 * K49 ^ 2 + 0.315 * K57) ^ 2 * M27)</f>
        <v>6.5876408896000003</v>
      </c>
      <c r="L65" s="15">
        <f ca="1">((1.185 + 0.00454 * L49 - 0.0000026 * L49 ^ 2 + 0.315 * L57) ^ 2 * N27)</f>
        <v>7.3430702361</v>
      </c>
      <c r="M65" s="15">
        <f ca="1">((1.185 + 0.00454 * M49 - 0.0000026 * M49 ^ 2 + 0.315 * M57) ^ 2 * O27)</f>
        <v>7.3430702361</v>
      </c>
      <c r="N65" s="15">
        <f ca="1">((1.185 + 0.00454 * N49 - 0.0000026 * N49 ^ 2 + 0.315 * N57) ^ 2 * P27)</f>
        <v>7.3430702361</v>
      </c>
      <c r="O65" s="16" t="str">
        <f>$E$39</f>
        <v>kg DM/head/day</v>
      </c>
      <c r="P65" s="16"/>
      <c r="Q65" s="16"/>
      <c r="U65" s="15" t="str">
        <f>TEXT(EDATE(X_Cell_Site_StartDate,5), "mmmm")</f>
        <v>June</v>
      </c>
      <c r="V65" s="15">
        <f ca="1"/>
        <v>0.99</v>
      </c>
      <c r="W65" s="15">
        <f ca="1"/>
        <v>0.22</v>
      </c>
      <c r="X65" s="15">
        <f ca="1"/>
        <v>0.77</v>
      </c>
      <c r="Y65" s="15">
        <f ca="1"/>
        <v>0.11</v>
      </c>
      <c r="Z65" s="15">
        <f ca="1"/>
        <v>0.11</v>
      </c>
      <c r="AA65" s="15">
        <f ca="1"/>
        <v>0.11</v>
      </c>
      <c r="AB65" s="15">
        <f ca="1"/>
        <v>0.77</v>
      </c>
      <c r="AC65" s="15">
        <f ca="1"/>
        <v>0.44</v>
      </c>
      <c r="AD65" s="15">
        <f ca="1"/>
        <v>0.44</v>
      </c>
      <c r="AE65" s="15">
        <f ca="1"/>
        <v>0.44</v>
      </c>
      <c r="AF65" s="16" t="s">
        <v>345</v>
      </c>
    </row>
    <row r="66" spans="1:34" ht="20.100000000000001" customHeight="1" x14ac:dyDescent="0.2">
      <c r="D66" s="15" t="s">
        <v>336</v>
      </c>
      <c r="E66" s="15">
        <f ca="1">((1.185 + 0.00454 * E50 - 0.0000026 * E50 ^ 2 + 0.315 * E58) ^ 2 * G28)</f>
        <v>3.247204</v>
      </c>
      <c r="F66" s="15">
        <f ca="1">((1.185 + 0.00454 * F50 - 0.0000026 * F50 ^ 2 + 0.315 * F58) ^ 2 * H28)</f>
        <v>9.4246544015999998</v>
      </c>
      <c r="G66" s="15">
        <f ca="1">((1.185 + 0.00454 * G50 - 0.0000026 * G50 ^ 2 + 0.315 * G58) ^ 2 * I28)</f>
        <v>2.9603267136000002</v>
      </c>
      <c r="H66" s="15">
        <f ca="1">((1.185 + 0.00454 * H50 - 0.0000026 * H50 ^ 2 + 0.315 * H58) ^ 2 * J28)</f>
        <v>5.9577975395999987</v>
      </c>
      <c r="I66" s="15">
        <f ca="1">((1.185 + 0.00454 * I50 - 0.0000026 * I50 ^ 2 + 0.315 * I58) ^ 2 * K28)</f>
        <v>6.7179974480999993</v>
      </c>
      <c r="J66" s="15">
        <f ca="1">((1.185 + 0.00454 * J50 - 0.0000026 * J50 ^ 2 + 0.315 * J58) ^ 2 * L28)</f>
        <v>6.7179974480999993</v>
      </c>
      <c r="K66" s="15">
        <f ca="1">((1.185 + 0.00454 * K50 - 0.0000026 * K50 ^ 2 + 0.315 * K58) ^ 2 * M28)</f>
        <v>3.247204</v>
      </c>
      <c r="L66" s="15">
        <f ca="1">((1.185 + 0.00454 * L50 - 0.0000026 * L50 ^ 2 + 0.315 * L58) ^ 2 * N28)</f>
        <v>5.8953782416000013</v>
      </c>
      <c r="M66" s="15">
        <f ca="1">((1.185 + 0.00454 * M50 - 0.0000026 * M50 ^ 2 + 0.315 * M58) ^ 2 * O28)</f>
        <v>5.8953782416000013</v>
      </c>
      <c r="N66" s="15">
        <f ca="1">((1.185 + 0.00454 * N50 - 0.0000026 * N50 ^ 2 + 0.315 * N58) ^ 2 * P28)</f>
        <v>5.8953782416000013</v>
      </c>
      <c r="O66" s="16" t="str">
        <f>$E$39</f>
        <v>kg DM/head/day</v>
      </c>
      <c r="P66" s="16"/>
      <c r="Q66" s="16"/>
      <c r="U66" s="15" t="str">
        <f>TEXT(EDATE(X_Cell_Site_StartDate,6), "mmmm")</f>
        <v>July</v>
      </c>
      <c r="V66" s="15">
        <f ca="1"/>
        <v>0.99</v>
      </c>
      <c r="W66" s="15">
        <f ca="1"/>
        <v>0.22</v>
      </c>
      <c r="X66" s="15">
        <f ca="1"/>
        <v>0.77</v>
      </c>
      <c r="Y66" s="15">
        <f ca="1"/>
        <v>0.11</v>
      </c>
      <c r="Z66" s="15">
        <f ca="1"/>
        <v>0.11</v>
      </c>
      <c r="AA66" s="15">
        <f ca="1"/>
        <v>0.11</v>
      </c>
      <c r="AB66" s="15">
        <f ca="1"/>
        <v>0.77</v>
      </c>
      <c r="AC66" s="15">
        <f ca="1"/>
        <v>0.44</v>
      </c>
      <c r="AD66" s="15">
        <f ca="1"/>
        <v>0.44</v>
      </c>
      <c r="AE66" s="15">
        <f ca="1"/>
        <v>0.44</v>
      </c>
      <c r="AF66" s="16" t="s">
        <v>345</v>
      </c>
    </row>
    <row r="67" spans="1:34" ht="20.100000000000001" customHeight="1" x14ac:dyDescent="0.2">
      <c r="D67" s="15" t="s">
        <v>337</v>
      </c>
      <c r="E67" s="15">
        <f ca="1">((1.185 + 0.00454 * E51 - 0.0000026 * E51 ^ 2 + 0.315 * E59) ^ 2 * G29)</f>
        <v>5.1328980481000004</v>
      </c>
      <c r="F67" s="15">
        <f ca="1">((1.185 + 0.00454 * F51 - 0.0000026 * F51 ^ 2 + 0.315 * F59) ^ 2 * H29)</f>
        <v>9.9748588899999984</v>
      </c>
      <c r="G67" s="15">
        <f ca="1">((1.185 + 0.00454 * G51 - 0.0000026 * G51 ^ 2 + 0.315 * G59) ^ 2 * I29)</f>
        <v>4.202705002500001</v>
      </c>
      <c r="H67" s="15">
        <f ca="1">((1.185 + 0.00454 * H51 - 0.0000026 * H51 ^ 2 + 0.315 * H59) ^ 2 * J29)</f>
        <v>7.172653468761002</v>
      </c>
      <c r="I67" s="15">
        <f ca="1">((1.185 + 0.00454 * I51 - 0.0000026 * I51 ^ 2 + 0.315 * I59) ^ 2 * K29)</f>
        <v>9.145195140114998</v>
      </c>
      <c r="J67" s="15">
        <f ca="1">((1.185 + 0.00454 * J51 - 0.0000026 * J51 ^ 2 + 0.315 * J59) ^ 2 * L29)</f>
        <v>9.145195140114998</v>
      </c>
      <c r="K67" s="15">
        <f ca="1">((1.185 + 0.00454 * K51 - 0.0000026 * K51 ^ 2 + 0.315 * K59) ^ 2 * M29)</f>
        <v>4.5122681240999984</v>
      </c>
      <c r="L67" s="15">
        <f ca="1">((1.185 + 0.00454 * L51 - 0.0000026 * L51 ^ 2 + 0.315 * L59) ^ 2 * N29)</f>
        <v>6.8698506815999991</v>
      </c>
      <c r="M67" s="15">
        <f ca="1">((1.185 + 0.00454 * M51 - 0.0000026 * M51 ^ 2 + 0.315 * M59) ^ 2 * O29)</f>
        <v>6.8698506815999991</v>
      </c>
      <c r="N67" s="15">
        <f ca="1">((1.185 + 0.00454 * N51 - 0.0000026 * N51 ^ 2 + 0.315 * N59) ^ 2 * P29)</f>
        <v>6.8698506815999991</v>
      </c>
      <c r="O67" s="16" t="str">
        <f>$E$39</f>
        <v>kg DM/head/day</v>
      </c>
      <c r="P67" s="16"/>
      <c r="Q67" s="16"/>
      <c r="U67" s="15" t="str">
        <f>TEXT(EDATE(X_Cell_Site_StartDate,7), "mmmm")</f>
        <v>August</v>
      </c>
      <c r="V67" s="15">
        <f ca="1"/>
        <v>0.99</v>
      </c>
      <c r="W67" s="15">
        <f ca="1"/>
        <v>0.22</v>
      </c>
      <c r="X67" s="15">
        <f ca="1"/>
        <v>0.77</v>
      </c>
      <c r="Y67" s="15">
        <f ca="1"/>
        <v>0.11</v>
      </c>
      <c r="Z67" s="15">
        <f ca="1"/>
        <v>0.11</v>
      </c>
      <c r="AA67" s="15">
        <f ca="1"/>
        <v>0.11</v>
      </c>
      <c r="AB67" s="15">
        <f ca="1"/>
        <v>0.77</v>
      </c>
      <c r="AC67" s="15">
        <f ca="1"/>
        <v>0.44</v>
      </c>
      <c r="AD67" s="15">
        <f ca="1"/>
        <v>0.44</v>
      </c>
      <c r="AE67" s="15">
        <f ca="1"/>
        <v>0.44</v>
      </c>
      <c r="AF67" s="16" t="s">
        <v>345</v>
      </c>
    </row>
    <row r="68" spans="1:34" ht="20.100000000000001" customHeight="1" x14ac:dyDescent="0.2">
      <c r="U68" s="15" t="str">
        <f>TEXT(EDATE(X_Cell_Site_StartDate,8), "mmmm")</f>
        <v>September</v>
      </c>
      <c r="V68" s="15">
        <f ca="1"/>
        <v>1.64</v>
      </c>
      <c r="W68" s="15">
        <f ca="1"/>
        <v>1.1000000000000001</v>
      </c>
      <c r="X68" s="15">
        <f ca="1"/>
        <v>1.21</v>
      </c>
      <c r="Y68" s="15">
        <f ca="1"/>
        <v>0.99</v>
      </c>
      <c r="Z68" s="15">
        <f ca="1"/>
        <v>0.66</v>
      </c>
      <c r="AA68" s="15">
        <f ca="1"/>
        <v>0.66</v>
      </c>
      <c r="AB68" s="15">
        <f ca="1"/>
        <v>1.42</v>
      </c>
      <c r="AC68" s="15">
        <f ca="1"/>
        <v>1.1000000000000001</v>
      </c>
      <c r="AD68" s="15">
        <f ca="1"/>
        <v>1.1000000000000001</v>
      </c>
      <c r="AE68" s="15">
        <f ca="1"/>
        <v>1.1000000000000001</v>
      </c>
      <c r="AF68" s="16" t="s">
        <v>345</v>
      </c>
      <c r="AG68" s="16"/>
      <c r="AH68" s="16"/>
    </row>
    <row r="69" spans="1:34" ht="20.100000000000001" customHeight="1" x14ac:dyDescent="0.2">
      <c r="U69" s="15" t="str">
        <f>TEXT(EDATE(X_Cell_Site_StartDate,9), "mmmm")</f>
        <v>October</v>
      </c>
      <c r="V69" s="15">
        <f ca="1"/>
        <v>1.64</v>
      </c>
      <c r="W69" s="15">
        <f ca="1"/>
        <v>1.1000000000000001</v>
      </c>
      <c r="X69" s="15">
        <f ca="1"/>
        <v>1.21</v>
      </c>
      <c r="Y69" s="15">
        <f ca="1"/>
        <v>0.99</v>
      </c>
      <c r="Z69" s="15">
        <f ca="1"/>
        <v>0.66</v>
      </c>
      <c r="AA69" s="15">
        <f ca="1"/>
        <v>0.66</v>
      </c>
      <c r="AB69" s="15">
        <f ca="1"/>
        <v>1.42</v>
      </c>
      <c r="AC69" s="15">
        <f ca="1"/>
        <v>1.1000000000000001</v>
      </c>
      <c r="AD69" s="15">
        <f ca="1"/>
        <v>1.1000000000000001</v>
      </c>
      <c r="AE69" s="15">
        <f ca="1"/>
        <v>1.1000000000000001</v>
      </c>
      <c r="AF69" s="16" t="s">
        <v>345</v>
      </c>
      <c r="AG69" s="16"/>
      <c r="AH69" s="16"/>
    </row>
    <row r="70" spans="1:34" ht="20.100000000000001" customHeight="1" x14ac:dyDescent="0.2">
      <c r="C70" s="88"/>
      <c r="D70" s="88"/>
      <c r="E70" s="88"/>
      <c r="F70" s="88"/>
      <c r="G70" s="88"/>
      <c r="H70" s="88"/>
      <c r="I70" s="88"/>
      <c r="J70" s="88"/>
      <c r="K70" s="88"/>
      <c r="L70" s="88"/>
      <c r="M70" s="88"/>
      <c r="N70" s="88"/>
      <c r="O70" s="88"/>
      <c r="P70" s="88"/>
      <c r="Q70" s="88"/>
      <c r="R70" s="88"/>
      <c r="U70" s="15" t="str">
        <f>TEXT(EDATE(X_Cell_Site_StartDate,10), "mmmm")</f>
        <v>November</v>
      </c>
      <c r="V70" s="15">
        <f ca="1"/>
        <v>1.64</v>
      </c>
      <c r="W70" s="15">
        <f ca="1"/>
        <v>1.1000000000000001</v>
      </c>
      <c r="X70" s="15">
        <f ca="1"/>
        <v>1.21</v>
      </c>
      <c r="Y70" s="15">
        <f ca="1"/>
        <v>0.99</v>
      </c>
      <c r="Z70" s="15">
        <f ca="1"/>
        <v>0.66</v>
      </c>
      <c r="AA70" s="15">
        <f ca="1"/>
        <v>0.66</v>
      </c>
      <c r="AB70" s="15">
        <f ca="1"/>
        <v>1.42</v>
      </c>
      <c r="AC70" s="15">
        <f ca="1"/>
        <v>1.1000000000000001</v>
      </c>
      <c r="AD70" s="15">
        <f ca="1"/>
        <v>1.1000000000000001</v>
      </c>
      <c r="AE70" s="15">
        <f ca="1"/>
        <v>1.1000000000000001</v>
      </c>
      <c r="AF70" s="16" t="s">
        <v>345</v>
      </c>
      <c r="AG70" s="16"/>
      <c r="AH70" s="16"/>
    </row>
    <row r="71" spans="1:34" ht="20.100000000000001" customHeight="1" x14ac:dyDescent="0.2">
      <c r="A71" s="85" t="str">
        <f>HYPERLINK("#A1", "▲ Back to top")</f>
        <v>▲ Back to top</v>
      </c>
      <c r="D71" s="2" t="s">
        <v>1338</v>
      </c>
      <c r="U71" s="15" t="str">
        <f>TEXT(EDATE(X_Cell_Site_StartDate,11), "mmmm")</f>
        <v>December</v>
      </c>
      <c r="V71" s="15">
        <f ca="1"/>
        <v>0.44</v>
      </c>
      <c r="W71" s="15">
        <f ca="1"/>
        <v>-0.22</v>
      </c>
      <c r="X71" s="15">
        <f ca="1"/>
        <v>0.44</v>
      </c>
      <c r="Y71" s="15">
        <f ca="1"/>
        <v>0.33</v>
      </c>
      <c r="Z71" s="15">
        <f ca="1"/>
        <v>-0.22</v>
      </c>
      <c r="AA71" s="15">
        <f ca="1"/>
        <v>-0.22</v>
      </c>
      <c r="AB71" s="15">
        <f ca="1"/>
        <v>0.44</v>
      </c>
      <c r="AC71" s="15">
        <f ca="1"/>
        <v>-0.11</v>
      </c>
      <c r="AD71" s="15">
        <f ca="1"/>
        <v>-0.11</v>
      </c>
      <c r="AE71" s="15">
        <f ca="1"/>
        <v>-0.11</v>
      </c>
      <c r="AF71" s="16" t="s">
        <v>345</v>
      </c>
      <c r="AG71" s="16"/>
      <c r="AH71" s="16"/>
    </row>
    <row r="72" spans="1:34" ht="20.100000000000001" customHeight="1" x14ac:dyDescent="0.2">
      <c r="D72" s="17" t="s">
        <v>1339</v>
      </c>
      <c r="AG72" s="16"/>
      <c r="AH72" s="16"/>
    </row>
    <row r="73" spans="1:34" ht="20.100000000000001" customHeight="1" x14ac:dyDescent="0.2">
      <c r="D73" s="104"/>
      <c r="E73" s="104"/>
      <c r="U73" s="113" t="s">
        <v>397</v>
      </c>
      <c r="AG73" s="16"/>
      <c r="AH73" s="16"/>
    </row>
    <row r="74" spans="1:34" ht="20.100000000000001" customHeight="1" x14ac:dyDescent="0.2">
      <c r="U74" s="114" t="s">
        <v>398</v>
      </c>
      <c r="AG74" s="16"/>
      <c r="AH74" s="16"/>
    </row>
    <row r="75" spans="1:34" ht="20.100000000000001" customHeight="1" x14ac:dyDescent="0.2">
      <c r="U75" s="115" t="s">
        <v>75</v>
      </c>
      <c r="V75" s="115" t="s">
        <v>325</v>
      </c>
      <c r="W75" s="115" t="s">
        <v>189</v>
      </c>
      <c r="X75" s="115" t="s">
        <v>326</v>
      </c>
      <c r="Y75" s="115" t="s">
        <v>327</v>
      </c>
      <c r="Z75" s="115" t="s">
        <v>328</v>
      </c>
      <c r="AA75" s="115" t="s">
        <v>329</v>
      </c>
      <c r="AB75" s="115" t="s">
        <v>330</v>
      </c>
      <c r="AC75" s="115" t="s">
        <v>331</v>
      </c>
      <c r="AD75" s="115" t="s">
        <v>332</v>
      </c>
      <c r="AE75" s="115" t="s">
        <v>333</v>
      </c>
      <c r="AG75" s="16"/>
      <c r="AH75" s="16"/>
    </row>
    <row r="76" spans="1:34" ht="20.100000000000001" customHeight="1" x14ac:dyDescent="0.2">
      <c r="U76" s="15" t="str">
        <f>TEXT(X_Cell_Site_StartDate,"mmmm")</f>
        <v>January</v>
      </c>
      <c r="V76" s="15">
        <f ca="1">((1.185 + 0.00454 * V44 - 0.0000026 * V44 ^ 2 + 0.315 * V60) ^ 2 * X28)</f>
        <v>7.1468536895999959</v>
      </c>
      <c r="W76" s="15">
        <f ca="1">((1.185 + 0.00454 * W44 - 0.0000026 * W44 ^ 2 + 0.315 * W60) ^ 2 * Y28)</f>
        <v>9.4559940036000008</v>
      </c>
      <c r="X76" s="15">
        <f ca="1">((1.185 + 0.00454 * X44 - 0.0000026 * X44 ^ 2 + 0.315 * X60) ^ 2 * Z28)</f>
        <v>6.010342559999998</v>
      </c>
      <c r="Y76" s="15">
        <f ca="1">((1.185 + 0.00454 * Y44 - 0.0000026 * Y44 ^ 2 + 0.315 * Y60) ^ 2 * AA28)</f>
        <v>7.8705497025</v>
      </c>
      <c r="Z76" s="15">
        <f ca="1">((1.185 + 0.00454 * Z44 - 0.0000026 * Z44 ^ 2 + 0.315 * Z60) ^ 2 * AB28)</f>
        <v>7.7928072335999978</v>
      </c>
      <c r="AA76" s="15">
        <f ca="1">((1.185 + 0.00454 * AA44 - 0.0000026 * AA44 ^ 2 + 0.315 * AA60) ^ 2 * AC28)</f>
        <v>7.7928072335999978</v>
      </c>
      <c r="AB76" s="15">
        <f ca="1">((1.185 + 0.00454 * AB44 - 0.0000026 * AB44 ^ 2 + 0.315 * AB60) ^ 2 * AD28)</f>
        <v>6.5876408896000003</v>
      </c>
      <c r="AC76" s="15">
        <f ca="1">((1.185 + 0.00454 * AC44 - 0.0000026 * AC44 ^ 2 + 0.315 * AC60) ^ 2 * AE28)</f>
        <v>7.3430702361</v>
      </c>
      <c r="AD76" s="15">
        <f ca="1">((1.185 + 0.00454 * AD44 - 0.0000026 * AD44 ^ 2 + 0.315 * AD60) ^ 2 * AF28)</f>
        <v>7.3430702361</v>
      </c>
      <c r="AE76" s="15">
        <f ca="1">((1.185 + 0.00454 * AE44 - 0.0000026 * AE44 ^ 2 + 0.315 * AE60) ^ 2 * AG28)</f>
        <v>7.3430702361</v>
      </c>
      <c r="AF76" s="16" t="str">
        <f t="shared" ref="AF76:AF87" si="2">$E$39</f>
        <v>kg DM/head/day</v>
      </c>
      <c r="AG76" s="16"/>
      <c r="AH76" s="16"/>
    </row>
    <row r="77" spans="1:34" ht="20.100000000000001" customHeight="1" x14ac:dyDescent="0.2">
      <c r="D77" s="77" t="s">
        <v>374</v>
      </c>
      <c r="E77" s="1" t="s">
        <v>1340</v>
      </c>
      <c r="U77" s="15" t="str">
        <f>TEXT(EDATE(X_Cell_Site_StartDate,1), "mmmm")</f>
        <v>February</v>
      </c>
      <c r="V77" s="15">
        <f ca="1">((1.185 + 0.00454 * V45 - 0.0000026 * V45 ^ 2 + 0.315 * V61) ^ 2 * X29)</f>
        <v>7.1468536895999959</v>
      </c>
      <c r="W77" s="15">
        <f ca="1">((1.185 + 0.00454 * W45 - 0.0000026 * W45 ^ 2 + 0.315 * W61) ^ 2 * Y29)</f>
        <v>9.4559940036000008</v>
      </c>
      <c r="X77" s="15">
        <f ca="1">((1.185 + 0.00454 * X45 - 0.0000026 * X45 ^ 2 + 0.315 * X61) ^ 2 * Z29)</f>
        <v>6.010342559999998</v>
      </c>
      <c r="Y77" s="15">
        <f ca="1">((1.185 + 0.00454 * Y45 - 0.0000026 * Y45 ^ 2 + 0.315 * Y61) ^ 2 * AA29)</f>
        <v>7.8705497025</v>
      </c>
      <c r="Z77" s="15">
        <f ca="1">((1.185 + 0.00454 * Z45 - 0.0000026 * Z45 ^ 2 + 0.315 * Z61) ^ 2 * AB29)</f>
        <v>7.7928072335999978</v>
      </c>
      <c r="AA77" s="15">
        <f ca="1">((1.185 + 0.00454 * AA45 - 0.0000026 * AA45 ^ 2 + 0.315 * AA61) ^ 2 * AC29)</f>
        <v>7.7928072335999978</v>
      </c>
      <c r="AB77" s="15">
        <f ca="1">((1.185 + 0.00454 * AB45 - 0.0000026 * AB45 ^ 2 + 0.315 * AB61) ^ 2 * AD29)</f>
        <v>6.5876408896000003</v>
      </c>
      <c r="AC77" s="15">
        <f ca="1">((1.185 + 0.00454 * AC45 - 0.0000026 * AC45 ^ 2 + 0.315 * AC61) ^ 2 * AE29)</f>
        <v>7.3430702361</v>
      </c>
      <c r="AD77" s="15">
        <f ca="1">((1.185 + 0.00454 * AD45 - 0.0000026 * AD45 ^ 2 + 0.315 * AD61) ^ 2 * AF29)</f>
        <v>7.3430702361</v>
      </c>
      <c r="AE77" s="15">
        <f ca="1">((1.185 + 0.00454 * AE45 - 0.0000026 * AE45 ^ 2 + 0.315 * AE61) ^ 2 * AG29)</f>
        <v>7.3430702361</v>
      </c>
      <c r="AF77" s="16" t="str">
        <f t="shared" si="2"/>
        <v>kg DM/head/day</v>
      </c>
      <c r="AG77" s="16"/>
      <c r="AH77" s="16"/>
    </row>
    <row r="78" spans="1:34" ht="20.100000000000001" customHeight="1" x14ac:dyDescent="0.2">
      <c r="D78" s="77" t="s">
        <v>126</v>
      </c>
      <c r="E78" s="9" t="s">
        <v>1341</v>
      </c>
      <c r="U78" s="15" t="str">
        <f>TEXT(EDATE(X_Cell_Site_StartDate,2), "mmmm")</f>
        <v>March</v>
      </c>
      <c r="V78" s="15">
        <f ca="1">((1.185 + 0.00454 * V46 - 0.0000026 * V46 ^ 2 + 0.315 * V62) ^ 2 * X30)</f>
        <v>3.247204</v>
      </c>
      <c r="W78" s="15">
        <f ca="1">((1.185 + 0.00454 * W46 - 0.0000026 * W46 ^ 2 + 0.315 * W62) ^ 2 * Y30)</f>
        <v>9.4246544015999998</v>
      </c>
      <c r="X78" s="15">
        <f ca="1">((1.185 + 0.00454 * X46 - 0.0000026 * X46 ^ 2 + 0.315 * X62) ^ 2 * Z30)</f>
        <v>2.9603267136000002</v>
      </c>
      <c r="Y78" s="15">
        <f ca="1">((1.185 + 0.00454 * Y46 - 0.0000026 * Y46 ^ 2 + 0.315 * Y62) ^ 2 * AA30)</f>
        <v>5.9577975395999987</v>
      </c>
      <c r="Z78" s="15">
        <f ca="1">((1.185 + 0.00454 * Z46 - 0.0000026 * Z46 ^ 2 + 0.315 * Z62) ^ 2 * AB30)</f>
        <v>6.7179974480999993</v>
      </c>
      <c r="AA78" s="15">
        <f ca="1">((1.185 + 0.00454 * AA46 - 0.0000026 * AA46 ^ 2 + 0.315 * AA62) ^ 2 * AC30)</f>
        <v>6.7179974480999993</v>
      </c>
      <c r="AB78" s="15">
        <f ca="1">((1.185 + 0.00454 * AB46 - 0.0000026 * AB46 ^ 2 + 0.315 * AB62) ^ 2 * AD30)</f>
        <v>3.247204</v>
      </c>
      <c r="AC78" s="15">
        <f ca="1">((1.185 + 0.00454 * AC46 - 0.0000026 * AC46 ^ 2 + 0.315 * AC62) ^ 2 * AE30)</f>
        <v>5.8953782416000013</v>
      </c>
      <c r="AD78" s="15">
        <f ca="1">((1.185 + 0.00454 * AD46 - 0.0000026 * AD46 ^ 2 + 0.315 * AD62) ^ 2 * AF30)</f>
        <v>5.8953782416000013</v>
      </c>
      <c r="AE78" s="15">
        <f ca="1">((1.185 + 0.00454 * AE46 - 0.0000026 * AE46 ^ 2 + 0.315 * AE62) ^ 2 * AG30)</f>
        <v>5.8953782416000013</v>
      </c>
      <c r="AF78" s="16" t="str">
        <f t="shared" si="2"/>
        <v>kg DM/head/day</v>
      </c>
      <c r="AG78" s="16"/>
      <c r="AH78" s="16"/>
    </row>
    <row r="79" spans="1:34" ht="20.100000000000001" customHeight="1" x14ac:dyDescent="0.2">
      <c r="U79" s="15" t="str">
        <f>TEXT(EDATE(X_Cell_Site_StartDate,3), "mmmm")</f>
        <v>April</v>
      </c>
      <c r="V79" s="15">
        <f ca="1">((1.185 + 0.00454 * V47 - 0.0000026 * V47 ^ 2 + 0.315 * V63) ^ 2 * X31)</f>
        <v>3.247204</v>
      </c>
      <c r="W79" s="15">
        <f ca="1">((1.185 + 0.00454 * W47 - 0.0000026 * W47 ^ 2 + 0.315 * W63) ^ 2 * Y31)</f>
        <v>9.4246544015999998</v>
      </c>
      <c r="X79" s="15">
        <f ca="1">((1.185 + 0.00454 * X47 - 0.0000026 * X47 ^ 2 + 0.315 * X63) ^ 2 * Z31)</f>
        <v>2.9603267136000002</v>
      </c>
      <c r="Y79" s="15">
        <f ca="1">((1.185 + 0.00454 * Y47 - 0.0000026 * Y47 ^ 2 + 0.315 * Y63) ^ 2 * AA31)</f>
        <v>5.9577975395999987</v>
      </c>
      <c r="Z79" s="15">
        <f ca="1">((1.185 + 0.00454 * Z47 - 0.0000026 * Z47 ^ 2 + 0.315 * Z63) ^ 2 * AB31)</f>
        <v>6.7179974480999993</v>
      </c>
      <c r="AA79" s="15">
        <f ca="1">((1.185 + 0.00454 * AA47 - 0.0000026 * AA47 ^ 2 + 0.315 * AA63) ^ 2 * AC31)</f>
        <v>6.7179974480999993</v>
      </c>
      <c r="AB79" s="15">
        <f ca="1">((1.185 + 0.00454 * AB47 - 0.0000026 * AB47 ^ 2 + 0.315 * AB63) ^ 2 * AD31)</f>
        <v>3.247204</v>
      </c>
      <c r="AC79" s="15">
        <f ca="1">((1.185 + 0.00454 * AC47 - 0.0000026 * AC47 ^ 2 + 0.315 * AC63) ^ 2 * AE31)</f>
        <v>5.8953782416000013</v>
      </c>
      <c r="AD79" s="15">
        <f ca="1">((1.185 + 0.00454 * AD47 - 0.0000026 * AD47 ^ 2 + 0.315 * AD63) ^ 2 * AF31)</f>
        <v>5.8953782416000013</v>
      </c>
      <c r="AE79" s="15">
        <f ca="1">((1.185 + 0.00454 * AE47 - 0.0000026 * AE47 ^ 2 + 0.315 * AE63) ^ 2 * AG31)</f>
        <v>5.8953782416000013</v>
      </c>
      <c r="AF79" s="16" t="str">
        <f t="shared" si="2"/>
        <v>kg DM/head/day</v>
      </c>
      <c r="AG79" s="16"/>
      <c r="AH79" s="16"/>
    </row>
    <row r="80" spans="1:34" ht="20.100000000000001" customHeight="1" x14ac:dyDescent="0.2">
      <c r="D80" s="106" t="s">
        <v>1330</v>
      </c>
      <c r="E80" s="107" t="s">
        <v>1342</v>
      </c>
      <c r="F80" s="109"/>
      <c r="G80" s="106" t="s">
        <v>1331</v>
      </c>
      <c r="H80" s="111" t="s">
        <v>1343</v>
      </c>
      <c r="I80" s="112" t="str" cm="1">
        <f t="array" aca="1" ref="I80" ca="1">HYPERLINK(Common_InputFunctions.Utility_SourceHyperlink($D$61), $D$61)</f>
        <v>M1_Table_I_j_k_l</v>
      </c>
      <c r="U80" s="15" t="str">
        <f>TEXT(EDATE(X_Cell_Site_StartDate,4), "mmmm")</f>
        <v>May</v>
      </c>
      <c r="V80" s="15">
        <f ca="1">((1.185 + 0.00454 * V48 - 0.0000026 * V48 ^ 2 + 0.315 * V64) ^ 2 * X32)</f>
        <v>3.247204</v>
      </c>
      <c r="W80" s="15">
        <f ca="1">((1.185 + 0.00454 * W48 - 0.0000026 * W48 ^ 2 + 0.315 * W64) ^ 2 * Y32)</f>
        <v>9.4246544015999998</v>
      </c>
      <c r="X80" s="15">
        <f ca="1">((1.185 + 0.00454 * X48 - 0.0000026 * X48 ^ 2 + 0.315 * X64) ^ 2 * Z32)</f>
        <v>2.9603267136000002</v>
      </c>
      <c r="Y80" s="15">
        <f ca="1">((1.185 + 0.00454 * Y48 - 0.0000026 * Y48 ^ 2 + 0.315 * Y64) ^ 2 * AA32)</f>
        <v>5.9577975395999987</v>
      </c>
      <c r="Z80" s="15">
        <f ca="1">((1.185 + 0.00454 * Z48 - 0.0000026 * Z48 ^ 2 + 0.315 * Z64) ^ 2 * AB32)</f>
        <v>6.7179974480999993</v>
      </c>
      <c r="AA80" s="15">
        <f ca="1">((1.185 + 0.00454 * AA48 - 0.0000026 * AA48 ^ 2 + 0.315 * AA64) ^ 2 * AC32)</f>
        <v>6.7179974480999993</v>
      </c>
      <c r="AB80" s="15">
        <f ca="1">((1.185 + 0.00454 * AB48 - 0.0000026 * AB48 ^ 2 + 0.315 * AB64) ^ 2 * AD32)</f>
        <v>3.247204</v>
      </c>
      <c r="AC80" s="15">
        <f ca="1">((1.185 + 0.00454 * AC48 - 0.0000026 * AC48 ^ 2 + 0.315 * AC64) ^ 2 * AE32)</f>
        <v>5.8953782416000013</v>
      </c>
      <c r="AD80" s="15">
        <f ca="1">((1.185 + 0.00454 * AD48 - 0.0000026 * AD48 ^ 2 + 0.315 * AD64) ^ 2 * AF32)</f>
        <v>5.8953782416000013</v>
      </c>
      <c r="AE80" s="15">
        <f ca="1">((1.185 + 0.00454 * AE48 - 0.0000026 * AE48 ^ 2 + 0.315 * AE64) ^ 2 * AG32)</f>
        <v>5.8953782416000013</v>
      </c>
      <c r="AF80" s="16" t="str">
        <f t="shared" si="2"/>
        <v>kg DM/head/day</v>
      </c>
    </row>
    <row r="81" spans="3:35" ht="20.100000000000001" customHeight="1" x14ac:dyDescent="0.2">
      <c r="U81" s="15" t="str">
        <f>TEXT(EDATE(X_Cell_Site_StartDate,5), "mmmm")</f>
        <v>June</v>
      </c>
      <c r="V81" s="15">
        <f ca="1">((1.185 + 0.00454 * V49 - 0.0000026 * V49 ^ 2 + 0.315 * V65) ^ 2 * X33)</f>
        <v>5.1328980481000004</v>
      </c>
      <c r="W81" s="15">
        <f ca="1">((1.185 + 0.00454 * W49 - 0.0000026 * W49 ^ 2 + 0.315 * W65) ^ 2 * Y33)</f>
        <v>9.9748588899999984</v>
      </c>
      <c r="X81" s="15">
        <f ca="1">((1.185 + 0.00454 * X49 - 0.0000026 * X49 ^ 2 + 0.315 * X65) ^ 2 * Z33)</f>
        <v>4.202705002500001</v>
      </c>
      <c r="Y81" s="15">
        <f ca="1">((1.185 + 0.00454 * Y49 - 0.0000026 * Y49 ^ 2 + 0.315 * Y65) ^ 2 * AA33)</f>
        <v>5.9278127841000021</v>
      </c>
      <c r="Z81" s="15">
        <f ca="1">((1.185 + 0.00454 * Z49 - 0.0000026 * Z49 ^ 2 + 0.315 * Z65) ^ 2 * AB33)</f>
        <v>7.952343600099999</v>
      </c>
      <c r="AA81" s="15">
        <f ca="1">((1.185 + 0.00454 * AA49 - 0.0000026 * AA49 ^ 2 + 0.315 * AA65) ^ 2 * AC33)</f>
        <v>7.952343600099999</v>
      </c>
      <c r="AB81" s="15">
        <f ca="1">((1.185 + 0.00454 * AB49 - 0.0000026 * AB49 ^ 2 + 0.315 * AB65) ^ 2 * AD33)</f>
        <v>4.5122681240999984</v>
      </c>
      <c r="AC81" s="15">
        <f ca="1">((1.185 + 0.00454 * AC49 - 0.0000026 * AC49 ^ 2 + 0.315 * AC65) ^ 2 * AE33)</f>
        <v>6.8698506815999991</v>
      </c>
      <c r="AD81" s="15">
        <f ca="1">((1.185 + 0.00454 * AD49 - 0.0000026 * AD49 ^ 2 + 0.315 * AD65) ^ 2 * AF33)</f>
        <v>6.8698506815999991</v>
      </c>
      <c r="AE81" s="15">
        <f ca="1">((1.185 + 0.00454 * AE49 - 0.0000026 * AE49 ^ 2 + 0.315 * AE65) ^ 2 * AG33)</f>
        <v>6.8698506815999991</v>
      </c>
      <c r="AF81" s="16" t="str">
        <f t="shared" si="2"/>
        <v>kg DM/head/day</v>
      </c>
    </row>
    <row r="82" spans="3:35" ht="20.100000000000001" customHeight="1" x14ac:dyDescent="0.2">
      <c r="D82" s="113" t="s">
        <v>571</v>
      </c>
      <c r="U82" s="15" t="str">
        <f>TEXT(EDATE(X_Cell_Site_StartDate,6), "mmmm")</f>
        <v>July</v>
      </c>
      <c r="V82" s="15">
        <f ca="1">((1.185 + 0.00454 * V50 - 0.0000026 * V50 ^ 2 + 0.315 * V66) ^ 2 * X34)</f>
        <v>5.1328980481000004</v>
      </c>
      <c r="W82" s="15">
        <f ca="1">((1.185 + 0.00454 * W50 - 0.0000026 * W50 ^ 2 + 0.315 * W66) ^ 2 * Y34)</f>
        <v>9.9748588899999984</v>
      </c>
      <c r="X82" s="15">
        <f ca="1">((1.185 + 0.00454 * X50 - 0.0000026 * X50 ^ 2 + 0.315 * X66) ^ 2 * Z34)</f>
        <v>4.202705002500001</v>
      </c>
      <c r="Y82" s="15">
        <f ca="1">((1.185 + 0.00454 * Y50 - 0.0000026 * Y50 ^ 2 + 0.315 * Y66) ^ 2 * AA34)</f>
        <v>5.9278127841000021</v>
      </c>
      <c r="Z82" s="15">
        <f ca="1">((1.185 + 0.00454 * Z50 - 0.0000026 * Z50 ^ 2 + 0.315 * Z66) ^ 2 * AB34)</f>
        <v>7.952343600099999</v>
      </c>
      <c r="AA82" s="15">
        <f ca="1">((1.185 + 0.00454 * AA50 - 0.0000026 * AA50 ^ 2 + 0.315 * AA66) ^ 2 * AC34)</f>
        <v>7.952343600099999</v>
      </c>
      <c r="AB82" s="15">
        <f ca="1">((1.185 + 0.00454 * AB50 - 0.0000026 * AB50 ^ 2 + 0.315 * AB66) ^ 2 * AD34)</f>
        <v>4.5122681240999984</v>
      </c>
      <c r="AC82" s="15">
        <f ca="1">((1.185 + 0.00454 * AC50 - 0.0000026 * AC50 ^ 2 + 0.315 * AC66) ^ 2 * AE34)</f>
        <v>6.8698506815999991</v>
      </c>
      <c r="AD82" s="15">
        <f ca="1">((1.185 + 0.00454 * AD50 - 0.0000026 * AD50 ^ 2 + 0.315 * AD66) ^ 2 * AF34)</f>
        <v>6.8698506815999991</v>
      </c>
      <c r="AE82" s="15">
        <f ca="1">((1.185 + 0.00454 * AE50 - 0.0000026 * AE50 ^ 2 + 0.315 * AE66) ^ 2 * AG34)</f>
        <v>6.8698506815999991</v>
      </c>
      <c r="AF82" s="16" t="str">
        <f t="shared" si="2"/>
        <v>kg DM/head/day</v>
      </c>
    </row>
    <row r="83" spans="3:35" ht="20.100000000000001" customHeight="1" x14ac:dyDescent="0.2">
      <c r="D83" s="114" t="s">
        <v>572</v>
      </c>
      <c r="U83" s="15" t="str">
        <f>TEXT(EDATE(X_Cell_Site_StartDate,7), "mmmm")</f>
        <v>August</v>
      </c>
      <c r="V83" s="15">
        <f ca="1">((1.185 + 0.00454 * V51 - 0.0000026 * V51 ^ 2 + 0.315 * V67) ^ 2 * X35)</f>
        <v>5.1328980481000004</v>
      </c>
      <c r="W83" s="15">
        <f ca="1">((1.185 + 0.00454 * W51 - 0.0000026 * W51 ^ 2 + 0.315 * W67) ^ 2 * Y35)</f>
        <v>9.9748588899999984</v>
      </c>
      <c r="X83" s="15">
        <f ca="1">((1.185 + 0.00454 * X51 - 0.0000026 * X51 ^ 2 + 0.315 * X67) ^ 2 * Z35)</f>
        <v>4.202705002500001</v>
      </c>
      <c r="Y83" s="15">
        <f ca="1">((1.185 + 0.00454 * Y51 - 0.0000026 * Y51 ^ 2 + 0.315 * Y67) ^ 2 * AA35)</f>
        <v>7.2615706605225032</v>
      </c>
      <c r="Z83" s="15">
        <f ca="1">((1.185 + 0.00454 * Z51 - 0.0000026 * Z51 ^ 2 + 0.315 * Z67) ^ 2 * AB35)</f>
        <v>9.7416209101224993</v>
      </c>
      <c r="AA83" s="15">
        <f ca="1">((1.185 + 0.00454 * AA51 - 0.0000026 * AA51 ^ 2 + 0.315 * AA67) ^ 2 * AC35)</f>
        <v>9.7416209101224993</v>
      </c>
      <c r="AB83" s="15">
        <f ca="1">((1.185 + 0.00454 * AB51 - 0.0000026 * AB51 ^ 2 + 0.315 * AB67) ^ 2 * AD35)</f>
        <v>4.5122681240999984</v>
      </c>
      <c r="AC83" s="15">
        <f ca="1">((1.185 + 0.00454 * AC51 - 0.0000026 * AC51 ^ 2 + 0.315 * AC67) ^ 2 * AE35)</f>
        <v>6.8698506815999991</v>
      </c>
      <c r="AD83" s="15">
        <f ca="1">((1.185 + 0.00454 * AD51 - 0.0000026 * AD51 ^ 2 + 0.315 * AD67) ^ 2 * AF35)</f>
        <v>6.8698506815999991</v>
      </c>
      <c r="AE83" s="15">
        <f ca="1">((1.185 + 0.00454 * AE51 - 0.0000026 * AE51 ^ 2 + 0.315 * AE67) ^ 2 * AG35)</f>
        <v>6.8698506815999991</v>
      </c>
      <c r="AF83" s="16" t="str">
        <f t="shared" si="2"/>
        <v>kg DM/head/day</v>
      </c>
    </row>
    <row r="84" spans="3:35" ht="20.100000000000001" customHeight="1" x14ac:dyDescent="0.2">
      <c r="D84" s="115" t="s">
        <v>76</v>
      </c>
      <c r="E84" s="115" t="s">
        <v>325</v>
      </c>
      <c r="F84" s="115" t="s">
        <v>189</v>
      </c>
      <c r="G84" s="115" t="s">
        <v>326</v>
      </c>
      <c r="H84" s="115" t="s">
        <v>327</v>
      </c>
      <c r="I84" s="115" t="s">
        <v>328</v>
      </c>
      <c r="J84" s="115" t="s">
        <v>329</v>
      </c>
      <c r="K84" s="115" t="s">
        <v>330</v>
      </c>
      <c r="L84" s="115" t="s">
        <v>331</v>
      </c>
      <c r="M84" s="115" t="s">
        <v>332</v>
      </c>
      <c r="N84" s="115" t="s">
        <v>333</v>
      </c>
      <c r="U84" s="15" t="str">
        <f>TEXT(EDATE(X_Cell_Site_StartDate,8), "mmmm")</f>
        <v>September</v>
      </c>
      <c r="V84" s="15">
        <f ca="1">((1.185 + 0.00454 * V52 - 0.0000026 * V52 ^ 2 + 0.315 * V68) ^ 2 * X36)</f>
        <v>8.6709047296000001</v>
      </c>
      <c r="W84" s="15">
        <f ca="1">((1.185 + 0.00454 * W52 - 0.0000026 * W52 ^ 2 + 0.315 * W68) ^ 2 * Y36)</f>
        <v>12.246500250000002</v>
      </c>
      <c r="X84" s="15">
        <f ca="1">((1.185 + 0.00454 * X52 - 0.0000026 * X52 ^ 2 + 0.315 * X68) ^ 2 * Z36)</f>
        <v>6.6089612241000006</v>
      </c>
      <c r="Y84" s="15">
        <f ca="1">((1.185 + 0.00454 * Y52 - 0.0000026 * Y52 ^ 2 + 0.315 * Y68) ^ 2 * AA36)</f>
        <v>10.624527777622504</v>
      </c>
      <c r="Z84" s="15">
        <f ca="1">((1.185 + 0.00454 * Z52 - 0.0000026 * Z52 ^ 2 + 0.315 * Z68) ^ 2 * AB36)</f>
        <v>11.798087161000003</v>
      </c>
      <c r="AA84" s="15">
        <f ca="1">((1.185 + 0.00454 * AA52 - 0.0000026 * AA52 ^ 2 + 0.315 * AA68) ^ 2 * AC36)</f>
        <v>11.798087161000003</v>
      </c>
      <c r="AB84" s="15">
        <f ca="1">((1.185 + 0.00454 * AB52 - 0.0000026 * AB52 ^ 2 + 0.315 * AB68) ^ 2 * AD36)</f>
        <v>7.6192560899999977</v>
      </c>
      <c r="AC84" s="15">
        <f ca="1">((1.185 + 0.00454 * AC52 - 0.0000026 * AC52 ^ 2 + 0.315 * AC68) ^ 2 * AE36)</f>
        <v>9.6824279555999979</v>
      </c>
      <c r="AD84" s="15">
        <f ca="1">((1.185 + 0.00454 * AD52 - 0.0000026 * AD52 ^ 2 + 0.315 * AD68) ^ 2 * AF36)</f>
        <v>9.6824279555999979</v>
      </c>
      <c r="AE84" s="15">
        <f ca="1">((1.185 + 0.00454 * AE52 - 0.0000026 * AE52 ^ 2 + 0.315 * AE68) ^ 2 * AG36)</f>
        <v>9.6824279555999979</v>
      </c>
      <c r="AF84" s="16" t="str">
        <f t="shared" si="2"/>
        <v>kg DM/head/day</v>
      </c>
      <c r="AG84" s="16"/>
      <c r="AH84" s="16"/>
    </row>
    <row r="85" spans="3:35" ht="20.100000000000001" customHeight="1" x14ac:dyDescent="0.2">
      <c r="D85" s="15" t="s">
        <v>334</v>
      </c>
      <c r="E85" s="15">
        <f ca="1">(20.7 * E64 * 10 ^ -3)</f>
        <v>0.17948772790272</v>
      </c>
      <c r="F85" s="15">
        <f ca="1">(20.7 * F64 * 10 ^ -3)</f>
        <v>0.25350255517500003</v>
      </c>
      <c r="G85" s="15">
        <f ca="1">(20.7 * G64 * 10 ^ -3)</f>
        <v>0.13680549733887001</v>
      </c>
      <c r="H85" s="15">
        <f ca="1">(20.7 * H64 * 10 ^ -3)</f>
        <v>0.19210013530331493</v>
      </c>
      <c r="I85" s="15">
        <f ca="1">(20.7 * I64 * 10 ^ -3)</f>
        <v>0.20933177505660003</v>
      </c>
      <c r="J85" s="15">
        <f ca="1">(20.7 * J64 * 10 ^ -3)</f>
        <v>0.20933177505660003</v>
      </c>
      <c r="K85" s="15">
        <f ca="1">(20.7 * K64 * 10 ^ -3)</f>
        <v>0.15771860106299995</v>
      </c>
      <c r="L85" s="15">
        <f ca="1">(20.7 * L64 * 10 ^ -3)</f>
        <v>0.20042625868091996</v>
      </c>
      <c r="M85" s="15">
        <f ca="1">(20.7 * M64 * 10 ^ -3)</f>
        <v>0.20042625868091996</v>
      </c>
      <c r="N85" s="15">
        <f ca="1">(20.7 * N64 * 10 ^ -3)</f>
        <v>0.20042625868091996</v>
      </c>
      <c r="O85" s="16" t="str">
        <f>G80</f>
        <v>kg DM/head/day</v>
      </c>
      <c r="P85" s="16"/>
      <c r="Q85" s="16"/>
      <c r="U85" s="15" t="str">
        <f>TEXT(EDATE(X_Cell_Site_StartDate,9), "mmmm")</f>
        <v>October</v>
      </c>
      <c r="V85" s="15">
        <f ca="1">((1.185 + 0.00454 * V53 - 0.0000026 * V53 ^ 2 + 0.315 * V69) ^ 2 * X37)</f>
        <v>8.6709047296000001</v>
      </c>
      <c r="W85" s="15">
        <f ca="1">((1.185 + 0.00454 * W53 - 0.0000026 * W53 ^ 2 + 0.315 * W69) ^ 2 * Y37)</f>
        <v>12.246500250000002</v>
      </c>
      <c r="X85" s="15">
        <f ca="1">((1.185 + 0.00454 * X53 - 0.0000026 * X53 ^ 2 + 0.315 * X69) ^ 2 * Z37)</f>
        <v>6.6089612241000006</v>
      </c>
      <c r="Y85" s="15">
        <f ca="1">((1.185 + 0.00454 * Y53 - 0.0000026 * Y53 ^ 2 + 0.315 * Y69) ^ 2 * AA37)</f>
        <v>10.624527777622504</v>
      </c>
      <c r="Z85" s="15">
        <f ca="1">((1.185 + 0.00454 * Z53 - 0.0000026 * Z53 ^ 2 + 0.315 * Z69) ^ 2 * AB37)</f>
        <v>11.798087161000003</v>
      </c>
      <c r="AA85" s="15">
        <f ca="1">((1.185 + 0.00454 * AA53 - 0.0000026 * AA53 ^ 2 + 0.315 * AA69) ^ 2 * AC37)</f>
        <v>11.798087161000003</v>
      </c>
      <c r="AB85" s="15">
        <f ca="1">((1.185 + 0.00454 * AB53 - 0.0000026 * AB53 ^ 2 + 0.315 * AB69) ^ 2 * AD37)</f>
        <v>7.6192560899999977</v>
      </c>
      <c r="AC85" s="15">
        <f ca="1">((1.185 + 0.00454 * AC53 - 0.0000026 * AC53 ^ 2 + 0.315 * AC69) ^ 2 * AE37)</f>
        <v>9.6824279555999979</v>
      </c>
      <c r="AD85" s="15">
        <f ca="1">((1.185 + 0.00454 * AD53 - 0.0000026 * AD53 ^ 2 + 0.315 * AD69) ^ 2 * AF37)</f>
        <v>9.6824279555999979</v>
      </c>
      <c r="AE85" s="15">
        <f ca="1">((1.185 + 0.00454 * AE53 - 0.0000026 * AE53 ^ 2 + 0.315 * AE69) ^ 2 * AG37)</f>
        <v>9.6824279555999979</v>
      </c>
      <c r="AF85" s="16" t="str">
        <f t="shared" si="2"/>
        <v>kg DM/head/day</v>
      </c>
      <c r="AG85" s="16"/>
      <c r="AH85" s="16"/>
    </row>
    <row r="86" spans="3:35" ht="20.100000000000001" customHeight="1" x14ac:dyDescent="0.2">
      <c r="D86" s="15" t="s">
        <v>335</v>
      </c>
      <c r="E86" s="15">
        <f ca="1">(20.7 * E65 * 10 ^ -3)</f>
        <v>0.14793987137471989</v>
      </c>
      <c r="F86" s="15">
        <f ca="1">(20.7 * F65 * 10 ^ -3)</f>
        <v>0.19573907587452002</v>
      </c>
      <c r="G86" s="15">
        <f ca="1">(20.7 * G65 * 10 ^ -3)</f>
        <v>0.12441409099199996</v>
      </c>
      <c r="H86" s="15">
        <f ca="1">(20.7 * H65 * 10 ^ -3)</f>
        <v>0.16292037884175001</v>
      </c>
      <c r="I86" s="15">
        <f ca="1">(20.7 * I65 * 10 ^ -3)</f>
        <v>0.16131110973551996</v>
      </c>
      <c r="J86" s="15">
        <f ca="1">(20.7 * J65 * 10 ^ -3)</f>
        <v>0.16131110973551996</v>
      </c>
      <c r="K86" s="15">
        <f ca="1">(20.7 * K65 * 10 ^ -3)</f>
        <v>0.13636416641471999</v>
      </c>
      <c r="L86" s="15">
        <f ca="1">(20.7 * L65 * 10 ^ -3)</f>
        <v>0.15200155388727002</v>
      </c>
      <c r="M86" s="15">
        <f ca="1">(20.7 * M65 * 10 ^ -3)</f>
        <v>0.15200155388727002</v>
      </c>
      <c r="N86" s="15">
        <f ca="1">(20.7 * N65 * 10 ^ -3)</f>
        <v>0.15200155388727002</v>
      </c>
      <c r="O86" s="16"/>
      <c r="P86" s="16"/>
      <c r="Q86" s="16"/>
      <c r="U86" s="15" t="str">
        <f>TEXT(EDATE(X_Cell_Site_StartDate,10), "mmmm")</f>
        <v>November</v>
      </c>
      <c r="V86" s="15">
        <f ca="1">((1.185 + 0.00454 * V54 - 0.0000026 * V54 ^ 2 + 0.315 * V70) ^ 2 * X38)</f>
        <v>8.6709047296000001</v>
      </c>
      <c r="W86" s="15">
        <f ca="1">((1.185 + 0.00454 * W54 - 0.0000026 * W54 ^ 2 + 0.315 * W70) ^ 2 * Y38)</f>
        <v>12.246500250000002</v>
      </c>
      <c r="X86" s="15">
        <f ca="1">((1.185 + 0.00454 * X54 - 0.0000026 * X54 ^ 2 + 0.315 * X70) ^ 2 * Z38)</f>
        <v>6.6089612241000006</v>
      </c>
      <c r="Y86" s="15">
        <f ca="1">((1.185 + 0.00454 * Y54 - 0.0000026 * Y54 ^ 2 + 0.315 * Y70) ^ 2 * AA38)</f>
        <v>9.3235651926075036</v>
      </c>
      <c r="Z86" s="15">
        <f ca="1">((1.185 + 0.00454 * Z54 - 0.0000026 * Z54 ^ 2 + 0.315 * Z70) ^ 2 * AB38)</f>
        <v>10.353423427000003</v>
      </c>
      <c r="AA86" s="15">
        <f ca="1">((1.185 + 0.00454 * AA54 - 0.0000026 * AA54 ^ 2 + 0.315 * AA70) ^ 2 * AC38)</f>
        <v>10.353423427000003</v>
      </c>
      <c r="AB86" s="15">
        <f ca="1">((1.185 + 0.00454 * AB54 - 0.0000026 * AB54 ^ 2 + 0.315 * AB70) ^ 2 * AD38)</f>
        <v>7.6192560899999977</v>
      </c>
      <c r="AC86" s="15">
        <f ca="1">((1.185 + 0.00454 * AC54 - 0.0000026 * AC54 ^ 2 + 0.315 * AC70) ^ 2 * AE38)</f>
        <v>9.6824279555999979</v>
      </c>
      <c r="AD86" s="15">
        <f ca="1">((1.185 + 0.00454 * AD54 - 0.0000026 * AD54 ^ 2 + 0.315 * AD70) ^ 2 * AF38)</f>
        <v>9.6824279555999979</v>
      </c>
      <c r="AE86" s="15">
        <f ca="1">((1.185 + 0.00454 * AE54 - 0.0000026 * AE54 ^ 2 + 0.315 * AE70) ^ 2 * AG38)</f>
        <v>9.6824279555999979</v>
      </c>
      <c r="AF86" s="16" t="str">
        <f t="shared" si="2"/>
        <v>kg DM/head/day</v>
      </c>
      <c r="AG86" s="16"/>
      <c r="AH86" s="16"/>
    </row>
    <row r="87" spans="3:35" ht="20.100000000000001" customHeight="1" x14ac:dyDescent="0.2">
      <c r="D87" s="15" t="s">
        <v>336</v>
      </c>
      <c r="E87" s="15">
        <f ca="1">(20.7 * E66 * 10 ^ -3)</f>
        <v>6.7217122800000001E-2</v>
      </c>
      <c r="F87" s="15">
        <f ca="1">(20.7 * F66 * 10 ^ -3)</f>
        <v>0.19509034611311998</v>
      </c>
      <c r="G87" s="15">
        <f ca="1">(20.7 * G66 * 10 ^ -3)</f>
        <v>6.1278762971520004E-2</v>
      </c>
      <c r="H87" s="15">
        <f ca="1">(20.7 * H66 * 10 ^ -3)</f>
        <v>0.12332640906971998</v>
      </c>
      <c r="I87" s="15">
        <f ca="1">(20.7 * I66 * 10 ^ -3)</f>
        <v>0.13906254717566999</v>
      </c>
      <c r="J87" s="15">
        <f ca="1">(20.7 * J66 * 10 ^ -3)</f>
        <v>0.13906254717566999</v>
      </c>
      <c r="K87" s="15">
        <f ca="1">(20.7 * K66 * 10 ^ -3)</f>
        <v>6.7217122800000001E-2</v>
      </c>
      <c r="L87" s="15">
        <f ca="1">(20.7 * L66 * 10 ^ -3)</f>
        <v>0.12203432960112003</v>
      </c>
      <c r="M87" s="15">
        <f ca="1">(20.7 * M66 * 10 ^ -3)</f>
        <v>0.12203432960112003</v>
      </c>
      <c r="N87" s="15">
        <f ca="1">(20.7 * N66 * 10 ^ -3)</f>
        <v>0.12203432960112003</v>
      </c>
      <c r="O87" s="16"/>
      <c r="P87" s="16"/>
      <c r="Q87" s="16"/>
      <c r="U87" s="15" t="str">
        <f>TEXT(EDATE(X_Cell_Site_StartDate,11), "mmmm")</f>
        <v>December</v>
      </c>
      <c r="V87" s="15">
        <f ca="1">((1.185 + 0.00454 * V55 - 0.0000026 * V55 ^ 2 + 0.315 * V71) ^ 2 * X39)</f>
        <v>7.1468536895999959</v>
      </c>
      <c r="W87" s="15">
        <f ca="1">((1.185 + 0.00454 * W55 - 0.0000026 * W55 ^ 2 + 0.315 * W71) ^ 2 * Y39)</f>
        <v>9.4559940036000008</v>
      </c>
      <c r="X87" s="15">
        <f ca="1">((1.185 + 0.00454 * X55 - 0.0000026 * X55 ^ 2 + 0.315 * X71) ^ 2 * Z39)</f>
        <v>6.010342559999998</v>
      </c>
      <c r="Y87" s="15">
        <f ca="1">((1.185 + 0.00454 * Y55 - 0.0000026 * Y55 ^ 2 + 0.315 * Y71) ^ 2 * AA39)</f>
        <v>7.8705497025</v>
      </c>
      <c r="Z87" s="15">
        <f ca="1">((1.185 + 0.00454 * Z55 - 0.0000026 * Z55 ^ 2 + 0.315 * Z71) ^ 2 * AB39)</f>
        <v>7.7928072335999978</v>
      </c>
      <c r="AA87" s="15">
        <f ca="1">((1.185 + 0.00454 * AA55 - 0.0000026 * AA55 ^ 2 + 0.315 * AA71) ^ 2 * AC39)</f>
        <v>7.7928072335999978</v>
      </c>
      <c r="AB87" s="15">
        <f ca="1">((1.185 + 0.00454 * AB55 - 0.0000026 * AB55 ^ 2 + 0.315 * AB71) ^ 2 * AD39)</f>
        <v>6.5876408896000003</v>
      </c>
      <c r="AC87" s="15">
        <f ca="1">((1.185 + 0.00454 * AC55 - 0.0000026 * AC55 ^ 2 + 0.315 * AC71) ^ 2 * AE39)</f>
        <v>7.3430702361</v>
      </c>
      <c r="AD87" s="15">
        <f ca="1">((1.185 + 0.00454 * AD55 - 0.0000026 * AD55 ^ 2 + 0.315 * AD71) ^ 2 * AF39)</f>
        <v>7.3430702361</v>
      </c>
      <c r="AE87" s="15">
        <f ca="1">((1.185 + 0.00454 * AE55 - 0.0000026 * AE55 ^ 2 + 0.315 * AE71) ^ 2 * AG39)</f>
        <v>7.3430702361</v>
      </c>
      <c r="AF87" s="16" t="str">
        <f t="shared" si="2"/>
        <v>kg DM/head/day</v>
      </c>
      <c r="AG87" s="16"/>
      <c r="AH87" s="16"/>
    </row>
    <row r="88" spans="3:35" ht="20.100000000000001" customHeight="1" x14ac:dyDescent="0.2">
      <c r="D88" s="15" t="s">
        <v>337</v>
      </c>
      <c r="E88" s="15">
        <f ca="1">(20.7 * E67 * 10 ^ -3)</f>
        <v>0.10625098959567</v>
      </c>
      <c r="F88" s="15">
        <f ca="1">(20.7 * F67 * 10 ^ -3)</f>
        <v>0.20647957902299996</v>
      </c>
      <c r="G88" s="15">
        <f ca="1">(20.7 * G67 * 10 ^ -3)</f>
        <v>8.6995993551750014E-2</v>
      </c>
      <c r="H88" s="15">
        <f ca="1">(20.7 * H67 * 10 ^ -3)</f>
        <v>0.14847392680335272</v>
      </c>
      <c r="I88" s="15">
        <f ca="1">(20.7 * I67 * 10 ^ -3)</f>
        <v>0.18930553940038045</v>
      </c>
      <c r="J88" s="15">
        <f ca="1">(20.7 * J67 * 10 ^ -3)</f>
        <v>0.18930553940038045</v>
      </c>
      <c r="K88" s="15">
        <f ca="1">(20.7 * K67 * 10 ^ -3)</f>
        <v>9.3403950168869973E-2</v>
      </c>
      <c r="L88" s="15">
        <f ca="1">(20.7 * L67 * 10 ^ -3)</f>
        <v>0.14220590910911998</v>
      </c>
      <c r="M88" s="15">
        <f ca="1">(20.7 * M67 * 10 ^ -3)</f>
        <v>0.14220590910911998</v>
      </c>
      <c r="N88" s="15">
        <f ca="1">(20.7 * N67 * 10 ^ -3)</f>
        <v>0.14220590910911998</v>
      </c>
      <c r="O88" s="16"/>
      <c r="P88" s="16"/>
      <c r="Q88" s="16"/>
      <c r="AG88" s="16"/>
      <c r="AH88" s="16"/>
    </row>
    <row r="89" spans="3:35" ht="20.100000000000001" customHeight="1" x14ac:dyDescent="0.2">
      <c r="AG89" s="16"/>
      <c r="AH89" s="16"/>
    </row>
    <row r="90" spans="3:35" ht="20.100000000000001" customHeight="1" x14ac:dyDescent="0.2">
      <c r="AG90" s="16"/>
      <c r="AH90" s="16"/>
    </row>
    <row r="91" spans="3:35" ht="20.100000000000001" customHeight="1" x14ac:dyDescent="0.2">
      <c r="C91" s="88"/>
      <c r="D91" s="88"/>
      <c r="E91" s="88"/>
      <c r="F91" s="88"/>
      <c r="G91" s="88"/>
      <c r="H91" s="88"/>
      <c r="I91" s="88"/>
      <c r="J91" s="88"/>
      <c r="K91" s="88"/>
      <c r="L91" s="88"/>
      <c r="M91" s="88"/>
      <c r="N91" s="88"/>
      <c r="O91" s="88"/>
      <c r="P91" s="88"/>
      <c r="Q91" s="88"/>
      <c r="R91" s="88"/>
      <c r="T91" s="88"/>
      <c r="U91" s="88"/>
      <c r="V91" s="88"/>
      <c r="W91" s="88"/>
      <c r="X91" s="88"/>
      <c r="Y91" s="88"/>
      <c r="Z91" s="88"/>
      <c r="AA91" s="88"/>
      <c r="AB91" s="88"/>
      <c r="AC91" s="88"/>
      <c r="AD91" s="88"/>
      <c r="AE91" s="88"/>
      <c r="AF91" s="88"/>
      <c r="AG91" s="88"/>
      <c r="AH91" s="88"/>
      <c r="AI91" s="88"/>
    </row>
    <row r="92" spans="3:35" ht="20.100000000000001" customHeight="1" x14ac:dyDescent="0.2">
      <c r="D92" s="2" t="s">
        <v>1344</v>
      </c>
      <c r="U92" s="2" t="s">
        <v>1338</v>
      </c>
    </row>
    <row r="93" spans="3:35" ht="20.100000000000001" customHeight="1" x14ac:dyDescent="0.2">
      <c r="D93" s="17" t="s">
        <v>1345</v>
      </c>
    </row>
    <row r="94" spans="3:35" ht="20.100000000000001" customHeight="1" x14ac:dyDescent="0.2">
      <c r="D94" s="104"/>
      <c r="E94" s="104"/>
      <c r="U94" s="113" t="s">
        <v>573</v>
      </c>
    </row>
    <row r="95" spans="3:35" ht="20.100000000000001" customHeight="1" x14ac:dyDescent="0.2">
      <c r="U95" s="114" t="s">
        <v>574</v>
      </c>
    </row>
    <row r="96" spans="3:35" ht="20.100000000000001" customHeight="1" x14ac:dyDescent="0.2">
      <c r="U96" s="115" t="s">
        <v>75</v>
      </c>
      <c r="V96" s="115" t="s">
        <v>325</v>
      </c>
      <c r="W96" s="115" t="s">
        <v>189</v>
      </c>
      <c r="X96" s="115" t="s">
        <v>326</v>
      </c>
      <c r="Y96" s="115" t="s">
        <v>327</v>
      </c>
      <c r="Z96" s="115" t="s">
        <v>328</v>
      </c>
      <c r="AA96" s="115" t="s">
        <v>329</v>
      </c>
      <c r="AB96" s="115" t="s">
        <v>330</v>
      </c>
      <c r="AC96" s="115" t="s">
        <v>331</v>
      </c>
      <c r="AD96" s="115" t="s">
        <v>332</v>
      </c>
      <c r="AE96" s="115" t="s">
        <v>333</v>
      </c>
    </row>
    <row r="97" spans="1:35" ht="20.100000000000001" customHeight="1" x14ac:dyDescent="0.2">
      <c r="D97" s="77" t="s">
        <v>374</v>
      </c>
      <c r="E97" s="1" t="s">
        <v>1346</v>
      </c>
      <c r="U97" s="15" t="str">
        <f>TEXT(X_Cell_Site_StartDate,"mmmm")</f>
        <v>January</v>
      </c>
      <c r="V97" s="15">
        <f ca="1">(20.7 * V76 * 10 ^ -3)</f>
        <v>0.14793987137471989</v>
      </c>
      <c r="W97" s="15">
        <f ca="1">(20.7 * W76 * 10 ^ -3)</f>
        <v>0.19573907587452002</v>
      </c>
      <c r="X97" s="15">
        <f ca="1">(20.7 * X76 * 10 ^ -3)</f>
        <v>0.12441409099199996</v>
      </c>
      <c r="Y97" s="15">
        <f ca="1">(20.7 * Y76 * 10 ^ -3)</f>
        <v>0.16292037884175001</v>
      </c>
      <c r="Z97" s="15">
        <f ca="1">(20.7 * Z76 * 10 ^ -3)</f>
        <v>0.16131110973551996</v>
      </c>
      <c r="AA97" s="15">
        <f ca="1">(20.7 * AA76 * 10 ^ -3)</f>
        <v>0.16131110973551996</v>
      </c>
      <c r="AB97" s="15">
        <f ca="1">(20.7 * AB76 * 10 ^ -3)</f>
        <v>0.13636416641471999</v>
      </c>
      <c r="AC97" s="15">
        <f ca="1">(20.7 * AC76 * 10 ^ -3)</f>
        <v>0.15200155388727002</v>
      </c>
      <c r="AD97" s="15">
        <f ca="1">(20.7 * AD76 * 10 ^ -3)</f>
        <v>0.15200155388727002</v>
      </c>
      <c r="AE97" s="15">
        <f ca="1">(20.7 * AE76 * 10 ^ -3)</f>
        <v>0.15200155388727002</v>
      </c>
      <c r="AF97" s="16" t="str">
        <f>$G$80</f>
        <v>kg DM/head/day</v>
      </c>
    </row>
    <row r="98" spans="1:35" ht="20.100000000000001" customHeight="1" x14ac:dyDescent="0.2">
      <c r="D98" s="77" t="s">
        <v>126</v>
      </c>
      <c r="E98" s="9" t="s">
        <v>5</v>
      </c>
      <c r="U98" s="15" t="str">
        <f>TEXT(EDATE(X_Cell_Site_StartDate,1), "mmmm")</f>
        <v>February</v>
      </c>
      <c r="V98" s="15">
        <f ca="1">(20.7 * V77 * 10 ^ -3)</f>
        <v>0.14793987137471989</v>
      </c>
      <c r="W98" s="15">
        <f ca="1">(20.7 * W77 * 10 ^ -3)</f>
        <v>0.19573907587452002</v>
      </c>
      <c r="X98" s="15">
        <f ca="1">(20.7 * X77 * 10 ^ -3)</f>
        <v>0.12441409099199996</v>
      </c>
      <c r="Y98" s="15">
        <f ca="1">(20.7 * Y77 * 10 ^ -3)</f>
        <v>0.16292037884175001</v>
      </c>
      <c r="Z98" s="15">
        <f ca="1">(20.7 * Z77 * 10 ^ -3)</f>
        <v>0.16131110973551996</v>
      </c>
      <c r="AA98" s="15">
        <f ca="1">(20.7 * AA77 * 10 ^ -3)</f>
        <v>0.16131110973551996</v>
      </c>
      <c r="AB98" s="15">
        <f ca="1">(20.7 * AB77 * 10 ^ -3)</f>
        <v>0.13636416641471999</v>
      </c>
      <c r="AC98" s="15">
        <f ca="1">(20.7 * AC77 * 10 ^ -3)</f>
        <v>0.15200155388727002</v>
      </c>
      <c r="AD98" s="15">
        <f ca="1">(20.7 * AD77 * 10 ^ -3)</f>
        <v>0.15200155388727002</v>
      </c>
      <c r="AE98" s="15">
        <f ca="1">(20.7 * AE77 * 10 ^ -3)</f>
        <v>0.15200155388727002</v>
      </c>
      <c r="AF98" s="16"/>
    </row>
    <row r="99" spans="1:35" ht="20.100000000000001" customHeight="1" x14ac:dyDescent="0.2">
      <c r="U99" s="15" t="str">
        <f>TEXT(EDATE(X_Cell_Site_StartDate,2), "mmmm")</f>
        <v>March</v>
      </c>
      <c r="V99" s="15">
        <f ca="1">(20.7 * V78 * 10 ^ -3)</f>
        <v>6.7217122800000001E-2</v>
      </c>
      <c r="W99" s="15">
        <f ca="1">(20.7 * W78 * 10 ^ -3)</f>
        <v>0.19509034611311998</v>
      </c>
      <c r="X99" s="15">
        <f ca="1">(20.7 * X78 * 10 ^ -3)</f>
        <v>6.1278762971520004E-2</v>
      </c>
      <c r="Y99" s="15">
        <f ca="1">(20.7 * Y78 * 10 ^ -3)</f>
        <v>0.12332640906971998</v>
      </c>
      <c r="Z99" s="15">
        <f ca="1">(20.7 * Z78 * 10 ^ -3)</f>
        <v>0.13906254717566999</v>
      </c>
      <c r="AA99" s="15">
        <f ca="1">(20.7 * AA78 * 10 ^ -3)</f>
        <v>0.13906254717566999</v>
      </c>
      <c r="AB99" s="15">
        <f ca="1">(20.7 * AB78 * 10 ^ -3)</f>
        <v>6.7217122800000001E-2</v>
      </c>
      <c r="AC99" s="15">
        <f ca="1">(20.7 * AC78 * 10 ^ -3)</f>
        <v>0.12203432960112003</v>
      </c>
      <c r="AD99" s="15">
        <f ca="1">(20.7 * AD78 * 10 ^ -3)</f>
        <v>0.12203432960112003</v>
      </c>
      <c r="AE99" s="15">
        <f ca="1">(20.7 * AE78 * 10 ^ -3)</f>
        <v>0.12203432960112003</v>
      </c>
      <c r="AF99" s="16"/>
    </row>
    <row r="100" spans="1:35" ht="20.100000000000001" customHeight="1" x14ac:dyDescent="0.2">
      <c r="D100" s="106" t="s">
        <v>1347</v>
      </c>
      <c r="E100" s="107" t="s">
        <v>1348</v>
      </c>
      <c r="F100" s="109"/>
      <c r="G100" s="106" t="s">
        <v>429</v>
      </c>
      <c r="H100" s="110" t="s">
        <v>1325</v>
      </c>
      <c r="I100" s="112" t="str" cm="1">
        <f t="array" aca="1" ref="I100" ca="1">HYPERLINK(Common_InputFunctions.Utility_SourceHyperlink($D$112), $D$112)</f>
        <v>M1_Table_D_j</v>
      </c>
      <c r="U100" s="15" t="str">
        <f>TEXT(EDATE(X_Cell_Site_StartDate,3), "mmmm")</f>
        <v>April</v>
      </c>
      <c r="V100" s="15">
        <f ca="1">(20.7 * V79 * 10 ^ -3)</f>
        <v>6.7217122800000001E-2</v>
      </c>
      <c r="W100" s="15">
        <f ca="1">(20.7 * W79 * 10 ^ -3)</f>
        <v>0.19509034611311998</v>
      </c>
      <c r="X100" s="15">
        <f ca="1">(20.7 * X79 * 10 ^ -3)</f>
        <v>6.1278762971520004E-2</v>
      </c>
      <c r="Y100" s="15">
        <f ca="1">(20.7 * Y79 * 10 ^ -3)</f>
        <v>0.12332640906971998</v>
      </c>
      <c r="Z100" s="15">
        <f ca="1">(20.7 * Z79 * 10 ^ -3)</f>
        <v>0.13906254717566999</v>
      </c>
      <c r="AA100" s="15">
        <f ca="1">(20.7 * AA79 * 10 ^ -3)</f>
        <v>0.13906254717566999</v>
      </c>
      <c r="AB100" s="15">
        <f ca="1">(20.7 * AB79 * 10 ^ -3)</f>
        <v>6.7217122800000001E-2</v>
      </c>
      <c r="AC100" s="15">
        <f ca="1">(20.7 * AC79 * 10 ^ -3)</f>
        <v>0.12203432960112003</v>
      </c>
      <c r="AD100" s="15">
        <f ca="1">(20.7 * AD79 * 10 ^ -3)</f>
        <v>0.12203432960112003</v>
      </c>
      <c r="AE100" s="15">
        <f ca="1">(20.7 * AE79 * 10 ^ -3)</f>
        <v>0.12203432960112003</v>
      </c>
      <c r="AF100" s="16"/>
    </row>
    <row r="101" spans="1:35" ht="20.100000000000001" customHeight="1" x14ac:dyDescent="0.2">
      <c r="A101" s="85" t="str">
        <f>HYPERLINK("#A1", "▲ Back to top")</f>
        <v>▲ Back to top</v>
      </c>
      <c r="D101" s="106" t="s">
        <v>1340</v>
      </c>
      <c r="E101" s="107" t="s">
        <v>1349</v>
      </c>
      <c r="F101" s="109"/>
      <c r="G101" s="106" t="s">
        <v>1341</v>
      </c>
      <c r="H101" s="111" t="s">
        <v>1352</v>
      </c>
      <c r="I101" s="112" t="str" cm="1">
        <f t="array" aca="1" ref="I101" ca="1">HYPERLINK(Common_InputFunctions.Utility_SourceHyperlink($D$82), $D$82)</f>
        <v>M1_Table_M_j_k_l</v>
      </c>
      <c r="U101" s="15" t="str">
        <f>TEXT(EDATE(X_Cell_Site_StartDate,4), "mmmm")</f>
        <v>May</v>
      </c>
      <c r="V101" s="15">
        <f ca="1">(20.7 * V80 * 10 ^ -3)</f>
        <v>6.7217122800000001E-2</v>
      </c>
      <c r="W101" s="15">
        <f ca="1">(20.7 * W80 * 10 ^ -3)</f>
        <v>0.19509034611311998</v>
      </c>
      <c r="X101" s="15">
        <f ca="1">(20.7 * X80 * 10 ^ -3)</f>
        <v>6.1278762971520004E-2</v>
      </c>
      <c r="Y101" s="15">
        <f ca="1">(20.7 * Y80 * 10 ^ -3)</f>
        <v>0.12332640906971998</v>
      </c>
      <c r="Z101" s="15">
        <f ca="1">(20.7 * Z80 * 10 ^ -3)</f>
        <v>0.13906254717566999</v>
      </c>
      <c r="AA101" s="15">
        <f ca="1">(20.7 * AA80 * 10 ^ -3)</f>
        <v>0.13906254717566999</v>
      </c>
      <c r="AB101" s="15">
        <f ca="1">(20.7 * AB80 * 10 ^ -3)</f>
        <v>6.7217122800000001E-2</v>
      </c>
      <c r="AC101" s="15">
        <f ca="1">(20.7 * AC80 * 10 ^ -3)</f>
        <v>0.12203432960112003</v>
      </c>
      <c r="AD101" s="15">
        <f ca="1">(20.7 * AD80 * 10 ^ -3)</f>
        <v>0.12203432960112003</v>
      </c>
      <c r="AE101" s="15">
        <f ca="1">(20.7 * AE80 * 10 ^ -3)</f>
        <v>0.12203432960112003</v>
      </c>
      <c r="AF101" s="16"/>
    </row>
    <row r="102" spans="1:35" ht="20.100000000000001" customHeight="1" x14ac:dyDescent="0.2">
      <c r="D102" s="106" t="s">
        <v>1350</v>
      </c>
      <c r="E102" s="107" t="s">
        <v>1351</v>
      </c>
      <c r="F102" s="109"/>
      <c r="G102" s="106" t="s">
        <v>426</v>
      </c>
      <c r="H102" s="110" t="s">
        <v>1325</v>
      </c>
      <c r="I102" s="112" t="str" cm="1">
        <f t="array" aca="1" ref="I102" ca="1">HYPERLINK(Common_InputFunctions.Utility_SourceHyperlink($D$104), $D$104)</f>
        <v>M1_Table_N_j_k_l</v>
      </c>
      <c r="U102" s="15" t="str">
        <f>TEXT(EDATE(X_Cell_Site_StartDate,5), "mmmm")</f>
        <v>June</v>
      </c>
      <c r="V102" s="15">
        <f ca="1">(20.7 * V81 * 10 ^ -3)</f>
        <v>0.10625098959567</v>
      </c>
      <c r="W102" s="15">
        <f ca="1">(20.7 * W81 * 10 ^ -3)</f>
        <v>0.20647957902299996</v>
      </c>
      <c r="X102" s="15">
        <f ca="1">(20.7 * X81 * 10 ^ -3)</f>
        <v>8.6995993551750014E-2</v>
      </c>
      <c r="Y102" s="15">
        <f ca="1">(20.7 * Y81 * 10 ^ -3)</f>
        <v>0.12270572463087004</v>
      </c>
      <c r="Z102" s="15">
        <f ca="1">(20.7 * Z81 * 10 ^ -3)</f>
        <v>0.16461351252206999</v>
      </c>
      <c r="AA102" s="15">
        <f ca="1">(20.7 * AA81 * 10 ^ -3)</f>
        <v>0.16461351252206999</v>
      </c>
      <c r="AB102" s="15">
        <f ca="1">(20.7 * AB81 * 10 ^ -3)</f>
        <v>9.3403950168869973E-2</v>
      </c>
      <c r="AC102" s="15">
        <f ca="1">(20.7 * AC81 * 10 ^ -3)</f>
        <v>0.14220590910911998</v>
      </c>
      <c r="AD102" s="15">
        <f ca="1">(20.7 * AD81 * 10 ^ -3)</f>
        <v>0.14220590910911998</v>
      </c>
      <c r="AE102" s="15">
        <f ca="1">(20.7 * AE81 * 10 ^ -3)</f>
        <v>0.14220590910911998</v>
      </c>
      <c r="AF102" s="16"/>
    </row>
    <row r="103" spans="1:35" ht="20.100000000000001" customHeight="1" x14ac:dyDescent="0.2">
      <c r="U103" s="15" t="str">
        <f>TEXT(EDATE(X_Cell_Site_StartDate,6), "mmmm")</f>
        <v>July</v>
      </c>
      <c r="V103" s="15">
        <f ca="1">(20.7 * V82 * 10 ^ -3)</f>
        <v>0.10625098959567</v>
      </c>
      <c r="W103" s="15">
        <f ca="1">(20.7 * W82 * 10 ^ -3)</f>
        <v>0.20647957902299996</v>
      </c>
      <c r="X103" s="15">
        <f ca="1">(20.7 * X82 * 10 ^ -3)</f>
        <v>8.6995993551750014E-2</v>
      </c>
      <c r="Y103" s="15">
        <f ca="1">(20.7 * Y82 * 10 ^ -3)</f>
        <v>0.12270572463087004</v>
      </c>
      <c r="Z103" s="15">
        <f ca="1">(20.7 * Z82 * 10 ^ -3)</f>
        <v>0.16461351252206999</v>
      </c>
      <c r="AA103" s="15">
        <f ca="1">(20.7 * AA82 * 10 ^ -3)</f>
        <v>0.16461351252206999</v>
      </c>
      <c r="AB103" s="15">
        <f ca="1">(20.7 * AB82 * 10 ^ -3)</f>
        <v>9.3403950168869973E-2</v>
      </c>
      <c r="AC103" s="15">
        <f ca="1">(20.7 * AC82 * 10 ^ -3)</f>
        <v>0.14220590910911998</v>
      </c>
      <c r="AD103" s="15">
        <f ca="1">(20.7 * AD82 * 10 ^ -3)</f>
        <v>0.14220590910911998</v>
      </c>
      <c r="AE103" s="15">
        <f ca="1">(20.7 * AE82 * 10 ^ -3)</f>
        <v>0.14220590910911998</v>
      </c>
      <c r="AF103" s="16"/>
    </row>
    <row r="104" spans="1:35" ht="20.100000000000001" customHeight="1" x14ac:dyDescent="0.2">
      <c r="D104" s="113" t="s">
        <v>422</v>
      </c>
      <c r="U104" s="15" t="str">
        <f>TEXT(EDATE(X_Cell_Site_StartDate,7), "mmmm")</f>
        <v>August</v>
      </c>
      <c r="V104" s="15">
        <f ca="1">(20.7 * V83 * 10 ^ -3)</f>
        <v>0.10625098959567</v>
      </c>
      <c r="W104" s="15">
        <f ca="1">(20.7 * W83 * 10 ^ -3)</f>
        <v>0.20647957902299996</v>
      </c>
      <c r="X104" s="15">
        <f ca="1">(20.7 * X83 * 10 ^ -3)</f>
        <v>8.6995993551750014E-2</v>
      </c>
      <c r="Y104" s="15">
        <f ca="1">(20.7 * Y83 * 10 ^ -3)</f>
        <v>0.15031451267281581</v>
      </c>
      <c r="Z104" s="15">
        <f ca="1">(20.7 * Z83 * 10 ^ -3)</f>
        <v>0.20165155283953573</v>
      </c>
      <c r="AA104" s="15">
        <f ca="1">(20.7 * AA83 * 10 ^ -3)</f>
        <v>0.20165155283953573</v>
      </c>
      <c r="AB104" s="15">
        <f ca="1">(20.7 * AB83 * 10 ^ -3)</f>
        <v>9.3403950168869973E-2</v>
      </c>
      <c r="AC104" s="15">
        <f ca="1">(20.7 * AC83 * 10 ^ -3)</f>
        <v>0.14220590910911998</v>
      </c>
      <c r="AD104" s="15">
        <f ca="1">(20.7 * AD83 * 10 ^ -3)</f>
        <v>0.14220590910911998</v>
      </c>
      <c r="AE104" s="15">
        <f ca="1">(20.7 * AE83 * 10 ^ -3)</f>
        <v>0.14220590910911998</v>
      </c>
      <c r="AF104" s="16"/>
    </row>
    <row r="105" spans="1:35" ht="20.100000000000001" customHeight="1" x14ac:dyDescent="0.2">
      <c r="D105" s="114" t="s">
        <v>424</v>
      </c>
      <c r="U105" s="15" t="str">
        <f>TEXT(EDATE(X_Cell_Site_StartDate,8), "mmmm")</f>
        <v>September</v>
      </c>
      <c r="V105" s="15">
        <f ca="1">(20.7 * V84 * 10 ^ -3)</f>
        <v>0.17948772790272</v>
      </c>
      <c r="W105" s="15">
        <f ca="1">(20.7 * W84 * 10 ^ -3)</f>
        <v>0.25350255517500003</v>
      </c>
      <c r="X105" s="15">
        <f ca="1">(20.7 * X84 * 10 ^ -3)</f>
        <v>0.13680549733887001</v>
      </c>
      <c r="Y105" s="15">
        <f ca="1">(20.7 * Y84 * 10 ^ -3)</f>
        <v>0.21992772499678584</v>
      </c>
      <c r="Z105" s="15">
        <f ca="1">(20.7 * Z84 * 10 ^ -3)</f>
        <v>0.24422040423270006</v>
      </c>
      <c r="AA105" s="15">
        <f ca="1">(20.7 * AA84 * 10 ^ -3)</f>
        <v>0.24422040423270006</v>
      </c>
      <c r="AB105" s="15">
        <f ca="1">(20.7 * AB84 * 10 ^ -3)</f>
        <v>0.15771860106299995</v>
      </c>
      <c r="AC105" s="15">
        <f ca="1">(20.7 * AC84 * 10 ^ -3)</f>
        <v>0.20042625868091996</v>
      </c>
      <c r="AD105" s="15">
        <f ca="1">(20.7 * AD84 * 10 ^ -3)</f>
        <v>0.20042625868091996</v>
      </c>
      <c r="AE105" s="15">
        <f ca="1">(20.7 * AE84 * 10 ^ -3)</f>
        <v>0.20042625868091996</v>
      </c>
      <c r="AF105" s="16"/>
    </row>
    <row r="106" spans="1:35" ht="20.100000000000001" customHeight="1" x14ac:dyDescent="0.2">
      <c r="D106" s="115" t="s">
        <v>76</v>
      </c>
      <c r="E106" s="82" t="s">
        <v>325</v>
      </c>
      <c r="F106" s="82" t="s">
        <v>189</v>
      </c>
      <c r="G106" s="82" t="s">
        <v>326</v>
      </c>
      <c r="H106" s="82" t="s">
        <v>327</v>
      </c>
      <c r="I106" s="82" t="s">
        <v>328</v>
      </c>
      <c r="J106" s="82" t="s">
        <v>329</v>
      </c>
      <c r="K106" s="82" t="s">
        <v>330</v>
      </c>
      <c r="L106" s="82" t="s">
        <v>331</v>
      </c>
      <c r="M106" s="82" t="s">
        <v>332</v>
      </c>
      <c r="N106" s="82" t="s">
        <v>333</v>
      </c>
      <c r="U106" s="15" t="str">
        <f>TEXT(EDATE(X_Cell_Site_StartDate,9), "mmmm")</f>
        <v>October</v>
      </c>
      <c r="V106" s="15">
        <f ca="1">(20.7 * V85 * 10 ^ -3)</f>
        <v>0.17948772790272</v>
      </c>
      <c r="W106" s="15">
        <f ca="1">(20.7 * W85 * 10 ^ -3)</f>
        <v>0.25350255517500003</v>
      </c>
      <c r="X106" s="15">
        <f ca="1">(20.7 * X85 * 10 ^ -3)</f>
        <v>0.13680549733887001</v>
      </c>
      <c r="Y106" s="15">
        <f ca="1">(20.7 * Y85 * 10 ^ -3)</f>
        <v>0.21992772499678584</v>
      </c>
      <c r="Z106" s="15">
        <f ca="1">(20.7 * Z85 * 10 ^ -3)</f>
        <v>0.24422040423270006</v>
      </c>
      <c r="AA106" s="15">
        <f ca="1">(20.7 * AA85 * 10 ^ -3)</f>
        <v>0.24422040423270006</v>
      </c>
      <c r="AB106" s="15">
        <f ca="1">(20.7 * AB85 * 10 ^ -3)</f>
        <v>0.15771860106299995</v>
      </c>
      <c r="AC106" s="15">
        <f ca="1">(20.7 * AC85 * 10 ^ -3)</f>
        <v>0.20042625868091996</v>
      </c>
      <c r="AD106" s="15">
        <f ca="1">(20.7 * AD85 * 10 ^ -3)</f>
        <v>0.20042625868091996</v>
      </c>
      <c r="AE106" s="15">
        <f ca="1">(20.7 * AE85 * 10 ^ -3)</f>
        <v>0.20042625868091996</v>
      </c>
      <c r="AF106" s="16"/>
    </row>
    <row r="107" spans="1:35" ht="20.100000000000001" customHeight="1" x14ac:dyDescent="0.2">
      <c r="D107" s="15" t="s">
        <v>334</v>
      </c>
      <c r="E107" s="15" cm="1">
        <f t="array" aca="1" ref="E107:N110" ca="1">OFFSET(X_Table_PastureBeef_Head_Method1,1,1,4,10)</f>
        <v>100</v>
      </c>
      <c r="F107" s="15">
        <f ca="1"/>
        <v>100</v>
      </c>
      <c r="G107" s="15">
        <f ca="1"/>
        <v>100</v>
      </c>
      <c r="H107" s="15">
        <f ca="1"/>
        <v>100</v>
      </c>
      <c r="I107" s="15">
        <f ca="1"/>
        <v>100</v>
      </c>
      <c r="J107" s="15">
        <f ca="1"/>
        <v>100</v>
      </c>
      <c r="K107" s="15">
        <f ca="1"/>
        <v>100</v>
      </c>
      <c r="L107" s="15">
        <f ca="1"/>
        <v>100</v>
      </c>
      <c r="M107" s="15">
        <f ca="1"/>
        <v>100</v>
      </c>
      <c r="N107" s="15">
        <f ca="1"/>
        <v>100</v>
      </c>
      <c r="O107" s="16" t="str">
        <f>G102</f>
        <v>head</v>
      </c>
      <c r="U107" s="15" t="str">
        <f>TEXT(EDATE(X_Cell_Site_StartDate,10), "mmmm")</f>
        <v>November</v>
      </c>
      <c r="V107" s="15">
        <f ca="1">(20.7 * V86 * 10 ^ -3)</f>
        <v>0.17948772790272</v>
      </c>
      <c r="W107" s="15">
        <f ca="1">(20.7 * W86 * 10 ^ -3)</f>
        <v>0.25350255517500003</v>
      </c>
      <c r="X107" s="15">
        <f ca="1">(20.7 * X86 * 10 ^ -3)</f>
        <v>0.13680549733887001</v>
      </c>
      <c r="Y107" s="15">
        <f ca="1">(20.7 * Y86 * 10 ^ -3)</f>
        <v>0.19299779948697532</v>
      </c>
      <c r="Z107" s="15">
        <f ca="1">(20.7 * Z86 * 10 ^ -3)</f>
        <v>0.21431586493890006</v>
      </c>
      <c r="AA107" s="15">
        <f ca="1">(20.7 * AA86 * 10 ^ -3)</f>
        <v>0.21431586493890006</v>
      </c>
      <c r="AB107" s="15">
        <f ca="1">(20.7 * AB86 * 10 ^ -3)</f>
        <v>0.15771860106299995</v>
      </c>
      <c r="AC107" s="15">
        <f ca="1">(20.7 * AC86 * 10 ^ -3)</f>
        <v>0.20042625868091996</v>
      </c>
      <c r="AD107" s="15">
        <f ca="1">(20.7 * AD86 * 10 ^ -3)</f>
        <v>0.20042625868091996</v>
      </c>
      <c r="AE107" s="15">
        <f ca="1">(20.7 * AE86 * 10 ^ -3)</f>
        <v>0.20042625868091996</v>
      </c>
      <c r="AF107" s="16"/>
    </row>
    <row r="108" spans="1:35" ht="20.100000000000001" customHeight="1" x14ac:dyDescent="0.2">
      <c r="D108" s="15" t="s">
        <v>335</v>
      </c>
      <c r="E108" s="15">
        <f ca="1"/>
        <v>100</v>
      </c>
      <c r="F108" s="15">
        <f ca="1"/>
        <v>100</v>
      </c>
      <c r="G108" s="15">
        <f ca="1"/>
        <v>100</v>
      </c>
      <c r="H108" s="15">
        <f ca="1"/>
        <v>100</v>
      </c>
      <c r="I108" s="15">
        <f ca="1"/>
        <v>100</v>
      </c>
      <c r="J108" s="15">
        <f ca="1"/>
        <v>100</v>
      </c>
      <c r="K108" s="15">
        <f ca="1"/>
        <v>100</v>
      </c>
      <c r="L108" s="15">
        <f ca="1"/>
        <v>100</v>
      </c>
      <c r="M108" s="15">
        <f ca="1"/>
        <v>100</v>
      </c>
      <c r="N108" s="15">
        <f ca="1"/>
        <v>100</v>
      </c>
      <c r="O108" s="16"/>
      <c r="U108" s="15" t="str">
        <f>TEXT(EDATE(X_Cell_Site_StartDate,11), "mmmm")</f>
        <v>December</v>
      </c>
      <c r="V108" s="15">
        <f ca="1">(20.7 * V87 * 10 ^ -3)</f>
        <v>0.14793987137471989</v>
      </c>
      <c r="W108" s="15">
        <f ca="1">(20.7 * W87 * 10 ^ -3)</f>
        <v>0.19573907587452002</v>
      </c>
      <c r="X108" s="15">
        <f ca="1">(20.7 * X87 * 10 ^ -3)</f>
        <v>0.12441409099199996</v>
      </c>
      <c r="Y108" s="15">
        <f ca="1">(20.7 * Y87 * 10 ^ -3)</f>
        <v>0.16292037884175001</v>
      </c>
      <c r="Z108" s="15">
        <f ca="1">(20.7 * Z87 * 10 ^ -3)</f>
        <v>0.16131110973551996</v>
      </c>
      <c r="AA108" s="15">
        <f ca="1">(20.7 * AA87 * 10 ^ -3)</f>
        <v>0.16131110973551996</v>
      </c>
      <c r="AB108" s="15">
        <f ca="1">(20.7 * AB87 * 10 ^ -3)</f>
        <v>0.13636416641471999</v>
      </c>
      <c r="AC108" s="15">
        <f ca="1">(20.7 * AC87 * 10 ^ -3)</f>
        <v>0.15200155388727002</v>
      </c>
      <c r="AD108" s="15">
        <f ca="1">(20.7 * AD87 * 10 ^ -3)</f>
        <v>0.15200155388727002</v>
      </c>
      <c r="AE108" s="15">
        <f ca="1">(20.7 * AE87 * 10 ^ -3)</f>
        <v>0.15200155388727002</v>
      </c>
      <c r="AF108" s="16"/>
    </row>
    <row r="109" spans="1:35" ht="20.100000000000001" customHeight="1" x14ac:dyDescent="0.2">
      <c r="D109" s="15" t="s">
        <v>336</v>
      </c>
      <c r="E109" s="15">
        <f ca="1"/>
        <v>100</v>
      </c>
      <c r="F109" s="15">
        <f ca="1"/>
        <v>100</v>
      </c>
      <c r="G109" s="15">
        <f ca="1"/>
        <v>100</v>
      </c>
      <c r="H109" s="15">
        <f ca="1"/>
        <v>100</v>
      </c>
      <c r="I109" s="15">
        <f ca="1"/>
        <v>100</v>
      </c>
      <c r="J109" s="15">
        <f ca="1"/>
        <v>100</v>
      </c>
      <c r="K109" s="15">
        <f ca="1"/>
        <v>100</v>
      </c>
      <c r="L109" s="15">
        <f ca="1"/>
        <v>100</v>
      </c>
      <c r="M109" s="15">
        <f ca="1"/>
        <v>100</v>
      </c>
      <c r="N109" s="15">
        <f ca="1"/>
        <v>100</v>
      </c>
      <c r="O109" s="16"/>
    </row>
    <row r="110" spans="1:35" ht="20.100000000000001" customHeight="1" x14ac:dyDescent="0.2">
      <c r="D110" s="15" t="s">
        <v>337</v>
      </c>
      <c r="E110" s="15">
        <f ca="1"/>
        <v>100</v>
      </c>
      <c r="F110" s="15">
        <f ca="1"/>
        <v>100</v>
      </c>
      <c r="G110" s="15">
        <f ca="1"/>
        <v>100</v>
      </c>
      <c r="H110" s="15">
        <f ca="1"/>
        <v>100</v>
      </c>
      <c r="I110" s="15">
        <f ca="1"/>
        <v>100</v>
      </c>
      <c r="J110" s="15">
        <f ca="1"/>
        <v>100</v>
      </c>
      <c r="K110" s="15">
        <f ca="1"/>
        <v>100</v>
      </c>
      <c r="L110" s="15">
        <f ca="1"/>
        <v>100</v>
      </c>
      <c r="M110" s="15">
        <f ca="1"/>
        <v>100</v>
      </c>
      <c r="N110" s="15">
        <f ca="1"/>
        <v>100</v>
      </c>
      <c r="O110" s="16"/>
    </row>
    <row r="111" spans="1:35" ht="20.100000000000001" customHeight="1" x14ac:dyDescent="0.2">
      <c r="T111" s="88"/>
      <c r="U111" s="88"/>
      <c r="V111" s="88"/>
      <c r="W111" s="88"/>
      <c r="X111" s="88"/>
      <c r="Y111" s="88"/>
      <c r="Z111" s="88"/>
      <c r="AA111" s="88"/>
      <c r="AB111" s="88"/>
      <c r="AC111" s="88"/>
      <c r="AD111" s="88"/>
      <c r="AE111" s="88"/>
      <c r="AF111" s="88"/>
      <c r="AG111" s="88"/>
      <c r="AH111" s="88"/>
      <c r="AI111" s="88"/>
    </row>
    <row r="112" spans="1:35" ht="20.100000000000001" customHeight="1" x14ac:dyDescent="0.2">
      <c r="D112" s="113" t="s">
        <v>427</v>
      </c>
      <c r="U112" s="2" t="s">
        <v>1344</v>
      </c>
    </row>
    <row r="113" spans="4:34" ht="20.100000000000001" customHeight="1" x14ac:dyDescent="0.2">
      <c r="D113" s="114" t="s">
        <v>428</v>
      </c>
    </row>
    <row r="114" spans="4:34" ht="20.100000000000001" customHeight="1" x14ac:dyDescent="0.2">
      <c r="D114" s="115" t="s">
        <v>76</v>
      </c>
      <c r="E114" s="82" t="s">
        <v>325</v>
      </c>
      <c r="F114" s="82" t="s">
        <v>189</v>
      </c>
      <c r="G114" s="82" t="s">
        <v>326</v>
      </c>
      <c r="H114" s="82" t="s">
        <v>327</v>
      </c>
      <c r="I114" s="82" t="s">
        <v>328</v>
      </c>
      <c r="J114" s="82" t="s">
        <v>329</v>
      </c>
      <c r="K114" s="82" t="s">
        <v>330</v>
      </c>
      <c r="L114" s="82" t="s">
        <v>331</v>
      </c>
      <c r="M114" s="82" t="s">
        <v>332</v>
      </c>
      <c r="N114" s="82" t="s">
        <v>333</v>
      </c>
      <c r="U114" s="113" t="s">
        <v>423</v>
      </c>
    </row>
    <row r="115" spans="4:34" ht="20.100000000000001" customHeight="1" x14ac:dyDescent="0.2">
      <c r="D115" s="15" t="s">
        <v>334</v>
      </c>
      <c r="E115" s="15" cm="1">
        <f t="array" aca="1" ref="E115:N118" ca="1">OFFSET(X_Table_PastureBeef_Duration_Method1,1,1,4,10)</f>
        <v>91.25</v>
      </c>
      <c r="F115" s="15">
        <f ca="1"/>
        <v>91.25</v>
      </c>
      <c r="G115" s="15">
        <f ca="1"/>
        <v>91.25</v>
      </c>
      <c r="H115" s="15">
        <f ca="1"/>
        <v>91.25</v>
      </c>
      <c r="I115" s="15">
        <f ca="1"/>
        <v>91.25</v>
      </c>
      <c r="J115" s="15">
        <f ca="1"/>
        <v>91.25</v>
      </c>
      <c r="K115" s="15">
        <f ca="1"/>
        <v>91.25</v>
      </c>
      <c r="L115" s="15">
        <f ca="1"/>
        <v>91.25</v>
      </c>
      <c r="M115" s="15">
        <f ca="1"/>
        <v>91.25</v>
      </c>
      <c r="N115" s="15">
        <f ca="1"/>
        <v>91.25</v>
      </c>
      <c r="O115" s="16" t="str">
        <f>G100</f>
        <v>days</v>
      </c>
      <c r="U115" s="114" t="s">
        <v>425</v>
      </c>
      <c r="AH115" s="16"/>
    </row>
    <row r="116" spans="4:34" ht="20.100000000000001" customHeight="1" x14ac:dyDescent="0.2">
      <c r="D116" s="15" t="s">
        <v>335</v>
      </c>
      <c r="E116" s="15">
        <f ca="1"/>
        <v>91.25</v>
      </c>
      <c r="F116" s="15">
        <f ca="1"/>
        <v>91.25</v>
      </c>
      <c r="G116" s="15">
        <f ca="1"/>
        <v>91.25</v>
      </c>
      <c r="H116" s="15">
        <f ca="1"/>
        <v>91.25</v>
      </c>
      <c r="I116" s="15">
        <f ca="1"/>
        <v>91.25</v>
      </c>
      <c r="J116" s="15">
        <f ca="1"/>
        <v>91.25</v>
      </c>
      <c r="K116" s="15">
        <f ca="1"/>
        <v>91.25</v>
      </c>
      <c r="L116" s="15">
        <f ca="1"/>
        <v>91.25</v>
      </c>
      <c r="M116" s="15">
        <f ca="1"/>
        <v>91.25</v>
      </c>
      <c r="N116" s="15">
        <f ca="1"/>
        <v>91.25</v>
      </c>
      <c r="O116" s="16"/>
      <c r="U116" s="115" t="s">
        <v>75</v>
      </c>
      <c r="V116" s="82" t="s">
        <v>325</v>
      </c>
      <c r="W116" s="82" t="s">
        <v>189</v>
      </c>
      <c r="X116" s="82" t="s">
        <v>326</v>
      </c>
      <c r="Y116" s="82" t="s">
        <v>327</v>
      </c>
      <c r="Z116" s="82" t="s">
        <v>328</v>
      </c>
      <c r="AA116" s="82" t="s">
        <v>329</v>
      </c>
      <c r="AB116" s="82" t="s">
        <v>330</v>
      </c>
      <c r="AC116" s="82" t="s">
        <v>331</v>
      </c>
      <c r="AD116" s="82" t="s">
        <v>332</v>
      </c>
      <c r="AE116" s="82" t="s">
        <v>333</v>
      </c>
      <c r="AF116" s="16"/>
      <c r="AH116" s="16"/>
    </row>
    <row r="117" spans="4:34" ht="20.100000000000001" customHeight="1" x14ac:dyDescent="0.2">
      <c r="D117" s="15" t="s">
        <v>336</v>
      </c>
      <c r="E117" s="15">
        <f ca="1"/>
        <v>91.25</v>
      </c>
      <c r="F117" s="15">
        <f ca="1"/>
        <v>91.25</v>
      </c>
      <c r="G117" s="15">
        <f ca="1"/>
        <v>91.25</v>
      </c>
      <c r="H117" s="15">
        <f ca="1"/>
        <v>91.25</v>
      </c>
      <c r="I117" s="15">
        <f ca="1"/>
        <v>91.25</v>
      </c>
      <c r="J117" s="15">
        <f ca="1"/>
        <v>91.25</v>
      </c>
      <c r="K117" s="15">
        <f ca="1"/>
        <v>91.25</v>
      </c>
      <c r="L117" s="15">
        <f ca="1"/>
        <v>91.25</v>
      </c>
      <c r="M117" s="15">
        <f ca="1"/>
        <v>91.25</v>
      </c>
      <c r="N117" s="15">
        <f ca="1"/>
        <v>91.25</v>
      </c>
      <c r="O117" s="16"/>
      <c r="U117" s="15" t="str">
        <f>TEXT(X_Cell_Site_StartDate,"mmmm")</f>
        <v>January</v>
      </c>
      <c r="V117" s="15" cm="1">
        <f t="array" aca="1" ref="V117:AE128" ca="1">OFFSET(X_Table_PastureBeef_Head_Method2,1,1,12,10)</f>
        <v>100</v>
      </c>
      <c r="W117" s="15">
        <f ca="1"/>
        <v>100</v>
      </c>
      <c r="X117" s="15">
        <f ca="1"/>
        <v>100</v>
      </c>
      <c r="Y117" s="15">
        <f ca="1"/>
        <v>100</v>
      </c>
      <c r="Z117" s="15">
        <f ca="1"/>
        <v>100</v>
      </c>
      <c r="AA117" s="15">
        <f ca="1"/>
        <v>100</v>
      </c>
      <c r="AB117" s="15">
        <f ca="1"/>
        <v>100</v>
      </c>
      <c r="AC117" s="15">
        <f ca="1"/>
        <v>100</v>
      </c>
      <c r="AD117" s="15">
        <f ca="1"/>
        <v>100</v>
      </c>
      <c r="AE117" s="15">
        <f ca="1"/>
        <v>100</v>
      </c>
      <c r="AF117" s="16" t="str">
        <f>$G$102</f>
        <v>head</v>
      </c>
      <c r="AH117" s="16"/>
    </row>
    <row r="118" spans="4:34" ht="20.100000000000001" customHeight="1" x14ac:dyDescent="0.2">
      <c r="D118" s="15" t="s">
        <v>337</v>
      </c>
      <c r="E118" s="15">
        <f ca="1"/>
        <v>91.25</v>
      </c>
      <c r="F118" s="15">
        <f ca="1"/>
        <v>91.25</v>
      </c>
      <c r="G118" s="15">
        <f ca="1"/>
        <v>91.25</v>
      </c>
      <c r="H118" s="15">
        <f ca="1"/>
        <v>91.25</v>
      </c>
      <c r="I118" s="15">
        <f ca="1"/>
        <v>91.25</v>
      </c>
      <c r="J118" s="15">
        <f ca="1"/>
        <v>91.25</v>
      </c>
      <c r="K118" s="15">
        <f ca="1"/>
        <v>91.25</v>
      </c>
      <c r="L118" s="15">
        <f ca="1"/>
        <v>91.25</v>
      </c>
      <c r="M118" s="15">
        <f ca="1"/>
        <v>91.25</v>
      </c>
      <c r="N118" s="15">
        <f ca="1"/>
        <v>91.25</v>
      </c>
      <c r="O118" s="16"/>
      <c r="U118" s="15" t="str">
        <f>TEXT(EDATE(X_Cell_Site_StartDate,1), "mmmm")</f>
        <v>February</v>
      </c>
      <c r="V118" s="15">
        <f ca="1"/>
        <v>100</v>
      </c>
      <c r="W118" s="15">
        <f ca="1"/>
        <v>100</v>
      </c>
      <c r="X118" s="15">
        <f ca="1"/>
        <v>100</v>
      </c>
      <c r="Y118" s="15">
        <f ca="1"/>
        <v>100</v>
      </c>
      <c r="Z118" s="15">
        <f ca="1"/>
        <v>100</v>
      </c>
      <c r="AA118" s="15">
        <f ca="1"/>
        <v>100</v>
      </c>
      <c r="AB118" s="15">
        <f ca="1"/>
        <v>100</v>
      </c>
      <c r="AC118" s="15">
        <f ca="1"/>
        <v>100</v>
      </c>
      <c r="AD118" s="15">
        <f ca="1"/>
        <v>100</v>
      </c>
      <c r="AE118" s="15">
        <f ca="1"/>
        <v>100</v>
      </c>
      <c r="AF118" s="16"/>
      <c r="AH118" s="16"/>
    </row>
    <row r="119" spans="4:34" ht="20.100000000000001" customHeight="1" x14ac:dyDescent="0.2">
      <c r="U119" s="15" t="str">
        <f>TEXT(EDATE(X_Cell_Site_StartDate,2), "mmmm")</f>
        <v>March</v>
      </c>
      <c r="V119" s="15">
        <f ca="1"/>
        <v>100</v>
      </c>
      <c r="W119" s="15">
        <f ca="1"/>
        <v>100</v>
      </c>
      <c r="X119" s="15">
        <f ca="1"/>
        <v>100</v>
      </c>
      <c r="Y119" s="15">
        <f ca="1"/>
        <v>100</v>
      </c>
      <c r="Z119" s="15">
        <f ca="1"/>
        <v>100</v>
      </c>
      <c r="AA119" s="15">
        <f ca="1"/>
        <v>100</v>
      </c>
      <c r="AB119" s="15">
        <f ca="1"/>
        <v>100</v>
      </c>
      <c r="AC119" s="15">
        <f ca="1"/>
        <v>100</v>
      </c>
      <c r="AD119" s="15">
        <f ca="1"/>
        <v>100</v>
      </c>
      <c r="AE119" s="15">
        <f ca="1"/>
        <v>100</v>
      </c>
      <c r="AF119" s="16"/>
      <c r="AH119" s="16"/>
    </row>
    <row r="120" spans="4:34" ht="20.100000000000001" customHeight="1" x14ac:dyDescent="0.2">
      <c r="D120" s="113" t="s">
        <v>575</v>
      </c>
      <c r="U120" s="15" t="str">
        <f>TEXT(EDATE(X_Cell_Site_StartDate,3), "mmmm")</f>
        <v>April</v>
      </c>
      <c r="V120" s="15">
        <f ca="1"/>
        <v>100</v>
      </c>
      <c r="W120" s="15">
        <f ca="1"/>
        <v>100</v>
      </c>
      <c r="X120" s="15">
        <f ca="1"/>
        <v>100</v>
      </c>
      <c r="Y120" s="15">
        <f ca="1"/>
        <v>100</v>
      </c>
      <c r="Z120" s="15">
        <f ca="1"/>
        <v>100</v>
      </c>
      <c r="AA120" s="15">
        <f ca="1"/>
        <v>100</v>
      </c>
      <c r="AB120" s="15">
        <f ca="1"/>
        <v>100</v>
      </c>
      <c r="AC120" s="15">
        <f ca="1"/>
        <v>100</v>
      </c>
      <c r="AD120" s="15">
        <f ca="1"/>
        <v>100</v>
      </c>
      <c r="AE120" s="15">
        <f ca="1"/>
        <v>100</v>
      </c>
      <c r="AF120" s="16"/>
      <c r="AH120" s="16"/>
    </row>
    <row r="121" spans="4:34" ht="20.100000000000001" customHeight="1" x14ac:dyDescent="0.2">
      <c r="D121" s="114" t="s">
        <v>576</v>
      </c>
      <c r="U121" s="15" t="str">
        <f>TEXT(EDATE(X_Cell_Site_StartDate,4), "mmmm")</f>
        <v>May</v>
      </c>
      <c r="V121" s="15">
        <f ca="1"/>
        <v>100</v>
      </c>
      <c r="W121" s="15">
        <f ca="1"/>
        <v>100</v>
      </c>
      <c r="X121" s="15">
        <f ca="1"/>
        <v>100</v>
      </c>
      <c r="Y121" s="15">
        <f ca="1"/>
        <v>100</v>
      </c>
      <c r="Z121" s="15">
        <f ca="1"/>
        <v>100</v>
      </c>
      <c r="AA121" s="15">
        <f ca="1"/>
        <v>100</v>
      </c>
      <c r="AB121" s="15">
        <f ca="1"/>
        <v>100</v>
      </c>
      <c r="AC121" s="15">
        <f ca="1"/>
        <v>100</v>
      </c>
      <c r="AD121" s="15">
        <f ca="1"/>
        <v>100</v>
      </c>
      <c r="AE121" s="15">
        <f ca="1"/>
        <v>100</v>
      </c>
      <c r="AF121" s="16"/>
      <c r="AH121" s="16"/>
    </row>
    <row r="122" spans="4:34" ht="20.100000000000001" customHeight="1" x14ac:dyDescent="0.2">
      <c r="D122" s="115" t="s">
        <v>76</v>
      </c>
      <c r="E122" s="115" t="s">
        <v>325</v>
      </c>
      <c r="F122" s="115" t="s">
        <v>189</v>
      </c>
      <c r="G122" s="115" t="s">
        <v>326</v>
      </c>
      <c r="H122" s="115" t="s">
        <v>327</v>
      </c>
      <c r="I122" s="115" t="s">
        <v>328</v>
      </c>
      <c r="J122" s="115" t="s">
        <v>329</v>
      </c>
      <c r="K122" s="115" t="s">
        <v>330</v>
      </c>
      <c r="L122" s="115" t="s">
        <v>331</v>
      </c>
      <c r="M122" s="115" t="s">
        <v>332</v>
      </c>
      <c r="N122" s="115" t="s">
        <v>333</v>
      </c>
      <c r="U122" s="15" t="str">
        <f>TEXT(EDATE(X_Cell_Site_StartDate,5), "mmmm")</f>
        <v>June</v>
      </c>
      <c r="V122" s="15">
        <f ca="1"/>
        <v>100</v>
      </c>
      <c r="W122" s="15">
        <f ca="1"/>
        <v>100</v>
      </c>
      <c r="X122" s="15">
        <f ca="1"/>
        <v>100</v>
      </c>
      <c r="Y122" s="15">
        <f ca="1"/>
        <v>100</v>
      </c>
      <c r="Z122" s="15">
        <f ca="1"/>
        <v>100</v>
      </c>
      <c r="AA122" s="15">
        <f ca="1"/>
        <v>100</v>
      </c>
      <c r="AB122" s="15">
        <f ca="1"/>
        <v>100</v>
      </c>
      <c r="AC122" s="15">
        <f ca="1"/>
        <v>100</v>
      </c>
      <c r="AD122" s="15">
        <f ca="1"/>
        <v>100</v>
      </c>
      <c r="AE122" s="15">
        <f ca="1"/>
        <v>100</v>
      </c>
      <c r="AF122" s="16"/>
      <c r="AH122" s="16"/>
    </row>
    <row r="123" spans="4:34" ht="20.100000000000001" customHeight="1" x14ac:dyDescent="0.2">
      <c r="D123" s="15" t="s">
        <v>334</v>
      </c>
      <c r="E123" s="15">
        <f ca="1">((E115 * E85 * E107) * 10 ^ -3)</f>
        <v>1.6378255171123202</v>
      </c>
      <c r="F123" s="15">
        <f ca="1">((F115 * F85 * F107) * 10 ^ -3)</f>
        <v>2.3132108159718756</v>
      </c>
      <c r="G123" s="15">
        <f ca="1">((G115 * G85 * G107) * 10 ^ -3)</f>
        <v>1.2483501632171887</v>
      </c>
      <c r="H123" s="15">
        <f ca="1">((H115 * H85 * H107) * 10 ^ -3)</f>
        <v>1.7529137346427486</v>
      </c>
      <c r="I123" s="15">
        <f ca="1">((I115 * I85 * I107) * 10 ^ -3)</f>
        <v>1.9101524473914753</v>
      </c>
      <c r="J123" s="15">
        <f ca="1">((J115 * J85 * J107) * 10 ^ -3)</f>
        <v>1.9101524473914753</v>
      </c>
      <c r="K123" s="15">
        <f ca="1">((K115 * K85 * K107) * 10 ^ -3)</f>
        <v>1.4391822346998746</v>
      </c>
      <c r="L123" s="15">
        <f ca="1">((L115 * L85 * L107) * 10 ^ -3)</f>
        <v>1.8288896104633945</v>
      </c>
      <c r="M123" s="15">
        <f ca="1">((M115 * M85 * M107) * 10 ^ -3)</f>
        <v>1.8288896104633945</v>
      </c>
      <c r="N123" s="15">
        <f ca="1">((N115 * N85 * N107) * 10 ^ -3)</f>
        <v>1.8288896104633945</v>
      </c>
      <c r="O123" s="16" t="str">
        <f>E98</f>
        <v>t CH4</v>
      </c>
      <c r="Q123" s="16"/>
      <c r="U123" s="15" t="str">
        <f>TEXT(EDATE(X_Cell_Site_StartDate,6), "mmmm")</f>
        <v>July</v>
      </c>
      <c r="V123" s="15">
        <f ca="1"/>
        <v>100</v>
      </c>
      <c r="W123" s="15">
        <f ca="1"/>
        <v>100</v>
      </c>
      <c r="X123" s="15">
        <f ca="1"/>
        <v>100</v>
      </c>
      <c r="Y123" s="15">
        <f ca="1"/>
        <v>100</v>
      </c>
      <c r="Z123" s="15">
        <f ca="1"/>
        <v>100</v>
      </c>
      <c r="AA123" s="15">
        <f ca="1"/>
        <v>100</v>
      </c>
      <c r="AB123" s="15">
        <f ca="1"/>
        <v>100</v>
      </c>
      <c r="AC123" s="15">
        <f ca="1"/>
        <v>100</v>
      </c>
      <c r="AD123" s="15">
        <f ca="1"/>
        <v>100</v>
      </c>
      <c r="AE123" s="15">
        <f ca="1"/>
        <v>100</v>
      </c>
      <c r="AF123" s="16"/>
      <c r="AH123" s="16"/>
    </row>
    <row r="124" spans="4:34" ht="20.100000000000001" customHeight="1" x14ac:dyDescent="0.2">
      <c r="D124" s="15" t="s">
        <v>335</v>
      </c>
      <c r="E124" s="15">
        <f ca="1">((E116 * E86 * E108) * 10 ^ -3)</f>
        <v>1.3499513262943192</v>
      </c>
      <c r="F124" s="15">
        <f ca="1">((F116 * F86 * F108) * 10 ^ -3)</f>
        <v>1.7861190673549951</v>
      </c>
      <c r="G124" s="15">
        <f ca="1">((G116 * G86 * G108) * 10 ^ -3)</f>
        <v>1.1352785803019998</v>
      </c>
      <c r="H124" s="15">
        <f ca="1">((H116 * H86 * H108) * 10 ^ -3)</f>
        <v>1.486648456930969</v>
      </c>
      <c r="I124" s="15">
        <f ca="1">((I116 * I86 * I108) * 10 ^ -3)</f>
        <v>1.4719638763366196</v>
      </c>
      <c r="J124" s="15">
        <f ca="1">((J116 * J86 * J108) * 10 ^ -3)</f>
        <v>1.4719638763366196</v>
      </c>
      <c r="K124" s="15">
        <f ca="1">((K116 * K86 * K108) * 10 ^ -3)</f>
        <v>1.2443230185343197</v>
      </c>
      <c r="L124" s="15">
        <f ca="1">((L116 * L86 * L108) * 10 ^ -3)</f>
        <v>1.3870141792213391</v>
      </c>
      <c r="M124" s="15">
        <f ca="1">((M116 * M86 * M108) * 10 ^ -3)</f>
        <v>1.3870141792213391</v>
      </c>
      <c r="N124" s="15">
        <f ca="1">((N116 * N86 * N108) * 10 ^ -3)</f>
        <v>1.3870141792213391</v>
      </c>
      <c r="O124" s="16"/>
      <c r="Q124" s="16"/>
      <c r="U124" s="15" t="str">
        <f>TEXT(EDATE(X_Cell_Site_StartDate,7), "mmmm")</f>
        <v>August</v>
      </c>
      <c r="V124" s="15">
        <f ca="1"/>
        <v>100</v>
      </c>
      <c r="W124" s="15">
        <f ca="1"/>
        <v>100</v>
      </c>
      <c r="X124" s="15">
        <f ca="1"/>
        <v>100</v>
      </c>
      <c r="Y124" s="15">
        <f ca="1"/>
        <v>100</v>
      </c>
      <c r="Z124" s="15">
        <f ca="1"/>
        <v>100</v>
      </c>
      <c r="AA124" s="15">
        <f ca="1"/>
        <v>100</v>
      </c>
      <c r="AB124" s="15">
        <f ca="1"/>
        <v>100</v>
      </c>
      <c r="AC124" s="15">
        <f ca="1"/>
        <v>100</v>
      </c>
      <c r="AD124" s="15">
        <f ca="1"/>
        <v>100</v>
      </c>
      <c r="AE124" s="15">
        <f ca="1"/>
        <v>100</v>
      </c>
      <c r="AF124" s="16"/>
      <c r="AH124" s="16"/>
    </row>
    <row r="125" spans="4:34" ht="20.100000000000001" customHeight="1" x14ac:dyDescent="0.2">
      <c r="D125" s="15" t="s">
        <v>336</v>
      </c>
      <c r="E125" s="15">
        <f ca="1">((E117 * E87 * E109) * 10 ^ -3)</f>
        <v>0.61335624555000001</v>
      </c>
      <c r="F125" s="15">
        <f ca="1">((F117 * F87 * F109) * 10 ^ -3)</f>
        <v>1.7801994082822199</v>
      </c>
      <c r="G125" s="15">
        <f ca="1">((G117 * G87 * G109) * 10 ^ -3)</f>
        <v>0.55916871211511998</v>
      </c>
      <c r="H125" s="15">
        <f ca="1">((H117 * H87 * H109) * 10 ^ -3)</f>
        <v>1.1253534827611948</v>
      </c>
      <c r="I125" s="15">
        <f ca="1">((I117 * I87 * I109) * 10 ^ -3)</f>
        <v>1.2689457429779887</v>
      </c>
      <c r="J125" s="15">
        <f ca="1">((J117 * J87 * J109) * 10 ^ -3)</f>
        <v>1.2689457429779887</v>
      </c>
      <c r="K125" s="15">
        <f ca="1">((K117 * K87 * K109) * 10 ^ -3)</f>
        <v>0.61335624555000001</v>
      </c>
      <c r="L125" s="15">
        <f ca="1">((L117 * L87 * L109) * 10 ^ -3)</f>
        <v>1.1135632576102203</v>
      </c>
      <c r="M125" s="15">
        <f ca="1">((M117 * M87 * M109) * 10 ^ -3)</f>
        <v>1.1135632576102203</v>
      </c>
      <c r="N125" s="15">
        <f ca="1">((N117 * N87 * N109) * 10 ^ -3)</f>
        <v>1.1135632576102203</v>
      </c>
      <c r="O125" s="16"/>
      <c r="Q125" s="16"/>
      <c r="U125" s="15" t="str">
        <f>TEXT(EDATE(X_Cell_Site_StartDate,8), "mmmm")</f>
        <v>September</v>
      </c>
      <c r="V125" s="15">
        <f ca="1"/>
        <v>100</v>
      </c>
      <c r="W125" s="15">
        <f ca="1"/>
        <v>100</v>
      </c>
      <c r="X125" s="15">
        <f ca="1"/>
        <v>100</v>
      </c>
      <c r="Y125" s="15">
        <f ca="1"/>
        <v>100</v>
      </c>
      <c r="Z125" s="15">
        <f ca="1"/>
        <v>100</v>
      </c>
      <c r="AA125" s="15">
        <f ca="1"/>
        <v>100</v>
      </c>
      <c r="AB125" s="15">
        <f ca="1"/>
        <v>100</v>
      </c>
      <c r="AC125" s="15">
        <f ca="1"/>
        <v>100</v>
      </c>
      <c r="AD125" s="15">
        <f ca="1"/>
        <v>100</v>
      </c>
      <c r="AE125" s="15">
        <f ca="1"/>
        <v>100</v>
      </c>
      <c r="AF125" s="16"/>
      <c r="AH125" s="16"/>
    </row>
    <row r="126" spans="4:34" ht="20.100000000000001" customHeight="1" x14ac:dyDescent="0.2">
      <c r="D126" s="15" t="s">
        <v>337</v>
      </c>
      <c r="E126" s="15">
        <f ca="1">((E118 * E88 * E110) * 10 ^ -3)</f>
        <v>0.96954028006048887</v>
      </c>
      <c r="F126" s="15">
        <f ca="1">((F118 * F88 * F110) * 10 ^ -3)</f>
        <v>1.8841261585848745</v>
      </c>
      <c r="G126" s="15">
        <f ca="1">((G118 * G88 * G110) * 10 ^ -3)</f>
        <v>0.79383844115971891</v>
      </c>
      <c r="H126" s="15">
        <f ca="1">((H118 * H88 * H110) * 10 ^ -3)</f>
        <v>1.3548245820805938</v>
      </c>
      <c r="I126" s="15">
        <f ca="1">((I118 * I88 * I110) * 10 ^ -3)</f>
        <v>1.7274130470284719</v>
      </c>
      <c r="J126" s="15">
        <f ca="1">((J118 * J88 * J110) * 10 ^ -3)</f>
        <v>1.7274130470284719</v>
      </c>
      <c r="K126" s="15">
        <f ca="1">((K118 * K88 * K110) * 10 ^ -3)</f>
        <v>0.8523110452909386</v>
      </c>
      <c r="L126" s="15">
        <f ca="1">((L118 * L88 * L110) * 10 ^ -3)</f>
        <v>1.2976289206207199</v>
      </c>
      <c r="M126" s="15">
        <f ca="1">((M118 * M88 * M110) * 10 ^ -3)</f>
        <v>1.2976289206207199</v>
      </c>
      <c r="N126" s="15">
        <f ca="1">((N118 * N88 * N110) * 10 ^ -3)</f>
        <v>1.2976289206207199</v>
      </c>
      <c r="O126" s="16"/>
      <c r="Q126" s="16"/>
      <c r="U126" s="15" t="str">
        <f>TEXT(EDATE(X_Cell_Site_StartDate,9), "mmmm")</f>
        <v>October</v>
      </c>
      <c r="V126" s="15">
        <f ca="1"/>
        <v>100</v>
      </c>
      <c r="W126" s="15">
        <f ca="1"/>
        <v>100</v>
      </c>
      <c r="X126" s="15">
        <f ca="1"/>
        <v>100</v>
      </c>
      <c r="Y126" s="15">
        <f ca="1"/>
        <v>100</v>
      </c>
      <c r="Z126" s="15">
        <f ca="1"/>
        <v>100</v>
      </c>
      <c r="AA126" s="15">
        <f ca="1"/>
        <v>100</v>
      </c>
      <c r="AB126" s="15">
        <f ca="1"/>
        <v>100</v>
      </c>
      <c r="AC126" s="15">
        <f ca="1"/>
        <v>100</v>
      </c>
      <c r="AD126" s="15">
        <f ca="1"/>
        <v>100</v>
      </c>
      <c r="AE126" s="15">
        <f ca="1"/>
        <v>100</v>
      </c>
      <c r="AF126" s="16"/>
      <c r="AH126" s="16"/>
    </row>
    <row r="127" spans="4:34" ht="20.100000000000001" customHeight="1" x14ac:dyDescent="0.2">
      <c r="Q127" s="16"/>
      <c r="U127" s="15" t="str">
        <f>TEXT(EDATE(X_Cell_Site_StartDate,10), "mmmm")</f>
        <v>November</v>
      </c>
      <c r="V127" s="15">
        <f ca="1"/>
        <v>100</v>
      </c>
      <c r="W127" s="15">
        <f ca="1"/>
        <v>100</v>
      </c>
      <c r="X127" s="15">
        <f ca="1"/>
        <v>100</v>
      </c>
      <c r="Y127" s="15">
        <f ca="1"/>
        <v>100</v>
      </c>
      <c r="Z127" s="15">
        <f ca="1"/>
        <v>100</v>
      </c>
      <c r="AA127" s="15">
        <f ca="1"/>
        <v>100</v>
      </c>
      <c r="AB127" s="15">
        <f ca="1"/>
        <v>100</v>
      </c>
      <c r="AC127" s="15">
        <f ca="1"/>
        <v>100</v>
      </c>
      <c r="AD127" s="15">
        <f ca="1"/>
        <v>100</v>
      </c>
      <c r="AE127" s="15">
        <f ca="1"/>
        <v>100</v>
      </c>
      <c r="AF127" s="16"/>
    </row>
    <row r="128" spans="4:34" ht="20.100000000000001" customHeight="1" x14ac:dyDescent="0.2">
      <c r="D128" s="91" t="s">
        <v>434</v>
      </c>
      <c r="E128" s="92">
        <f ca="1">SUM(E123:N126)</f>
        <v>55.578115647711897</v>
      </c>
      <c r="F128" s="96" t="str">
        <f>$E$98</f>
        <v>t CH4</v>
      </c>
      <c r="Q128" s="16"/>
      <c r="U128" s="15" t="str">
        <f>TEXT(EDATE(X_Cell_Site_StartDate,11), "mmmm")</f>
        <v>December</v>
      </c>
      <c r="V128" s="15">
        <f ca="1"/>
        <v>100</v>
      </c>
      <c r="W128" s="15">
        <f ca="1"/>
        <v>100</v>
      </c>
      <c r="X128" s="15">
        <f ca="1"/>
        <v>100</v>
      </c>
      <c r="Y128" s="15">
        <f ca="1"/>
        <v>100</v>
      </c>
      <c r="Z128" s="15">
        <f ca="1"/>
        <v>100</v>
      </c>
      <c r="AA128" s="15">
        <f ca="1"/>
        <v>100</v>
      </c>
      <c r="AB128" s="15">
        <f ca="1"/>
        <v>100</v>
      </c>
      <c r="AC128" s="15">
        <f ca="1"/>
        <v>100</v>
      </c>
      <c r="AD128" s="15">
        <f ca="1"/>
        <v>100</v>
      </c>
      <c r="AE128" s="15">
        <f ca="1"/>
        <v>100</v>
      </c>
      <c r="AF128" s="16"/>
    </row>
    <row r="129" spans="1:34" ht="20.100000000000001" customHeight="1" x14ac:dyDescent="0.2">
      <c r="Q129" s="16"/>
    </row>
    <row r="130" spans="1:34" ht="20.100000000000001" customHeight="1" x14ac:dyDescent="0.2">
      <c r="D130" s="117" t="str" cm="1">
        <f t="array" ref="D130:E131">Common_Equations.Common_ConvertCH4ToCO2e_Arguments()</f>
        <v>ECH4</v>
      </c>
      <c r="E130" s="118" t="str">
        <v>Methane emissions (t CH4)</v>
      </c>
      <c r="F130" s="119"/>
      <c r="G130" s="15">
        <f ca="1">VEERG_3_2_1_1__1_TotalAnnualMethaneFromEntericFermentation_Result_Method1</f>
        <v>55.578115647711897</v>
      </c>
      <c r="Q130" s="16"/>
      <c r="U130" s="113" t="s">
        <v>431</v>
      </c>
    </row>
    <row r="131" spans="1:34" ht="20.100000000000001" customHeight="1" x14ac:dyDescent="0.2">
      <c r="A131" s="85" t="str">
        <f>HYPERLINK("#A1", "▲ Back to top")</f>
        <v>▲ Back to top</v>
      </c>
      <c r="D131" s="117" t="str">
        <v>GWPCH4</v>
      </c>
      <c r="E131" s="118" t="str">
        <v>Global warming potential for methane (t CO2-e / t CH4)</v>
      </c>
      <c r="F131" s="119"/>
      <c r="G131" s="15">
        <f>Common_InputFunctions.Utility_LookupValueInTableNumber("CH4",Table_GWPData[Gas],Table_GWPData[CO2-e factor])</f>
        <v>28</v>
      </c>
      <c r="U131" s="114" t="s">
        <v>433</v>
      </c>
      <c r="AH131" s="16"/>
    </row>
    <row r="132" spans="1:34" ht="20.100000000000001" customHeight="1" x14ac:dyDescent="0.2">
      <c r="U132" s="115" t="s">
        <v>75</v>
      </c>
      <c r="V132" s="82" t="s">
        <v>325</v>
      </c>
      <c r="W132" s="82" t="s">
        <v>189</v>
      </c>
      <c r="X132" s="82" t="s">
        <v>326</v>
      </c>
      <c r="Y132" s="82" t="s">
        <v>327</v>
      </c>
      <c r="Z132" s="82" t="s">
        <v>328</v>
      </c>
      <c r="AA132" s="82" t="s">
        <v>329</v>
      </c>
      <c r="AB132" s="82" t="s">
        <v>330</v>
      </c>
      <c r="AC132" s="82" t="s">
        <v>331</v>
      </c>
      <c r="AD132" s="82" t="s">
        <v>332</v>
      </c>
      <c r="AE132" s="82" t="s">
        <v>333</v>
      </c>
      <c r="AF132" s="16"/>
      <c r="AH132" s="16"/>
    </row>
    <row r="133" spans="1:34" ht="20.100000000000001" customHeight="1" x14ac:dyDescent="0.2">
      <c r="D133" s="88" t="s">
        <v>436</v>
      </c>
      <c r="E133" s="88" cm="1">
        <f t="array" aca="1" ref="E133" ca="1">Common_Equations.Common_ConvertN2OToCO2e(G130,G131)</f>
        <v>1556.1872381359331</v>
      </c>
      <c r="F133" s="95" t="str" cm="1">
        <f t="array" ref="F133">Common_Equations.Common_ConvertN2OToCO2e_Unit()</f>
        <v>t CO2e</v>
      </c>
      <c r="U133" s="15" t="str">
        <f>TEXT(X_Cell_Site_StartDate,"mmmm")</f>
        <v>January</v>
      </c>
      <c r="V133" s="15" cm="1">
        <f t="array" aca="1" ref="V133:AE144" ca="1">OFFSET(X_Table_PastureBeef_Duration_Method2,1,1,12,10)</f>
        <v>31</v>
      </c>
      <c r="W133" s="15">
        <f ca="1"/>
        <v>31</v>
      </c>
      <c r="X133" s="15">
        <f ca="1"/>
        <v>31</v>
      </c>
      <c r="Y133" s="15">
        <f ca="1"/>
        <v>31</v>
      </c>
      <c r="Z133" s="15">
        <f ca="1"/>
        <v>31</v>
      </c>
      <c r="AA133" s="15">
        <f ca="1"/>
        <v>31</v>
      </c>
      <c r="AB133" s="15">
        <f ca="1"/>
        <v>31</v>
      </c>
      <c r="AC133" s="15">
        <f ca="1"/>
        <v>31</v>
      </c>
      <c r="AD133" s="15">
        <f ca="1"/>
        <v>31</v>
      </c>
      <c r="AE133" s="15">
        <f ca="1"/>
        <v>31</v>
      </c>
      <c r="AF133" s="16" t="str">
        <f>$G$100</f>
        <v>days</v>
      </c>
      <c r="AH133" s="16"/>
    </row>
    <row r="134" spans="1:34" ht="20.100000000000001" customHeight="1" x14ac:dyDescent="0.2">
      <c r="U134" s="15" t="str">
        <f>TEXT(EDATE(X_Cell_Site_StartDate,1), "mmmm")</f>
        <v>February</v>
      </c>
      <c r="V134" s="15">
        <f ca="1"/>
        <v>29</v>
      </c>
      <c r="W134" s="15">
        <f ca="1"/>
        <v>29</v>
      </c>
      <c r="X134" s="15">
        <f ca="1"/>
        <v>29</v>
      </c>
      <c r="Y134" s="15">
        <f ca="1"/>
        <v>29</v>
      </c>
      <c r="Z134" s="15">
        <f ca="1"/>
        <v>29</v>
      </c>
      <c r="AA134" s="15">
        <f ca="1"/>
        <v>29</v>
      </c>
      <c r="AB134" s="15">
        <f ca="1"/>
        <v>29</v>
      </c>
      <c r="AC134" s="15">
        <f ca="1"/>
        <v>29</v>
      </c>
      <c r="AD134" s="15">
        <f ca="1"/>
        <v>29</v>
      </c>
      <c r="AE134" s="15">
        <f ca="1"/>
        <v>29</v>
      </c>
      <c r="AF134" s="16"/>
      <c r="AH134" s="16"/>
    </row>
    <row r="135" spans="1:34" ht="20.100000000000001" customHeight="1" x14ac:dyDescent="0.2">
      <c r="U135" s="15" t="str">
        <f>TEXT(EDATE(X_Cell_Site_StartDate,2), "mmmm")</f>
        <v>March</v>
      </c>
      <c r="V135" s="15">
        <f ca="1"/>
        <v>31</v>
      </c>
      <c r="W135" s="15">
        <f ca="1"/>
        <v>31</v>
      </c>
      <c r="X135" s="15">
        <f ca="1"/>
        <v>31</v>
      </c>
      <c r="Y135" s="15">
        <f ca="1"/>
        <v>31</v>
      </c>
      <c r="Z135" s="15">
        <f ca="1"/>
        <v>31</v>
      </c>
      <c r="AA135" s="15">
        <f ca="1"/>
        <v>31</v>
      </c>
      <c r="AB135" s="15">
        <f ca="1"/>
        <v>31</v>
      </c>
      <c r="AC135" s="15">
        <f ca="1"/>
        <v>31</v>
      </c>
      <c r="AD135" s="15">
        <f ca="1"/>
        <v>31</v>
      </c>
      <c r="AE135" s="15">
        <f ca="1"/>
        <v>31</v>
      </c>
      <c r="AF135" s="16"/>
      <c r="AH135" s="16"/>
    </row>
    <row r="136" spans="1:34" ht="20.100000000000001" customHeight="1" x14ac:dyDescent="0.2">
      <c r="U136" s="15" t="str">
        <f>TEXT(EDATE(X_Cell_Site_StartDate,3), "mmmm")</f>
        <v>April</v>
      </c>
      <c r="V136" s="15">
        <f ca="1"/>
        <v>30</v>
      </c>
      <c r="W136" s="15">
        <f ca="1"/>
        <v>30</v>
      </c>
      <c r="X136" s="15">
        <f ca="1"/>
        <v>30</v>
      </c>
      <c r="Y136" s="15">
        <f ca="1"/>
        <v>30</v>
      </c>
      <c r="Z136" s="15">
        <f ca="1"/>
        <v>30</v>
      </c>
      <c r="AA136" s="15">
        <f ca="1"/>
        <v>30</v>
      </c>
      <c r="AB136" s="15">
        <f ca="1"/>
        <v>30</v>
      </c>
      <c r="AC136" s="15">
        <f ca="1"/>
        <v>30</v>
      </c>
      <c r="AD136" s="15">
        <f ca="1"/>
        <v>30</v>
      </c>
      <c r="AE136" s="15">
        <f ca="1"/>
        <v>30</v>
      </c>
      <c r="AF136" s="16"/>
      <c r="AH136" s="16"/>
    </row>
    <row r="137" spans="1:34" ht="20.100000000000001" customHeight="1" x14ac:dyDescent="0.2">
      <c r="U137" s="15" t="str">
        <f>TEXT(EDATE(X_Cell_Site_StartDate,4), "mmmm")</f>
        <v>May</v>
      </c>
      <c r="V137" s="15">
        <f ca="1"/>
        <v>31</v>
      </c>
      <c r="W137" s="15">
        <f ca="1"/>
        <v>31</v>
      </c>
      <c r="X137" s="15">
        <f ca="1"/>
        <v>31</v>
      </c>
      <c r="Y137" s="15">
        <f ca="1"/>
        <v>31</v>
      </c>
      <c r="Z137" s="15">
        <f ca="1"/>
        <v>31</v>
      </c>
      <c r="AA137" s="15">
        <f ca="1"/>
        <v>31</v>
      </c>
      <c r="AB137" s="15">
        <f ca="1"/>
        <v>31</v>
      </c>
      <c r="AC137" s="15">
        <f ca="1"/>
        <v>31</v>
      </c>
      <c r="AD137" s="15">
        <f ca="1"/>
        <v>31</v>
      </c>
      <c r="AE137" s="15">
        <f ca="1"/>
        <v>31</v>
      </c>
      <c r="AF137" s="16"/>
      <c r="AH137" s="16"/>
    </row>
    <row r="138" spans="1:34" ht="20.100000000000001" customHeight="1" x14ac:dyDescent="0.2">
      <c r="U138" s="15" t="str">
        <f>TEXT(EDATE(X_Cell_Site_StartDate,5), "mmmm")</f>
        <v>June</v>
      </c>
      <c r="V138" s="15">
        <f ca="1"/>
        <v>30</v>
      </c>
      <c r="W138" s="15">
        <f ca="1"/>
        <v>30</v>
      </c>
      <c r="X138" s="15">
        <f ca="1"/>
        <v>30</v>
      </c>
      <c r="Y138" s="15">
        <f ca="1"/>
        <v>30</v>
      </c>
      <c r="Z138" s="15">
        <f ca="1"/>
        <v>30</v>
      </c>
      <c r="AA138" s="15">
        <f ca="1"/>
        <v>30</v>
      </c>
      <c r="AB138" s="15">
        <f ca="1"/>
        <v>30</v>
      </c>
      <c r="AC138" s="15">
        <f ca="1"/>
        <v>30</v>
      </c>
      <c r="AD138" s="15">
        <f ca="1"/>
        <v>30</v>
      </c>
      <c r="AE138" s="15">
        <f ca="1"/>
        <v>30</v>
      </c>
      <c r="AF138" s="16"/>
      <c r="AH138" s="16"/>
    </row>
    <row r="139" spans="1:34" ht="20.100000000000001" customHeight="1" x14ac:dyDescent="0.2">
      <c r="U139" s="15" t="str">
        <f>TEXT(EDATE(X_Cell_Site_StartDate,6), "mmmm")</f>
        <v>July</v>
      </c>
      <c r="V139" s="15">
        <f ca="1"/>
        <v>31</v>
      </c>
      <c r="W139" s="15">
        <f ca="1"/>
        <v>31</v>
      </c>
      <c r="X139" s="15">
        <f ca="1"/>
        <v>31</v>
      </c>
      <c r="Y139" s="15">
        <f ca="1"/>
        <v>31</v>
      </c>
      <c r="Z139" s="15">
        <f ca="1"/>
        <v>31</v>
      </c>
      <c r="AA139" s="15">
        <f ca="1"/>
        <v>31</v>
      </c>
      <c r="AB139" s="15">
        <f ca="1"/>
        <v>31</v>
      </c>
      <c r="AC139" s="15">
        <f ca="1"/>
        <v>31</v>
      </c>
      <c r="AD139" s="15">
        <f ca="1"/>
        <v>31</v>
      </c>
      <c r="AE139" s="15">
        <f ca="1"/>
        <v>31</v>
      </c>
      <c r="AF139" s="16"/>
      <c r="AH139" s="16"/>
    </row>
    <row r="140" spans="1:34" ht="20.100000000000001" customHeight="1" x14ac:dyDescent="0.2">
      <c r="U140" s="15" t="str">
        <f>TEXT(EDATE(X_Cell_Site_StartDate,7), "mmmm")</f>
        <v>August</v>
      </c>
      <c r="V140" s="15">
        <f ca="1"/>
        <v>31</v>
      </c>
      <c r="W140" s="15">
        <f ca="1"/>
        <v>31</v>
      </c>
      <c r="X140" s="15">
        <f ca="1"/>
        <v>31</v>
      </c>
      <c r="Y140" s="15">
        <f ca="1"/>
        <v>31</v>
      </c>
      <c r="Z140" s="15">
        <f ca="1"/>
        <v>31</v>
      </c>
      <c r="AA140" s="15">
        <f ca="1"/>
        <v>31</v>
      </c>
      <c r="AB140" s="15">
        <f ca="1"/>
        <v>31</v>
      </c>
      <c r="AC140" s="15">
        <f ca="1"/>
        <v>31</v>
      </c>
      <c r="AD140" s="15">
        <f ca="1"/>
        <v>31</v>
      </c>
      <c r="AE140" s="15">
        <f ca="1"/>
        <v>31</v>
      </c>
      <c r="AF140" s="16"/>
      <c r="AH140" s="16"/>
    </row>
    <row r="141" spans="1:34" ht="20.100000000000001" customHeight="1" x14ac:dyDescent="0.2">
      <c r="U141" s="15" t="str">
        <f>TEXT(EDATE(X_Cell_Site_StartDate,8), "mmmm")</f>
        <v>September</v>
      </c>
      <c r="V141" s="15">
        <f ca="1"/>
        <v>30</v>
      </c>
      <c r="W141" s="15">
        <f ca="1"/>
        <v>30</v>
      </c>
      <c r="X141" s="15">
        <f ca="1"/>
        <v>30</v>
      </c>
      <c r="Y141" s="15">
        <f ca="1"/>
        <v>30</v>
      </c>
      <c r="Z141" s="15">
        <f ca="1"/>
        <v>30</v>
      </c>
      <c r="AA141" s="15">
        <f ca="1"/>
        <v>30</v>
      </c>
      <c r="AB141" s="15">
        <f ca="1"/>
        <v>30</v>
      </c>
      <c r="AC141" s="15">
        <f ca="1"/>
        <v>30</v>
      </c>
      <c r="AD141" s="15">
        <f ca="1"/>
        <v>30</v>
      </c>
      <c r="AE141" s="15">
        <f ca="1"/>
        <v>30</v>
      </c>
      <c r="AF141" s="16"/>
      <c r="AH141" s="16"/>
    </row>
    <row r="142" spans="1:34" ht="20.100000000000001" customHeight="1" x14ac:dyDescent="0.2">
      <c r="U142" s="15" t="str">
        <f>TEXT(EDATE(X_Cell_Site_StartDate,9), "mmmm")</f>
        <v>October</v>
      </c>
      <c r="V142" s="15">
        <f ca="1"/>
        <v>31</v>
      </c>
      <c r="W142" s="15">
        <f ca="1"/>
        <v>31</v>
      </c>
      <c r="X142" s="15">
        <f ca="1"/>
        <v>31</v>
      </c>
      <c r="Y142" s="15">
        <f ca="1"/>
        <v>31</v>
      </c>
      <c r="Z142" s="15">
        <f ca="1"/>
        <v>31</v>
      </c>
      <c r="AA142" s="15">
        <f ca="1"/>
        <v>31</v>
      </c>
      <c r="AB142" s="15">
        <f ca="1"/>
        <v>31</v>
      </c>
      <c r="AC142" s="15">
        <f ca="1"/>
        <v>31</v>
      </c>
      <c r="AD142" s="15">
        <f ca="1"/>
        <v>31</v>
      </c>
      <c r="AE142" s="15">
        <f ca="1"/>
        <v>31</v>
      </c>
      <c r="AF142" s="16"/>
      <c r="AH142" s="16"/>
    </row>
    <row r="143" spans="1:34" ht="20.100000000000001" customHeight="1" x14ac:dyDescent="0.2">
      <c r="U143" s="15" t="str">
        <f>TEXT(EDATE(X_Cell_Site_StartDate,10), "mmmm")</f>
        <v>November</v>
      </c>
      <c r="V143" s="15">
        <f ca="1"/>
        <v>30</v>
      </c>
      <c r="W143" s="15">
        <f ca="1"/>
        <v>30</v>
      </c>
      <c r="X143" s="15">
        <f ca="1"/>
        <v>30</v>
      </c>
      <c r="Y143" s="15">
        <f ca="1"/>
        <v>30</v>
      </c>
      <c r="Z143" s="15">
        <f ca="1"/>
        <v>30</v>
      </c>
      <c r="AA143" s="15">
        <f ca="1"/>
        <v>30</v>
      </c>
      <c r="AB143" s="15">
        <f ca="1"/>
        <v>30</v>
      </c>
      <c r="AC143" s="15">
        <f ca="1"/>
        <v>30</v>
      </c>
      <c r="AD143" s="15">
        <f ca="1"/>
        <v>30</v>
      </c>
      <c r="AE143" s="15">
        <f ca="1"/>
        <v>30</v>
      </c>
      <c r="AF143" s="16"/>
    </row>
    <row r="144" spans="1:34" ht="20.100000000000001" customHeight="1" x14ac:dyDescent="0.2">
      <c r="U144" s="15" t="str">
        <f>TEXT(EDATE(X_Cell_Site_StartDate,11), "mmmm")</f>
        <v>December</v>
      </c>
      <c r="V144" s="15">
        <f ca="1"/>
        <v>31</v>
      </c>
      <c r="W144" s="15">
        <f ca="1"/>
        <v>31</v>
      </c>
      <c r="X144" s="15">
        <f ca="1"/>
        <v>31</v>
      </c>
      <c r="Y144" s="15">
        <f ca="1"/>
        <v>31</v>
      </c>
      <c r="Z144" s="15">
        <f ca="1"/>
        <v>31</v>
      </c>
      <c r="AA144" s="15">
        <f ca="1"/>
        <v>31</v>
      </c>
      <c r="AB144" s="15">
        <f ca="1"/>
        <v>31</v>
      </c>
      <c r="AC144" s="15">
        <f ca="1"/>
        <v>31</v>
      </c>
      <c r="AD144" s="15">
        <f ca="1"/>
        <v>31</v>
      </c>
      <c r="AE144" s="15">
        <f ca="1"/>
        <v>31</v>
      </c>
      <c r="AF144" s="16"/>
    </row>
    <row r="146" spans="21:32" ht="20.100000000000001" customHeight="1" x14ac:dyDescent="0.2">
      <c r="U146" s="113" t="s">
        <v>577</v>
      </c>
    </row>
    <row r="147" spans="21:32" ht="20.100000000000001" customHeight="1" x14ac:dyDescent="0.2">
      <c r="U147" s="114" t="s">
        <v>578</v>
      </c>
    </row>
    <row r="148" spans="21:32" ht="20.100000000000001" customHeight="1" x14ac:dyDescent="0.2">
      <c r="U148" s="115" t="s">
        <v>75</v>
      </c>
      <c r="V148" s="115" t="s">
        <v>325</v>
      </c>
      <c r="W148" s="115" t="s">
        <v>189</v>
      </c>
      <c r="X148" s="115" t="s">
        <v>326</v>
      </c>
      <c r="Y148" s="115" t="s">
        <v>327</v>
      </c>
      <c r="Z148" s="115" t="s">
        <v>328</v>
      </c>
      <c r="AA148" s="115" t="s">
        <v>329</v>
      </c>
      <c r="AB148" s="115" t="s">
        <v>330</v>
      </c>
      <c r="AC148" s="115" t="s">
        <v>331</v>
      </c>
      <c r="AD148" s="115" t="s">
        <v>332</v>
      </c>
      <c r="AE148" s="115" t="s">
        <v>333</v>
      </c>
    </row>
    <row r="149" spans="21:32" ht="20.100000000000001" customHeight="1" x14ac:dyDescent="0.2">
      <c r="U149" s="15" t="str">
        <f t="shared" ref="U149:U160" si="3">U133</f>
        <v>January</v>
      </c>
      <c r="V149" s="15">
        <f ca="1">((V133 * V97 * V117) * 10 ^ -3)</f>
        <v>0.4586136012616317</v>
      </c>
      <c r="W149" s="15">
        <f ca="1">((W133 * W97 * W117) * 10 ^ -3)</f>
        <v>0.60679113521101213</v>
      </c>
      <c r="X149" s="15">
        <f ca="1">((X133 * X97 * X117) * 10 ^ -3)</f>
        <v>0.38568368207519993</v>
      </c>
      <c r="Y149" s="15">
        <f ca="1">((Y133 * Y97 * Y117) * 10 ^ -3)</f>
        <v>0.5050531744094251</v>
      </c>
      <c r="Z149" s="15">
        <f ca="1">((Z133 * Z97 * Z117) * 10 ^ -3)</f>
        <v>0.50006444018011187</v>
      </c>
      <c r="AA149" s="15">
        <f ca="1">((AA133 * AA97 * AA117) * 10 ^ -3)</f>
        <v>0.50006444018011187</v>
      </c>
      <c r="AB149" s="15">
        <f ca="1">((AB133 * AB97 * AB117) * 10 ^ -3)</f>
        <v>0.422728915885632</v>
      </c>
      <c r="AC149" s="15">
        <f ca="1">((AC133 * AC97 * AC117) * 10 ^ -3)</f>
        <v>0.47120481705053707</v>
      </c>
      <c r="AD149" s="15">
        <f ca="1">((AD133 * AD97 * AD117) * 10 ^ -3)</f>
        <v>0.47120481705053707</v>
      </c>
      <c r="AE149" s="15">
        <f ca="1">((AE133 * AE97 * AE117) * 10 ^ -3)</f>
        <v>0.47120481705053707</v>
      </c>
      <c r="AF149" s="16" t="str">
        <f>$E$98</f>
        <v>t CH4</v>
      </c>
    </row>
    <row r="150" spans="21:32" ht="20.100000000000001" customHeight="1" x14ac:dyDescent="0.2">
      <c r="U150" s="15" t="str">
        <f t="shared" si="3"/>
        <v>February</v>
      </c>
      <c r="V150" s="15">
        <f ca="1">((V134 * V98 * V118) * 10 ^ -3)</f>
        <v>0.42902562698668767</v>
      </c>
      <c r="W150" s="15">
        <f ca="1">((W134 * W98 * W118) * 10 ^ -3)</f>
        <v>0.56764332003610807</v>
      </c>
      <c r="X150" s="15">
        <f ca="1">((X134 * X98 * X118) * 10 ^ -3)</f>
        <v>0.36080086387679988</v>
      </c>
      <c r="Y150" s="15">
        <f ca="1">((Y134 * Y98 * Y118) * 10 ^ -3)</f>
        <v>0.47246909864107506</v>
      </c>
      <c r="Z150" s="15">
        <f ca="1">((Z134 * Z98 * Z118) * 10 ^ -3)</f>
        <v>0.46780221823300788</v>
      </c>
      <c r="AA150" s="15">
        <f ca="1">((AA134 * AA98 * AA118) * 10 ^ -3)</f>
        <v>0.46780221823300788</v>
      </c>
      <c r="AB150" s="15">
        <f ca="1">((AB134 * AB98 * AB118) * 10 ^ -3)</f>
        <v>0.39545608260268794</v>
      </c>
      <c r="AC150" s="15">
        <f ca="1">((AC134 * AC98 * AC118) * 10 ^ -3)</f>
        <v>0.4408045062730831</v>
      </c>
      <c r="AD150" s="15">
        <f ca="1">((AD134 * AD98 * AD118) * 10 ^ -3)</f>
        <v>0.4408045062730831</v>
      </c>
      <c r="AE150" s="15">
        <f ca="1">((AE134 * AE98 * AE118) * 10 ^ -3)</f>
        <v>0.4408045062730831</v>
      </c>
      <c r="AF150" s="16"/>
    </row>
    <row r="151" spans="21:32" ht="20.100000000000001" customHeight="1" x14ac:dyDescent="0.2">
      <c r="U151" s="15" t="str">
        <f t="shared" si="3"/>
        <v>March</v>
      </c>
      <c r="V151" s="15">
        <f ca="1">((V135 * V99 * V119) * 10 ^ -3)</f>
        <v>0.20837308068000002</v>
      </c>
      <c r="W151" s="15">
        <f ca="1">((W135 * W99 * W119) * 10 ^ -3)</f>
        <v>0.60478007295067204</v>
      </c>
      <c r="X151" s="15">
        <f ca="1">((X135 * X99 * X119) * 10 ^ -3)</f>
        <v>0.18996416521171203</v>
      </c>
      <c r="Y151" s="15">
        <f ca="1">((Y135 * Y99 * Y119) * 10 ^ -3)</f>
        <v>0.38231186811613199</v>
      </c>
      <c r="Z151" s="15">
        <f ca="1">((Z135 * Z99 * Z119) * 10 ^ -3)</f>
        <v>0.431093896244577</v>
      </c>
      <c r="AA151" s="15">
        <f ca="1">((AA135 * AA99 * AA119) * 10 ^ -3)</f>
        <v>0.431093896244577</v>
      </c>
      <c r="AB151" s="15">
        <f ca="1">((AB135 * AB99 * AB119) * 10 ^ -3)</f>
        <v>0.20837308068000002</v>
      </c>
      <c r="AC151" s="15">
        <f ca="1">((AC135 * AC99 * AC119) * 10 ^ -3)</f>
        <v>0.37830642176347212</v>
      </c>
      <c r="AD151" s="15">
        <f ca="1">((AD135 * AD99 * AD119) * 10 ^ -3)</f>
        <v>0.37830642176347212</v>
      </c>
      <c r="AE151" s="15">
        <f ca="1">((AE135 * AE99 * AE119) * 10 ^ -3)</f>
        <v>0.37830642176347212</v>
      </c>
      <c r="AF151" s="16"/>
    </row>
    <row r="152" spans="21:32" ht="20.100000000000001" customHeight="1" x14ac:dyDescent="0.2">
      <c r="U152" s="15" t="str">
        <f t="shared" si="3"/>
        <v>April</v>
      </c>
      <c r="V152" s="15">
        <f ca="1">((V136 * V100 * V120) * 10 ^ -3)</f>
        <v>0.2016513684</v>
      </c>
      <c r="W152" s="15">
        <f ca="1">((W136 * W100 * W120) * 10 ^ -3)</f>
        <v>0.58527103833936001</v>
      </c>
      <c r="X152" s="15">
        <f ca="1">((X136 * X100 * X120) * 10 ^ -3)</f>
        <v>0.18383628891456003</v>
      </c>
      <c r="Y152" s="15">
        <f ca="1">((Y136 * Y100 * Y120) * 10 ^ -3)</f>
        <v>0.36997922720915993</v>
      </c>
      <c r="Z152" s="15">
        <f ca="1">((Z136 * Z100 * Z120) * 10 ^ -3)</f>
        <v>0.41718764152700993</v>
      </c>
      <c r="AA152" s="15">
        <f ca="1">((AA136 * AA100 * AA120) * 10 ^ -3)</f>
        <v>0.41718764152700993</v>
      </c>
      <c r="AB152" s="15">
        <f ca="1">((AB136 * AB100 * AB120) * 10 ^ -3)</f>
        <v>0.2016513684</v>
      </c>
      <c r="AC152" s="15">
        <f ca="1">((AC136 * AC100 * AC120) * 10 ^ -3)</f>
        <v>0.36610298880336012</v>
      </c>
      <c r="AD152" s="15">
        <f ca="1">((AD136 * AD100 * AD120) * 10 ^ -3)</f>
        <v>0.36610298880336012</v>
      </c>
      <c r="AE152" s="15">
        <f ca="1">((AE136 * AE100 * AE120) * 10 ^ -3)</f>
        <v>0.36610298880336012</v>
      </c>
      <c r="AF152" s="16"/>
    </row>
    <row r="153" spans="21:32" ht="20.100000000000001" customHeight="1" x14ac:dyDescent="0.2">
      <c r="U153" s="15" t="str">
        <f t="shared" si="3"/>
        <v>May</v>
      </c>
      <c r="V153" s="15">
        <f ca="1">((V137 * V101 * V121) * 10 ^ -3)</f>
        <v>0.20837308068000002</v>
      </c>
      <c r="W153" s="15">
        <f ca="1">((W137 * W101 * W121) * 10 ^ -3)</f>
        <v>0.60478007295067204</v>
      </c>
      <c r="X153" s="15">
        <f ca="1">((X137 * X101 * X121) * 10 ^ -3)</f>
        <v>0.18996416521171203</v>
      </c>
      <c r="Y153" s="15">
        <f ca="1">((Y137 * Y101 * Y121) * 10 ^ -3)</f>
        <v>0.38231186811613199</v>
      </c>
      <c r="Z153" s="15">
        <f ca="1">((Z137 * Z101 * Z121) * 10 ^ -3)</f>
        <v>0.431093896244577</v>
      </c>
      <c r="AA153" s="15">
        <f ca="1">((AA137 * AA101 * AA121) * 10 ^ -3)</f>
        <v>0.431093896244577</v>
      </c>
      <c r="AB153" s="15">
        <f ca="1">((AB137 * AB101 * AB121) * 10 ^ -3)</f>
        <v>0.20837308068000002</v>
      </c>
      <c r="AC153" s="15">
        <f ca="1">((AC137 * AC101 * AC121) * 10 ^ -3)</f>
        <v>0.37830642176347212</v>
      </c>
      <c r="AD153" s="15">
        <f ca="1">((AD137 * AD101 * AD121) * 10 ^ -3)</f>
        <v>0.37830642176347212</v>
      </c>
      <c r="AE153" s="15">
        <f ca="1">((AE137 * AE101 * AE121) * 10 ^ -3)</f>
        <v>0.37830642176347212</v>
      </c>
      <c r="AF153" s="16"/>
    </row>
    <row r="154" spans="21:32" ht="20.100000000000001" customHeight="1" x14ac:dyDescent="0.2">
      <c r="U154" s="15" t="str">
        <f t="shared" si="3"/>
        <v>June</v>
      </c>
      <c r="V154" s="15">
        <f ca="1">((V138 * V102 * V122) * 10 ^ -3)</f>
        <v>0.31875296878700998</v>
      </c>
      <c r="W154" s="15">
        <f ca="1">((W138 * W102 * W122) * 10 ^ -3)</f>
        <v>0.61943873706899988</v>
      </c>
      <c r="X154" s="15">
        <f ca="1">((X138 * X102 * X122) * 10 ^ -3)</f>
        <v>0.26098798065525008</v>
      </c>
      <c r="Y154" s="15">
        <f ca="1">((Y138 * Y102 * Y122) * 10 ^ -3)</f>
        <v>0.36811717389261017</v>
      </c>
      <c r="Z154" s="15">
        <f ca="1">((Z138 * Z102 * Z122) * 10 ^ -3)</f>
        <v>0.49384053756620999</v>
      </c>
      <c r="AA154" s="15">
        <f ca="1">((AA138 * AA102 * AA122) * 10 ^ -3)</f>
        <v>0.49384053756620999</v>
      </c>
      <c r="AB154" s="15">
        <f ca="1">((AB138 * AB102 * AB122) * 10 ^ -3)</f>
        <v>0.28021185050660996</v>
      </c>
      <c r="AC154" s="15">
        <f ca="1">((AC138 * AC102 * AC122) * 10 ^ -3)</f>
        <v>0.42661772732735997</v>
      </c>
      <c r="AD154" s="15">
        <f ca="1">((AD138 * AD102 * AD122) * 10 ^ -3)</f>
        <v>0.42661772732735997</v>
      </c>
      <c r="AE154" s="15">
        <f ca="1">((AE138 * AE102 * AE122) * 10 ^ -3)</f>
        <v>0.42661772732735997</v>
      </c>
      <c r="AF154" s="16"/>
    </row>
    <row r="155" spans="21:32" ht="20.100000000000001" customHeight="1" x14ac:dyDescent="0.2">
      <c r="U155" s="15" t="str">
        <f t="shared" si="3"/>
        <v>July</v>
      </c>
      <c r="V155" s="15">
        <f ca="1">((V139 * V103 * V123) * 10 ^ -3)</f>
        <v>0.32937806774657702</v>
      </c>
      <c r="W155" s="15">
        <f ca="1">((W139 * W103 * W123) * 10 ^ -3)</f>
        <v>0.64008669497129989</v>
      </c>
      <c r="X155" s="15">
        <f ca="1">((X139 * X103 * X123) * 10 ^ -3)</f>
        <v>0.26968758001042503</v>
      </c>
      <c r="Y155" s="15">
        <f ca="1">((Y139 * Y103 * Y123) * 10 ^ -3)</f>
        <v>0.38038774635569711</v>
      </c>
      <c r="Z155" s="15">
        <f ca="1">((Z139 * Z103 * Z123) * 10 ^ -3)</f>
        <v>0.51030188881841698</v>
      </c>
      <c r="AA155" s="15">
        <f ca="1">((AA139 * AA103 * AA123) * 10 ^ -3)</f>
        <v>0.51030188881841698</v>
      </c>
      <c r="AB155" s="15">
        <f ca="1">((AB139 * AB103 * AB123) * 10 ^ -3)</f>
        <v>0.2895522455234969</v>
      </c>
      <c r="AC155" s="15">
        <f ca="1">((AC139 * AC103 * AC123) * 10 ^ -3)</f>
        <v>0.44083831823827196</v>
      </c>
      <c r="AD155" s="15">
        <f ca="1">((AD139 * AD103 * AD123) * 10 ^ -3)</f>
        <v>0.44083831823827196</v>
      </c>
      <c r="AE155" s="15">
        <f ca="1">((AE139 * AE103 * AE123) * 10 ^ -3)</f>
        <v>0.44083831823827196</v>
      </c>
      <c r="AF155" s="16"/>
    </row>
    <row r="156" spans="21:32" ht="20.100000000000001" customHeight="1" x14ac:dyDescent="0.2">
      <c r="U156" s="15" t="str">
        <f t="shared" si="3"/>
        <v>August</v>
      </c>
      <c r="V156" s="15">
        <f ca="1">((V140 * V104 * V124) * 10 ^ -3)</f>
        <v>0.32937806774657702</v>
      </c>
      <c r="W156" s="15">
        <f ca="1">((W140 * W104 * W124) * 10 ^ -3)</f>
        <v>0.64008669497129989</v>
      </c>
      <c r="X156" s="15">
        <f ca="1">((X140 * X104 * X124) * 10 ^ -3)</f>
        <v>0.26968758001042503</v>
      </c>
      <c r="Y156" s="15">
        <f ca="1">((Y140 * Y104 * Y124) * 10 ^ -3)</f>
        <v>0.465974989285729</v>
      </c>
      <c r="Z156" s="15">
        <f ca="1">((Z140 * Z104 * Z124) * 10 ^ -3)</f>
        <v>0.62511981380256076</v>
      </c>
      <c r="AA156" s="15">
        <f ca="1">((AA140 * AA104 * AA124) * 10 ^ -3)</f>
        <v>0.62511981380256076</v>
      </c>
      <c r="AB156" s="15">
        <f ca="1">((AB140 * AB104 * AB124) * 10 ^ -3)</f>
        <v>0.2895522455234969</v>
      </c>
      <c r="AC156" s="15">
        <f ca="1">((AC140 * AC104 * AC124) * 10 ^ -3)</f>
        <v>0.44083831823827196</v>
      </c>
      <c r="AD156" s="15">
        <f ca="1">((AD140 * AD104 * AD124) * 10 ^ -3)</f>
        <v>0.44083831823827196</v>
      </c>
      <c r="AE156" s="15">
        <f ca="1">((AE140 * AE104 * AE124) * 10 ^ -3)</f>
        <v>0.44083831823827196</v>
      </c>
      <c r="AF156" s="16"/>
    </row>
    <row r="157" spans="21:32" ht="20.100000000000001" customHeight="1" x14ac:dyDescent="0.2">
      <c r="U157" s="15" t="str">
        <f t="shared" si="3"/>
        <v>September</v>
      </c>
      <c r="V157" s="15">
        <f ca="1">((V141 * V105 * V125) * 10 ^ -3)</f>
        <v>0.53846318370816004</v>
      </c>
      <c r="W157" s="15">
        <f ca="1">((W141 * W105 * W125) * 10 ^ -3)</f>
        <v>0.76050766552500015</v>
      </c>
      <c r="X157" s="15">
        <f ca="1">((X141 * X105 * X125) * 10 ^ -3)</f>
        <v>0.41041649201661007</v>
      </c>
      <c r="Y157" s="15">
        <f ca="1">((Y141 * Y105 * Y125) * 10 ^ -3)</f>
        <v>0.65978317499035743</v>
      </c>
      <c r="Z157" s="15">
        <f ca="1">((Z141 * Z105 * Z125) * 10 ^ -3)</f>
        <v>0.73266121269810014</v>
      </c>
      <c r="AA157" s="15">
        <f ca="1">((AA141 * AA105 * AA125) * 10 ^ -3)</f>
        <v>0.73266121269810014</v>
      </c>
      <c r="AB157" s="15">
        <f ca="1">((AB141 * AB105 * AB125) * 10 ^ -3)</f>
        <v>0.47315580318899986</v>
      </c>
      <c r="AC157" s="15">
        <f ca="1">((AC141 * AC105 * AC125) * 10 ^ -3)</f>
        <v>0.60127877604275992</v>
      </c>
      <c r="AD157" s="15">
        <f ca="1">((AD141 * AD105 * AD125) * 10 ^ -3)</f>
        <v>0.60127877604275992</v>
      </c>
      <c r="AE157" s="15">
        <f ca="1">((AE141 * AE105 * AE125) * 10 ^ -3)</f>
        <v>0.60127877604275992</v>
      </c>
      <c r="AF157" s="16"/>
    </row>
    <row r="158" spans="21:32" ht="20.100000000000001" customHeight="1" x14ac:dyDescent="0.2">
      <c r="U158" s="15" t="str">
        <f t="shared" si="3"/>
        <v>October</v>
      </c>
      <c r="V158" s="15">
        <f ca="1">((V142 * V106 * V126) * 10 ^ -3)</f>
        <v>0.556411956498432</v>
      </c>
      <c r="W158" s="15">
        <f ca="1">((W142 * W106 * W126) * 10 ^ -3)</f>
        <v>0.78585792104250007</v>
      </c>
      <c r="X158" s="15">
        <f ca="1">((X142 * X106 * X126) * 10 ^ -3)</f>
        <v>0.42409704175049701</v>
      </c>
      <c r="Y158" s="15">
        <f ca="1">((Y142 * Y106 * Y126) * 10 ^ -3)</f>
        <v>0.68177594749003623</v>
      </c>
      <c r="Z158" s="15">
        <f ca="1">((Z142 * Z106 * Z126) * 10 ^ -3)</f>
        <v>0.75708325312137015</v>
      </c>
      <c r="AA158" s="15">
        <f ca="1">((AA142 * AA106 * AA126) * 10 ^ -3)</f>
        <v>0.75708325312137015</v>
      </c>
      <c r="AB158" s="15">
        <f ca="1">((AB142 * AB106 * AB126) * 10 ^ -3)</f>
        <v>0.4889276632952998</v>
      </c>
      <c r="AC158" s="15">
        <f ca="1">((AC142 * AC106 * AC126) * 10 ^ -3)</f>
        <v>0.62132140191085194</v>
      </c>
      <c r="AD158" s="15">
        <f ca="1">((AD142 * AD106 * AD126) * 10 ^ -3)</f>
        <v>0.62132140191085194</v>
      </c>
      <c r="AE158" s="15">
        <f ca="1">((AE142 * AE106 * AE126) * 10 ^ -3)</f>
        <v>0.62132140191085194</v>
      </c>
      <c r="AF158" s="16"/>
    </row>
    <row r="159" spans="21:32" ht="20.100000000000001" customHeight="1" x14ac:dyDescent="0.2">
      <c r="U159" s="15" t="str">
        <f t="shared" si="3"/>
        <v>November</v>
      </c>
      <c r="V159" s="15">
        <f ca="1">((V143 * V107 * V127) * 10 ^ -3)</f>
        <v>0.53846318370816004</v>
      </c>
      <c r="W159" s="15">
        <f ca="1">((W143 * W107 * W127) * 10 ^ -3)</f>
        <v>0.76050766552500015</v>
      </c>
      <c r="X159" s="15">
        <f ca="1">((X143 * X107 * X127) * 10 ^ -3)</f>
        <v>0.41041649201661007</v>
      </c>
      <c r="Y159" s="15">
        <f ca="1">((Y143 * Y107 * Y127) * 10 ^ -3)</f>
        <v>0.57899339846092601</v>
      </c>
      <c r="Z159" s="15">
        <f ca="1">((Z143 * Z107 * Z127) * 10 ^ -3)</f>
        <v>0.64294759481670016</v>
      </c>
      <c r="AA159" s="15">
        <f ca="1">((AA143 * AA107 * AA127) * 10 ^ -3)</f>
        <v>0.64294759481670016</v>
      </c>
      <c r="AB159" s="15">
        <f ca="1">((AB143 * AB107 * AB127) * 10 ^ -3)</f>
        <v>0.47315580318899986</v>
      </c>
      <c r="AC159" s="15">
        <f ca="1">((AC143 * AC107 * AC127) * 10 ^ -3)</f>
        <v>0.60127877604275992</v>
      </c>
      <c r="AD159" s="15">
        <f ca="1">((AD143 * AD107 * AD127) * 10 ^ -3)</f>
        <v>0.60127877604275992</v>
      </c>
      <c r="AE159" s="15">
        <f ca="1">((AE143 * AE107 * AE127) * 10 ^ -3)</f>
        <v>0.60127877604275992</v>
      </c>
      <c r="AF159" s="16"/>
    </row>
    <row r="160" spans="21:32" ht="20.100000000000001" customHeight="1" x14ac:dyDescent="0.2">
      <c r="U160" s="15" t="str">
        <f t="shared" si="3"/>
        <v>December</v>
      </c>
      <c r="V160" s="15">
        <f ca="1">((V144 * V108 * V128) * 10 ^ -3)</f>
        <v>0.4586136012616317</v>
      </c>
      <c r="W160" s="15">
        <f ca="1">((W144 * W108 * W128) * 10 ^ -3)</f>
        <v>0.60679113521101213</v>
      </c>
      <c r="X160" s="15">
        <f ca="1">((X144 * X108 * X128) * 10 ^ -3)</f>
        <v>0.38568368207519993</v>
      </c>
      <c r="Y160" s="15">
        <f ca="1">((Y144 * Y108 * Y128) * 10 ^ -3)</f>
        <v>0.5050531744094251</v>
      </c>
      <c r="Z160" s="15">
        <f ca="1">((Z144 * Z108 * Z128) * 10 ^ -3)</f>
        <v>0.50006444018011187</v>
      </c>
      <c r="AA160" s="15">
        <f ca="1">((AA144 * AA108 * AA128) * 10 ^ -3)</f>
        <v>0.50006444018011187</v>
      </c>
      <c r="AB160" s="15">
        <f ca="1">((AB144 * AB108 * AB128) * 10 ^ -3)</f>
        <v>0.422728915885632</v>
      </c>
      <c r="AC160" s="15">
        <f ca="1">((AC144 * AC108 * AC128) * 10 ^ -3)</f>
        <v>0.47120481705053707</v>
      </c>
      <c r="AD160" s="15">
        <f ca="1">((AD144 * AD108 * AD128) * 10 ^ -3)</f>
        <v>0.47120481705053707</v>
      </c>
      <c r="AE160" s="15">
        <f ca="1">((AE144 * AE108 * AE128) * 10 ^ -3)</f>
        <v>0.47120481705053707</v>
      </c>
      <c r="AF160" s="16"/>
    </row>
    <row r="161" spans="1:24" ht="20.100000000000001" customHeight="1" x14ac:dyDescent="0.2">
      <c r="A161" s="85" t="str">
        <f>HYPERLINK("#A1", "▲ Back to top")</f>
        <v>▲ Back to top</v>
      </c>
    </row>
    <row r="162" spans="1:24" ht="20.100000000000001" customHeight="1" x14ac:dyDescent="0.2">
      <c r="U162" s="91" t="s">
        <v>434</v>
      </c>
      <c r="V162" s="92">
        <f ca="1">SUM(V149:AE160)</f>
        <v>55.938175390210084</v>
      </c>
      <c r="W162" s="96" t="str">
        <f>$E$98</f>
        <v>t CH4</v>
      </c>
    </row>
    <row r="164" spans="1:24" ht="20.100000000000001" customHeight="1" x14ac:dyDescent="0.2">
      <c r="U164" s="117" t="str" cm="1">
        <f t="array" ref="U164:V165">Common_Equations.Common_ConvertCH4ToCO2e_Arguments()</f>
        <v>ECH4</v>
      </c>
      <c r="V164" s="118" t="str">
        <v>Methane emissions (t CH4)</v>
      </c>
      <c r="W164" s="119"/>
      <c r="X164" s="15">
        <f ca="1">VEERG_3_2_1_1__1_TotalAnnualMethaneFromEntericFermentation_Result_Method2</f>
        <v>55.938175390210084</v>
      </c>
    </row>
    <row r="165" spans="1:24" ht="20.100000000000001" customHeight="1" x14ac:dyDescent="0.2">
      <c r="U165" s="117" t="str">
        <v>GWPCH4</v>
      </c>
      <c r="V165" s="118" t="str">
        <v>Global warming potential for methane (t CO2-e / t CH4)</v>
      </c>
      <c r="W165" s="119"/>
      <c r="X165" s="15">
        <f>Common_InputFunctions.Utility_LookupValueInTableNumber("CH4",Table_GWPData[Gas],Table_GWPData[CO2-e factor])</f>
        <v>28</v>
      </c>
    </row>
    <row r="167" spans="1:24" ht="20.100000000000001" customHeight="1" x14ac:dyDescent="0.2">
      <c r="U167" s="88" t="s">
        <v>436</v>
      </c>
      <c r="V167" s="88" cm="1">
        <f t="array" aca="1" ref="V167" ca="1">Common_Equations.Common_ConvertN2OToCO2e(X164,X165)</f>
        <v>1566.2689109258824</v>
      </c>
      <c r="W167" s="95" t="str" cm="1">
        <f t="array" ref="W167">Common_Equations.Common_ConvertN2OToCO2e_Unit()</f>
        <v>t CO2e</v>
      </c>
    </row>
    <row r="177" spans="34:34" ht="20.100000000000001" customHeight="1" x14ac:dyDescent="0.2">
      <c r="AH177" s="16"/>
    </row>
    <row r="235" spans="17:17" ht="20.100000000000001" customHeight="1" x14ac:dyDescent="0.2">
      <c r="Q235" s="16"/>
    </row>
    <row r="236" spans="17:17" ht="20.100000000000001" customHeight="1" x14ac:dyDescent="0.2">
      <c r="Q236" s="16"/>
    </row>
    <row r="237" spans="17:17" ht="20.100000000000001" customHeight="1" x14ac:dyDescent="0.2">
      <c r="Q237" s="16"/>
    </row>
    <row r="238" spans="17:17" ht="20.100000000000001" customHeight="1" x14ac:dyDescent="0.2">
      <c r="Q238" s="16"/>
    </row>
    <row r="239" spans="17:17" ht="20.100000000000001" customHeight="1" x14ac:dyDescent="0.2">
      <c r="Q239" s="16"/>
    </row>
    <row r="240" spans="17:17" ht="20.100000000000001" customHeight="1" x14ac:dyDescent="0.2">
      <c r="Q240" s="16"/>
    </row>
    <row r="241" spans="17:34" ht="20.100000000000001" customHeight="1" x14ac:dyDescent="0.2">
      <c r="Q241" s="16"/>
    </row>
    <row r="242" spans="17:34" ht="20.100000000000001" customHeight="1" x14ac:dyDescent="0.2">
      <c r="Q242" s="16"/>
    </row>
    <row r="251" spans="17:34" ht="20.100000000000001" customHeight="1" x14ac:dyDescent="0.2">
      <c r="AH251" s="16"/>
    </row>
    <row r="252" spans="17:34" ht="20.100000000000001" customHeight="1" x14ac:dyDescent="0.2">
      <c r="AH252" s="16"/>
    </row>
    <row r="253" spans="17:34" ht="20.100000000000001" customHeight="1" x14ac:dyDescent="0.2">
      <c r="AH253" s="16"/>
    </row>
    <row r="254" spans="17:34" ht="20.100000000000001" customHeight="1" x14ac:dyDescent="0.2">
      <c r="AH254" s="16"/>
    </row>
    <row r="255" spans="17:34" ht="20.100000000000001" customHeight="1" x14ac:dyDescent="0.2">
      <c r="AH255" s="16"/>
    </row>
    <row r="256" spans="17:34" ht="20.100000000000001" customHeight="1" x14ac:dyDescent="0.2">
      <c r="AH256" s="16"/>
    </row>
    <row r="257" spans="34:34" ht="20.100000000000001" customHeight="1" x14ac:dyDescent="0.2">
      <c r="AH257" s="16"/>
    </row>
    <row r="258" spans="34:34" ht="20.100000000000001" customHeight="1" x14ac:dyDescent="0.2">
      <c r="AH258" s="16"/>
    </row>
    <row r="259" spans="34:34" ht="20.100000000000001" customHeight="1" x14ac:dyDescent="0.2">
      <c r="AH259" s="16"/>
    </row>
    <row r="260" spans="34:34" ht="20.100000000000001" customHeight="1" x14ac:dyDescent="0.2">
      <c r="AH260" s="16"/>
    </row>
    <row r="261" spans="34:34" ht="20.100000000000001" customHeight="1" x14ac:dyDescent="0.2">
      <c r="AH261" s="16"/>
    </row>
    <row r="262" spans="34:34" ht="20.100000000000001" customHeight="1" x14ac:dyDescent="0.2">
      <c r="AH262" s="16"/>
    </row>
    <row r="263" spans="34:34" ht="20.100000000000001" customHeight="1" x14ac:dyDescent="0.2">
      <c r="AH263" s="16"/>
    </row>
    <row r="264" spans="34:34" ht="20.100000000000001" customHeight="1" x14ac:dyDescent="0.2">
      <c r="AH264" s="16"/>
    </row>
    <row r="265" spans="34:34" ht="20.100000000000001" customHeight="1" x14ac:dyDescent="0.2">
      <c r="AH265" s="16"/>
    </row>
    <row r="266" spans="34:34" ht="20.100000000000001" customHeight="1" x14ac:dyDescent="0.2">
      <c r="AH266" s="16"/>
    </row>
    <row r="267" spans="34:34" ht="20.100000000000001" customHeight="1" x14ac:dyDescent="0.2">
      <c r="AH267" s="16"/>
    </row>
    <row r="268" spans="34:34" ht="20.100000000000001" customHeight="1" x14ac:dyDescent="0.2">
      <c r="AH268" s="16"/>
    </row>
    <row r="269" spans="34:34" ht="20.100000000000001" customHeight="1" x14ac:dyDescent="0.2">
      <c r="AH269" s="16"/>
    </row>
    <row r="270" spans="34:34" ht="20.100000000000001" customHeight="1" x14ac:dyDescent="0.2">
      <c r="AH270" s="16"/>
    </row>
    <row r="271" spans="34:34" ht="20.100000000000001" customHeight="1" x14ac:dyDescent="0.2">
      <c r="AH271" s="16"/>
    </row>
    <row r="272" spans="34:34" ht="20.100000000000001" customHeight="1" x14ac:dyDescent="0.2">
      <c r="AH272" s="16"/>
    </row>
    <row r="273" spans="34:34" ht="20.100000000000001" customHeight="1" x14ac:dyDescent="0.2">
      <c r="AH273" s="16"/>
    </row>
    <row r="274" spans="34:34" ht="20.100000000000001" customHeight="1" x14ac:dyDescent="0.2">
      <c r="AH274" s="16"/>
    </row>
  </sheetData>
  <dataValidations count="1">
    <dataValidation operator="equal" allowBlank="1" showInputMessage="1" showErrorMessage="1" sqref="E255 D100:G100 E258 V111 D103:I103 F119:J119" xr:uid="{4A92AD6E-50AE-4762-9F97-01DE9AB5CCE9}"/>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E23A6-BCD9-4D1D-8670-5158941FCD53}">
  <sheetPr>
    <tabColor rgb="FF008000"/>
  </sheetPr>
  <dimension ref="A1:AK281"/>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21" customFormat="1" ht="30" customHeight="1" x14ac:dyDescent="0.35">
      <c r="A1" s="10" t="e" vm="1">
        <v>#VALUE!</v>
      </c>
      <c r="C1" s="21" t="s">
        <v>372</v>
      </c>
    </row>
    <row r="2" spans="1:37" s="3" customFormat="1" ht="20.100000000000001" customHeight="1" x14ac:dyDescent="0.2">
      <c r="A2"/>
    </row>
    <row r="3" spans="1:37" ht="20.100000000000001" customHeight="1" x14ac:dyDescent="0.2">
      <c r="A3" s="5" t="str">
        <f>HYPERLINK("#'Home'!A1", "Home")</f>
        <v>Home</v>
      </c>
      <c r="C3" s="23"/>
      <c r="D3" s="23" t="s">
        <v>141</v>
      </c>
      <c r="E3" s="23"/>
      <c r="F3" s="23"/>
      <c r="G3" s="23"/>
      <c r="H3" s="23"/>
      <c r="I3" s="23"/>
      <c r="J3" s="23"/>
      <c r="K3" s="23"/>
      <c r="L3" s="23"/>
      <c r="M3" s="23"/>
      <c r="N3" s="23"/>
      <c r="O3" s="23"/>
      <c r="P3" s="23"/>
      <c r="Q3" s="23"/>
      <c r="R3" s="23"/>
      <c r="S3" s="23"/>
      <c r="T3" s="23"/>
      <c r="V3" s="23"/>
      <c r="W3" s="23" t="s">
        <v>142</v>
      </c>
      <c r="X3" s="23"/>
      <c r="Y3" s="23"/>
      <c r="Z3" s="23"/>
      <c r="AA3" s="23"/>
      <c r="AB3" s="23"/>
      <c r="AC3" s="23"/>
      <c r="AD3" s="23"/>
      <c r="AE3" s="23"/>
      <c r="AF3" s="23"/>
      <c r="AG3" s="23"/>
      <c r="AH3" s="23"/>
      <c r="AI3" s="23"/>
      <c r="AJ3" s="23"/>
      <c r="AK3" s="23"/>
    </row>
    <row r="4" spans="1:37" ht="20.100000000000001" customHeight="1" x14ac:dyDescent="0.2">
      <c r="A4" s="5" t="str">
        <f>HYPERLINK("#'Results - Activity period'!A1", "Results - Activity period")</f>
        <v>Results - Activity period</v>
      </c>
    </row>
    <row r="5" spans="1:37" ht="20.100000000000001" customHeight="1" x14ac:dyDescent="0.2">
      <c r="A5" s="5" t="str">
        <f>HYPERLINK("#'Results - Product EI'!A1", "Results - Product Emissions Intensity")</f>
        <v>Results - Product Emissions Intensity</v>
      </c>
      <c r="D5" s="2" t="s">
        <v>1314</v>
      </c>
    </row>
    <row r="6" spans="1:37" ht="20.100000000000001" customHeight="1" x14ac:dyDescent="0.2">
      <c r="D6" s="17" t="s">
        <v>1315</v>
      </c>
    </row>
    <row r="7" spans="1:37" ht="20.100000000000001" customHeight="1" x14ac:dyDescent="0.2">
      <c r="D7" s="104"/>
      <c r="E7" s="104" t="s">
        <v>373</v>
      </c>
    </row>
    <row r="8" spans="1:37" ht="20.100000000000001" customHeight="1" x14ac:dyDescent="0.2">
      <c r="A8" s="7" t="s">
        <v>0</v>
      </c>
    </row>
    <row r="9" spans="1:37" ht="20.100000000000001" customHeight="1" x14ac:dyDescent="0.2">
      <c r="A9" s="5" t="str">
        <f>HYPERLINK("#'Input - Enterprise'!A1", "Enterprise")</f>
        <v>Enterprise</v>
      </c>
    </row>
    <row r="10" spans="1:37" ht="20.100000000000001" customHeight="1" x14ac:dyDescent="0.2">
      <c r="A10" s="5" t="str">
        <f>HYPERLINK("#'Input - Site'!A1", "Site")</f>
        <v>Site</v>
      </c>
      <c r="D10" s="77" t="s">
        <v>374</v>
      </c>
      <c r="E10" s="1" t="s">
        <v>1316</v>
      </c>
    </row>
    <row r="11" spans="1:37" ht="20.100000000000001" customHeight="1" x14ac:dyDescent="0.2">
      <c r="A11" s="5" t="str">
        <f>HYPERLINK("#'Input - Pasture Beef'!A1", "Pasture Beef")</f>
        <v>Pasture Beef</v>
      </c>
      <c r="D11" s="77" t="s">
        <v>126</v>
      </c>
      <c r="E11" s="9" t="s">
        <v>347</v>
      </c>
    </row>
    <row r="12" spans="1:37" ht="20.100000000000001" customHeight="1" x14ac:dyDescent="0.2">
      <c r="A12" s="5" t="str">
        <f>HYPERLINK("#'Input - Livestock sales'!A1", "Livestock sales")</f>
        <v>Livestock sales</v>
      </c>
    </row>
    <row r="13" spans="1:37" ht="20.100000000000001" customHeight="1" x14ac:dyDescent="0.2">
      <c r="A13" s="5" t="str">
        <f>HYPERLINK("#'Input - Beef cattle purchases'!A1", "Beef cattle purchases")</f>
        <v>Beef cattle purchases</v>
      </c>
      <c r="D13" s="106" t="s">
        <v>1317</v>
      </c>
      <c r="E13" s="107" t="s">
        <v>1318</v>
      </c>
      <c r="F13" s="108"/>
      <c r="G13" s="109"/>
      <c r="H13" s="106" t="s">
        <v>347</v>
      </c>
      <c r="I13" s="110" t="s">
        <v>1325</v>
      </c>
      <c r="J13" s="112" t="str" cm="1">
        <f t="array" aca="1" ref="J13" ca="1">HYPERLINK(Common_InputFunctions.Utility_SourceHyperlink($D$19), $D$19)</f>
        <v>M1_Table_LC_j_k-4-5</v>
      </c>
    </row>
    <row r="14" spans="1:37" ht="20.100000000000001" customHeight="1" x14ac:dyDescent="0.2">
      <c r="A14" s="5" t="str">
        <f>HYPERLINK("#'Input - Pasture'!A1", "Pasture")</f>
        <v>Pasture</v>
      </c>
      <c r="D14" s="106" t="s">
        <v>1319</v>
      </c>
      <c r="E14" s="107" t="s">
        <v>1320</v>
      </c>
      <c r="F14" s="108"/>
      <c r="G14" s="109"/>
      <c r="H14" s="106" t="s">
        <v>347</v>
      </c>
      <c r="I14" s="111" t="s">
        <v>1326</v>
      </c>
      <c r="J14" s="106"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
      <c r="A15" s="5" t="str">
        <f>HYPERLINK("#'Input - Fert Prod System'!A1", "Fert Prod System")</f>
        <v>Fert Prod System</v>
      </c>
      <c r="D15" s="106" t="s">
        <v>1321</v>
      </c>
      <c r="E15" s="107" t="s">
        <v>1322</v>
      </c>
      <c r="F15" s="108"/>
      <c r="G15" s="109"/>
      <c r="H15" s="106" t="s">
        <v>347</v>
      </c>
      <c r="I15" s="111" t="s">
        <v>1326</v>
      </c>
      <c r="J15" s="106"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
      <c r="A16" s="5" t="str">
        <f>HYPERLINK("#'Input - Fertiliser'!A1", "Fertiliser")</f>
        <v>Fertiliser</v>
      </c>
      <c r="D16" s="106" t="s">
        <v>1323</v>
      </c>
      <c r="E16" s="107" t="s">
        <v>1324</v>
      </c>
      <c r="F16" s="108"/>
      <c r="G16" s="109"/>
      <c r="H16" s="106"/>
      <c r="I16" s="110" t="s">
        <v>1325</v>
      </c>
      <c r="J16" s="106" t="str">
        <f>X_Cell_PastureBeef_Breed</f>
        <v>Hereford or Shorthorn breeds</v>
      </c>
    </row>
    <row r="17" spans="1:36" ht="20.100000000000001" customHeight="1" x14ac:dyDescent="0.2">
      <c r="A17" s="5" t="str">
        <f>HYPERLINK("#'Input - Fuel'!A1", "Fuel")</f>
        <v>Fuel</v>
      </c>
    </row>
    <row r="18" spans="1:36" ht="20.100000000000001" customHeight="1" x14ac:dyDescent="0.2">
      <c r="A18" s="5" t="str">
        <f>HYPERLINK("#'Input - Electricity'!A1", "Electricity")</f>
        <v>Electricity</v>
      </c>
    </row>
    <row r="19" spans="1:36" ht="20.100000000000001" customHeight="1" x14ac:dyDescent="0.2">
      <c r="A19" s="5" t="str">
        <f>HYPERLINK("#'Input - Common farm inputs'!A1", "Common farm inputs")</f>
        <v>Common farm inputs</v>
      </c>
      <c r="D19" s="113" t="s">
        <v>375</v>
      </c>
      <c r="W19" s="113" t="s">
        <v>376</v>
      </c>
    </row>
    <row r="20" spans="1:36" ht="20.100000000000001" customHeight="1" x14ac:dyDescent="0.2">
      <c r="A20" s="5" t="str">
        <f>HYPERLINK("#'Input - Crop pasture farm input'!A1", "Crop pasture farm input")</f>
        <v>Crop pasture farm input</v>
      </c>
      <c r="D20" s="114" t="s">
        <v>377</v>
      </c>
      <c r="W20" s="114" t="s">
        <v>378</v>
      </c>
    </row>
    <row r="21" spans="1:36" ht="20.100000000000001" customHeight="1" x14ac:dyDescent="0.2">
      <c r="A21" s="5" t="str">
        <f>HYPERLINK("#'Input - Livestock farm Inputs'!A1", "Livestock farm Inputs")</f>
        <v>Livestock farm Inputs</v>
      </c>
      <c r="D21" s="115" t="s">
        <v>76</v>
      </c>
      <c r="E21" s="82" t="s">
        <v>358</v>
      </c>
      <c r="F21" s="82" t="s">
        <v>327</v>
      </c>
      <c r="G21" s="82" t="s">
        <v>328</v>
      </c>
      <c r="H21" s="82" t="s">
        <v>329</v>
      </c>
      <c r="W21" s="115" t="s">
        <v>75</v>
      </c>
      <c r="X21" s="82" t="s">
        <v>327</v>
      </c>
      <c r="Y21" s="82" t="s">
        <v>328</v>
      </c>
      <c r="Z21" s="82" t="s">
        <v>329</v>
      </c>
    </row>
    <row r="22" spans="1:36" ht="20.100000000000001" customHeight="1" x14ac:dyDescent="0.2">
      <c r="A22" s="5" t="str">
        <f>HYPERLINK("#'Input - Freight'!A1", "Freight")</f>
        <v>Freight</v>
      </c>
      <c r="D22" s="15" t="s">
        <v>334</v>
      </c>
      <c r="E22" s="15" t="str">
        <f>'Input - Pasture Beef'!$E169</f>
        <v>Yes</v>
      </c>
      <c r="F22" s="126">
        <f>'Input - Pasture Beef'!$F169</f>
        <v>0.1</v>
      </c>
      <c r="G22" s="126">
        <f>'Input - Pasture Beef'!$G169</f>
        <v>0.4</v>
      </c>
      <c r="H22" s="126">
        <f>'Input - Pasture Beef'!$H169</f>
        <v>0.4</v>
      </c>
      <c r="I22" s="16" t="s">
        <v>379</v>
      </c>
      <c r="W22" s="15" t="str">
        <f>TEXT(EDATE('Input - Pasture Beef'!$D$182,0), "mmmm") &amp; ", " &amp; TEXT(EDATE('Input - Pasture Beef'!$D$183,0), "mmmm") &amp; ", " &amp; TEXT(EDATE('Input - Pasture Beef'!$D$184,0), "mmmm")</f>
        <v>August, September, October</v>
      </c>
      <c r="X22" s="126">
        <f>'Input - Pasture Beef'!$E$185</f>
        <v>0.75</v>
      </c>
      <c r="Y22" s="126">
        <f>'Input - Pasture Beef'!$F$185</f>
        <v>0.75</v>
      </c>
      <c r="Z22" s="126">
        <f>'Input - Pasture Beef'!$G$185</f>
        <v>0.75</v>
      </c>
      <c r="AA22" s="16" t="s">
        <v>379</v>
      </c>
    </row>
    <row r="23" spans="1:36" ht="20.100000000000001" customHeight="1" x14ac:dyDescent="0.2">
      <c r="A23" s="5" t="str">
        <f>HYPERLINK("#'Input - Solid waste'!A1", "Solid waste")</f>
        <v>Solid waste</v>
      </c>
      <c r="D23" s="15" t="s">
        <v>335</v>
      </c>
      <c r="E23" s="15" t="str">
        <f>'Input - Pasture Beef'!$E170</f>
        <v>Yes</v>
      </c>
      <c r="F23" s="126">
        <f>'Input - Pasture Beef'!$F170</f>
        <v>0.1</v>
      </c>
      <c r="G23" s="126">
        <f>'Input - Pasture Beef'!$G170</f>
        <v>0</v>
      </c>
      <c r="H23" s="126">
        <f>'Input - Pasture Beef'!$H170</f>
        <v>0</v>
      </c>
      <c r="W23" s="15" t="str">
        <f>TEXT(EDATE('Input - Pasture Beef'!$D$184,1), "mmmm") &amp; ", " &amp; TEXT(EDATE('Input - Pasture Beef'!$D$184,2), "mmmm") &amp; ", " &amp; TEXT(EDATE('Input - Pasture Beef'!$D$184,3), "mmmm")</f>
        <v>November, December, January</v>
      </c>
      <c r="AA23" s="16"/>
    </row>
    <row r="24" spans="1:36" ht="20.100000000000001" customHeight="1" x14ac:dyDescent="0.2">
      <c r="A24" s="5" t="str">
        <f>HYPERLINK("#'Input - Manure sent off-site'!A1", "Manure sent off-site")</f>
        <v>Manure sent off-site</v>
      </c>
      <c r="D24" s="15" t="s">
        <v>336</v>
      </c>
      <c r="E24" s="15" t="str">
        <f>'Input - Pasture Beef'!$E171</f>
        <v>No</v>
      </c>
      <c r="F24" s="126">
        <f>'Input - Pasture Beef'!$F171</f>
        <v>0</v>
      </c>
      <c r="G24" s="126">
        <f>'Input - Pasture Beef'!$G171</f>
        <v>0</v>
      </c>
      <c r="H24" s="126">
        <f>'Input - Pasture Beef'!$H171</f>
        <v>0</v>
      </c>
      <c r="AA24" s="16"/>
    </row>
    <row r="25" spans="1:36" ht="20.100000000000001" customHeight="1" x14ac:dyDescent="0.2">
      <c r="A25" s="5" t="str">
        <f>HYPERLINK("#'Input - Data quality'!A1", "Data quality")</f>
        <v>Data quality</v>
      </c>
      <c r="D25" s="15" t="s">
        <v>337</v>
      </c>
      <c r="E25" s="15" t="str">
        <f>'Input - Pasture Beef'!$E168</f>
        <v>Yes</v>
      </c>
      <c r="F25" s="126">
        <f>'Input - Pasture Beef'!$F$168</f>
        <v>0.7</v>
      </c>
      <c r="G25" s="126">
        <f>'Input - Pasture Beef'!$G$168</f>
        <v>0.5</v>
      </c>
      <c r="H25" s="126">
        <f>'Input - Pasture Beef'!$H$168</f>
        <v>0.5</v>
      </c>
      <c r="W25" s="113" t="s">
        <v>380</v>
      </c>
    </row>
    <row r="26" spans="1:36" ht="20.100000000000001" customHeight="1" x14ac:dyDescent="0.2">
      <c r="W26" s="114" t="s">
        <v>381</v>
      </c>
    </row>
    <row r="27" spans="1:36" ht="20.100000000000001" customHeight="1" x14ac:dyDescent="0.2">
      <c r="D27" s="113" t="s">
        <v>382</v>
      </c>
      <c r="W27" s="115" t="s">
        <v>75</v>
      </c>
      <c r="X27" s="115" t="s">
        <v>358</v>
      </c>
      <c r="Y27" s="115" t="s">
        <v>383</v>
      </c>
      <c r="Z27" s="115" t="s">
        <v>325</v>
      </c>
      <c r="AA27" s="115" t="s">
        <v>189</v>
      </c>
      <c r="AB27" s="115" t="s">
        <v>326</v>
      </c>
      <c r="AC27" s="115" t="s">
        <v>327</v>
      </c>
      <c r="AD27" s="115" t="s">
        <v>328</v>
      </c>
      <c r="AE27" s="115" t="s">
        <v>329</v>
      </c>
      <c r="AF27" s="115" t="s">
        <v>330</v>
      </c>
      <c r="AG27" s="115" t="s">
        <v>331</v>
      </c>
      <c r="AH27" s="115" t="s">
        <v>332</v>
      </c>
      <c r="AI27" s="115" t="s">
        <v>333</v>
      </c>
    </row>
    <row r="28" spans="1:36" ht="20.100000000000001" customHeight="1" x14ac:dyDescent="0.2">
      <c r="A28" s="6" t="s">
        <v>2</v>
      </c>
      <c r="D28" s="114" t="s">
        <v>384</v>
      </c>
      <c r="W28" s="15" t="str">
        <f>TEXT(X_Cell_Site_StartDate,"mmmm")</f>
        <v>January</v>
      </c>
      <c r="X28" s="15" t="str" cm="1">
        <f t="array" ref="X28">IFERROR(_xlfn.IFS(SUMPRODUCT(ISNUMBER(SEARCH(TRIM(_xlfn.TEXTSPLIT($W$22,",")),W28))*1)&gt;0,"Calving season",SUMPRODUCT(ISNUMBER(SEARCH(TRIM(_xlfn.TEXTSPLIT($W$23,",")),W28))*1)&gt;0,"Season after calving"), "")</f>
        <v>Season after calving</v>
      </c>
      <c r="Y28" s="15" cm="1">
        <f t="array" ref="Y28">_xlfn.IFS(X28="Calving season", $J$14, X28="Season after calving", $J$15, X28="", "")</f>
        <v>1.1000000000000001</v>
      </c>
      <c r="Z28" s="15">
        <v>1</v>
      </c>
      <c r="AA28" s="15">
        <v>1</v>
      </c>
      <c r="AB28" s="15">
        <v>1</v>
      </c>
      <c r="AC28" s="15">
        <f>IFERROR(((X$22 * $Y28) + (1 - X$22)), 1)</f>
        <v>1.0750000000000002</v>
      </c>
      <c r="AD28" s="15">
        <f>IFERROR(((Y$22 * $Y28) + (1 - Y$22)), 1)</f>
        <v>1.0750000000000002</v>
      </c>
      <c r="AE28" s="15">
        <f>IFERROR(((Z$22 * $Y28) + (1 - Z$22)), 1)</f>
        <v>1.0750000000000002</v>
      </c>
      <c r="AF28" s="15">
        <v>1</v>
      </c>
      <c r="AG28" s="15">
        <v>1</v>
      </c>
      <c r="AH28" s="15">
        <v>1</v>
      </c>
      <c r="AI28" s="15">
        <v>1</v>
      </c>
      <c r="AJ28" s="16" t="str">
        <f>$E$11</f>
        <v>fraction</v>
      </c>
    </row>
    <row r="29" spans="1:36" ht="20.100000000000001" customHeight="1" x14ac:dyDescent="0.2">
      <c r="A29" s="5" t="str">
        <f>HYPERLINK("#'3.2.1.1-2 Enteric Methane'!A1", "3.2.1.1-2 Enteric Methane")</f>
        <v>3.2.1.1-2 Enteric Methane</v>
      </c>
      <c r="D29" s="115" t="s">
        <v>76</v>
      </c>
      <c r="E29" s="115" t="s">
        <v>358</v>
      </c>
      <c r="F29" s="115" t="s">
        <v>385</v>
      </c>
      <c r="G29" s="115" t="s">
        <v>383</v>
      </c>
      <c r="H29" s="115" t="s">
        <v>383</v>
      </c>
      <c r="I29" s="115" t="s">
        <v>325</v>
      </c>
      <c r="J29" s="115" t="s">
        <v>189</v>
      </c>
      <c r="K29" s="115" t="s">
        <v>326</v>
      </c>
      <c r="L29" s="115" t="s">
        <v>327</v>
      </c>
      <c r="M29" s="115" t="s">
        <v>328</v>
      </c>
      <c r="N29" s="115" t="s">
        <v>329</v>
      </c>
      <c r="O29" s="115" t="s">
        <v>330</v>
      </c>
      <c r="P29" s="115" t="s">
        <v>331</v>
      </c>
      <c r="Q29" s="115" t="s">
        <v>332</v>
      </c>
      <c r="R29" s="115" t="s">
        <v>333</v>
      </c>
      <c r="W29" s="15" t="str">
        <f>TEXT(EDATE(X_Cell_Site_StartDate,1), "mmmm")</f>
        <v>February</v>
      </c>
      <c r="X29" s="15" t="str" cm="1">
        <f t="array" ref="X29">IFERROR(_xlfn.IFS(SUMPRODUCT(ISNUMBER(SEARCH(TRIM(_xlfn.TEXTSPLIT($W$22,",")),W29))*1)&gt;0,"Calving season",SUMPRODUCT(ISNUMBER(SEARCH(TRIM(_xlfn.TEXTSPLIT($W$23,",")),W29))*1)&gt;0,"Season after calving"), "")</f>
        <v/>
      </c>
      <c r="Y29" s="15" t="str" cm="1">
        <f t="array" ref="Y29">_xlfn.IFS(X29="Calving season", $J$14, X29="Season after calving", $J$15, X29="", "")</f>
        <v/>
      </c>
      <c r="Z29" s="15">
        <v>1</v>
      </c>
      <c r="AA29" s="15">
        <v>1</v>
      </c>
      <c r="AB29" s="15">
        <v>1</v>
      </c>
      <c r="AC29" s="15">
        <f>IFERROR(((X$22 * $Y29) + (1 - X$22)), 1)</f>
        <v>1</v>
      </c>
      <c r="AD29" s="15">
        <f>IFERROR(((Y$22 * $Y29) + (1 - Y$22)), 1)</f>
        <v>1</v>
      </c>
      <c r="AE29" s="15">
        <f>IFERROR(((Z$22 * $Y29) + (1 - Z$22)), 1)</f>
        <v>1</v>
      </c>
      <c r="AF29" s="15">
        <v>1</v>
      </c>
      <c r="AG29" s="15">
        <v>1</v>
      </c>
      <c r="AH29" s="15">
        <v>1</v>
      </c>
      <c r="AI29" s="15">
        <v>1</v>
      </c>
      <c r="AJ29" s="16" t="str">
        <f t="shared" ref="AJ29:AJ39" si="0">$E$11</f>
        <v>fraction</v>
      </c>
    </row>
    <row r="30" spans="1:36" ht="20.100000000000001" customHeight="1" x14ac:dyDescent="0.2">
      <c r="A30" s="105" t="str">
        <f>HYPERLINK("#'4.2.1.1-2 Methane'!A1", "4.2.1.1-2 Manure methane")</f>
        <v>4.2.1.1-2 Manure methane</v>
      </c>
      <c r="D30" s="15" t="s">
        <v>334</v>
      </c>
      <c r="E30" s="15" t="str">
        <f>IF('Input - Pasture Beef'!E169="Yes", "Calving season", "")</f>
        <v>Calving season</v>
      </c>
      <c r="F30" s="15" t="str">
        <f>IF('Input - Pasture Beef'!E168="Yes", "Season after calving","")</f>
        <v>Season after calving</v>
      </c>
      <c r="G30" s="15">
        <f>IF(E30="Calving season", $J$14, 1)</f>
        <v>1.3</v>
      </c>
      <c r="H30" s="15">
        <f>IF(F30="Season after calving", $J$15, 1)</f>
        <v>1.1000000000000001</v>
      </c>
      <c r="I30" s="15">
        <v>1</v>
      </c>
      <c r="J30" s="15">
        <v>1</v>
      </c>
      <c r="K30" s="15">
        <v>1</v>
      </c>
      <c r="L30" s="116">
        <f>(((F22 * $G30) + (F25 * $H30)) + (1 - (F22 + F25)))</f>
        <v>1.1000000000000001</v>
      </c>
      <c r="M30" s="116">
        <f>(((G22 * $G30) + (G25 * $H30)) + (1 - (G22 + G25)))</f>
        <v>1.17</v>
      </c>
      <c r="N30" s="116">
        <f>(((H22 * $G30) + (H25 * $H30)) + (1 - (H22 + H25)))</f>
        <v>1.17</v>
      </c>
      <c r="O30" s="15">
        <v>1</v>
      </c>
      <c r="P30" s="15">
        <v>1</v>
      </c>
      <c r="Q30" s="15">
        <v>1</v>
      </c>
      <c r="R30" s="15">
        <v>1</v>
      </c>
      <c r="S30" s="16" t="str">
        <f>$E$11</f>
        <v>fraction</v>
      </c>
      <c r="W30" s="15" t="str">
        <f>TEXT(EDATE(X_Cell_Site_StartDate,2), "mmmm")</f>
        <v>March</v>
      </c>
      <c r="X30" s="15" t="str" cm="1">
        <f t="array" ref="X30">IFERROR(_xlfn.IFS(SUMPRODUCT(ISNUMBER(SEARCH(TRIM(_xlfn.TEXTSPLIT($W$22,",")),W30))*1)&gt;0,"Calving season",SUMPRODUCT(ISNUMBER(SEARCH(TRIM(_xlfn.TEXTSPLIT($W$23,",")),W30))*1)&gt;0,"Season after calving"), "")</f>
        <v/>
      </c>
      <c r="Y30" s="15" t="str" cm="1">
        <f t="array" ref="Y30">_xlfn.IFS(X30="Calving season", $J$14, X30="Season after calving", $J$15, X30="", "")</f>
        <v/>
      </c>
      <c r="Z30" s="15">
        <v>1</v>
      </c>
      <c r="AA30" s="15">
        <v>1</v>
      </c>
      <c r="AB30" s="15">
        <v>1</v>
      </c>
      <c r="AC30" s="15">
        <f>IFERROR(((X$22 * $Y30) + (1 - X$22)), 1)</f>
        <v>1</v>
      </c>
      <c r="AD30" s="15">
        <f>IFERROR(((Y$22 * $Y30) + (1 - Y$22)), 1)</f>
        <v>1</v>
      </c>
      <c r="AE30" s="15">
        <f>IFERROR(((Z$22 * $Y30) + (1 - Z$22)), 1)</f>
        <v>1</v>
      </c>
      <c r="AF30" s="15">
        <v>1</v>
      </c>
      <c r="AG30" s="15">
        <v>1</v>
      </c>
      <c r="AH30" s="15">
        <v>1</v>
      </c>
      <c r="AI30" s="15">
        <v>1</v>
      </c>
      <c r="AJ30" s="16" t="str">
        <f t="shared" si="0"/>
        <v>fraction</v>
      </c>
    </row>
    <row r="31" spans="1:36" ht="20.100000000000001" customHeight="1" x14ac:dyDescent="0.2">
      <c r="A31" s="5" t="str">
        <f>HYPERLINK("#'4.2.1.3-4 Soil direct N20'!A1", "4.2.1.3-4 Soil direct N2O")</f>
        <v>4.2.1.3-4 Soil direct N2O</v>
      </c>
      <c r="D31" s="15" t="s">
        <v>335</v>
      </c>
      <c r="E31" s="15" t="str">
        <f>IF('Input - Pasture Beef'!E170="Yes", "Calving season", "")</f>
        <v>Calving season</v>
      </c>
      <c r="F31" s="15" t="str">
        <f>IF('Input - Pasture Beef'!E169="Yes", "Season after calving","")</f>
        <v>Season after calving</v>
      </c>
      <c r="G31" s="15">
        <f>IF(E31="Calving season", $J$14, 1)</f>
        <v>1.3</v>
      </c>
      <c r="H31" s="15">
        <f>IF(F31="Season after calving", $J$15, 1)</f>
        <v>1.1000000000000001</v>
      </c>
      <c r="I31" s="15">
        <v>1</v>
      </c>
      <c r="J31" s="15">
        <v>1</v>
      </c>
      <c r="K31" s="15">
        <v>1</v>
      </c>
      <c r="L31" s="116">
        <f>(((F23 * $G31) + (F22 * $H31)) + (1 - (F23 + F22)))</f>
        <v>1.04</v>
      </c>
      <c r="M31" s="116">
        <f>(((G23 * $G31) + (G22 * $H31)) + (1 - (G23 + G22)))</f>
        <v>1.04</v>
      </c>
      <c r="N31" s="116">
        <f>(((H23 * $G31) + (H22 * $H31)) + (1 - (H23 + H22)))</f>
        <v>1.04</v>
      </c>
      <c r="O31" s="15">
        <v>1</v>
      </c>
      <c r="P31" s="15">
        <v>1</v>
      </c>
      <c r="Q31" s="15">
        <v>1</v>
      </c>
      <c r="R31" s="15">
        <v>1</v>
      </c>
      <c r="S31" s="16" t="str">
        <f t="shared" ref="S31:S33" si="1">$E$11</f>
        <v>fraction</v>
      </c>
      <c r="W31" s="15" t="str">
        <f>TEXT(EDATE(X_Cell_Site_StartDate,3), "mmmm")</f>
        <v>April</v>
      </c>
      <c r="X31" s="15" t="str" cm="1">
        <f t="array" ref="X31">IFERROR(_xlfn.IFS(SUMPRODUCT(ISNUMBER(SEARCH(TRIM(_xlfn.TEXTSPLIT($W$22,",")),W31))*1)&gt;0,"Calving season",SUMPRODUCT(ISNUMBER(SEARCH(TRIM(_xlfn.TEXTSPLIT($W$23,",")),W31))*1)&gt;0,"Season after calving"), "")</f>
        <v/>
      </c>
      <c r="Y31" s="15" t="str" cm="1">
        <f t="array" ref="Y31">_xlfn.IFS(X31="Calving season", $J$14, X31="Season after calving", $J$15, X31="", "")</f>
        <v/>
      </c>
      <c r="Z31" s="15">
        <v>1</v>
      </c>
      <c r="AA31" s="15">
        <v>1</v>
      </c>
      <c r="AB31" s="15">
        <v>1</v>
      </c>
      <c r="AC31" s="15">
        <f>IFERROR(((X$22 * $Y31) + (1 - X$22)), 1)</f>
        <v>1</v>
      </c>
      <c r="AD31" s="15">
        <f>IFERROR(((Y$22 * $Y31) + (1 - Y$22)), 1)</f>
        <v>1</v>
      </c>
      <c r="AE31" s="15">
        <f>IFERROR(((Z$22 * $Y31) + (1 - Z$22)), 1)</f>
        <v>1</v>
      </c>
      <c r="AF31" s="15">
        <v>1</v>
      </c>
      <c r="AG31" s="15">
        <v>1</v>
      </c>
      <c r="AH31" s="15">
        <v>1</v>
      </c>
      <c r="AI31" s="15">
        <v>1</v>
      </c>
      <c r="AJ31" s="16" t="str">
        <f t="shared" si="0"/>
        <v>fraction</v>
      </c>
    </row>
    <row r="32" spans="1:36" ht="20.100000000000001" customHeight="1" x14ac:dyDescent="0.2">
      <c r="A32" s="5" t="str">
        <f>HYPERLINK("#'4.2.1.5-6 Soil Atmos Dep'!A1", "4.2.1.5-6 Soil atm. deposition")</f>
        <v>4.2.1.5-6 Soil atm. deposition</v>
      </c>
      <c r="D32" s="15" t="s">
        <v>336</v>
      </c>
      <c r="E32" s="15" t="str">
        <f>IF('Input - Pasture Beef'!E171="Yes", "Calving season", "")</f>
        <v/>
      </c>
      <c r="F32" s="15" t="str">
        <f>IF('Input - Pasture Beef'!E170="Yes", "Season after calving","")</f>
        <v>Season after calving</v>
      </c>
      <c r="G32" s="15">
        <f>IF(E32="Calving season", $J$14, 1)</f>
        <v>1</v>
      </c>
      <c r="H32" s="15">
        <f>IF(F32="Season after calving", $J$15, 1)</f>
        <v>1.1000000000000001</v>
      </c>
      <c r="I32" s="15">
        <v>1</v>
      </c>
      <c r="J32" s="15">
        <v>1</v>
      </c>
      <c r="K32" s="15">
        <v>1</v>
      </c>
      <c r="L32" s="116">
        <f>(((F24 * $G32) + (F23 * $H32)) + (1 - (F24 + F23)))</f>
        <v>1.01</v>
      </c>
      <c r="M32" s="116">
        <f>(((G24 * $G32) + (G23 * $H32)) + (1 - (G24 + G23)))</f>
        <v>1</v>
      </c>
      <c r="N32" s="116">
        <f>(((H24 * $G32) + (H23 * $H32)) + (1 - (H24 + H23)))</f>
        <v>1</v>
      </c>
      <c r="O32" s="15">
        <v>1</v>
      </c>
      <c r="P32" s="15">
        <v>1</v>
      </c>
      <c r="Q32" s="15">
        <v>1</v>
      </c>
      <c r="R32" s="15">
        <v>1</v>
      </c>
      <c r="S32" s="16" t="str">
        <f t="shared" si="1"/>
        <v>fraction</v>
      </c>
      <c r="W32" s="15" t="str">
        <f>TEXT(EDATE(X_Cell_Site_StartDate,4), "mmmm")</f>
        <v>May</v>
      </c>
      <c r="X32" s="15" t="str" cm="1">
        <f t="array" ref="X32">IFERROR(_xlfn.IFS(SUMPRODUCT(ISNUMBER(SEARCH(TRIM(_xlfn.TEXTSPLIT($W$22,",")),W32))*1)&gt;0,"Calving season",SUMPRODUCT(ISNUMBER(SEARCH(TRIM(_xlfn.TEXTSPLIT($W$23,",")),W32))*1)&gt;0,"Season after calving"), "")</f>
        <v/>
      </c>
      <c r="Y32" s="15" t="str" cm="1">
        <f t="array" ref="Y32">_xlfn.IFS(X32="Calving season", $J$14, X32="Season after calving", $J$15, X32="", "")</f>
        <v/>
      </c>
      <c r="Z32" s="15">
        <v>1</v>
      </c>
      <c r="AA32" s="15">
        <v>1</v>
      </c>
      <c r="AB32" s="15">
        <v>1</v>
      </c>
      <c r="AC32" s="15">
        <f>IFERROR(((X$22 * $Y32) + (1 - X$22)), 1)</f>
        <v>1</v>
      </c>
      <c r="AD32" s="15">
        <f>IFERROR(((Y$22 * $Y32) + (1 - Y$22)), 1)</f>
        <v>1</v>
      </c>
      <c r="AE32" s="15">
        <f>IFERROR(((Z$22 * $Y32) + (1 - Z$22)), 1)</f>
        <v>1</v>
      </c>
      <c r="AF32" s="15">
        <v>1</v>
      </c>
      <c r="AG32" s="15">
        <v>1</v>
      </c>
      <c r="AH32" s="15">
        <v>1</v>
      </c>
      <c r="AI32" s="15">
        <v>1</v>
      </c>
      <c r="AJ32" s="16" t="str">
        <f t="shared" si="0"/>
        <v>fraction</v>
      </c>
    </row>
    <row r="33" spans="1:36" ht="20.100000000000001" customHeight="1" x14ac:dyDescent="0.2">
      <c r="A33" s="5" t="str">
        <f>HYPERLINK("#'4.2.1.7-8 Soil leach runoff'!A1", "4.2.1.7-8 Soil leach &amp; runoff")</f>
        <v>4.2.1.7-8 Soil leach &amp; runoff</v>
      </c>
      <c r="D33" s="15" t="s">
        <v>337</v>
      </c>
      <c r="E33" s="15" t="str">
        <f>IF('Input - Pasture Beef'!E168="Yes", "Calving season", "")</f>
        <v>Calving season</v>
      </c>
      <c r="F33" s="15" t="str">
        <f>IF('Input - Pasture Beef'!E171="Yes", "Season after calving","")</f>
        <v/>
      </c>
      <c r="G33" s="15">
        <f>IF(E33="Calving season", $J$14, 1)</f>
        <v>1.3</v>
      </c>
      <c r="H33" s="15">
        <f>IF(F33="Season after calving", $J$15, 1)</f>
        <v>1</v>
      </c>
      <c r="I33" s="15">
        <v>1</v>
      </c>
      <c r="J33" s="15">
        <v>1</v>
      </c>
      <c r="K33" s="15">
        <v>1</v>
      </c>
      <c r="L33" s="116">
        <f>(((F25 * $G33) + (F24 * $H33)) + (1 - (F25 + F24)))</f>
        <v>1.21</v>
      </c>
      <c r="M33" s="116">
        <f>(((G25 * $G33) + (G24 * $H33)) + (1 - (G25 + G24)))</f>
        <v>1.1499999999999999</v>
      </c>
      <c r="N33" s="116">
        <f>(((H25 * $G33) + (H24 * $H33)) + (1 - (H25 + H24)))</f>
        <v>1.1499999999999999</v>
      </c>
      <c r="O33" s="15">
        <v>1</v>
      </c>
      <c r="P33" s="15">
        <v>1</v>
      </c>
      <c r="Q33" s="15">
        <v>1</v>
      </c>
      <c r="R33" s="15">
        <v>1</v>
      </c>
      <c r="S33" s="16" t="str">
        <f t="shared" si="1"/>
        <v>fraction</v>
      </c>
      <c r="W33" s="15" t="str">
        <f>TEXT(EDATE(X_Cell_Site_StartDate,5), "mmmm")</f>
        <v>June</v>
      </c>
      <c r="X33" s="15" t="str" cm="1">
        <f t="array" ref="X33">IFERROR(_xlfn.IFS(SUMPRODUCT(ISNUMBER(SEARCH(TRIM(_xlfn.TEXTSPLIT($W$22,",")),W33))*1)&gt;0,"Calving season",SUMPRODUCT(ISNUMBER(SEARCH(TRIM(_xlfn.TEXTSPLIT($W$23,",")),W33))*1)&gt;0,"Season after calving"), "")</f>
        <v/>
      </c>
      <c r="Y33" s="15" t="str" cm="1">
        <f t="array" ref="Y33">_xlfn.IFS(X33="Calving season", $J$14, X33="Season after calving", $J$15, X33="", "")</f>
        <v/>
      </c>
      <c r="Z33" s="15">
        <v>1</v>
      </c>
      <c r="AA33" s="15">
        <v>1</v>
      </c>
      <c r="AB33" s="15">
        <v>1</v>
      </c>
      <c r="AC33" s="15">
        <f>IFERROR(((X$22 * $Y33) + (1 - X$22)), 1)</f>
        <v>1</v>
      </c>
      <c r="AD33" s="15">
        <f>IFERROR(((Y$22 * $Y33) + (1 - Y$22)), 1)</f>
        <v>1</v>
      </c>
      <c r="AE33" s="15">
        <f>IFERROR(((Z$22 * $Y33) + (1 - Z$22)), 1)</f>
        <v>1</v>
      </c>
      <c r="AF33" s="15">
        <v>1</v>
      </c>
      <c r="AG33" s="15">
        <v>1</v>
      </c>
      <c r="AH33" s="15">
        <v>1</v>
      </c>
      <c r="AI33" s="15">
        <v>1</v>
      </c>
      <c r="AJ33" s="16" t="str">
        <f t="shared" si="0"/>
        <v>fraction</v>
      </c>
    </row>
    <row r="34" spans="1:36" ht="20.100000000000001" customHeight="1" x14ac:dyDescent="0.2">
      <c r="A34" s="5" t="str">
        <f>HYPERLINK("#'5.1.1.1-2 Inorganic fert N2O'!A1", "5.1.1.1-2 Inorganic fert N2O")</f>
        <v>5.1.1.1-2 Inorganic fert N2O</v>
      </c>
      <c r="W34" s="15" t="str">
        <f>TEXT(EDATE(X_Cell_Site_StartDate,6), "mmmm")</f>
        <v>July</v>
      </c>
      <c r="X34" s="15" t="str" cm="1">
        <f t="array" ref="X34">IFERROR(_xlfn.IFS(SUMPRODUCT(ISNUMBER(SEARCH(TRIM(_xlfn.TEXTSPLIT($W$22,",")),W34))*1)&gt;0,"Calving season",SUMPRODUCT(ISNUMBER(SEARCH(TRIM(_xlfn.TEXTSPLIT($W$23,",")),W34))*1)&gt;0,"Season after calving"), "")</f>
        <v/>
      </c>
      <c r="Y34" s="15" t="str" cm="1">
        <f t="array" ref="Y34">_xlfn.IFS(X34="Calving season", $J$14, X34="Season after calving", $J$15, X34="", "")</f>
        <v/>
      </c>
      <c r="Z34" s="15">
        <v>1</v>
      </c>
      <c r="AA34" s="15">
        <v>1</v>
      </c>
      <c r="AB34" s="15">
        <v>1</v>
      </c>
      <c r="AC34" s="15">
        <f>IFERROR(((X$22 * $Y34) + (1 - X$22)), 1)</f>
        <v>1</v>
      </c>
      <c r="AD34" s="15">
        <f>IFERROR(((Y$22 * $Y34) + (1 - Y$22)), 1)</f>
        <v>1</v>
      </c>
      <c r="AE34" s="15">
        <f>IFERROR(((Z$22 * $Y34) + (1 - Z$22)), 1)</f>
        <v>1</v>
      </c>
      <c r="AF34" s="15">
        <v>1</v>
      </c>
      <c r="AG34" s="15">
        <v>1</v>
      </c>
      <c r="AH34" s="15">
        <v>1</v>
      </c>
      <c r="AI34" s="15">
        <v>1</v>
      </c>
      <c r="AJ34" s="16" t="str">
        <f t="shared" si="0"/>
        <v>fraction</v>
      </c>
    </row>
    <row r="35" spans="1:36" ht="20.100000000000001" customHeight="1" x14ac:dyDescent="0.2">
      <c r="A35" s="5" t="str">
        <f>HYPERLINK("#'5.1.1.3-4 Inorganic fert CO2'!A1", "5.1.1.3-4 Inorganic fert CO2")</f>
        <v>5.1.1.3-4 Inorganic fert CO2</v>
      </c>
      <c r="W35" s="15" t="str">
        <f>TEXT(EDATE(X_Cell_Site_StartDate,7), "mmmm")</f>
        <v>August</v>
      </c>
      <c r="X35" s="15" t="str" cm="1">
        <f t="array" ref="X35">IFERROR(_xlfn.IFS(SUMPRODUCT(ISNUMBER(SEARCH(TRIM(_xlfn.TEXTSPLIT($W$22,",")),W35))*1)&gt;0,"Calving season",SUMPRODUCT(ISNUMBER(SEARCH(TRIM(_xlfn.TEXTSPLIT($W$23,",")),W35))*1)&gt;0,"Season after calving"), "")</f>
        <v>Calving season</v>
      </c>
      <c r="Y35" s="15" cm="1">
        <f t="array" ref="Y35">_xlfn.IFS(X35="Calving season", $J$14, X35="Season after calving", $J$15, X35="", "")</f>
        <v>1.3</v>
      </c>
      <c r="Z35" s="15">
        <v>1</v>
      </c>
      <c r="AA35" s="15">
        <v>1</v>
      </c>
      <c r="AB35" s="15">
        <v>1</v>
      </c>
      <c r="AC35" s="15">
        <f>IFERROR(((X$22 * $Y35) + (1 - X$22)), 1)</f>
        <v>1.2250000000000001</v>
      </c>
      <c r="AD35" s="15">
        <f>IFERROR(((Y$22 * $Y35) + (1 - Y$22)), 1)</f>
        <v>1.2250000000000001</v>
      </c>
      <c r="AE35" s="15">
        <f>IFERROR(((Z$22 * $Y35) + (1 - Z$22)), 1)</f>
        <v>1.2250000000000001</v>
      </c>
      <c r="AF35" s="15">
        <v>1</v>
      </c>
      <c r="AG35" s="15">
        <v>1</v>
      </c>
      <c r="AH35" s="15">
        <v>1</v>
      </c>
      <c r="AI35" s="15">
        <v>1</v>
      </c>
      <c r="AJ35" s="16" t="str">
        <f t="shared" si="0"/>
        <v>fraction</v>
      </c>
    </row>
    <row r="36" spans="1:36" ht="20.100000000000001" customHeight="1" x14ac:dyDescent="0.2">
      <c r="A36" s="5" t="str">
        <f>HYPERLINK("#'5.2.1.1-2 Organic Fert N2O'!A1", "5.2.1.1-2 Organic fert N2O")</f>
        <v>5.2.1.1-2 Organic fert N2O</v>
      </c>
      <c r="C36" s="88"/>
      <c r="D36" s="88"/>
      <c r="E36" s="88"/>
      <c r="F36" s="88"/>
      <c r="G36" s="88"/>
      <c r="H36" s="88"/>
      <c r="I36" s="88"/>
      <c r="J36" s="88"/>
      <c r="K36" s="88"/>
      <c r="L36" s="88"/>
      <c r="M36" s="88"/>
      <c r="N36" s="88"/>
      <c r="O36" s="88"/>
      <c r="P36" s="88"/>
      <c r="Q36" s="88"/>
      <c r="R36" s="88"/>
      <c r="S36" s="88"/>
      <c r="T36" s="88"/>
      <c r="W36" s="15" t="str">
        <f>TEXT(EDATE(X_Cell_Site_StartDate,8), "mmmm")</f>
        <v>September</v>
      </c>
      <c r="X36" s="15" t="str" cm="1">
        <f t="array" ref="X36">IFERROR(_xlfn.IFS(SUMPRODUCT(ISNUMBER(SEARCH(TRIM(_xlfn.TEXTSPLIT($W$22,",")),W36))*1)&gt;0,"Calving season",SUMPRODUCT(ISNUMBER(SEARCH(TRIM(_xlfn.TEXTSPLIT($W$23,",")),W36))*1)&gt;0,"Season after calving"), "")</f>
        <v>Calving season</v>
      </c>
      <c r="Y36" s="15" cm="1">
        <f t="array" ref="Y36">_xlfn.IFS(X36="Calving season", $J$14, X36="Season after calving", $J$15, X36="", "")</f>
        <v>1.3</v>
      </c>
      <c r="Z36" s="15">
        <v>1</v>
      </c>
      <c r="AA36" s="15">
        <v>1</v>
      </c>
      <c r="AB36" s="15">
        <v>1</v>
      </c>
      <c r="AC36" s="15">
        <f>IFERROR(((X$22 * $Y36) + (1 - X$22)), 1)</f>
        <v>1.2250000000000001</v>
      </c>
      <c r="AD36" s="15">
        <f>IFERROR(((Y$22 * $Y36) + (1 - Y$22)), 1)</f>
        <v>1.2250000000000001</v>
      </c>
      <c r="AE36" s="15">
        <f>IFERROR(((Z$22 * $Y36) + (1 - Z$22)), 1)</f>
        <v>1.2250000000000001</v>
      </c>
      <c r="AF36" s="15">
        <v>1</v>
      </c>
      <c r="AG36" s="15">
        <v>1</v>
      </c>
      <c r="AH36" s="15">
        <v>1</v>
      </c>
      <c r="AI36" s="15">
        <v>1</v>
      </c>
      <c r="AJ36" s="16" t="str">
        <f t="shared" si="0"/>
        <v>fraction</v>
      </c>
    </row>
    <row r="37" spans="1:36" ht="20.100000000000001" customHeight="1" x14ac:dyDescent="0.2">
      <c r="A37" s="5" t="str">
        <f>HYPERLINK("#'5.3.1.1-2 Lime CO2'!A1", "5.3.1.1-2 Lime CO2")</f>
        <v>5.3.1.1-2 Lime CO2</v>
      </c>
      <c r="D37" s="2" t="s">
        <v>1327</v>
      </c>
      <c r="W37" s="15" t="str">
        <f>TEXT(EDATE(X_Cell_Site_StartDate,9), "mmmm")</f>
        <v>October</v>
      </c>
      <c r="X37" s="15" t="str" cm="1">
        <f t="array" ref="X37">IFERROR(_xlfn.IFS(SUMPRODUCT(ISNUMBER(SEARCH(TRIM(_xlfn.TEXTSPLIT($W$22,",")),W37))*1)&gt;0,"Calving season",SUMPRODUCT(ISNUMBER(SEARCH(TRIM(_xlfn.TEXTSPLIT($W$23,",")),W37))*1)&gt;0,"Season after calving"), "")</f>
        <v>Calving season</v>
      </c>
      <c r="Y37" s="15" cm="1">
        <f t="array" ref="Y37">_xlfn.IFS(X37="Calving season", $J$14, X37="Season after calving", $J$15, X37="", "")</f>
        <v>1.3</v>
      </c>
      <c r="Z37" s="15">
        <v>1</v>
      </c>
      <c r="AA37" s="15">
        <v>1</v>
      </c>
      <c r="AB37" s="15">
        <v>1</v>
      </c>
      <c r="AC37" s="15">
        <f>IFERROR(((X$22 * $Y37) + (1 - X$22)), 1)</f>
        <v>1.2250000000000001</v>
      </c>
      <c r="AD37" s="15">
        <f>IFERROR(((Y$22 * $Y37) + (1 - Y$22)), 1)</f>
        <v>1.2250000000000001</v>
      </c>
      <c r="AE37" s="15">
        <f>IFERROR(((Z$22 * $Y37) + (1 - Z$22)), 1)</f>
        <v>1.2250000000000001</v>
      </c>
      <c r="AF37" s="15">
        <v>1</v>
      </c>
      <c r="AG37" s="15">
        <v>1</v>
      </c>
      <c r="AH37" s="15">
        <v>1</v>
      </c>
      <c r="AI37" s="15">
        <v>1</v>
      </c>
      <c r="AJ37" s="16" t="str">
        <f t="shared" si="0"/>
        <v>fraction</v>
      </c>
    </row>
    <row r="38" spans="1:36" ht="20.100000000000001" customHeight="1" x14ac:dyDescent="0.2">
      <c r="A38" s="5" t="str">
        <f>HYPERLINK("#'5.4.1.1-4 Atmos deposition'!A1", "5.4.1.1-4 Atmos. deposition")</f>
        <v>5.4.1.1-4 Atmos. deposition</v>
      </c>
      <c r="D38" s="17" t="s">
        <v>1328</v>
      </c>
      <c r="K38" s="1" t="s">
        <v>386</v>
      </c>
      <c r="L38" s="1" t="s">
        <v>387</v>
      </c>
      <c r="M38" s="1" t="s">
        <v>388</v>
      </c>
      <c r="W38" s="15" t="str">
        <f>TEXT(EDATE(X_Cell_Site_StartDate,10), "mmmm")</f>
        <v>November</v>
      </c>
      <c r="X38" s="15" t="str" cm="1">
        <f t="array" ref="X38">IFERROR(_xlfn.IFS(SUMPRODUCT(ISNUMBER(SEARCH(TRIM(_xlfn.TEXTSPLIT($W$22,",")),W38))*1)&gt;0,"Calving season",SUMPRODUCT(ISNUMBER(SEARCH(TRIM(_xlfn.TEXTSPLIT($W$23,",")),W38))*1)&gt;0,"Season after calving"), "")</f>
        <v>Season after calving</v>
      </c>
      <c r="Y38" s="15" cm="1">
        <f t="array" ref="Y38">_xlfn.IFS(X38="Calving season", $J$14, X38="Season after calving", $J$15, X38="", "")</f>
        <v>1.1000000000000001</v>
      </c>
      <c r="Z38" s="15">
        <v>1</v>
      </c>
      <c r="AA38" s="15">
        <v>1</v>
      </c>
      <c r="AB38" s="15">
        <v>1</v>
      </c>
      <c r="AC38" s="15">
        <f>IFERROR(((X$22 * $Y38) + (1 - X$22)), 1)</f>
        <v>1.0750000000000002</v>
      </c>
      <c r="AD38" s="15">
        <f>IFERROR(((Y$22 * $Y38) + (1 - Y$22)), 1)</f>
        <v>1.0750000000000002</v>
      </c>
      <c r="AE38" s="15">
        <f>IFERROR(((Z$22 * $Y38) + (1 - Z$22)), 1)</f>
        <v>1.0750000000000002</v>
      </c>
      <c r="AF38" s="15">
        <v>1</v>
      </c>
      <c r="AG38" s="15">
        <v>1</v>
      </c>
      <c r="AH38" s="15">
        <v>1</v>
      </c>
      <c r="AI38" s="15">
        <v>1</v>
      </c>
      <c r="AJ38" s="16" t="str">
        <f t="shared" si="0"/>
        <v>fraction</v>
      </c>
    </row>
    <row r="39" spans="1:36" ht="20.100000000000001" customHeight="1" x14ac:dyDescent="0.2">
      <c r="A39" s="5" t="str">
        <f>HYPERLINK("#'5.5.1.1-2 Leaching and runoff'!A1", "5.5.1.1-2 Leaching &amp; runoff")</f>
        <v>5.5.1.1-2 Leaching &amp; runoff</v>
      </c>
      <c r="D39" s="104"/>
      <c r="E39" s="104"/>
      <c r="W39" s="15" t="str">
        <f>TEXT(EDATE(X_Cell_Site_StartDate,11), "mmmm")</f>
        <v>December</v>
      </c>
      <c r="X39" s="15" t="str" cm="1">
        <f t="array" ref="X39">IFERROR(_xlfn.IFS(SUMPRODUCT(ISNUMBER(SEARCH(TRIM(_xlfn.TEXTSPLIT($W$22,",")),W39))*1)&gt;0,"Calving season",SUMPRODUCT(ISNUMBER(SEARCH(TRIM(_xlfn.TEXTSPLIT($W$23,",")),W39))*1)&gt;0,"Season after calving"), "")</f>
        <v>Season after calving</v>
      </c>
      <c r="Y39" s="15" cm="1">
        <f t="array" ref="Y39">_xlfn.IFS(X39="Calving season", $J$14, X39="Season after calving", $J$15, X39="", "")</f>
        <v>1.1000000000000001</v>
      </c>
      <c r="Z39" s="15">
        <v>1</v>
      </c>
      <c r="AA39" s="15">
        <v>1</v>
      </c>
      <c r="AB39" s="15">
        <v>1</v>
      </c>
      <c r="AC39" s="15">
        <f>IFERROR(((X$22 * $Y39) + (1 - X$22)), 1)</f>
        <v>1.0750000000000002</v>
      </c>
      <c r="AD39" s="15">
        <f>IFERROR(((Y$22 * $Y39) + (1 - Y$22)), 1)</f>
        <v>1.0750000000000002</v>
      </c>
      <c r="AE39" s="15">
        <f>IFERROR(((Z$22 * $Y39) + (1 - Z$22)), 1)</f>
        <v>1.0750000000000002</v>
      </c>
      <c r="AF39" s="15">
        <v>1</v>
      </c>
      <c r="AG39" s="15">
        <v>1</v>
      </c>
      <c r="AH39" s="15">
        <v>1</v>
      </c>
      <c r="AI39" s="15">
        <v>1</v>
      </c>
      <c r="AJ39" s="16" t="str">
        <f t="shared" si="0"/>
        <v>fraction</v>
      </c>
    </row>
    <row r="40" spans="1:36" ht="20.100000000000001" customHeight="1" x14ac:dyDescent="0.2">
      <c r="A40" s="5" t="str">
        <f>HYPERLINK("#'6.2.1.1-2 Pasture residue N2O'!A1", "6.2.1.1-2 Pasture residue N2O")</f>
        <v>6.2.1.1-2 Pasture residue N2O</v>
      </c>
    </row>
    <row r="41" spans="1:36" ht="20.100000000000001" customHeight="1" x14ac:dyDescent="0.2">
      <c r="A41" s="5" t="str">
        <f>HYPERLINK("#'6.3.1.1-2 Leach runoff pasture'!A1", "6.3.1.1-2 Leach &amp; runoff (pasture)")</f>
        <v>6.3.1.1-2 Leach &amp; runoff (pasture)</v>
      </c>
      <c r="W41" s="113" t="s">
        <v>389</v>
      </c>
    </row>
    <row r="42" spans="1:36" ht="20.100000000000001" customHeight="1" x14ac:dyDescent="0.2">
      <c r="A42" s="5" t="str">
        <f>HYPERLINK("#'8.1.1.1-2 Transport fuel'!A1", "8.1.1.1-2 Transport fuel")</f>
        <v>8.1.1.1-2 Transport fuel</v>
      </c>
      <c r="D42" s="77" t="s">
        <v>374</v>
      </c>
      <c r="E42" s="1" t="s">
        <v>1330</v>
      </c>
      <c r="W42" s="114" t="s">
        <v>390</v>
      </c>
    </row>
    <row r="43" spans="1:36" ht="20.100000000000001" customHeight="1" x14ac:dyDescent="0.2">
      <c r="A43" s="5" t="str">
        <f>HYPERLINK("#'8.2.1.1-2 Stationary fuel'!A1", "8.2.1.1-2 Stationary fuel")</f>
        <v>8.2.1.1-2 Stationary fuel</v>
      </c>
      <c r="D43" s="77" t="s">
        <v>126</v>
      </c>
      <c r="E43" s="9" t="s">
        <v>1331</v>
      </c>
      <c r="W43" s="115" t="s">
        <v>75</v>
      </c>
      <c r="X43" s="82" t="s">
        <v>325</v>
      </c>
      <c r="Y43" s="82" t="s">
        <v>189</v>
      </c>
      <c r="Z43" s="82" t="s">
        <v>326</v>
      </c>
      <c r="AA43" s="82" t="s">
        <v>327</v>
      </c>
      <c r="AB43" s="82" t="s">
        <v>328</v>
      </c>
      <c r="AC43" s="82" t="s">
        <v>329</v>
      </c>
      <c r="AD43" s="82" t="s">
        <v>330</v>
      </c>
      <c r="AE43" s="82" t="s">
        <v>331</v>
      </c>
      <c r="AF43" s="82" t="s">
        <v>332</v>
      </c>
      <c r="AG43" s="82" t="s">
        <v>333</v>
      </c>
      <c r="AH43" s="16"/>
    </row>
    <row r="44" spans="1:36" ht="20.100000000000001" customHeight="1" x14ac:dyDescent="0.2">
      <c r="A44" s="5" t="str">
        <f>HYPERLINK("#'10.1.1-2 Solid waste treatment'!A1", "10.1.1.1-2 Solid waste")</f>
        <v>10.1.1.1-2 Solid waste</v>
      </c>
      <c r="W44" s="15" t="str">
        <f>TEXT(X_Cell_Site_StartDate,"mmmm")</f>
        <v>January</v>
      </c>
      <c r="X44" s="15" cm="1">
        <f t="array" aca="1" ref="X44:AG55" ca="1">OFFSET(X_Table_PastureBeef_Liveweight_Method2, 1,1, 12,10)</f>
        <v>380</v>
      </c>
      <c r="Y44" s="15">
        <f ca="1"/>
        <v>780</v>
      </c>
      <c r="Z44" s="15">
        <f ca="1"/>
        <v>300</v>
      </c>
      <c r="AA44" s="15">
        <f ca="1"/>
        <v>450</v>
      </c>
      <c r="AB44" s="15">
        <f ca="1"/>
        <v>530</v>
      </c>
      <c r="AC44" s="15">
        <f ca="1"/>
        <v>530</v>
      </c>
      <c r="AD44" s="15">
        <f ca="1"/>
        <v>340</v>
      </c>
      <c r="AE44" s="15">
        <f ca="1"/>
        <v>470</v>
      </c>
      <c r="AF44" s="15">
        <f ca="1"/>
        <v>470</v>
      </c>
      <c r="AG44" s="15">
        <f ca="1"/>
        <v>470</v>
      </c>
      <c r="AH44" s="16" t="s">
        <v>343</v>
      </c>
    </row>
    <row r="45" spans="1:36" ht="20.100000000000001" customHeight="1" x14ac:dyDescent="0.2">
      <c r="A45" s="5" t="str">
        <f>HYPERLINK("#'14.1.1-2 Purchased electricity'!A1", "14.1.1-2 Purchased electricity")</f>
        <v>14.1.1-2 Purchased electricity</v>
      </c>
      <c r="D45" s="106" t="s">
        <v>1332</v>
      </c>
      <c r="E45" s="107" t="s">
        <v>1333</v>
      </c>
      <c r="F45" s="109"/>
      <c r="G45" s="106" t="s">
        <v>653</v>
      </c>
      <c r="H45" s="110" t="s">
        <v>1325</v>
      </c>
      <c r="I45" s="112" t="str" cm="1">
        <f t="array" aca="1" ref="I45" ca="1">HYPERLINK(Common_InputFunctions.Utility_SourceHyperlink($D$49), $D$49)</f>
        <v>M1_Table_W_j_k_l</v>
      </c>
      <c r="W45" s="15" t="str">
        <f>TEXT(EDATE(X_Cell_Site_StartDate,1), "mmmm")</f>
        <v>February</v>
      </c>
      <c r="X45" s="15">
        <f ca="1"/>
        <v>380</v>
      </c>
      <c r="Y45" s="15">
        <f ca="1"/>
        <v>780</v>
      </c>
      <c r="Z45" s="15">
        <f ca="1"/>
        <v>300</v>
      </c>
      <c r="AA45" s="15">
        <f ca="1"/>
        <v>450</v>
      </c>
      <c r="AB45" s="15">
        <f ca="1"/>
        <v>530</v>
      </c>
      <c r="AC45" s="15">
        <f ca="1"/>
        <v>530</v>
      </c>
      <c r="AD45" s="15">
        <f ca="1"/>
        <v>340</v>
      </c>
      <c r="AE45" s="15">
        <f ca="1"/>
        <v>470</v>
      </c>
      <c r="AF45" s="15">
        <f ca="1"/>
        <v>470</v>
      </c>
      <c r="AG45" s="15">
        <f ca="1"/>
        <v>470</v>
      </c>
      <c r="AH45" s="16" t="s">
        <v>343</v>
      </c>
    </row>
    <row r="46" spans="1:36" ht="20.100000000000001" customHeight="1" x14ac:dyDescent="0.2">
      <c r="A46" s="5" t="str">
        <f>HYPERLINK("#'15 Scope 3'!A1", "15 Scope 3")</f>
        <v>15 Scope 3</v>
      </c>
      <c r="D46" s="106" t="s">
        <v>1334</v>
      </c>
      <c r="E46" s="107" t="s">
        <v>1335</v>
      </c>
      <c r="F46" s="109"/>
      <c r="G46" s="106" t="s">
        <v>345</v>
      </c>
      <c r="H46" s="110" t="s">
        <v>1325</v>
      </c>
      <c r="I46" s="112" t="str" cm="1">
        <f t="array" aca="1" ref="I46" ca="1">HYPERLINK(Common_InputFunctions.Utility_SourceHyperlink($D$65), $D$65)</f>
        <v>M1_Table_LWG_j_k_l</v>
      </c>
      <c r="W46" s="15" t="str">
        <f>TEXT(EDATE(X_Cell_Site_StartDate,2), "mmmm")</f>
        <v>March</v>
      </c>
      <c r="X46" s="15">
        <f ca="1"/>
        <v>100</v>
      </c>
      <c r="Y46" s="15">
        <f ca="1"/>
        <v>680</v>
      </c>
      <c r="Z46" s="15">
        <f ca="1"/>
        <v>80</v>
      </c>
      <c r="AA46" s="15">
        <f ca="1"/>
        <v>320</v>
      </c>
      <c r="AB46" s="15">
        <f ca="1"/>
        <v>480</v>
      </c>
      <c r="AC46" s="15">
        <f ca="1"/>
        <v>480</v>
      </c>
      <c r="AD46" s="15">
        <f ca="1"/>
        <v>100</v>
      </c>
      <c r="AE46" s="15">
        <f ca="1"/>
        <v>340</v>
      </c>
      <c r="AF46" s="15">
        <f ca="1"/>
        <v>340</v>
      </c>
      <c r="AG46" s="15">
        <f ca="1"/>
        <v>340</v>
      </c>
      <c r="AH46" s="16" t="s">
        <v>343</v>
      </c>
    </row>
    <row r="47" spans="1:36" ht="20.100000000000001" customHeight="1" x14ac:dyDescent="0.2">
      <c r="A47" s="5" t="str">
        <f>HYPERLINK("#'Calcs - Manure sent off-site'!A1", "Calcs - Manure sent off-site")</f>
        <v>Calcs - Manure sent off-site</v>
      </c>
      <c r="D47" s="106" t="s">
        <v>1316</v>
      </c>
      <c r="E47" s="107" t="s">
        <v>1336</v>
      </c>
      <c r="F47" s="109"/>
      <c r="G47" s="106" t="s">
        <v>345</v>
      </c>
      <c r="H47" s="111" t="s">
        <v>1337</v>
      </c>
      <c r="I47" s="112" t="str" cm="1">
        <f t="array" aca="1" ref="I47" ca="1">HYPERLINK(Common_InputFunctions.Utility_SourceHyperlink($D$27), $D$27)</f>
        <v>M1_Table_MA_j_k-4-5</v>
      </c>
      <c r="W47" s="15" t="str">
        <f>TEXT(EDATE(X_Cell_Site_StartDate,3), "mmmm")</f>
        <v>April</v>
      </c>
      <c r="X47" s="15">
        <f ca="1"/>
        <v>100</v>
      </c>
      <c r="Y47" s="15">
        <f ca="1"/>
        <v>680</v>
      </c>
      <c r="Z47" s="15">
        <f ca="1"/>
        <v>80</v>
      </c>
      <c r="AA47" s="15">
        <f ca="1"/>
        <v>320</v>
      </c>
      <c r="AB47" s="15">
        <f ca="1"/>
        <v>480</v>
      </c>
      <c r="AC47" s="15">
        <f ca="1"/>
        <v>480</v>
      </c>
      <c r="AD47" s="15">
        <f ca="1"/>
        <v>100</v>
      </c>
      <c r="AE47" s="15">
        <f ca="1"/>
        <v>340</v>
      </c>
      <c r="AF47" s="15">
        <f ca="1"/>
        <v>340</v>
      </c>
      <c r="AG47" s="15">
        <f ca="1"/>
        <v>340</v>
      </c>
      <c r="AH47" s="16" t="s">
        <v>343</v>
      </c>
    </row>
    <row r="48" spans="1:36" ht="20.100000000000001" customHeight="1" x14ac:dyDescent="0.2">
      <c r="W48" s="15" t="str">
        <f>TEXT(EDATE(X_Cell_Site_StartDate,4), "mmmm")</f>
        <v>May</v>
      </c>
      <c r="X48" s="15">
        <f ca="1"/>
        <v>100</v>
      </c>
      <c r="Y48" s="15">
        <f ca="1"/>
        <v>680</v>
      </c>
      <c r="Z48" s="15">
        <f ca="1"/>
        <v>80</v>
      </c>
      <c r="AA48" s="15">
        <f ca="1"/>
        <v>320</v>
      </c>
      <c r="AB48" s="15">
        <f ca="1"/>
        <v>480</v>
      </c>
      <c r="AC48" s="15">
        <f ca="1"/>
        <v>480</v>
      </c>
      <c r="AD48" s="15">
        <f ca="1"/>
        <v>100</v>
      </c>
      <c r="AE48" s="15">
        <f ca="1"/>
        <v>340</v>
      </c>
      <c r="AF48" s="15">
        <f ca="1"/>
        <v>340</v>
      </c>
      <c r="AG48" s="15">
        <f ca="1"/>
        <v>340</v>
      </c>
      <c r="AH48" s="16" t="s">
        <v>343</v>
      </c>
    </row>
    <row r="49" spans="1:36" ht="20.100000000000001" customHeight="1" x14ac:dyDescent="0.2">
      <c r="D49" s="113" t="s">
        <v>391</v>
      </c>
      <c r="W49" s="15" t="str">
        <f>TEXT(EDATE(X_Cell_Site_StartDate,5), "mmmm")</f>
        <v>June</v>
      </c>
      <c r="X49" s="15">
        <f ca="1"/>
        <v>190</v>
      </c>
      <c r="Y49" s="15">
        <f ca="1"/>
        <v>700</v>
      </c>
      <c r="Z49" s="15">
        <f ca="1"/>
        <v>150</v>
      </c>
      <c r="AA49" s="15">
        <f ca="1"/>
        <v>330</v>
      </c>
      <c r="AB49" s="15">
        <f ca="1"/>
        <v>490</v>
      </c>
      <c r="AC49" s="15">
        <f ca="1"/>
        <v>490</v>
      </c>
      <c r="AD49" s="15">
        <f ca="1"/>
        <v>170</v>
      </c>
      <c r="AE49" s="15">
        <f ca="1"/>
        <v>360</v>
      </c>
      <c r="AF49" s="15">
        <f ca="1"/>
        <v>360</v>
      </c>
      <c r="AG49" s="15">
        <f ca="1"/>
        <v>360</v>
      </c>
      <c r="AH49" s="16" t="s">
        <v>343</v>
      </c>
    </row>
    <row r="50" spans="1:36" ht="20.100000000000001" customHeight="1" x14ac:dyDescent="0.2">
      <c r="A50" s="86" t="s">
        <v>1</v>
      </c>
      <c r="D50" s="114" t="s">
        <v>392</v>
      </c>
      <c r="W50" s="15" t="str">
        <f>TEXT(EDATE(X_Cell_Site_StartDate,6), "mmmm")</f>
        <v>July</v>
      </c>
      <c r="X50" s="15">
        <f ca="1"/>
        <v>190</v>
      </c>
      <c r="Y50" s="15">
        <f ca="1"/>
        <v>700</v>
      </c>
      <c r="Z50" s="15">
        <f ca="1"/>
        <v>150</v>
      </c>
      <c r="AA50" s="15">
        <f ca="1"/>
        <v>330</v>
      </c>
      <c r="AB50" s="15">
        <f ca="1"/>
        <v>490</v>
      </c>
      <c r="AC50" s="15">
        <f ca="1"/>
        <v>490</v>
      </c>
      <c r="AD50" s="15">
        <f ca="1"/>
        <v>170</v>
      </c>
      <c r="AE50" s="15">
        <f ca="1"/>
        <v>360</v>
      </c>
      <c r="AF50" s="15">
        <f ca="1"/>
        <v>360</v>
      </c>
      <c r="AG50" s="15">
        <f ca="1"/>
        <v>360</v>
      </c>
      <c r="AH50" s="16" t="s">
        <v>343</v>
      </c>
    </row>
    <row r="51" spans="1:36" ht="20.100000000000001" customHeight="1" x14ac:dyDescent="0.2">
      <c r="A51" s="5" t="str">
        <f>HYPERLINK("#'Constants - Pasture Beef'!A1", "Constants - Pasture Beef")</f>
        <v>Constants - Pasture Beef</v>
      </c>
      <c r="D51" s="115" t="s">
        <v>76</v>
      </c>
      <c r="E51" s="82" t="s">
        <v>325</v>
      </c>
      <c r="F51" s="82" t="s">
        <v>189</v>
      </c>
      <c r="G51" s="82" t="s">
        <v>326</v>
      </c>
      <c r="H51" s="82" t="s">
        <v>327</v>
      </c>
      <c r="I51" s="82" t="s">
        <v>328</v>
      </c>
      <c r="J51" s="82" t="s">
        <v>329</v>
      </c>
      <c r="K51" s="82" t="s">
        <v>330</v>
      </c>
      <c r="L51" s="82" t="s">
        <v>331</v>
      </c>
      <c r="M51" s="82" t="s">
        <v>332</v>
      </c>
      <c r="N51" s="82" t="s">
        <v>333</v>
      </c>
      <c r="W51" s="15" t="str">
        <f>TEXT(EDATE(X_Cell_Site_StartDate,7), "mmmm")</f>
        <v>August</v>
      </c>
      <c r="X51" s="15">
        <f ca="1"/>
        <v>190</v>
      </c>
      <c r="Y51" s="15">
        <f ca="1"/>
        <v>700</v>
      </c>
      <c r="Z51" s="15">
        <f ca="1"/>
        <v>150</v>
      </c>
      <c r="AA51" s="15">
        <f ca="1"/>
        <v>330</v>
      </c>
      <c r="AB51" s="15">
        <f ca="1"/>
        <v>490</v>
      </c>
      <c r="AC51" s="15">
        <f ca="1"/>
        <v>490</v>
      </c>
      <c r="AD51" s="15">
        <f ca="1"/>
        <v>170</v>
      </c>
      <c r="AE51" s="15">
        <f ca="1"/>
        <v>360</v>
      </c>
      <c r="AF51" s="15">
        <f ca="1"/>
        <v>360</v>
      </c>
      <c r="AG51" s="15">
        <f ca="1"/>
        <v>360</v>
      </c>
      <c r="AH51" s="16" t="s">
        <v>343</v>
      </c>
      <c r="AI51" s="16"/>
      <c r="AJ51" s="16"/>
    </row>
    <row r="52" spans="1:36" ht="20.100000000000001" customHeight="1" x14ac:dyDescent="0.2">
      <c r="A52" s="5" t="str">
        <f>HYPERLINK("#'Constants - Ag Residue'!A1", "Constants - Ag residue")</f>
        <v>Constants - Ag residue</v>
      </c>
      <c r="D52" s="15" t="str">
        <f>INDEX(X_Table_PastureBeef_Liveweight_Method1,2,1)</f>
        <v>Spring</v>
      </c>
      <c r="E52" s="15" cm="1">
        <f t="array" aca="1" ref="E52:N55" ca="1">OFFSET(X_Table_PastureBeef_Liveweight_Method1, 1,1, 4,10)</f>
        <v>340</v>
      </c>
      <c r="F52" s="15">
        <f ca="1"/>
        <v>800</v>
      </c>
      <c r="G52" s="15">
        <f ca="1"/>
        <v>260</v>
      </c>
      <c r="H52" s="15">
        <f ca="1"/>
        <v>420</v>
      </c>
      <c r="I52" s="15">
        <f ca="1"/>
        <v>550</v>
      </c>
      <c r="J52" s="15">
        <f ca="1"/>
        <v>550</v>
      </c>
      <c r="K52" s="15">
        <f ca="1"/>
        <v>300</v>
      </c>
      <c r="L52" s="15">
        <f ca="1"/>
        <v>480</v>
      </c>
      <c r="M52" s="15">
        <f ca="1"/>
        <v>480</v>
      </c>
      <c r="N52" s="15">
        <f ca="1"/>
        <v>480</v>
      </c>
      <c r="O52" s="16" t="s">
        <v>343</v>
      </c>
      <c r="P52" s="16"/>
      <c r="Q52" s="16"/>
      <c r="R52" s="16"/>
      <c r="S52" s="16"/>
      <c r="W52" s="15" t="str">
        <f>TEXT(EDATE(X_Cell_Site_StartDate,8), "mmmm")</f>
        <v>September</v>
      </c>
      <c r="X52" s="15">
        <f ca="1"/>
        <v>340</v>
      </c>
      <c r="Y52" s="15">
        <f ca="1"/>
        <v>800</v>
      </c>
      <c r="Z52" s="15">
        <f ca="1"/>
        <v>260</v>
      </c>
      <c r="AA52" s="15">
        <f ca="1"/>
        <v>420</v>
      </c>
      <c r="AB52" s="15">
        <f ca="1"/>
        <v>550</v>
      </c>
      <c r="AC52" s="15">
        <f ca="1"/>
        <v>550</v>
      </c>
      <c r="AD52" s="15">
        <f ca="1"/>
        <v>300</v>
      </c>
      <c r="AE52" s="15">
        <f ca="1"/>
        <v>480</v>
      </c>
      <c r="AF52" s="15">
        <f ca="1"/>
        <v>480</v>
      </c>
      <c r="AG52" s="15">
        <f ca="1"/>
        <v>480</v>
      </c>
      <c r="AH52" s="16" t="s">
        <v>343</v>
      </c>
      <c r="AI52" s="16"/>
      <c r="AJ52" s="16"/>
    </row>
    <row r="53" spans="1:36" ht="20.100000000000001" customHeight="1" x14ac:dyDescent="0.2">
      <c r="A53" s="5" t="str">
        <f>HYPERLINK("#'Constants - Common Livestock'!A1", "Constants - Common Livestock")</f>
        <v>Constants - Common Livestock</v>
      </c>
      <c r="D53" s="15" t="str">
        <f>INDEX(X_Table_PastureBeef_Liveweight_Method1,3,1)</f>
        <v>Summer</v>
      </c>
      <c r="E53" s="15">
        <f ca="1"/>
        <v>380</v>
      </c>
      <c r="F53" s="15">
        <f ca="1"/>
        <v>780</v>
      </c>
      <c r="G53" s="15">
        <f ca="1"/>
        <v>300</v>
      </c>
      <c r="H53" s="15">
        <f ca="1"/>
        <v>450</v>
      </c>
      <c r="I53" s="15">
        <f ca="1"/>
        <v>530</v>
      </c>
      <c r="J53" s="15">
        <f ca="1"/>
        <v>530</v>
      </c>
      <c r="K53" s="15">
        <f ca="1"/>
        <v>340</v>
      </c>
      <c r="L53" s="15">
        <f ca="1"/>
        <v>470</v>
      </c>
      <c r="M53" s="15">
        <f ca="1"/>
        <v>470</v>
      </c>
      <c r="N53" s="15">
        <f ca="1"/>
        <v>470</v>
      </c>
      <c r="O53" s="16" t="s">
        <v>343</v>
      </c>
      <c r="P53" s="16"/>
      <c r="Q53" s="16"/>
      <c r="R53" s="16"/>
      <c r="S53" s="16"/>
      <c r="W53" s="15" t="str">
        <f>TEXT(EDATE(X_Cell_Site_StartDate,9), "mmmm")</f>
        <v>October</v>
      </c>
      <c r="X53" s="15">
        <f ca="1"/>
        <v>340</v>
      </c>
      <c r="Y53" s="15">
        <f ca="1"/>
        <v>800</v>
      </c>
      <c r="Z53" s="15">
        <f ca="1"/>
        <v>260</v>
      </c>
      <c r="AA53" s="15">
        <f ca="1"/>
        <v>420</v>
      </c>
      <c r="AB53" s="15">
        <f ca="1"/>
        <v>550</v>
      </c>
      <c r="AC53" s="15">
        <f ca="1"/>
        <v>550</v>
      </c>
      <c r="AD53" s="15">
        <f ca="1"/>
        <v>300</v>
      </c>
      <c r="AE53" s="15">
        <f ca="1"/>
        <v>480</v>
      </c>
      <c r="AF53" s="15">
        <f ca="1"/>
        <v>480</v>
      </c>
      <c r="AG53" s="15">
        <f ca="1"/>
        <v>480</v>
      </c>
      <c r="AH53" s="16" t="s">
        <v>343</v>
      </c>
      <c r="AI53" s="16"/>
      <c r="AJ53" s="16"/>
    </row>
    <row r="54" spans="1:36" ht="20.100000000000001" customHeight="1" x14ac:dyDescent="0.2">
      <c r="A54" s="5" t="str">
        <f>HYPERLINK("#'Constants - Electricity'!A1", "Constants - Electricity")</f>
        <v>Constants - Electricity</v>
      </c>
      <c r="D54" s="15" t="str">
        <f>INDEX(X_Table_PastureBeef_Liveweight_Method1,4,1)</f>
        <v>Autumn</v>
      </c>
      <c r="E54" s="15">
        <f ca="1"/>
        <v>100</v>
      </c>
      <c r="F54" s="15">
        <f ca="1"/>
        <v>680</v>
      </c>
      <c r="G54" s="15">
        <f ca="1"/>
        <v>80</v>
      </c>
      <c r="H54" s="15">
        <f ca="1"/>
        <v>320</v>
      </c>
      <c r="I54" s="15">
        <f ca="1"/>
        <v>480</v>
      </c>
      <c r="J54" s="15">
        <f ca="1"/>
        <v>480</v>
      </c>
      <c r="K54" s="15">
        <f ca="1"/>
        <v>100</v>
      </c>
      <c r="L54" s="15">
        <f ca="1"/>
        <v>340</v>
      </c>
      <c r="M54" s="15">
        <f ca="1"/>
        <v>340</v>
      </c>
      <c r="N54" s="15">
        <f ca="1"/>
        <v>340</v>
      </c>
      <c r="O54" s="16" t="s">
        <v>343</v>
      </c>
      <c r="P54" s="16"/>
      <c r="Q54" s="16"/>
      <c r="R54" s="16"/>
      <c r="S54" s="16"/>
      <c r="W54" s="15" t="str">
        <f>TEXT(EDATE(X_Cell_Site_StartDate,10), "mmmm")</f>
        <v>November</v>
      </c>
      <c r="X54" s="15">
        <f ca="1"/>
        <v>340</v>
      </c>
      <c r="Y54" s="15">
        <f ca="1"/>
        <v>800</v>
      </c>
      <c r="Z54" s="15">
        <f ca="1"/>
        <v>260</v>
      </c>
      <c r="AA54" s="15">
        <f ca="1"/>
        <v>420</v>
      </c>
      <c r="AB54" s="15">
        <f ca="1"/>
        <v>550</v>
      </c>
      <c r="AC54" s="15">
        <f ca="1"/>
        <v>550</v>
      </c>
      <c r="AD54" s="15">
        <f ca="1"/>
        <v>300</v>
      </c>
      <c r="AE54" s="15">
        <f ca="1"/>
        <v>480</v>
      </c>
      <c r="AF54" s="15">
        <f ca="1"/>
        <v>480</v>
      </c>
      <c r="AG54" s="15">
        <f ca="1"/>
        <v>480</v>
      </c>
      <c r="AH54" s="16" t="s">
        <v>343</v>
      </c>
      <c r="AI54" s="16"/>
      <c r="AJ54" s="16"/>
    </row>
    <row r="55" spans="1:36" ht="20.100000000000001" customHeight="1" x14ac:dyDescent="0.2">
      <c r="A55" s="5" t="str">
        <f>HYPERLINK("#'Constants - Fertiliser'!A1", "Constants - Fertiliser")</f>
        <v>Constants - Fertiliser</v>
      </c>
      <c r="D55" s="15" t="str">
        <f>INDEX(X_Table_PastureBeef_Liveweight_Method1,5,1)</f>
        <v>Winter</v>
      </c>
      <c r="E55" s="15">
        <f ca="1"/>
        <v>190</v>
      </c>
      <c r="F55" s="15">
        <f ca="1"/>
        <v>700</v>
      </c>
      <c r="G55" s="15">
        <f ca="1"/>
        <v>150</v>
      </c>
      <c r="H55" s="15">
        <f ca="1"/>
        <v>330</v>
      </c>
      <c r="I55" s="15">
        <f ca="1"/>
        <v>490</v>
      </c>
      <c r="J55" s="15">
        <f ca="1"/>
        <v>490</v>
      </c>
      <c r="K55" s="15">
        <f ca="1"/>
        <v>170</v>
      </c>
      <c r="L55" s="15">
        <f ca="1"/>
        <v>360</v>
      </c>
      <c r="M55" s="15">
        <f ca="1"/>
        <v>360</v>
      </c>
      <c r="N55" s="15">
        <f ca="1"/>
        <v>360</v>
      </c>
      <c r="O55" s="16" t="s">
        <v>343</v>
      </c>
      <c r="P55" s="16"/>
      <c r="Q55" s="16"/>
      <c r="R55" s="16"/>
      <c r="S55" s="16"/>
      <c r="W55" s="15" t="str">
        <f>TEXT(EDATE(X_Cell_Site_StartDate,11), "mmmm")</f>
        <v>December</v>
      </c>
      <c r="X55" s="15">
        <f ca="1"/>
        <v>380</v>
      </c>
      <c r="Y55" s="15">
        <f ca="1"/>
        <v>780</v>
      </c>
      <c r="Z55" s="15">
        <f ca="1"/>
        <v>300</v>
      </c>
      <c r="AA55" s="15">
        <f ca="1"/>
        <v>450</v>
      </c>
      <c r="AB55" s="15">
        <f ca="1"/>
        <v>530</v>
      </c>
      <c r="AC55" s="15">
        <f ca="1"/>
        <v>530</v>
      </c>
      <c r="AD55" s="15">
        <f ca="1"/>
        <v>340</v>
      </c>
      <c r="AE55" s="15">
        <f ca="1"/>
        <v>470</v>
      </c>
      <c r="AF55" s="15">
        <f ca="1"/>
        <v>470</v>
      </c>
      <c r="AG55" s="15">
        <f ca="1"/>
        <v>470</v>
      </c>
      <c r="AH55" s="16" t="s">
        <v>343</v>
      </c>
      <c r="AI55" s="16"/>
      <c r="AJ55" s="16"/>
    </row>
    <row r="56" spans="1:36" ht="20.100000000000001" customHeight="1" x14ac:dyDescent="0.2">
      <c r="A56" s="5" t="str">
        <f>HYPERLINK("#'Constants - Fuel'!A1", "Constants - Fuel")</f>
        <v>Constants - Fuel</v>
      </c>
      <c r="AI56" s="16"/>
      <c r="AJ56" s="16"/>
    </row>
    <row r="57" spans="1:36" ht="20.100000000000001" customHeight="1" x14ac:dyDescent="0.2">
      <c r="A57" s="5" t="str">
        <f>HYPERLINK("#'Constants - Scope 3'!A1", "Constants - Scope 3")</f>
        <v>Constants - Scope 3</v>
      </c>
      <c r="W57" s="113" t="s">
        <v>393</v>
      </c>
      <c r="AI57" s="16"/>
      <c r="AJ57" s="16"/>
    </row>
    <row r="58" spans="1:36" ht="20.100000000000001" customHeight="1" x14ac:dyDescent="0.2">
      <c r="A58" s="5" t="str">
        <f>HYPERLINK("#'Constants - Solid Waste'!A1", "Constants - Solid Waste")</f>
        <v>Constants - Solid Waste</v>
      </c>
      <c r="W58" s="114" t="s">
        <v>394</v>
      </c>
      <c r="AI58" s="16"/>
      <c r="AJ58" s="16"/>
    </row>
    <row r="59" spans="1:36" ht="20.100000000000001" customHeight="1" x14ac:dyDescent="0.2">
      <c r="A59" s="5" t="str">
        <f>HYPERLINK("#'Constants - Common'!A1", "Constants - Common")</f>
        <v>Constants - Common</v>
      </c>
      <c r="W59" s="115" t="s">
        <v>75</v>
      </c>
      <c r="X59" s="82" t="s">
        <v>325</v>
      </c>
      <c r="Y59" s="82" t="s">
        <v>189</v>
      </c>
      <c r="Z59" s="82" t="s">
        <v>326</v>
      </c>
      <c r="AA59" s="82" t="s">
        <v>327</v>
      </c>
      <c r="AB59" s="82" t="s">
        <v>328</v>
      </c>
      <c r="AC59" s="82" t="s">
        <v>329</v>
      </c>
      <c r="AD59" s="82" t="s">
        <v>330</v>
      </c>
      <c r="AE59" s="82" t="s">
        <v>331</v>
      </c>
      <c r="AF59" s="82" t="s">
        <v>332</v>
      </c>
      <c r="AG59" s="82" t="s">
        <v>333</v>
      </c>
      <c r="AI59" s="16"/>
      <c r="AJ59" s="16"/>
    </row>
    <row r="60" spans="1:36" ht="20.100000000000001" customHeight="1" x14ac:dyDescent="0.2">
      <c r="A60" s="5" t="str">
        <f>HYPERLINK("#'Acknowledgements'!A1", "Acknowledgements")</f>
        <v>Acknowledgements</v>
      </c>
      <c r="W60" s="15" t="str">
        <f>TEXT(X_Cell_Site_StartDate,"mmmm")</f>
        <v>January</v>
      </c>
      <c r="X60" s="15" cm="1">
        <f t="array" aca="1" ref="X60:AG71" ca="1">OFFSET(X_Table_PastureBeef_LiveweightGain_Method2, 1,1, 12,10)</f>
        <v>0.44</v>
      </c>
      <c r="Y60" s="15">
        <f ca="1"/>
        <v>-0.22</v>
      </c>
      <c r="Z60" s="15">
        <f ca="1"/>
        <v>0.44</v>
      </c>
      <c r="AA60" s="15">
        <f ca="1"/>
        <v>0.33</v>
      </c>
      <c r="AB60" s="15">
        <f ca="1"/>
        <v>-0.22</v>
      </c>
      <c r="AC60" s="15">
        <f ca="1"/>
        <v>-0.22</v>
      </c>
      <c r="AD60" s="15">
        <f ca="1"/>
        <v>0.44</v>
      </c>
      <c r="AE60" s="15">
        <f ca="1"/>
        <v>-0.11</v>
      </c>
      <c r="AF60" s="15">
        <f ca="1"/>
        <v>-0.11</v>
      </c>
      <c r="AG60" s="15">
        <f ca="1"/>
        <v>-0.11</v>
      </c>
      <c r="AH60" s="16" t="s">
        <v>345</v>
      </c>
      <c r="AI60" s="16"/>
      <c r="AJ60" s="16"/>
    </row>
    <row r="61" spans="1:36" ht="20.100000000000001" customHeight="1" x14ac:dyDescent="0.2">
      <c r="W61" s="15" t="str">
        <f>TEXT(EDATE(X_Cell_Site_StartDate,1), "mmmm")</f>
        <v>February</v>
      </c>
      <c r="X61" s="15">
        <f ca="1"/>
        <v>0.44</v>
      </c>
      <c r="Y61" s="15">
        <f ca="1"/>
        <v>-0.22</v>
      </c>
      <c r="Z61" s="15">
        <f ca="1"/>
        <v>0.44</v>
      </c>
      <c r="AA61" s="15">
        <f ca="1"/>
        <v>0.33</v>
      </c>
      <c r="AB61" s="15">
        <f ca="1"/>
        <v>-0.22</v>
      </c>
      <c r="AC61" s="15">
        <f ca="1"/>
        <v>-0.22</v>
      </c>
      <c r="AD61" s="15">
        <f ca="1"/>
        <v>0.44</v>
      </c>
      <c r="AE61" s="15">
        <f ca="1"/>
        <v>-0.11</v>
      </c>
      <c r="AF61" s="15">
        <f ca="1"/>
        <v>-0.11</v>
      </c>
      <c r="AG61" s="15">
        <f ca="1"/>
        <v>-0.11</v>
      </c>
      <c r="AH61" s="16" t="s">
        <v>345</v>
      </c>
      <c r="AI61" s="16"/>
      <c r="AJ61" s="16"/>
    </row>
    <row r="62" spans="1:36" ht="20.100000000000001" customHeight="1" x14ac:dyDescent="0.2">
      <c r="W62" s="15" t="str">
        <f>TEXT(EDATE(X_Cell_Site_StartDate,2), "mmmm")</f>
        <v>March</v>
      </c>
      <c r="X62" s="15">
        <f ca="1"/>
        <v>0.6</v>
      </c>
      <c r="Y62" s="15">
        <f ca="1"/>
        <v>0</v>
      </c>
      <c r="Z62" s="15">
        <f ca="1"/>
        <v>0.6</v>
      </c>
      <c r="AA62" s="15">
        <f ca="1"/>
        <v>0.22</v>
      </c>
      <c r="AB62" s="15">
        <f ca="1"/>
        <v>-0.55000000000000004</v>
      </c>
      <c r="AC62" s="15">
        <f ca="1"/>
        <v>-0.55000000000000004</v>
      </c>
      <c r="AD62" s="15">
        <f ca="1"/>
        <v>0.6</v>
      </c>
      <c r="AE62" s="15">
        <f ca="1"/>
        <v>0</v>
      </c>
      <c r="AF62" s="15">
        <f ca="1"/>
        <v>0</v>
      </c>
      <c r="AG62" s="15">
        <f ca="1"/>
        <v>0</v>
      </c>
      <c r="AH62" s="16" t="s">
        <v>345</v>
      </c>
      <c r="AI62" s="16"/>
      <c r="AJ62" s="16"/>
    </row>
    <row r="63" spans="1:36" ht="20.100000000000001" customHeight="1" x14ac:dyDescent="0.2">
      <c r="W63" s="15" t="str">
        <f>TEXT(EDATE(X_Cell_Site_StartDate,3), "mmmm")</f>
        <v>April</v>
      </c>
      <c r="X63" s="15">
        <f ca="1"/>
        <v>0.6</v>
      </c>
      <c r="Y63" s="15">
        <f ca="1"/>
        <v>0</v>
      </c>
      <c r="Z63" s="15">
        <f ca="1"/>
        <v>0.6</v>
      </c>
      <c r="AA63" s="15">
        <f ca="1"/>
        <v>0.22</v>
      </c>
      <c r="AB63" s="15">
        <f ca="1"/>
        <v>-0.55000000000000004</v>
      </c>
      <c r="AC63" s="15">
        <f ca="1"/>
        <v>-0.55000000000000004</v>
      </c>
      <c r="AD63" s="15">
        <f ca="1"/>
        <v>0.6</v>
      </c>
      <c r="AE63" s="15">
        <f ca="1"/>
        <v>0</v>
      </c>
      <c r="AF63" s="15">
        <f ca="1"/>
        <v>0</v>
      </c>
      <c r="AG63" s="15">
        <f ca="1"/>
        <v>0</v>
      </c>
      <c r="AH63" s="16" t="s">
        <v>345</v>
      </c>
      <c r="AI63" s="16"/>
      <c r="AJ63" s="16"/>
    </row>
    <row r="64" spans="1:36" ht="20.100000000000001" customHeight="1" x14ac:dyDescent="0.2">
      <c r="W64" s="15" t="str">
        <f>TEXT(EDATE(X_Cell_Site_StartDate,4), "mmmm")</f>
        <v>May</v>
      </c>
      <c r="X64" s="15">
        <f ca="1"/>
        <v>0.6</v>
      </c>
      <c r="Y64" s="15">
        <f ca="1"/>
        <v>0</v>
      </c>
      <c r="Z64" s="15">
        <f ca="1"/>
        <v>0.6</v>
      </c>
      <c r="AA64" s="15">
        <f ca="1"/>
        <v>0.22</v>
      </c>
      <c r="AB64" s="15">
        <f ca="1"/>
        <v>-0.55000000000000004</v>
      </c>
      <c r="AC64" s="15">
        <f ca="1"/>
        <v>-0.55000000000000004</v>
      </c>
      <c r="AD64" s="15">
        <f ca="1"/>
        <v>0.6</v>
      </c>
      <c r="AE64" s="15">
        <f ca="1"/>
        <v>0</v>
      </c>
      <c r="AF64" s="15">
        <f ca="1"/>
        <v>0</v>
      </c>
      <c r="AG64" s="15">
        <f ca="1"/>
        <v>0</v>
      </c>
      <c r="AH64" s="16" t="s">
        <v>345</v>
      </c>
    </row>
    <row r="65" spans="1:36" ht="20.100000000000001" customHeight="1" x14ac:dyDescent="0.2">
      <c r="D65" s="113" t="s">
        <v>395</v>
      </c>
      <c r="W65" s="15" t="str">
        <f>TEXT(EDATE(X_Cell_Site_StartDate,5), "mmmm")</f>
        <v>June</v>
      </c>
      <c r="X65" s="15">
        <f ca="1"/>
        <v>0.99</v>
      </c>
      <c r="Y65" s="15">
        <f ca="1"/>
        <v>0.22</v>
      </c>
      <c r="Z65" s="15">
        <f ca="1"/>
        <v>0.77</v>
      </c>
      <c r="AA65" s="15">
        <f ca="1"/>
        <v>0.11</v>
      </c>
      <c r="AB65" s="15">
        <f ca="1"/>
        <v>0.11</v>
      </c>
      <c r="AC65" s="15">
        <f ca="1"/>
        <v>0.11</v>
      </c>
      <c r="AD65" s="15">
        <f ca="1"/>
        <v>0.77</v>
      </c>
      <c r="AE65" s="15">
        <f ca="1"/>
        <v>0.44</v>
      </c>
      <c r="AF65" s="15">
        <f ca="1"/>
        <v>0.44</v>
      </c>
      <c r="AG65" s="15">
        <f ca="1"/>
        <v>0.44</v>
      </c>
      <c r="AH65" s="16" t="s">
        <v>345</v>
      </c>
    </row>
    <row r="66" spans="1:36" ht="20.100000000000001" customHeight="1" x14ac:dyDescent="0.2">
      <c r="D66" s="114" t="s">
        <v>396</v>
      </c>
      <c r="W66" s="15" t="str">
        <f>TEXT(EDATE(X_Cell_Site_StartDate,6), "mmmm")</f>
        <v>July</v>
      </c>
      <c r="X66" s="15">
        <f ca="1"/>
        <v>0.99</v>
      </c>
      <c r="Y66" s="15">
        <f ca="1"/>
        <v>0.22</v>
      </c>
      <c r="Z66" s="15">
        <f ca="1"/>
        <v>0.77</v>
      </c>
      <c r="AA66" s="15">
        <f ca="1"/>
        <v>0.11</v>
      </c>
      <c r="AB66" s="15">
        <f ca="1"/>
        <v>0.11</v>
      </c>
      <c r="AC66" s="15">
        <f ca="1"/>
        <v>0.11</v>
      </c>
      <c r="AD66" s="15">
        <f ca="1"/>
        <v>0.77</v>
      </c>
      <c r="AE66" s="15">
        <f ca="1"/>
        <v>0.44</v>
      </c>
      <c r="AF66" s="15">
        <f ca="1"/>
        <v>0.44</v>
      </c>
      <c r="AG66" s="15">
        <f ca="1"/>
        <v>0.44</v>
      </c>
      <c r="AH66" s="16" t="s">
        <v>345</v>
      </c>
    </row>
    <row r="67" spans="1:36" ht="20.100000000000001" customHeight="1" x14ac:dyDescent="0.2">
      <c r="D67" s="115" t="s">
        <v>76</v>
      </c>
      <c r="E67" s="82" t="s">
        <v>325</v>
      </c>
      <c r="F67" s="82" t="s">
        <v>189</v>
      </c>
      <c r="G67" s="82" t="s">
        <v>326</v>
      </c>
      <c r="H67" s="82" t="s">
        <v>327</v>
      </c>
      <c r="I67" s="82" t="s">
        <v>328</v>
      </c>
      <c r="J67" s="82" t="s">
        <v>329</v>
      </c>
      <c r="K67" s="82" t="s">
        <v>330</v>
      </c>
      <c r="L67" s="82" t="s">
        <v>331</v>
      </c>
      <c r="M67" s="82" t="s">
        <v>332</v>
      </c>
      <c r="N67" s="82" t="s">
        <v>333</v>
      </c>
      <c r="W67" s="15" t="str">
        <f>TEXT(EDATE(X_Cell_Site_StartDate,7), "mmmm")</f>
        <v>August</v>
      </c>
      <c r="X67" s="15">
        <f ca="1"/>
        <v>0.99</v>
      </c>
      <c r="Y67" s="15">
        <f ca="1"/>
        <v>0.22</v>
      </c>
      <c r="Z67" s="15">
        <f ca="1"/>
        <v>0.77</v>
      </c>
      <c r="AA67" s="15">
        <f ca="1"/>
        <v>0.11</v>
      </c>
      <c r="AB67" s="15">
        <f ca="1"/>
        <v>0.11</v>
      </c>
      <c r="AC67" s="15">
        <f ca="1"/>
        <v>0.11</v>
      </c>
      <c r="AD67" s="15">
        <f ca="1"/>
        <v>0.77</v>
      </c>
      <c r="AE67" s="15">
        <f ca="1"/>
        <v>0.44</v>
      </c>
      <c r="AF67" s="15">
        <f ca="1"/>
        <v>0.44</v>
      </c>
      <c r="AG67" s="15">
        <f ca="1"/>
        <v>0.44</v>
      </c>
      <c r="AH67" s="16" t="s">
        <v>345</v>
      </c>
    </row>
    <row r="68" spans="1:36" ht="20.100000000000001" customHeight="1" x14ac:dyDescent="0.2">
      <c r="D68" s="15" t="str">
        <f>INDEX(X_Table_PastureBeef_LiveweightGain_Method1,2,1)</f>
        <v>Spring</v>
      </c>
      <c r="E68" s="15" cm="1">
        <f t="array" aca="1" ref="E68:N71" ca="1">OFFSET(X_Table_PastureBeef_LiveweightGain_Method1, 1,1, 4,10)</f>
        <v>1.64</v>
      </c>
      <c r="F68" s="15">
        <f ca="1"/>
        <v>1.1000000000000001</v>
      </c>
      <c r="G68" s="15">
        <f ca="1"/>
        <v>1.21</v>
      </c>
      <c r="H68" s="15">
        <f ca="1"/>
        <v>0.99</v>
      </c>
      <c r="I68" s="15">
        <f ca="1"/>
        <v>0.66</v>
      </c>
      <c r="J68" s="15">
        <f ca="1"/>
        <v>0.66</v>
      </c>
      <c r="K68" s="15">
        <f ca="1"/>
        <v>1.42</v>
      </c>
      <c r="L68" s="15">
        <f ca="1"/>
        <v>1.1000000000000001</v>
      </c>
      <c r="M68" s="15">
        <f ca="1"/>
        <v>1.1000000000000001</v>
      </c>
      <c r="N68" s="15">
        <f ca="1"/>
        <v>1.1000000000000001</v>
      </c>
      <c r="O68" s="16" t="s">
        <v>343</v>
      </c>
      <c r="P68" s="16"/>
      <c r="Q68" s="16"/>
      <c r="R68" s="16"/>
      <c r="S68" s="16"/>
      <c r="W68" s="15" t="str">
        <f>TEXT(EDATE(X_Cell_Site_StartDate,8), "mmmm")</f>
        <v>September</v>
      </c>
      <c r="X68" s="15">
        <f ca="1"/>
        <v>1.64</v>
      </c>
      <c r="Y68" s="15">
        <f ca="1"/>
        <v>1.1000000000000001</v>
      </c>
      <c r="Z68" s="15">
        <f ca="1"/>
        <v>1.21</v>
      </c>
      <c r="AA68" s="15">
        <f ca="1"/>
        <v>0.99</v>
      </c>
      <c r="AB68" s="15">
        <f ca="1"/>
        <v>0.66</v>
      </c>
      <c r="AC68" s="15">
        <f ca="1"/>
        <v>0.66</v>
      </c>
      <c r="AD68" s="15">
        <f ca="1"/>
        <v>1.42</v>
      </c>
      <c r="AE68" s="15">
        <f ca="1"/>
        <v>1.1000000000000001</v>
      </c>
      <c r="AF68" s="15">
        <f ca="1"/>
        <v>1.1000000000000001</v>
      </c>
      <c r="AG68" s="15">
        <f ca="1"/>
        <v>1.1000000000000001</v>
      </c>
      <c r="AH68" s="16" t="s">
        <v>345</v>
      </c>
      <c r="AI68" s="16"/>
      <c r="AJ68" s="16"/>
    </row>
    <row r="69" spans="1:36" ht="20.100000000000001" customHeight="1" x14ac:dyDescent="0.2">
      <c r="D69" s="15" t="str">
        <f>INDEX(X_Table_PastureBeef_LiveweightGain_Method1,3,1)</f>
        <v>Summer</v>
      </c>
      <c r="E69" s="15">
        <f ca="1"/>
        <v>0.44</v>
      </c>
      <c r="F69" s="15">
        <f ca="1"/>
        <v>-0.22</v>
      </c>
      <c r="G69" s="15">
        <f ca="1"/>
        <v>0.44</v>
      </c>
      <c r="H69" s="15">
        <f ca="1"/>
        <v>0.33</v>
      </c>
      <c r="I69" s="15">
        <f ca="1"/>
        <v>-0.22</v>
      </c>
      <c r="J69" s="15">
        <f ca="1"/>
        <v>-0.22</v>
      </c>
      <c r="K69" s="15">
        <f ca="1"/>
        <v>0.44</v>
      </c>
      <c r="L69" s="15">
        <f ca="1"/>
        <v>-0.11</v>
      </c>
      <c r="M69" s="15">
        <f ca="1"/>
        <v>-0.11</v>
      </c>
      <c r="N69" s="15">
        <f ca="1"/>
        <v>-0.11</v>
      </c>
      <c r="O69" s="16" t="s">
        <v>343</v>
      </c>
      <c r="P69" s="16"/>
      <c r="Q69" s="16"/>
      <c r="R69" s="16"/>
      <c r="S69" s="16"/>
      <c r="W69" s="15" t="str">
        <f>TEXT(EDATE(X_Cell_Site_StartDate,9), "mmmm")</f>
        <v>October</v>
      </c>
      <c r="X69" s="15">
        <f ca="1"/>
        <v>1.64</v>
      </c>
      <c r="Y69" s="15">
        <f ca="1"/>
        <v>1.1000000000000001</v>
      </c>
      <c r="Z69" s="15">
        <f ca="1"/>
        <v>1.21</v>
      </c>
      <c r="AA69" s="15">
        <f ca="1"/>
        <v>0.99</v>
      </c>
      <c r="AB69" s="15">
        <f ca="1"/>
        <v>0.66</v>
      </c>
      <c r="AC69" s="15">
        <f ca="1"/>
        <v>0.66</v>
      </c>
      <c r="AD69" s="15">
        <f ca="1"/>
        <v>1.42</v>
      </c>
      <c r="AE69" s="15">
        <f ca="1"/>
        <v>1.1000000000000001</v>
      </c>
      <c r="AF69" s="15">
        <f ca="1"/>
        <v>1.1000000000000001</v>
      </c>
      <c r="AG69" s="15">
        <f ca="1"/>
        <v>1.1000000000000001</v>
      </c>
      <c r="AH69" s="16" t="s">
        <v>345</v>
      </c>
      <c r="AI69" s="16"/>
      <c r="AJ69" s="16"/>
    </row>
    <row r="70" spans="1:36" ht="20.100000000000001" customHeight="1" x14ac:dyDescent="0.2">
      <c r="D70" s="15" t="str">
        <f>INDEX(X_Table_PastureBeef_LiveweightGain_Method1,4,1)</f>
        <v>Autumn</v>
      </c>
      <c r="E70" s="15">
        <f ca="1"/>
        <v>0.6</v>
      </c>
      <c r="F70" s="15">
        <f ca="1"/>
        <v>0</v>
      </c>
      <c r="G70" s="15">
        <f ca="1"/>
        <v>0.6</v>
      </c>
      <c r="H70" s="15">
        <f ca="1"/>
        <v>0.22</v>
      </c>
      <c r="I70" s="15">
        <f ca="1"/>
        <v>-0.55000000000000004</v>
      </c>
      <c r="J70" s="15">
        <f ca="1"/>
        <v>-0.55000000000000004</v>
      </c>
      <c r="K70" s="15">
        <f ca="1"/>
        <v>0.6</v>
      </c>
      <c r="L70" s="15">
        <f ca="1"/>
        <v>0</v>
      </c>
      <c r="M70" s="15">
        <f ca="1"/>
        <v>0</v>
      </c>
      <c r="N70" s="15">
        <f ca="1"/>
        <v>0</v>
      </c>
      <c r="O70" s="16" t="s">
        <v>343</v>
      </c>
      <c r="P70" s="16"/>
      <c r="Q70" s="16"/>
      <c r="R70" s="16"/>
      <c r="S70" s="16"/>
      <c r="W70" s="15" t="str">
        <f>TEXT(EDATE(X_Cell_Site_StartDate,10), "mmmm")</f>
        <v>November</v>
      </c>
      <c r="X70" s="15">
        <f ca="1"/>
        <v>1.64</v>
      </c>
      <c r="Y70" s="15">
        <f ca="1"/>
        <v>1.1000000000000001</v>
      </c>
      <c r="Z70" s="15">
        <f ca="1"/>
        <v>1.21</v>
      </c>
      <c r="AA70" s="15">
        <f ca="1"/>
        <v>0.99</v>
      </c>
      <c r="AB70" s="15">
        <f ca="1"/>
        <v>0.66</v>
      </c>
      <c r="AC70" s="15">
        <f ca="1"/>
        <v>0.66</v>
      </c>
      <c r="AD70" s="15">
        <f ca="1"/>
        <v>1.42</v>
      </c>
      <c r="AE70" s="15">
        <f ca="1"/>
        <v>1.1000000000000001</v>
      </c>
      <c r="AF70" s="15">
        <f ca="1"/>
        <v>1.1000000000000001</v>
      </c>
      <c r="AG70" s="15">
        <f ca="1"/>
        <v>1.1000000000000001</v>
      </c>
      <c r="AH70" s="16" t="s">
        <v>345</v>
      </c>
      <c r="AI70" s="16"/>
      <c r="AJ70" s="16"/>
    </row>
    <row r="71" spans="1:36" ht="20.100000000000001" customHeight="1" x14ac:dyDescent="0.2">
      <c r="A71" s="85" t="str">
        <f>HYPERLINK("#A1", "▲ Back to top")</f>
        <v>▲ Back to top</v>
      </c>
      <c r="D71" s="15" t="str">
        <f>INDEX(X_Table_PastureBeef_LiveweightGain_Method1,5,1)</f>
        <v>Winter</v>
      </c>
      <c r="E71" s="15">
        <f ca="1"/>
        <v>0.99</v>
      </c>
      <c r="F71" s="15">
        <f ca="1"/>
        <v>0.22</v>
      </c>
      <c r="G71" s="15">
        <f ca="1"/>
        <v>0.77</v>
      </c>
      <c r="H71" s="15">
        <f ca="1"/>
        <v>0.11</v>
      </c>
      <c r="I71" s="15">
        <f ca="1"/>
        <v>0.11</v>
      </c>
      <c r="J71" s="15">
        <f ca="1"/>
        <v>0.11</v>
      </c>
      <c r="K71" s="15">
        <f ca="1"/>
        <v>0.77</v>
      </c>
      <c r="L71" s="15">
        <f ca="1"/>
        <v>0.44</v>
      </c>
      <c r="M71" s="15">
        <f ca="1"/>
        <v>0.44</v>
      </c>
      <c r="N71" s="15">
        <f ca="1"/>
        <v>0.44</v>
      </c>
      <c r="O71" s="16" t="s">
        <v>343</v>
      </c>
      <c r="P71" s="16"/>
      <c r="Q71" s="16"/>
      <c r="R71" s="16"/>
      <c r="S71" s="16"/>
      <c r="W71" s="15" t="str">
        <f>TEXT(EDATE(X_Cell_Site_StartDate,11), "mmmm")</f>
        <v>December</v>
      </c>
      <c r="X71" s="15">
        <f ca="1"/>
        <v>0.44</v>
      </c>
      <c r="Y71" s="15">
        <f ca="1"/>
        <v>-0.22</v>
      </c>
      <c r="Z71" s="15">
        <f ca="1"/>
        <v>0.44</v>
      </c>
      <c r="AA71" s="15">
        <f ca="1"/>
        <v>0.33</v>
      </c>
      <c r="AB71" s="15">
        <f ca="1"/>
        <v>-0.22</v>
      </c>
      <c r="AC71" s="15">
        <f ca="1"/>
        <v>-0.22</v>
      </c>
      <c r="AD71" s="15">
        <f ca="1"/>
        <v>0.44</v>
      </c>
      <c r="AE71" s="15">
        <f ca="1"/>
        <v>-0.11</v>
      </c>
      <c r="AF71" s="15">
        <f ca="1"/>
        <v>-0.11</v>
      </c>
      <c r="AG71" s="15">
        <f ca="1"/>
        <v>-0.11</v>
      </c>
      <c r="AH71" s="16" t="s">
        <v>345</v>
      </c>
      <c r="AI71" s="16"/>
      <c r="AJ71" s="16"/>
    </row>
    <row r="72" spans="1:36" ht="20.100000000000001" customHeight="1" x14ac:dyDescent="0.2">
      <c r="AI72" s="16"/>
      <c r="AJ72" s="16"/>
    </row>
    <row r="73" spans="1:36" ht="20.100000000000001" customHeight="1" x14ac:dyDescent="0.2">
      <c r="W73" s="113" t="s">
        <v>397</v>
      </c>
      <c r="AI73" s="16"/>
      <c r="AJ73" s="16"/>
    </row>
    <row r="74" spans="1:36" ht="20.100000000000001" customHeight="1" x14ac:dyDescent="0.2">
      <c r="W74" s="114" t="s">
        <v>398</v>
      </c>
      <c r="AI74" s="16"/>
      <c r="AJ74" s="16"/>
    </row>
    <row r="75" spans="1:36" ht="20.100000000000001" customHeight="1" x14ac:dyDescent="0.2">
      <c r="W75" s="115" t="s">
        <v>75</v>
      </c>
      <c r="X75" s="115" t="s">
        <v>325</v>
      </c>
      <c r="Y75" s="115" t="s">
        <v>189</v>
      </c>
      <c r="Z75" s="115" t="s">
        <v>326</v>
      </c>
      <c r="AA75" s="115" t="s">
        <v>327</v>
      </c>
      <c r="AB75" s="115" t="s">
        <v>328</v>
      </c>
      <c r="AC75" s="115" t="s">
        <v>329</v>
      </c>
      <c r="AD75" s="115" t="s">
        <v>330</v>
      </c>
      <c r="AE75" s="115" t="s">
        <v>331</v>
      </c>
      <c r="AF75" s="115" t="s">
        <v>332</v>
      </c>
      <c r="AG75" s="115" t="s">
        <v>333</v>
      </c>
      <c r="AI75" s="16"/>
      <c r="AJ75" s="16"/>
    </row>
    <row r="76" spans="1:36" ht="20.100000000000001" customHeight="1" x14ac:dyDescent="0.2">
      <c r="W76" s="15" t="str">
        <f>TEXT(X_Cell_Site_StartDate,"mmmm")</f>
        <v>January</v>
      </c>
      <c r="X76" s="15">
        <f ca="1">((1.185 + 0.00454 * X44 - 0.0000026 * X44 ^ 2 + 0.315 * X60) ^ 2 * Z28)</f>
        <v>7.1468536895999959</v>
      </c>
      <c r="Y76" s="15">
        <f ca="1">((1.185 + 0.00454 * Y44 - 0.0000026 * Y44 ^ 2 + 0.315 * Y60) ^ 2 * AA28)</f>
        <v>9.4559940036000008</v>
      </c>
      <c r="Z76" s="15">
        <f ca="1">((1.185 + 0.00454 * Z44 - 0.0000026 * Z44 ^ 2 + 0.315 * Z60) ^ 2 * AB28)</f>
        <v>6.010342559999998</v>
      </c>
      <c r="AA76" s="15">
        <f ca="1">((1.185 + 0.00454 * AA44 - 0.0000026 * AA44 ^ 2 + 0.315 * AA60) ^ 2 * AC28)</f>
        <v>8.4608409301875014</v>
      </c>
      <c r="AB76" s="15">
        <f ca="1">((1.185 + 0.00454 * AB44 - 0.0000026 * AB44 ^ 2 + 0.315 * AB60) ^ 2 * AD28)</f>
        <v>8.3772677761199983</v>
      </c>
      <c r="AC76" s="15">
        <f ca="1">((1.185 + 0.00454 * AC44 - 0.0000026 * AC44 ^ 2 + 0.315 * AC60) ^ 2 * AE28)</f>
        <v>8.3772677761199983</v>
      </c>
      <c r="AD76" s="15">
        <f ca="1">((1.185 + 0.00454 * AD44 - 0.0000026 * AD44 ^ 2 + 0.315 * AD60) ^ 2 * AF28)</f>
        <v>6.5876408896000003</v>
      </c>
      <c r="AE76" s="15">
        <f ca="1">((1.185 + 0.00454 * AE44 - 0.0000026 * AE44 ^ 2 + 0.315 * AE60) ^ 2 * AG28)</f>
        <v>7.3430702361</v>
      </c>
      <c r="AF76" s="15">
        <f ca="1">((1.185 + 0.00454 * AF44 - 0.0000026 * AF44 ^ 2 + 0.315 * AF60) ^ 2 * AH28)</f>
        <v>7.3430702361</v>
      </c>
      <c r="AG76" s="15">
        <f ca="1">((1.185 + 0.00454 * AG44 - 0.0000026 * AG44 ^ 2 + 0.315 * AG60) ^ 2 * AI28)</f>
        <v>7.3430702361</v>
      </c>
      <c r="AH76" s="16" t="str">
        <f t="shared" ref="AH76:AH87" si="2">$E$43</f>
        <v>kg DM/head/day</v>
      </c>
      <c r="AI76" s="16"/>
      <c r="AJ76" s="16"/>
    </row>
    <row r="77" spans="1:36" ht="20.100000000000001" customHeight="1" x14ac:dyDescent="0.2">
      <c r="W77" s="15" t="str">
        <f>TEXT(EDATE(X_Cell_Site_StartDate,1), "mmmm")</f>
        <v>February</v>
      </c>
      <c r="X77" s="15">
        <f ca="1">((1.185 + 0.00454 * X45 - 0.0000026 * X45 ^ 2 + 0.315 * X61) ^ 2 * Z29)</f>
        <v>7.1468536895999959</v>
      </c>
      <c r="Y77" s="15">
        <f ca="1">((1.185 + 0.00454 * Y45 - 0.0000026 * Y45 ^ 2 + 0.315 * Y61) ^ 2 * AA29)</f>
        <v>9.4559940036000008</v>
      </c>
      <c r="Z77" s="15">
        <f ca="1">((1.185 + 0.00454 * Z45 - 0.0000026 * Z45 ^ 2 + 0.315 * Z61) ^ 2 * AB29)</f>
        <v>6.010342559999998</v>
      </c>
      <c r="AA77" s="15">
        <f ca="1">((1.185 + 0.00454 * AA45 - 0.0000026 * AA45 ^ 2 + 0.315 * AA61) ^ 2 * AC29)</f>
        <v>7.8705497025</v>
      </c>
      <c r="AB77" s="15">
        <f ca="1">((1.185 + 0.00454 * AB45 - 0.0000026 * AB45 ^ 2 + 0.315 * AB61) ^ 2 * AD29)</f>
        <v>7.7928072335999978</v>
      </c>
      <c r="AC77" s="15">
        <f ca="1">((1.185 + 0.00454 * AC45 - 0.0000026 * AC45 ^ 2 + 0.315 * AC61) ^ 2 * AE29)</f>
        <v>7.7928072335999978</v>
      </c>
      <c r="AD77" s="15">
        <f ca="1">((1.185 + 0.00454 * AD45 - 0.0000026 * AD45 ^ 2 + 0.315 * AD61) ^ 2 * AF29)</f>
        <v>6.5876408896000003</v>
      </c>
      <c r="AE77" s="15">
        <f ca="1">((1.185 + 0.00454 * AE45 - 0.0000026 * AE45 ^ 2 + 0.315 * AE61) ^ 2 * AG29)</f>
        <v>7.3430702361</v>
      </c>
      <c r="AF77" s="15">
        <f ca="1">((1.185 + 0.00454 * AF45 - 0.0000026 * AF45 ^ 2 + 0.315 * AF61) ^ 2 * AH29)</f>
        <v>7.3430702361</v>
      </c>
      <c r="AG77" s="15">
        <f ca="1">((1.185 + 0.00454 * AG45 - 0.0000026 * AG45 ^ 2 + 0.315 * AG61) ^ 2 * AI29)</f>
        <v>7.3430702361</v>
      </c>
      <c r="AH77" s="16" t="str">
        <f t="shared" si="2"/>
        <v>kg DM/head/day</v>
      </c>
      <c r="AI77" s="16"/>
      <c r="AJ77" s="16"/>
    </row>
    <row r="78" spans="1:36" ht="20.100000000000001" customHeight="1" x14ac:dyDescent="0.2">
      <c r="W78" s="15" t="str">
        <f>TEXT(EDATE(X_Cell_Site_StartDate,2), "mmmm")</f>
        <v>March</v>
      </c>
      <c r="X78" s="15">
        <f ca="1">((1.185 + 0.00454 * X46 - 0.0000026 * X46 ^ 2 + 0.315 * X62) ^ 2 * Z30)</f>
        <v>3.247204</v>
      </c>
      <c r="Y78" s="15">
        <f ca="1">((1.185 + 0.00454 * Y46 - 0.0000026 * Y46 ^ 2 + 0.315 * Y62) ^ 2 * AA30)</f>
        <v>9.4246544015999998</v>
      </c>
      <c r="Z78" s="15">
        <f ca="1">((1.185 + 0.00454 * Z46 - 0.0000026 * Z46 ^ 2 + 0.315 * Z62) ^ 2 * AB30)</f>
        <v>2.9603267136000002</v>
      </c>
      <c r="AA78" s="15">
        <f ca="1">((1.185 + 0.00454 * AA46 - 0.0000026 * AA46 ^ 2 + 0.315 * AA62) ^ 2 * AC30)</f>
        <v>5.9577975395999987</v>
      </c>
      <c r="AB78" s="15">
        <f ca="1">((1.185 + 0.00454 * AB46 - 0.0000026 * AB46 ^ 2 + 0.315 * AB62) ^ 2 * AD30)</f>
        <v>6.7179974480999993</v>
      </c>
      <c r="AC78" s="15">
        <f ca="1">((1.185 + 0.00454 * AC46 - 0.0000026 * AC46 ^ 2 + 0.315 * AC62) ^ 2 * AE30)</f>
        <v>6.7179974480999993</v>
      </c>
      <c r="AD78" s="15">
        <f ca="1">((1.185 + 0.00454 * AD46 - 0.0000026 * AD46 ^ 2 + 0.315 * AD62) ^ 2 * AF30)</f>
        <v>3.247204</v>
      </c>
      <c r="AE78" s="15">
        <f ca="1">((1.185 + 0.00454 * AE46 - 0.0000026 * AE46 ^ 2 + 0.315 * AE62) ^ 2 * AG30)</f>
        <v>5.8953782416000013</v>
      </c>
      <c r="AF78" s="15">
        <f ca="1">((1.185 + 0.00454 * AF46 - 0.0000026 * AF46 ^ 2 + 0.315 * AF62) ^ 2 * AH30)</f>
        <v>5.8953782416000013</v>
      </c>
      <c r="AG78" s="15">
        <f ca="1">((1.185 + 0.00454 * AG46 - 0.0000026 * AG46 ^ 2 + 0.315 * AG62) ^ 2 * AI30)</f>
        <v>5.8953782416000013</v>
      </c>
      <c r="AH78" s="16" t="str">
        <f t="shared" si="2"/>
        <v>kg DM/head/day</v>
      </c>
      <c r="AI78" s="16"/>
      <c r="AJ78" s="16"/>
    </row>
    <row r="79" spans="1:36" ht="20.100000000000001" customHeight="1" x14ac:dyDescent="0.2">
      <c r="W79" s="15" t="str">
        <f>TEXT(EDATE(X_Cell_Site_StartDate,3), "mmmm")</f>
        <v>April</v>
      </c>
      <c r="X79" s="15">
        <f ca="1">((1.185 + 0.00454 * X47 - 0.0000026 * X47 ^ 2 + 0.315 * X63) ^ 2 * Z31)</f>
        <v>3.247204</v>
      </c>
      <c r="Y79" s="15">
        <f ca="1">((1.185 + 0.00454 * Y47 - 0.0000026 * Y47 ^ 2 + 0.315 * Y63) ^ 2 * AA31)</f>
        <v>9.4246544015999998</v>
      </c>
      <c r="Z79" s="15">
        <f ca="1">((1.185 + 0.00454 * Z47 - 0.0000026 * Z47 ^ 2 + 0.315 * Z63) ^ 2 * AB31)</f>
        <v>2.9603267136000002</v>
      </c>
      <c r="AA79" s="15">
        <f ca="1">((1.185 + 0.00454 * AA47 - 0.0000026 * AA47 ^ 2 + 0.315 * AA63) ^ 2 * AC31)</f>
        <v>5.9577975395999987</v>
      </c>
      <c r="AB79" s="15">
        <f ca="1">((1.185 + 0.00454 * AB47 - 0.0000026 * AB47 ^ 2 + 0.315 * AB63) ^ 2 * AD31)</f>
        <v>6.7179974480999993</v>
      </c>
      <c r="AC79" s="15">
        <f ca="1">((1.185 + 0.00454 * AC47 - 0.0000026 * AC47 ^ 2 + 0.315 * AC63) ^ 2 * AE31)</f>
        <v>6.7179974480999993</v>
      </c>
      <c r="AD79" s="15">
        <f ca="1">((1.185 + 0.00454 * AD47 - 0.0000026 * AD47 ^ 2 + 0.315 * AD63) ^ 2 * AF31)</f>
        <v>3.247204</v>
      </c>
      <c r="AE79" s="15">
        <f ca="1">((1.185 + 0.00454 * AE47 - 0.0000026 * AE47 ^ 2 + 0.315 * AE63) ^ 2 * AG31)</f>
        <v>5.8953782416000013</v>
      </c>
      <c r="AF79" s="15">
        <f ca="1">((1.185 + 0.00454 * AF47 - 0.0000026 * AF47 ^ 2 + 0.315 * AF63) ^ 2 * AH31)</f>
        <v>5.8953782416000013</v>
      </c>
      <c r="AG79" s="15">
        <f ca="1">((1.185 + 0.00454 * AG47 - 0.0000026 * AG47 ^ 2 + 0.315 * AG63) ^ 2 * AI31)</f>
        <v>5.8953782416000013</v>
      </c>
      <c r="AH79" s="16" t="str">
        <f t="shared" si="2"/>
        <v>kg DM/head/day</v>
      </c>
      <c r="AI79" s="16"/>
      <c r="AJ79" s="16"/>
    </row>
    <row r="80" spans="1:36" ht="20.100000000000001" customHeight="1" x14ac:dyDescent="0.2">
      <c r="W80" s="15" t="str">
        <f>TEXT(EDATE(X_Cell_Site_StartDate,4), "mmmm")</f>
        <v>May</v>
      </c>
      <c r="X80" s="15">
        <f ca="1">((1.185 + 0.00454 * X48 - 0.0000026 * X48 ^ 2 + 0.315 * X64) ^ 2 * Z32)</f>
        <v>3.247204</v>
      </c>
      <c r="Y80" s="15">
        <f ca="1">((1.185 + 0.00454 * Y48 - 0.0000026 * Y48 ^ 2 + 0.315 * Y64) ^ 2 * AA32)</f>
        <v>9.4246544015999998</v>
      </c>
      <c r="Z80" s="15">
        <f ca="1">((1.185 + 0.00454 * Z48 - 0.0000026 * Z48 ^ 2 + 0.315 * Z64) ^ 2 * AB32)</f>
        <v>2.9603267136000002</v>
      </c>
      <c r="AA80" s="15">
        <f ca="1">((1.185 + 0.00454 * AA48 - 0.0000026 * AA48 ^ 2 + 0.315 * AA64) ^ 2 * AC32)</f>
        <v>5.9577975395999987</v>
      </c>
      <c r="AB80" s="15">
        <f ca="1">((1.185 + 0.00454 * AB48 - 0.0000026 * AB48 ^ 2 + 0.315 * AB64) ^ 2 * AD32)</f>
        <v>6.7179974480999993</v>
      </c>
      <c r="AC80" s="15">
        <f ca="1">((1.185 + 0.00454 * AC48 - 0.0000026 * AC48 ^ 2 + 0.315 * AC64) ^ 2 * AE32)</f>
        <v>6.7179974480999993</v>
      </c>
      <c r="AD80" s="15">
        <f ca="1">((1.185 + 0.00454 * AD48 - 0.0000026 * AD48 ^ 2 + 0.315 * AD64) ^ 2 * AF32)</f>
        <v>3.247204</v>
      </c>
      <c r="AE80" s="15">
        <f ca="1">((1.185 + 0.00454 * AE48 - 0.0000026 * AE48 ^ 2 + 0.315 * AE64) ^ 2 * AG32)</f>
        <v>5.8953782416000013</v>
      </c>
      <c r="AF80" s="15">
        <f ca="1">((1.185 + 0.00454 * AF48 - 0.0000026 * AF48 ^ 2 + 0.315 * AF64) ^ 2 * AH32)</f>
        <v>5.8953782416000013</v>
      </c>
      <c r="AG80" s="15">
        <f ca="1">((1.185 + 0.00454 * AG48 - 0.0000026 * AG48 ^ 2 + 0.315 * AG64) ^ 2 * AI32)</f>
        <v>5.8953782416000013</v>
      </c>
      <c r="AH80" s="16" t="str">
        <f t="shared" si="2"/>
        <v>kg DM/head/day</v>
      </c>
    </row>
    <row r="81" spans="4:36" ht="20.100000000000001" customHeight="1" x14ac:dyDescent="0.2">
      <c r="D81" s="113" t="s">
        <v>399</v>
      </c>
      <c r="W81" s="15" t="str">
        <f>TEXT(EDATE(X_Cell_Site_StartDate,5), "mmmm")</f>
        <v>June</v>
      </c>
      <c r="X81" s="15">
        <f ca="1">((1.185 + 0.00454 * X49 - 0.0000026 * X49 ^ 2 + 0.315 * X65) ^ 2 * Z33)</f>
        <v>5.1328980481000004</v>
      </c>
      <c r="Y81" s="15">
        <f ca="1">((1.185 + 0.00454 * Y49 - 0.0000026 * Y49 ^ 2 + 0.315 * Y65) ^ 2 * AA33)</f>
        <v>9.9748588899999984</v>
      </c>
      <c r="Z81" s="15">
        <f ca="1">((1.185 + 0.00454 * Z49 - 0.0000026 * Z49 ^ 2 + 0.315 * Z65) ^ 2 * AB33)</f>
        <v>4.202705002500001</v>
      </c>
      <c r="AA81" s="15">
        <f ca="1">((1.185 + 0.00454 * AA49 - 0.0000026 * AA49 ^ 2 + 0.315 * AA65) ^ 2 * AC33)</f>
        <v>5.9278127841000021</v>
      </c>
      <c r="AB81" s="15">
        <f ca="1">((1.185 + 0.00454 * AB49 - 0.0000026 * AB49 ^ 2 + 0.315 * AB65) ^ 2 * AD33)</f>
        <v>7.952343600099999</v>
      </c>
      <c r="AC81" s="15">
        <f ca="1">((1.185 + 0.00454 * AC49 - 0.0000026 * AC49 ^ 2 + 0.315 * AC65) ^ 2 * AE33)</f>
        <v>7.952343600099999</v>
      </c>
      <c r="AD81" s="15">
        <f ca="1">((1.185 + 0.00454 * AD49 - 0.0000026 * AD49 ^ 2 + 0.315 * AD65) ^ 2 * AF33)</f>
        <v>4.5122681240999984</v>
      </c>
      <c r="AE81" s="15">
        <f ca="1">((1.185 + 0.00454 * AE49 - 0.0000026 * AE49 ^ 2 + 0.315 * AE65) ^ 2 * AG33)</f>
        <v>6.8698506815999991</v>
      </c>
      <c r="AF81" s="15">
        <f ca="1">((1.185 + 0.00454 * AF49 - 0.0000026 * AF49 ^ 2 + 0.315 * AF65) ^ 2 * AH33)</f>
        <v>6.8698506815999991</v>
      </c>
      <c r="AG81" s="15">
        <f ca="1">((1.185 + 0.00454 * AG49 - 0.0000026 * AG49 ^ 2 + 0.315 * AG65) ^ 2 * AI33)</f>
        <v>6.8698506815999991</v>
      </c>
      <c r="AH81" s="16" t="str">
        <f t="shared" si="2"/>
        <v>kg DM/head/day</v>
      </c>
    </row>
    <row r="82" spans="4:36" ht="20.100000000000001" customHeight="1" x14ac:dyDescent="0.2">
      <c r="D82" s="114" t="s">
        <v>400</v>
      </c>
      <c r="W82" s="15" t="str">
        <f>TEXT(EDATE(X_Cell_Site_StartDate,6), "mmmm")</f>
        <v>July</v>
      </c>
      <c r="X82" s="15">
        <f ca="1">((1.185 + 0.00454 * X50 - 0.0000026 * X50 ^ 2 + 0.315 * X66) ^ 2 * Z34)</f>
        <v>5.1328980481000004</v>
      </c>
      <c r="Y82" s="15">
        <f ca="1">((1.185 + 0.00454 * Y50 - 0.0000026 * Y50 ^ 2 + 0.315 * Y66) ^ 2 * AA34)</f>
        <v>9.9748588899999984</v>
      </c>
      <c r="Z82" s="15">
        <f ca="1">((1.185 + 0.00454 * Z50 - 0.0000026 * Z50 ^ 2 + 0.315 * Z66) ^ 2 * AB34)</f>
        <v>4.202705002500001</v>
      </c>
      <c r="AA82" s="15">
        <f ca="1">((1.185 + 0.00454 * AA50 - 0.0000026 * AA50 ^ 2 + 0.315 * AA66) ^ 2 * AC34)</f>
        <v>5.9278127841000021</v>
      </c>
      <c r="AB82" s="15">
        <f ca="1">((1.185 + 0.00454 * AB50 - 0.0000026 * AB50 ^ 2 + 0.315 * AB66) ^ 2 * AD34)</f>
        <v>7.952343600099999</v>
      </c>
      <c r="AC82" s="15">
        <f ca="1">((1.185 + 0.00454 * AC50 - 0.0000026 * AC50 ^ 2 + 0.315 * AC66) ^ 2 * AE34)</f>
        <v>7.952343600099999</v>
      </c>
      <c r="AD82" s="15">
        <f ca="1">((1.185 + 0.00454 * AD50 - 0.0000026 * AD50 ^ 2 + 0.315 * AD66) ^ 2 * AF34)</f>
        <v>4.5122681240999984</v>
      </c>
      <c r="AE82" s="15">
        <f ca="1">((1.185 + 0.00454 * AE50 - 0.0000026 * AE50 ^ 2 + 0.315 * AE66) ^ 2 * AG34)</f>
        <v>6.8698506815999991</v>
      </c>
      <c r="AF82" s="15">
        <f ca="1">((1.185 + 0.00454 * AF50 - 0.0000026 * AF50 ^ 2 + 0.315 * AF66) ^ 2 * AH34)</f>
        <v>6.8698506815999991</v>
      </c>
      <c r="AG82" s="15">
        <f ca="1">((1.185 + 0.00454 * AG50 - 0.0000026 * AG50 ^ 2 + 0.315 * AG66) ^ 2 * AI34)</f>
        <v>6.8698506815999991</v>
      </c>
      <c r="AH82" s="16" t="str">
        <f t="shared" si="2"/>
        <v>kg DM/head/day</v>
      </c>
    </row>
    <row r="83" spans="4:36" ht="20.100000000000001" customHeight="1" x14ac:dyDescent="0.2">
      <c r="D83" s="115" t="s">
        <v>76</v>
      </c>
      <c r="E83" s="115" t="s">
        <v>325</v>
      </c>
      <c r="F83" s="115" t="s">
        <v>189</v>
      </c>
      <c r="G83" s="115" t="s">
        <v>326</v>
      </c>
      <c r="H83" s="115" t="s">
        <v>327</v>
      </c>
      <c r="I83" s="115" t="s">
        <v>328</v>
      </c>
      <c r="J83" s="115" t="s">
        <v>329</v>
      </c>
      <c r="K83" s="115" t="s">
        <v>330</v>
      </c>
      <c r="L83" s="115" t="s">
        <v>331</v>
      </c>
      <c r="M83" s="115" t="s">
        <v>332</v>
      </c>
      <c r="N83" s="115" t="s">
        <v>333</v>
      </c>
      <c r="W83" s="15" t="str">
        <f>TEXT(EDATE(X_Cell_Site_StartDate,7), "mmmm")</f>
        <v>August</v>
      </c>
      <c r="X83" s="15">
        <f ca="1">((1.185 + 0.00454 * X51 - 0.0000026 * X51 ^ 2 + 0.315 * X67) ^ 2 * Z35)</f>
        <v>5.1328980481000004</v>
      </c>
      <c r="Y83" s="15">
        <f ca="1">((1.185 + 0.00454 * Y51 - 0.0000026 * Y51 ^ 2 + 0.315 * Y67) ^ 2 * AA35)</f>
        <v>9.9748588899999984</v>
      </c>
      <c r="Z83" s="15">
        <f ca="1">((1.185 + 0.00454 * Z51 - 0.0000026 * Z51 ^ 2 + 0.315 * Z67) ^ 2 * AB35)</f>
        <v>4.202705002500001</v>
      </c>
      <c r="AA83" s="15">
        <f ca="1">((1.185 + 0.00454 * AA51 - 0.0000026 * AA51 ^ 2 + 0.315 * AA67) ^ 2 * AC35)</f>
        <v>7.2615706605225032</v>
      </c>
      <c r="AB83" s="15">
        <f ca="1">((1.185 + 0.00454 * AB51 - 0.0000026 * AB51 ^ 2 + 0.315 * AB67) ^ 2 * AD35)</f>
        <v>9.7416209101224993</v>
      </c>
      <c r="AC83" s="15">
        <f ca="1">((1.185 + 0.00454 * AC51 - 0.0000026 * AC51 ^ 2 + 0.315 * AC67) ^ 2 * AE35)</f>
        <v>9.7416209101224993</v>
      </c>
      <c r="AD83" s="15">
        <f ca="1">((1.185 + 0.00454 * AD51 - 0.0000026 * AD51 ^ 2 + 0.315 * AD67) ^ 2 * AF35)</f>
        <v>4.5122681240999984</v>
      </c>
      <c r="AE83" s="15">
        <f ca="1">((1.185 + 0.00454 * AE51 - 0.0000026 * AE51 ^ 2 + 0.315 * AE67) ^ 2 * AG35)</f>
        <v>6.8698506815999991</v>
      </c>
      <c r="AF83" s="15">
        <f ca="1">((1.185 + 0.00454 * AF51 - 0.0000026 * AF51 ^ 2 + 0.315 * AF67) ^ 2 * AH35)</f>
        <v>6.8698506815999991</v>
      </c>
      <c r="AG83" s="15">
        <f ca="1">((1.185 + 0.00454 * AG51 - 0.0000026 * AG51 ^ 2 + 0.315 * AG67) ^ 2 * AI35)</f>
        <v>6.8698506815999991</v>
      </c>
      <c r="AH83" s="16" t="str">
        <f t="shared" si="2"/>
        <v>kg DM/head/day</v>
      </c>
    </row>
    <row r="84" spans="4:36" ht="20.100000000000001" customHeight="1" x14ac:dyDescent="0.2">
      <c r="D84" s="15" t="s">
        <v>334</v>
      </c>
      <c r="E84" s="15">
        <f ca="1">((1.185 + 0.00454 * E52 - 0.0000026 * E52 ^ 2 + 0.315 * E68) ^ 2 * I30)</f>
        <v>8.6709047296000001</v>
      </c>
      <c r="F84" s="15">
        <f ca="1">((1.185 + 0.00454 * F52 - 0.0000026 * F52 ^ 2 + 0.315 * F68) ^ 2 * J30)</f>
        <v>12.246500250000002</v>
      </c>
      <c r="G84" s="15">
        <f ca="1">((1.185 + 0.00454 * G52 - 0.0000026 * G52 ^ 2 + 0.315 * G68) ^ 2 * K30)</f>
        <v>6.6089612241000006</v>
      </c>
      <c r="H84" s="15">
        <f ca="1">((1.185 + 0.00454 * H52 - 0.0000026 * H52 ^ 2 + 0.315 * H68) ^ 2 * L30)</f>
        <v>9.5403922901100024</v>
      </c>
      <c r="I84" s="15">
        <f ca="1">((1.185 + 0.00454 * I52 - 0.0000026 * I52 ^ 2 + 0.315 * I68) ^ 2 * M30)</f>
        <v>11.268377125200001</v>
      </c>
      <c r="J84" s="15">
        <f ca="1">((1.185 + 0.00454 * J52 - 0.0000026 * J52 ^ 2 + 0.315 * J68) ^ 2 * N30)</f>
        <v>11.268377125200001</v>
      </c>
      <c r="K84" s="15">
        <f ca="1">((1.185 + 0.00454 * K52 - 0.0000026 * K52 ^ 2 + 0.315 * K68) ^ 2 * O30)</f>
        <v>7.6192560899999977</v>
      </c>
      <c r="L84" s="15">
        <f ca="1">((1.185 + 0.00454 * L52 - 0.0000026 * L52 ^ 2 + 0.315 * L68) ^ 2 * P30)</f>
        <v>9.6824279555999979</v>
      </c>
      <c r="M84" s="15">
        <f ca="1">((1.185 + 0.00454 * M52 - 0.0000026 * M52 ^ 2 + 0.315 * M68) ^ 2 * Q30)</f>
        <v>9.6824279555999979</v>
      </c>
      <c r="N84" s="15">
        <f ca="1">((1.185 + 0.00454 * N52 - 0.0000026 * N52 ^ 2 + 0.315 * N68) ^ 2 * R30)</f>
        <v>9.6824279555999979</v>
      </c>
      <c r="O84" s="16" t="str">
        <f>$E$43</f>
        <v>kg DM/head/day</v>
      </c>
      <c r="P84" s="16"/>
      <c r="Q84" s="16"/>
      <c r="R84" s="16"/>
      <c r="S84" s="16"/>
      <c r="W84" s="15" t="str">
        <f>TEXT(EDATE(X_Cell_Site_StartDate,8), "mmmm")</f>
        <v>September</v>
      </c>
      <c r="X84" s="15">
        <f ca="1">((1.185 + 0.00454 * X52 - 0.0000026 * X52 ^ 2 + 0.315 * X68) ^ 2 * Z36)</f>
        <v>8.6709047296000001</v>
      </c>
      <c r="Y84" s="15">
        <f ca="1">((1.185 + 0.00454 * Y52 - 0.0000026 * Y52 ^ 2 + 0.315 * Y68) ^ 2 * AA36)</f>
        <v>12.246500250000002</v>
      </c>
      <c r="Z84" s="15">
        <f ca="1">((1.185 + 0.00454 * Z52 - 0.0000026 * Z52 ^ 2 + 0.315 * Z68) ^ 2 * AB36)</f>
        <v>6.6089612241000006</v>
      </c>
      <c r="AA84" s="15">
        <f ca="1">((1.185 + 0.00454 * AA52 - 0.0000026 * AA52 ^ 2 + 0.315 * AA68) ^ 2 * AC36)</f>
        <v>10.624527777622504</v>
      </c>
      <c r="AB84" s="15">
        <f ca="1">((1.185 + 0.00454 * AB52 - 0.0000026 * AB52 ^ 2 + 0.315 * AB68) ^ 2 * AD36)</f>
        <v>11.798087161000003</v>
      </c>
      <c r="AC84" s="15">
        <f ca="1">((1.185 + 0.00454 * AC52 - 0.0000026 * AC52 ^ 2 + 0.315 * AC68) ^ 2 * AE36)</f>
        <v>11.798087161000003</v>
      </c>
      <c r="AD84" s="15">
        <f ca="1">((1.185 + 0.00454 * AD52 - 0.0000026 * AD52 ^ 2 + 0.315 * AD68) ^ 2 * AF36)</f>
        <v>7.6192560899999977</v>
      </c>
      <c r="AE84" s="15">
        <f ca="1">((1.185 + 0.00454 * AE52 - 0.0000026 * AE52 ^ 2 + 0.315 * AE68) ^ 2 * AG36)</f>
        <v>9.6824279555999979</v>
      </c>
      <c r="AF84" s="15">
        <f ca="1">((1.185 + 0.00454 * AF52 - 0.0000026 * AF52 ^ 2 + 0.315 * AF68) ^ 2 * AH36)</f>
        <v>9.6824279555999979</v>
      </c>
      <c r="AG84" s="15">
        <f ca="1">((1.185 + 0.00454 * AG52 - 0.0000026 * AG52 ^ 2 + 0.315 * AG68) ^ 2 * AI36)</f>
        <v>9.6824279555999979</v>
      </c>
      <c r="AH84" s="16" t="str">
        <f t="shared" si="2"/>
        <v>kg DM/head/day</v>
      </c>
      <c r="AI84" s="16"/>
      <c r="AJ84" s="16"/>
    </row>
    <row r="85" spans="4:36" ht="20.100000000000001" customHeight="1" x14ac:dyDescent="0.2">
      <c r="D85" s="15" t="s">
        <v>335</v>
      </c>
      <c r="E85" s="15">
        <f ca="1">((1.185 + 0.00454 * E53 - 0.0000026 * E53 ^ 2 + 0.315 * E69) ^ 2 * I31)</f>
        <v>7.1468536895999959</v>
      </c>
      <c r="F85" s="15">
        <f ca="1">((1.185 + 0.00454 * F53 - 0.0000026 * F53 ^ 2 + 0.315 * F69) ^ 2 * J31)</f>
        <v>9.4559940036000008</v>
      </c>
      <c r="G85" s="15">
        <f ca="1">((1.185 + 0.00454 * G53 - 0.0000026 * G53 ^ 2 + 0.315 * G69) ^ 2 * K31)</f>
        <v>6.010342559999998</v>
      </c>
      <c r="H85" s="15">
        <f ca="1">((1.185 + 0.00454 * H53 - 0.0000026 * H53 ^ 2 + 0.315 * H69) ^ 2 * L31)</f>
        <v>8.1853716906000002</v>
      </c>
      <c r="I85" s="15">
        <f ca="1">((1.185 + 0.00454 * I53 - 0.0000026 * I53 ^ 2 + 0.315 * I69) ^ 2 * M31)</f>
        <v>8.1045195229439972</v>
      </c>
      <c r="J85" s="15">
        <f ca="1">((1.185 + 0.00454 * J53 - 0.0000026 * J53 ^ 2 + 0.315 * J69) ^ 2 * N31)</f>
        <v>8.1045195229439972</v>
      </c>
      <c r="K85" s="15">
        <f ca="1">((1.185 + 0.00454 * K53 - 0.0000026 * K53 ^ 2 + 0.315 * K69) ^ 2 * O31)</f>
        <v>6.5876408896000003</v>
      </c>
      <c r="L85" s="15">
        <f ca="1">((1.185 + 0.00454 * L53 - 0.0000026 * L53 ^ 2 + 0.315 * L69) ^ 2 * P31)</f>
        <v>7.3430702361</v>
      </c>
      <c r="M85" s="15">
        <f ca="1">((1.185 + 0.00454 * M53 - 0.0000026 * M53 ^ 2 + 0.315 * M69) ^ 2 * Q31)</f>
        <v>7.3430702361</v>
      </c>
      <c r="N85" s="15">
        <f ca="1">((1.185 + 0.00454 * N53 - 0.0000026 * N53 ^ 2 + 0.315 * N69) ^ 2 * R31)</f>
        <v>7.3430702361</v>
      </c>
      <c r="O85" s="16" t="str">
        <f>$E$43</f>
        <v>kg DM/head/day</v>
      </c>
      <c r="P85" s="16"/>
      <c r="Q85" s="16"/>
      <c r="R85" s="16"/>
      <c r="S85" s="16"/>
      <c r="W85" s="15" t="str">
        <f>TEXT(EDATE(X_Cell_Site_StartDate,9), "mmmm")</f>
        <v>October</v>
      </c>
      <c r="X85" s="15">
        <f ca="1">((1.185 + 0.00454 * X53 - 0.0000026 * X53 ^ 2 + 0.315 * X69) ^ 2 * Z37)</f>
        <v>8.6709047296000001</v>
      </c>
      <c r="Y85" s="15">
        <f ca="1">((1.185 + 0.00454 * Y53 - 0.0000026 * Y53 ^ 2 + 0.315 * Y69) ^ 2 * AA37)</f>
        <v>12.246500250000002</v>
      </c>
      <c r="Z85" s="15">
        <f ca="1">((1.185 + 0.00454 * Z53 - 0.0000026 * Z53 ^ 2 + 0.315 * Z69) ^ 2 * AB37)</f>
        <v>6.6089612241000006</v>
      </c>
      <c r="AA85" s="15">
        <f ca="1">((1.185 + 0.00454 * AA53 - 0.0000026 * AA53 ^ 2 + 0.315 * AA69) ^ 2 * AC37)</f>
        <v>10.624527777622504</v>
      </c>
      <c r="AB85" s="15">
        <f ca="1">((1.185 + 0.00454 * AB53 - 0.0000026 * AB53 ^ 2 + 0.315 * AB69) ^ 2 * AD37)</f>
        <v>11.798087161000003</v>
      </c>
      <c r="AC85" s="15">
        <f ca="1">((1.185 + 0.00454 * AC53 - 0.0000026 * AC53 ^ 2 + 0.315 * AC69) ^ 2 * AE37)</f>
        <v>11.798087161000003</v>
      </c>
      <c r="AD85" s="15">
        <f ca="1">((1.185 + 0.00454 * AD53 - 0.0000026 * AD53 ^ 2 + 0.315 * AD69) ^ 2 * AF37)</f>
        <v>7.6192560899999977</v>
      </c>
      <c r="AE85" s="15">
        <f ca="1">((1.185 + 0.00454 * AE53 - 0.0000026 * AE53 ^ 2 + 0.315 * AE69) ^ 2 * AG37)</f>
        <v>9.6824279555999979</v>
      </c>
      <c r="AF85" s="15">
        <f ca="1">((1.185 + 0.00454 * AF53 - 0.0000026 * AF53 ^ 2 + 0.315 * AF69) ^ 2 * AH37)</f>
        <v>9.6824279555999979</v>
      </c>
      <c r="AG85" s="15">
        <f ca="1">((1.185 + 0.00454 * AG53 - 0.0000026 * AG53 ^ 2 + 0.315 * AG69) ^ 2 * AI37)</f>
        <v>9.6824279555999979</v>
      </c>
      <c r="AH85" s="16" t="str">
        <f t="shared" si="2"/>
        <v>kg DM/head/day</v>
      </c>
      <c r="AI85" s="16"/>
      <c r="AJ85" s="16"/>
    </row>
    <row r="86" spans="4:36" ht="20.100000000000001" customHeight="1" x14ac:dyDescent="0.2">
      <c r="D86" s="15" t="s">
        <v>336</v>
      </c>
      <c r="E86" s="15">
        <f ca="1">((1.185 + 0.00454 * E54 - 0.0000026 * E54 ^ 2 + 0.315 * E70) ^ 2 * I32)</f>
        <v>3.247204</v>
      </c>
      <c r="F86" s="15">
        <f ca="1">((1.185 + 0.00454 * F54 - 0.0000026 * F54 ^ 2 + 0.315 * F70) ^ 2 * J32)</f>
        <v>9.4246544015999998</v>
      </c>
      <c r="G86" s="15">
        <f ca="1">((1.185 + 0.00454 * G54 - 0.0000026 * G54 ^ 2 + 0.315 * G70) ^ 2 * K32)</f>
        <v>2.9603267136000002</v>
      </c>
      <c r="H86" s="15">
        <f ca="1">((1.185 + 0.00454 * H54 - 0.0000026 * H54 ^ 2 + 0.315 * H70) ^ 2 * L32)</f>
        <v>6.0173755149959991</v>
      </c>
      <c r="I86" s="15">
        <f ca="1">((1.185 + 0.00454 * I54 - 0.0000026 * I54 ^ 2 + 0.315 * I70) ^ 2 * M32)</f>
        <v>6.7179974480999993</v>
      </c>
      <c r="J86" s="15">
        <f ca="1">((1.185 + 0.00454 * J54 - 0.0000026 * J54 ^ 2 + 0.315 * J70) ^ 2 * N32)</f>
        <v>6.7179974480999993</v>
      </c>
      <c r="K86" s="15">
        <f ca="1">((1.185 + 0.00454 * K54 - 0.0000026 * K54 ^ 2 + 0.315 * K70) ^ 2 * O32)</f>
        <v>3.247204</v>
      </c>
      <c r="L86" s="15">
        <f ca="1">((1.185 + 0.00454 * L54 - 0.0000026 * L54 ^ 2 + 0.315 * L70) ^ 2 * P32)</f>
        <v>5.8953782416000013</v>
      </c>
      <c r="M86" s="15">
        <f ca="1">((1.185 + 0.00454 * M54 - 0.0000026 * M54 ^ 2 + 0.315 * M70) ^ 2 * Q32)</f>
        <v>5.8953782416000013</v>
      </c>
      <c r="N86" s="15">
        <f ca="1">((1.185 + 0.00454 * N54 - 0.0000026 * N54 ^ 2 + 0.315 * N70) ^ 2 * R32)</f>
        <v>5.8953782416000013</v>
      </c>
      <c r="O86" s="16" t="str">
        <f>$E$43</f>
        <v>kg DM/head/day</v>
      </c>
      <c r="P86" s="16"/>
      <c r="Q86" s="16"/>
      <c r="R86" s="16"/>
      <c r="S86" s="16"/>
      <c r="W86" s="15" t="str">
        <f>TEXT(EDATE(X_Cell_Site_StartDate,10), "mmmm")</f>
        <v>November</v>
      </c>
      <c r="X86" s="15">
        <f ca="1">((1.185 + 0.00454 * X54 - 0.0000026 * X54 ^ 2 + 0.315 * X70) ^ 2 * Z38)</f>
        <v>8.6709047296000001</v>
      </c>
      <c r="Y86" s="15">
        <f ca="1">((1.185 + 0.00454 * Y54 - 0.0000026 * Y54 ^ 2 + 0.315 * Y70) ^ 2 * AA38)</f>
        <v>12.246500250000002</v>
      </c>
      <c r="Z86" s="15">
        <f ca="1">((1.185 + 0.00454 * Z54 - 0.0000026 * Z54 ^ 2 + 0.315 * Z70) ^ 2 * AB38)</f>
        <v>6.6089612241000006</v>
      </c>
      <c r="AA86" s="15">
        <f ca="1">((1.185 + 0.00454 * AA54 - 0.0000026 * AA54 ^ 2 + 0.315 * AA70) ^ 2 * AC38)</f>
        <v>9.3235651926075036</v>
      </c>
      <c r="AB86" s="15">
        <f ca="1">((1.185 + 0.00454 * AB54 - 0.0000026 * AB54 ^ 2 + 0.315 * AB70) ^ 2 * AD38)</f>
        <v>10.353423427000003</v>
      </c>
      <c r="AC86" s="15">
        <f ca="1">((1.185 + 0.00454 * AC54 - 0.0000026 * AC54 ^ 2 + 0.315 * AC70) ^ 2 * AE38)</f>
        <v>10.353423427000003</v>
      </c>
      <c r="AD86" s="15">
        <f ca="1">((1.185 + 0.00454 * AD54 - 0.0000026 * AD54 ^ 2 + 0.315 * AD70) ^ 2 * AF38)</f>
        <v>7.6192560899999977</v>
      </c>
      <c r="AE86" s="15">
        <f ca="1">((1.185 + 0.00454 * AE54 - 0.0000026 * AE54 ^ 2 + 0.315 * AE70) ^ 2 * AG38)</f>
        <v>9.6824279555999979</v>
      </c>
      <c r="AF86" s="15">
        <f ca="1">((1.185 + 0.00454 * AF54 - 0.0000026 * AF54 ^ 2 + 0.315 * AF70) ^ 2 * AH38)</f>
        <v>9.6824279555999979</v>
      </c>
      <c r="AG86" s="15">
        <f ca="1">((1.185 + 0.00454 * AG54 - 0.0000026 * AG54 ^ 2 + 0.315 * AG70) ^ 2 * AI38)</f>
        <v>9.6824279555999979</v>
      </c>
      <c r="AH86" s="16" t="str">
        <f t="shared" si="2"/>
        <v>kg DM/head/day</v>
      </c>
      <c r="AI86" s="16"/>
      <c r="AJ86" s="16"/>
    </row>
    <row r="87" spans="4:36" ht="20.100000000000001" customHeight="1" x14ac:dyDescent="0.2">
      <c r="D87" s="15" t="s">
        <v>337</v>
      </c>
      <c r="E87" s="15">
        <f ca="1">((1.185 + 0.00454 * E55 - 0.0000026 * E55 ^ 2 + 0.315 * E71) ^ 2 * I33)</f>
        <v>5.1328980481000004</v>
      </c>
      <c r="F87" s="15">
        <f ca="1">((1.185 + 0.00454 * F55 - 0.0000026 * F55 ^ 2 + 0.315 * F71) ^ 2 * J33)</f>
        <v>9.9748588899999984</v>
      </c>
      <c r="G87" s="15">
        <f ca="1">((1.185 + 0.00454 * G55 - 0.0000026 * G55 ^ 2 + 0.315 * G71) ^ 2 * K33)</f>
        <v>4.202705002500001</v>
      </c>
      <c r="H87" s="15">
        <f ca="1">((1.185 + 0.00454 * H55 - 0.0000026 * H55 ^ 2 + 0.315 * H71) ^ 2 * L33)</f>
        <v>7.172653468761002</v>
      </c>
      <c r="I87" s="15">
        <f ca="1">((1.185 + 0.00454 * I55 - 0.0000026 * I55 ^ 2 + 0.315 * I71) ^ 2 * M33)</f>
        <v>9.145195140114998</v>
      </c>
      <c r="J87" s="15">
        <f ca="1">((1.185 + 0.00454 * J55 - 0.0000026 * J55 ^ 2 + 0.315 * J71) ^ 2 * N33)</f>
        <v>9.145195140114998</v>
      </c>
      <c r="K87" s="15">
        <f ca="1">((1.185 + 0.00454 * K55 - 0.0000026 * K55 ^ 2 + 0.315 * K71) ^ 2 * O33)</f>
        <v>4.5122681240999984</v>
      </c>
      <c r="L87" s="15">
        <f ca="1">((1.185 + 0.00454 * L55 - 0.0000026 * L55 ^ 2 + 0.315 * L71) ^ 2 * P33)</f>
        <v>6.8698506815999991</v>
      </c>
      <c r="M87" s="15">
        <f ca="1">((1.185 + 0.00454 * M55 - 0.0000026 * M55 ^ 2 + 0.315 * M71) ^ 2 * Q33)</f>
        <v>6.8698506815999991</v>
      </c>
      <c r="N87" s="15">
        <f ca="1">((1.185 + 0.00454 * N55 - 0.0000026 * N55 ^ 2 + 0.315 * N71) ^ 2 * R33)</f>
        <v>6.8698506815999991</v>
      </c>
      <c r="O87" s="16" t="str">
        <f>$E$43</f>
        <v>kg DM/head/day</v>
      </c>
      <c r="P87" s="16"/>
      <c r="Q87" s="16"/>
      <c r="R87" s="16"/>
      <c r="S87" s="16"/>
      <c r="W87" s="15" t="str">
        <f>TEXT(EDATE(X_Cell_Site_StartDate,11), "mmmm")</f>
        <v>December</v>
      </c>
      <c r="X87" s="15">
        <f ca="1">((1.185 + 0.00454 * X55 - 0.0000026 * X55 ^ 2 + 0.315 * X71) ^ 2 * Z39)</f>
        <v>7.1468536895999959</v>
      </c>
      <c r="Y87" s="15">
        <f ca="1">((1.185 + 0.00454 * Y55 - 0.0000026 * Y55 ^ 2 + 0.315 * Y71) ^ 2 * AA39)</f>
        <v>9.4559940036000008</v>
      </c>
      <c r="Z87" s="15">
        <f ca="1">((1.185 + 0.00454 * Z55 - 0.0000026 * Z55 ^ 2 + 0.315 * Z71) ^ 2 * AB39)</f>
        <v>6.010342559999998</v>
      </c>
      <c r="AA87" s="15">
        <f ca="1">((1.185 + 0.00454 * AA55 - 0.0000026 * AA55 ^ 2 + 0.315 * AA71) ^ 2 * AC39)</f>
        <v>8.4608409301875014</v>
      </c>
      <c r="AB87" s="15">
        <f ca="1">((1.185 + 0.00454 * AB55 - 0.0000026 * AB55 ^ 2 + 0.315 * AB71) ^ 2 * AD39)</f>
        <v>8.3772677761199983</v>
      </c>
      <c r="AC87" s="15">
        <f ca="1">((1.185 + 0.00454 * AC55 - 0.0000026 * AC55 ^ 2 + 0.315 * AC71) ^ 2 * AE39)</f>
        <v>8.3772677761199983</v>
      </c>
      <c r="AD87" s="15">
        <f ca="1">((1.185 + 0.00454 * AD55 - 0.0000026 * AD55 ^ 2 + 0.315 * AD71) ^ 2 * AF39)</f>
        <v>6.5876408896000003</v>
      </c>
      <c r="AE87" s="15">
        <f ca="1">((1.185 + 0.00454 * AE55 - 0.0000026 * AE55 ^ 2 + 0.315 * AE71) ^ 2 * AG39)</f>
        <v>7.3430702361</v>
      </c>
      <c r="AF87" s="15">
        <f ca="1">((1.185 + 0.00454 * AF55 - 0.0000026 * AF55 ^ 2 + 0.315 * AF71) ^ 2 * AH39)</f>
        <v>7.3430702361</v>
      </c>
      <c r="AG87" s="15">
        <f ca="1">((1.185 + 0.00454 * AG55 - 0.0000026 * AG55 ^ 2 + 0.315 * AG71) ^ 2 * AI39)</f>
        <v>7.3430702361</v>
      </c>
      <c r="AH87" s="16" t="str">
        <f t="shared" si="2"/>
        <v>kg DM/head/day</v>
      </c>
      <c r="AI87" s="16"/>
      <c r="AJ87" s="16"/>
    </row>
    <row r="88" spans="4:36" ht="20.100000000000001" customHeight="1" x14ac:dyDescent="0.2">
      <c r="AI88" s="16"/>
      <c r="AJ88" s="16"/>
    </row>
    <row r="89" spans="4:36" ht="20.100000000000001" customHeight="1" x14ac:dyDescent="0.2">
      <c r="AI89" s="16"/>
      <c r="AJ89" s="16"/>
    </row>
    <row r="90" spans="4:36" ht="20.100000000000001" customHeight="1" x14ac:dyDescent="0.2">
      <c r="AI90" s="16"/>
      <c r="AJ90" s="16"/>
    </row>
    <row r="91" spans="4:36" ht="20.100000000000001" customHeight="1" x14ac:dyDescent="0.2">
      <c r="AI91" s="16"/>
      <c r="AJ91" s="16"/>
    </row>
    <row r="92" spans="4:36" ht="20.100000000000001" customHeight="1" x14ac:dyDescent="0.2">
      <c r="AI92" s="16"/>
      <c r="AJ92" s="16"/>
    </row>
    <row r="93" spans="4:36" ht="20.100000000000001" customHeight="1" x14ac:dyDescent="0.2">
      <c r="AI93" s="16"/>
      <c r="AJ93" s="16"/>
    </row>
    <row r="94" spans="4:36" ht="20.100000000000001" customHeight="1" x14ac:dyDescent="0.2">
      <c r="AI94" s="16"/>
      <c r="AJ94" s="16"/>
    </row>
    <row r="95" spans="4:36" ht="20.100000000000001" customHeight="1" x14ac:dyDescent="0.2">
      <c r="AI95" s="16"/>
      <c r="AJ95" s="16"/>
    </row>
    <row r="98" spans="1:37" ht="20.100000000000001" customHeight="1" x14ac:dyDescent="0.2">
      <c r="C98" s="88"/>
      <c r="D98" s="88"/>
      <c r="E98" s="88"/>
      <c r="F98" s="88"/>
      <c r="G98" s="88"/>
      <c r="H98" s="88"/>
      <c r="I98" s="88"/>
      <c r="J98" s="88"/>
      <c r="K98" s="88"/>
      <c r="L98" s="88"/>
      <c r="M98" s="88"/>
      <c r="N98" s="88"/>
      <c r="O98" s="88"/>
      <c r="P98" s="88"/>
      <c r="Q98" s="88"/>
      <c r="R98" s="88"/>
      <c r="S98" s="88"/>
      <c r="T98" s="88"/>
      <c r="V98" s="88"/>
      <c r="W98" s="88"/>
      <c r="X98" s="88"/>
      <c r="Y98" s="88"/>
      <c r="Z98" s="88"/>
      <c r="AA98" s="88"/>
      <c r="AB98" s="88"/>
      <c r="AC98" s="88"/>
      <c r="AD98" s="88"/>
      <c r="AE98" s="88"/>
      <c r="AF98" s="88"/>
      <c r="AG98" s="88"/>
      <c r="AH98" s="88"/>
      <c r="AI98" s="88"/>
      <c r="AJ98" s="88"/>
      <c r="AK98" s="88"/>
    </row>
    <row r="99" spans="1:37" ht="20.100000000000001" customHeight="1" x14ac:dyDescent="0.2">
      <c r="D99" s="2" t="s">
        <v>1353</v>
      </c>
    </row>
    <row r="100" spans="1:37" ht="20.100000000000001" customHeight="1" x14ac:dyDescent="0.2">
      <c r="D100" s="17" t="s">
        <v>1354</v>
      </c>
    </row>
    <row r="101" spans="1:37" ht="20.100000000000001" customHeight="1" x14ac:dyDescent="0.2">
      <c r="A101" s="85" t="str">
        <f>HYPERLINK("#A1", "▲ Back to top")</f>
        <v>▲ Back to top</v>
      </c>
      <c r="D101" s="104"/>
      <c r="E101" s="104"/>
    </row>
    <row r="105" spans="1:37" ht="20.100000000000001" customHeight="1" x14ac:dyDescent="0.2">
      <c r="D105" s="77" t="s">
        <v>374</v>
      </c>
      <c r="E105" s="1" t="s">
        <v>1355</v>
      </c>
    </row>
    <row r="106" spans="1:37" ht="20.100000000000001" customHeight="1" x14ac:dyDescent="0.2">
      <c r="D106" s="77" t="s">
        <v>126</v>
      </c>
      <c r="E106" s="9" t="s">
        <v>345</v>
      </c>
    </row>
    <row r="108" spans="1:37" ht="20.100000000000001" customHeight="1" x14ac:dyDescent="0.2">
      <c r="D108" s="106" t="s">
        <v>1330</v>
      </c>
      <c r="E108" s="107" t="s">
        <v>1356</v>
      </c>
      <c r="F108" s="109"/>
      <c r="G108" s="106" t="s">
        <v>345</v>
      </c>
      <c r="H108" s="111" t="s">
        <v>1343</v>
      </c>
      <c r="I108" s="112" t="str" cm="1">
        <f t="array" aca="1" ref="I108" ca="1">HYPERLINK(Common_InputFunctions.Utility_SourceHyperlink($D$81), $D$81)</f>
        <v>M1_Table_I_j_k_l</v>
      </c>
    </row>
    <row r="109" spans="1:37" ht="20.100000000000001" customHeight="1" x14ac:dyDescent="0.2">
      <c r="D109" s="106" t="s">
        <v>1357</v>
      </c>
      <c r="E109" s="107" t="s">
        <v>1358</v>
      </c>
      <c r="F109" s="109"/>
      <c r="G109" s="106" t="s">
        <v>347</v>
      </c>
      <c r="H109" s="110" t="s">
        <v>1325</v>
      </c>
      <c r="I109" s="112" t="str" cm="1">
        <f t="array" aca="1" ref="I109" ca="1">HYPERLINK(Common_InputFunctions.Utility_SourceHyperlink($D$112), $D$112)</f>
        <v>M1_Table_DMD_j_k_l</v>
      </c>
    </row>
    <row r="110" spans="1:37" ht="20.100000000000001" customHeight="1" x14ac:dyDescent="0.2">
      <c r="D110" s="106" t="s">
        <v>1359</v>
      </c>
      <c r="E110" s="107" t="s">
        <v>1360</v>
      </c>
      <c r="F110" s="109"/>
      <c r="G110" s="106" t="s">
        <v>347</v>
      </c>
      <c r="H110" s="111" t="s">
        <v>1326</v>
      </c>
      <c r="I110" s="106">
        <f>SourceData_PastureBeef_AshContentOfFeedIntake_Data</f>
        <v>0.08</v>
      </c>
    </row>
    <row r="112" spans="1:37" ht="20.100000000000001" customHeight="1" x14ac:dyDescent="0.2">
      <c r="D112" s="113" t="s">
        <v>401</v>
      </c>
      <c r="W112" s="113" t="s">
        <v>402</v>
      </c>
    </row>
    <row r="113" spans="4:36" ht="20.100000000000001" customHeight="1" x14ac:dyDescent="0.2">
      <c r="D113" s="114" t="s">
        <v>403</v>
      </c>
      <c r="W113" s="114" t="s">
        <v>404</v>
      </c>
    </row>
    <row r="114" spans="4:36" ht="20.100000000000001" customHeight="1" x14ac:dyDescent="0.2">
      <c r="D114" s="115" t="s">
        <v>76</v>
      </c>
      <c r="E114" s="82" t="s">
        <v>325</v>
      </c>
      <c r="F114" s="82" t="s">
        <v>189</v>
      </c>
      <c r="G114" s="82" t="s">
        <v>326</v>
      </c>
      <c r="H114" s="82" t="s">
        <v>327</v>
      </c>
      <c r="I114" s="82" t="s">
        <v>328</v>
      </c>
      <c r="J114" s="82" t="s">
        <v>329</v>
      </c>
      <c r="K114" s="82" t="s">
        <v>330</v>
      </c>
      <c r="L114" s="82" t="s">
        <v>331</v>
      </c>
      <c r="M114" s="82" t="s">
        <v>332</v>
      </c>
      <c r="N114" s="82" t="s">
        <v>333</v>
      </c>
      <c r="W114" s="115" t="s">
        <v>75</v>
      </c>
      <c r="X114" s="82" t="s">
        <v>325</v>
      </c>
      <c r="Y114" s="82" t="s">
        <v>189</v>
      </c>
      <c r="Z114" s="82" t="s">
        <v>326</v>
      </c>
      <c r="AA114" s="82" t="s">
        <v>327</v>
      </c>
      <c r="AB114" s="82" t="s">
        <v>328</v>
      </c>
      <c r="AC114" s="82" t="s">
        <v>329</v>
      </c>
      <c r="AD114" s="82" t="s">
        <v>330</v>
      </c>
      <c r="AE114" s="82" t="s">
        <v>331</v>
      </c>
      <c r="AF114" s="82" t="s">
        <v>332</v>
      </c>
      <c r="AG114" s="82" t="s">
        <v>333</v>
      </c>
    </row>
    <row r="115" spans="4:36" ht="20.100000000000001" customHeight="1" x14ac:dyDescent="0.2">
      <c r="D115" s="15" t="s">
        <v>334</v>
      </c>
      <c r="E115" s="15" cm="1">
        <f t="array" aca="1" ref="E115:N118" ca="1">OFFSET(X_Table_PastureBeef_DryMatterDigestibility_Method1, 1,1, 4,10)</f>
        <v>0.8</v>
      </c>
      <c r="F115" s="15">
        <f ca="1"/>
        <v>0.8</v>
      </c>
      <c r="G115" s="15">
        <f ca="1"/>
        <v>0.8</v>
      </c>
      <c r="H115" s="15">
        <f ca="1"/>
        <v>0.8</v>
      </c>
      <c r="I115" s="15">
        <f ca="1"/>
        <v>0.8</v>
      </c>
      <c r="J115" s="15">
        <f ca="1"/>
        <v>0.8</v>
      </c>
      <c r="K115" s="15">
        <f ca="1"/>
        <v>0.8</v>
      </c>
      <c r="L115" s="15">
        <f ca="1"/>
        <v>0.8</v>
      </c>
      <c r="M115" s="15">
        <f ca="1"/>
        <v>0.8</v>
      </c>
      <c r="N115" s="15">
        <f ca="1"/>
        <v>0.8</v>
      </c>
      <c r="O115" s="16" t="s">
        <v>347</v>
      </c>
      <c r="P115" s="16"/>
      <c r="Q115" s="16"/>
      <c r="R115" s="16"/>
      <c r="S115" s="16"/>
      <c r="W115" s="15" t="str">
        <f>TEXT(X_Cell_Site_StartDate,"mmmm")</f>
        <v>January</v>
      </c>
      <c r="X115" s="15" cm="1">
        <f t="array" aca="1" ref="X115:AG126" ca="1">OFFSET(X_Table_PastureBeef_DryMatterDigestibility_Method2, 1,1, 12,10)</f>
        <v>0.57999999999999996</v>
      </c>
      <c r="Y115" s="15">
        <f ca="1"/>
        <v>0.57999999999999996</v>
      </c>
      <c r="Z115" s="15">
        <f ca="1"/>
        <v>0.57999999999999996</v>
      </c>
      <c r="AA115" s="15">
        <f ca="1"/>
        <v>0.57999999999999996</v>
      </c>
      <c r="AB115" s="15">
        <f ca="1"/>
        <v>0.57999999999999996</v>
      </c>
      <c r="AC115" s="15">
        <f ca="1"/>
        <v>0.57999999999999996</v>
      </c>
      <c r="AD115" s="15">
        <f ca="1"/>
        <v>0.57999999999999996</v>
      </c>
      <c r="AE115" s="15">
        <f ca="1"/>
        <v>0.57999999999999996</v>
      </c>
      <c r="AF115" s="15">
        <f ca="1"/>
        <v>0.57999999999999996</v>
      </c>
      <c r="AG115" s="15">
        <f ca="1"/>
        <v>0.57999999999999996</v>
      </c>
      <c r="AH115" s="16" t="s">
        <v>347</v>
      </c>
      <c r="AI115" s="16"/>
      <c r="AJ115" s="16"/>
    </row>
    <row r="116" spans="4:36" ht="20.100000000000001" customHeight="1" x14ac:dyDescent="0.2">
      <c r="D116" s="15" t="s">
        <v>335</v>
      </c>
      <c r="E116" s="15">
        <f ca="1"/>
        <v>0.57999999999999996</v>
      </c>
      <c r="F116" s="15">
        <f ca="1"/>
        <v>0.57999999999999996</v>
      </c>
      <c r="G116" s="15">
        <f ca="1"/>
        <v>0.57999999999999996</v>
      </c>
      <c r="H116" s="15">
        <f ca="1"/>
        <v>0.57999999999999996</v>
      </c>
      <c r="I116" s="15">
        <f ca="1"/>
        <v>0.57999999999999996</v>
      </c>
      <c r="J116" s="15">
        <f ca="1"/>
        <v>0.57999999999999996</v>
      </c>
      <c r="K116" s="15">
        <f ca="1"/>
        <v>0.57999999999999996</v>
      </c>
      <c r="L116" s="15">
        <f ca="1"/>
        <v>0.57999999999999996</v>
      </c>
      <c r="M116" s="15">
        <f ca="1"/>
        <v>0.57999999999999996</v>
      </c>
      <c r="N116" s="15">
        <f ca="1"/>
        <v>0.57999999999999996</v>
      </c>
      <c r="O116" s="16" t="s">
        <v>347</v>
      </c>
      <c r="P116" s="16"/>
      <c r="Q116" s="16"/>
      <c r="R116" s="16"/>
      <c r="S116" s="16"/>
      <c r="W116" s="15" t="str">
        <f>TEXT(EDATE(X_Cell_Site_StartDate,1), "mmmm")</f>
        <v>February</v>
      </c>
      <c r="X116" s="15">
        <f ca="1"/>
        <v>0.57999999999999996</v>
      </c>
      <c r="Y116" s="15">
        <f ca="1"/>
        <v>0.57999999999999996</v>
      </c>
      <c r="Z116" s="15">
        <f ca="1"/>
        <v>0.57999999999999996</v>
      </c>
      <c r="AA116" s="15">
        <f ca="1"/>
        <v>0.57999999999999996</v>
      </c>
      <c r="AB116" s="15">
        <f ca="1"/>
        <v>0.57999999999999996</v>
      </c>
      <c r="AC116" s="15">
        <f ca="1"/>
        <v>0.57999999999999996</v>
      </c>
      <c r="AD116" s="15">
        <f ca="1"/>
        <v>0.57999999999999996</v>
      </c>
      <c r="AE116" s="15">
        <f ca="1"/>
        <v>0.57999999999999996</v>
      </c>
      <c r="AF116" s="15">
        <f ca="1"/>
        <v>0.57999999999999996</v>
      </c>
      <c r="AG116" s="15">
        <f ca="1"/>
        <v>0.57999999999999996</v>
      </c>
      <c r="AH116" s="16" t="s">
        <v>347</v>
      </c>
      <c r="AI116" s="16"/>
      <c r="AJ116" s="16"/>
    </row>
    <row r="117" spans="4:36" ht="20.100000000000001" customHeight="1" x14ac:dyDescent="0.2">
      <c r="D117" s="15" t="s">
        <v>336</v>
      </c>
      <c r="E117" s="15">
        <f ca="1"/>
        <v>0.5</v>
      </c>
      <c r="F117" s="15">
        <f ca="1"/>
        <v>0.5</v>
      </c>
      <c r="G117" s="15">
        <f ca="1"/>
        <v>0.5</v>
      </c>
      <c r="H117" s="15">
        <f ca="1"/>
        <v>0.5</v>
      </c>
      <c r="I117" s="15">
        <f ca="1"/>
        <v>0.5</v>
      </c>
      <c r="J117" s="15">
        <f ca="1"/>
        <v>0.5</v>
      </c>
      <c r="K117" s="15">
        <f ca="1"/>
        <v>0.5</v>
      </c>
      <c r="L117" s="15">
        <f ca="1"/>
        <v>0.5</v>
      </c>
      <c r="M117" s="15">
        <f ca="1"/>
        <v>0.5</v>
      </c>
      <c r="N117" s="15">
        <f ca="1"/>
        <v>0.5</v>
      </c>
      <c r="O117" s="16" t="s">
        <v>347</v>
      </c>
      <c r="P117" s="16"/>
      <c r="Q117" s="16"/>
      <c r="R117" s="16"/>
      <c r="S117" s="16"/>
      <c r="W117" s="15" t="str">
        <f>TEXT(EDATE(X_Cell_Site_StartDate,2), "mmmm")</f>
        <v>March</v>
      </c>
      <c r="X117" s="15">
        <f ca="1"/>
        <v>0.5</v>
      </c>
      <c r="Y117" s="15">
        <f ca="1"/>
        <v>0.5</v>
      </c>
      <c r="Z117" s="15">
        <f ca="1"/>
        <v>0.5</v>
      </c>
      <c r="AA117" s="15">
        <f ca="1"/>
        <v>0.5</v>
      </c>
      <c r="AB117" s="15">
        <f ca="1"/>
        <v>0.5</v>
      </c>
      <c r="AC117" s="15">
        <f ca="1"/>
        <v>0.5</v>
      </c>
      <c r="AD117" s="15">
        <f ca="1"/>
        <v>0.5</v>
      </c>
      <c r="AE117" s="15">
        <f ca="1"/>
        <v>0.5</v>
      </c>
      <c r="AF117" s="15">
        <f ca="1"/>
        <v>0.5</v>
      </c>
      <c r="AG117" s="15">
        <f ca="1"/>
        <v>0.5</v>
      </c>
      <c r="AH117" s="16" t="s">
        <v>347</v>
      </c>
      <c r="AI117" s="16"/>
      <c r="AJ117" s="16"/>
    </row>
    <row r="118" spans="4:36" ht="20.100000000000001" customHeight="1" x14ac:dyDescent="0.2">
      <c r="D118" s="15" t="s">
        <v>337</v>
      </c>
      <c r="E118" s="15">
        <f ca="1"/>
        <v>0.75</v>
      </c>
      <c r="F118" s="15">
        <f ca="1"/>
        <v>0.75</v>
      </c>
      <c r="G118" s="15">
        <f ca="1"/>
        <v>0.75</v>
      </c>
      <c r="H118" s="15">
        <f ca="1"/>
        <v>0.75</v>
      </c>
      <c r="I118" s="15">
        <f ca="1"/>
        <v>0.75</v>
      </c>
      <c r="J118" s="15">
        <f ca="1"/>
        <v>0.75</v>
      </c>
      <c r="K118" s="15">
        <f ca="1"/>
        <v>0.75</v>
      </c>
      <c r="L118" s="15">
        <f ca="1"/>
        <v>0.75</v>
      </c>
      <c r="M118" s="15">
        <f ca="1"/>
        <v>0.75</v>
      </c>
      <c r="N118" s="15">
        <f ca="1"/>
        <v>0.75</v>
      </c>
      <c r="O118" s="16" t="s">
        <v>347</v>
      </c>
      <c r="P118" s="16"/>
      <c r="Q118" s="16"/>
      <c r="R118" s="16"/>
      <c r="S118" s="16"/>
      <c r="W118" s="15" t="str">
        <f>TEXT(EDATE(X_Cell_Site_StartDate,3), "mmmm")</f>
        <v>April</v>
      </c>
      <c r="X118" s="15">
        <f ca="1"/>
        <v>0.5</v>
      </c>
      <c r="Y118" s="15">
        <f ca="1"/>
        <v>0.5</v>
      </c>
      <c r="Z118" s="15">
        <f ca="1"/>
        <v>0.5</v>
      </c>
      <c r="AA118" s="15">
        <f ca="1"/>
        <v>0.5</v>
      </c>
      <c r="AB118" s="15">
        <f ca="1"/>
        <v>0.5</v>
      </c>
      <c r="AC118" s="15">
        <f ca="1"/>
        <v>0.5</v>
      </c>
      <c r="AD118" s="15">
        <f ca="1"/>
        <v>0.5</v>
      </c>
      <c r="AE118" s="15">
        <f ca="1"/>
        <v>0.5</v>
      </c>
      <c r="AF118" s="15">
        <f ca="1"/>
        <v>0.5</v>
      </c>
      <c r="AG118" s="15">
        <f ca="1"/>
        <v>0.5</v>
      </c>
      <c r="AH118" s="16" t="s">
        <v>347</v>
      </c>
      <c r="AI118" s="16"/>
      <c r="AJ118" s="16"/>
    </row>
    <row r="119" spans="4:36" ht="20.100000000000001" customHeight="1" x14ac:dyDescent="0.2">
      <c r="W119" s="15" t="str">
        <f>TEXT(EDATE(X_Cell_Site_StartDate,4), "mmmm")</f>
        <v>May</v>
      </c>
      <c r="X119" s="15">
        <f ca="1"/>
        <v>0.5</v>
      </c>
      <c r="Y119" s="15">
        <f ca="1"/>
        <v>0.5</v>
      </c>
      <c r="Z119" s="15">
        <f ca="1"/>
        <v>0.5</v>
      </c>
      <c r="AA119" s="15">
        <f ca="1"/>
        <v>0.5</v>
      </c>
      <c r="AB119" s="15">
        <f ca="1"/>
        <v>0.5</v>
      </c>
      <c r="AC119" s="15">
        <f ca="1"/>
        <v>0.5</v>
      </c>
      <c r="AD119" s="15">
        <f ca="1"/>
        <v>0.5</v>
      </c>
      <c r="AE119" s="15">
        <f ca="1"/>
        <v>0.5</v>
      </c>
      <c r="AF119" s="15">
        <f ca="1"/>
        <v>0.5</v>
      </c>
      <c r="AG119" s="15">
        <f ca="1"/>
        <v>0.5</v>
      </c>
      <c r="AH119" s="16" t="s">
        <v>347</v>
      </c>
      <c r="AI119" s="16"/>
      <c r="AJ119" s="16"/>
    </row>
    <row r="120" spans="4:36" ht="20.100000000000001" customHeight="1" x14ac:dyDescent="0.2">
      <c r="W120" s="15" t="str">
        <f>TEXT(EDATE(X_Cell_Site_StartDate,5), "mmmm")</f>
        <v>June</v>
      </c>
      <c r="X120" s="15">
        <f ca="1"/>
        <v>0.75</v>
      </c>
      <c r="Y120" s="15">
        <f ca="1"/>
        <v>0.75</v>
      </c>
      <c r="Z120" s="15">
        <f ca="1"/>
        <v>0.75</v>
      </c>
      <c r="AA120" s="15">
        <f ca="1"/>
        <v>0.75</v>
      </c>
      <c r="AB120" s="15">
        <f ca="1"/>
        <v>0.75</v>
      </c>
      <c r="AC120" s="15">
        <f ca="1"/>
        <v>0.75</v>
      </c>
      <c r="AD120" s="15">
        <f ca="1"/>
        <v>0.75</v>
      </c>
      <c r="AE120" s="15">
        <f ca="1"/>
        <v>0.75</v>
      </c>
      <c r="AF120" s="15">
        <f ca="1"/>
        <v>0.75</v>
      </c>
      <c r="AG120" s="15">
        <f ca="1"/>
        <v>0.75</v>
      </c>
      <c r="AH120" s="16" t="s">
        <v>347</v>
      </c>
      <c r="AI120" s="16"/>
      <c r="AJ120" s="16"/>
    </row>
    <row r="121" spans="4:36" ht="20.100000000000001" customHeight="1" x14ac:dyDescent="0.2">
      <c r="W121" s="15" t="str">
        <f>TEXT(EDATE(X_Cell_Site_StartDate,6), "mmmm")</f>
        <v>July</v>
      </c>
      <c r="X121" s="15">
        <f ca="1"/>
        <v>0.75</v>
      </c>
      <c r="Y121" s="15">
        <f ca="1"/>
        <v>0.75</v>
      </c>
      <c r="Z121" s="15">
        <f ca="1"/>
        <v>0.75</v>
      </c>
      <c r="AA121" s="15">
        <f ca="1"/>
        <v>0.75</v>
      </c>
      <c r="AB121" s="15">
        <f ca="1"/>
        <v>0.75</v>
      </c>
      <c r="AC121" s="15">
        <f ca="1"/>
        <v>0.75</v>
      </c>
      <c r="AD121" s="15">
        <f ca="1"/>
        <v>0.75</v>
      </c>
      <c r="AE121" s="15">
        <f ca="1"/>
        <v>0.75</v>
      </c>
      <c r="AF121" s="15">
        <f ca="1"/>
        <v>0.75</v>
      </c>
      <c r="AG121" s="15">
        <f ca="1"/>
        <v>0.75</v>
      </c>
      <c r="AH121" s="16" t="s">
        <v>347</v>
      </c>
      <c r="AI121" s="16"/>
      <c r="AJ121" s="16"/>
    </row>
    <row r="122" spans="4:36" ht="20.100000000000001" customHeight="1" x14ac:dyDescent="0.2">
      <c r="W122" s="15" t="str">
        <f>TEXT(EDATE(X_Cell_Site_StartDate,7), "mmmm")</f>
        <v>August</v>
      </c>
      <c r="X122" s="15">
        <f ca="1"/>
        <v>0.75</v>
      </c>
      <c r="Y122" s="15">
        <f ca="1"/>
        <v>0.75</v>
      </c>
      <c r="Z122" s="15">
        <f ca="1"/>
        <v>0.75</v>
      </c>
      <c r="AA122" s="15">
        <f ca="1"/>
        <v>0.75</v>
      </c>
      <c r="AB122" s="15">
        <f ca="1"/>
        <v>0.75</v>
      </c>
      <c r="AC122" s="15">
        <f ca="1"/>
        <v>0.75</v>
      </c>
      <c r="AD122" s="15">
        <f ca="1"/>
        <v>0.75</v>
      </c>
      <c r="AE122" s="15">
        <f ca="1"/>
        <v>0.75</v>
      </c>
      <c r="AF122" s="15">
        <f ca="1"/>
        <v>0.75</v>
      </c>
      <c r="AG122" s="15">
        <f ca="1"/>
        <v>0.75</v>
      </c>
      <c r="AH122" s="16" t="s">
        <v>347</v>
      </c>
      <c r="AI122" s="16"/>
      <c r="AJ122" s="16"/>
    </row>
    <row r="123" spans="4:36" ht="20.100000000000001" customHeight="1" x14ac:dyDescent="0.2">
      <c r="W123" s="15" t="str">
        <f>TEXT(EDATE(X_Cell_Site_StartDate,8), "mmmm")</f>
        <v>September</v>
      </c>
      <c r="X123" s="15">
        <f ca="1"/>
        <v>0.8</v>
      </c>
      <c r="Y123" s="15">
        <f ca="1"/>
        <v>0.8</v>
      </c>
      <c r="Z123" s="15">
        <f ca="1"/>
        <v>0.8</v>
      </c>
      <c r="AA123" s="15">
        <f ca="1"/>
        <v>0.8</v>
      </c>
      <c r="AB123" s="15">
        <f ca="1"/>
        <v>0.8</v>
      </c>
      <c r="AC123" s="15">
        <f ca="1"/>
        <v>0.8</v>
      </c>
      <c r="AD123" s="15">
        <f ca="1"/>
        <v>0.8</v>
      </c>
      <c r="AE123" s="15">
        <f ca="1"/>
        <v>0.8</v>
      </c>
      <c r="AF123" s="15">
        <f ca="1"/>
        <v>0.8</v>
      </c>
      <c r="AG123" s="15">
        <f ca="1"/>
        <v>0.8</v>
      </c>
      <c r="AH123" s="16" t="s">
        <v>347</v>
      </c>
      <c r="AI123" s="16"/>
      <c r="AJ123" s="16"/>
    </row>
    <row r="124" spans="4:36" ht="20.100000000000001" customHeight="1" x14ac:dyDescent="0.2">
      <c r="W124" s="15" t="str">
        <f>TEXT(EDATE(X_Cell_Site_StartDate,9), "mmmm")</f>
        <v>October</v>
      </c>
      <c r="X124" s="15">
        <f ca="1"/>
        <v>0.8</v>
      </c>
      <c r="Y124" s="15">
        <f ca="1"/>
        <v>0.8</v>
      </c>
      <c r="Z124" s="15">
        <f ca="1"/>
        <v>0.8</v>
      </c>
      <c r="AA124" s="15">
        <f ca="1"/>
        <v>0.8</v>
      </c>
      <c r="AB124" s="15">
        <f ca="1"/>
        <v>0.8</v>
      </c>
      <c r="AC124" s="15">
        <f ca="1"/>
        <v>0.8</v>
      </c>
      <c r="AD124" s="15">
        <f ca="1"/>
        <v>0.8</v>
      </c>
      <c r="AE124" s="15">
        <f ca="1"/>
        <v>0.8</v>
      </c>
      <c r="AF124" s="15">
        <f ca="1"/>
        <v>0.8</v>
      </c>
      <c r="AG124" s="15">
        <f ca="1"/>
        <v>0.8</v>
      </c>
      <c r="AH124" s="16" t="s">
        <v>347</v>
      </c>
      <c r="AI124" s="16"/>
      <c r="AJ124" s="16"/>
    </row>
    <row r="125" spans="4:36" ht="20.100000000000001" customHeight="1" x14ac:dyDescent="0.2">
      <c r="W125" s="15" t="str">
        <f>TEXT(EDATE(X_Cell_Site_StartDate,10), "mmmm")</f>
        <v>November</v>
      </c>
      <c r="X125" s="15">
        <f ca="1"/>
        <v>0.8</v>
      </c>
      <c r="Y125" s="15">
        <f ca="1"/>
        <v>0.8</v>
      </c>
      <c r="Z125" s="15">
        <f ca="1"/>
        <v>0.8</v>
      </c>
      <c r="AA125" s="15">
        <f ca="1"/>
        <v>0.8</v>
      </c>
      <c r="AB125" s="15">
        <f ca="1"/>
        <v>0.8</v>
      </c>
      <c r="AC125" s="15">
        <f ca="1"/>
        <v>0.8</v>
      </c>
      <c r="AD125" s="15">
        <f ca="1"/>
        <v>0.8</v>
      </c>
      <c r="AE125" s="15">
        <f ca="1"/>
        <v>0.8</v>
      </c>
      <c r="AF125" s="15">
        <f ca="1"/>
        <v>0.8</v>
      </c>
      <c r="AG125" s="15">
        <f ca="1"/>
        <v>0.8</v>
      </c>
      <c r="AH125" s="16" t="s">
        <v>347</v>
      </c>
      <c r="AI125" s="16"/>
      <c r="AJ125" s="16"/>
    </row>
    <row r="126" spans="4:36" ht="20.100000000000001" customHeight="1" x14ac:dyDescent="0.2">
      <c r="W126" s="15" t="str">
        <f>TEXT(EDATE(X_Cell_Site_StartDate,11), "mmmm")</f>
        <v>December</v>
      </c>
      <c r="X126" s="15">
        <f ca="1"/>
        <v>0.57999999999999996</v>
      </c>
      <c r="Y126" s="15">
        <f ca="1"/>
        <v>0.57999999999999996</v>
      </c>
      <c r="Z126" s="15">
        <f ca="1"/>
        <v>0.57999999999999996</v>
      </c>
      <c r="AA126" s="15">
        <f ca="1"/>
        <v>0.57999999999999996</v>
      </c>
      <c r="AB126" s="15">
        <f ca="1"/>
        <v>0.57999999999999996</v>
      </c>
      <c r="AC126" s="15">
        <f ca="1"/>
        <v>0.57999999999999996</v>
      </c>
      <c r="AD126" s="15">
        <f ca="1"/>
        <v>0.57999999999999996</v>
      </c>
      <c r="AE126" s="15">
        <f ca="1"/>
        <v>0.57999999999999996</v>
      </c>
      <c r="AF126" s="15">
        <f ca="1"/>
        <v>0.57999999999999996</v>
      </c>
      <c r="AG126" s="15">
        <f ca="1"/>
        <v>0.57999999999999996</v>
      </c>
      <c r="AH126" s="16" t="s">
        <v>347</v>
      </c>
      <c r="AI126" s="16"/>
      <c r="AJ126" s="16"/>
    </row>
    <row r="128" spans="4:36" ht="20.100000000000001" customHeight="1" x14ac:dyDescent="0.2">
      <c r="D128" s="113" t="s">
        <v>405</v>
      </c>
      <c r="W128" s="113" t="s">
        <v>406</v>
      </c>
    </row>
    <row r="129" spans="1:36" ht="20.100000000000001" customHeight="1" x14ac:dyDescent="0.2">
      <c r="D129" s="114" t="s">
        <v>407</v>
      </c>
      <c r="W129" s="114" t="s">
        <v>408</v>
      </c>
    </row>
    <row r="130" spans="1:36" ht="20.100000000000001" customHeight="1" x14ac:dyDescent="0.2">
      <c r="D130" s="115" t="s">
        <v>76</v>
      </c>
      <c r="E130" s="115" t="s">
        <v>325</v>
      </c>
      <c r="F130" s="115" t="s">
        <v>189</v>
      </c>
      <c r="G130" s="115" t="s">
        <v>326</v>
      </c>
      <c r="H130" s="115" t="s">
        <v>327</v>
      </c>
      <c r="I130" s="115" t="s">
        <v>328</v>
      </c>
      <c r="J130" s="115" t="s">
        <v>329</v>
      </c>
      <c r="K130" s="115" t="s">
        <v>330</v>
      </c>
      <c r="L130" s="115" t="s">
        <v>331</v>
      </c>
      <c r="M130" s="115" t="s">
        <v>332</v>
      </c>
      <c r="N130" s="115" t="s">
        <v>333</v>
      </c>
      <c r="W130" s="115" t="s">
        <v>75</v>
      </c>
      <c r="X130" s="115" t="s">
        <v>325</v>
      </c>
      <c r="Y130" s="115" t="s">
        <v>189</v>
      </c>
      <c r="Z130" s="115" t="s">
        <v>326</v>
      </c>
      <c r="AA130" s="115" t="s">
        <v>327</v>
      </c>
      <c r="AB130" s="115" t="s">
        <v>328</v>
      </c>
      <c r="AC130" s="115" t="s">
        <v>329</v>
      </c>
      <c r="AD130" s="115" t="s">
        <v>330</v>
      </c>
      <c r="AE130" s="115" t="s">
        <v>331</v>
      </c>
      <c r="AF130" s="115" t="s">
        <v>332</v>
      </c>
      <c r="AG130" s="115" t="s">
        <v>333</v>
      </c>
    </row>
    <row r="131" spans="1:36" ht="20.100000000000001" customHeight="1" x14ac:dyDescent="0.2">
      <c r="A131" s="85" t="str">
        <f>HYPERLINK("#A1", "▲ Back to top")</f>
        <v>▲ Back to top</v>
      </c>
      <c r="D131" s="15" t="s">
        <v>334</v>
      </c>
      <c r="E131" s="15">
        <f ca="1">((E84 * (1 - E115) + (0.04 * E84)) * (1 - $I$110))</f>
        <v>1.9145357642956797</v>
      </c>
      <c r="F131" s="15">
        <f ca="1">((F84 * (1 - F115) + (0.04 * F84)) * (1 - $I$110))</f>
        <v>2.7040272552000002</v>
      </c>
      <c r="G131" s="15">
        <f ca="1">((G84 * (1 - G115) + (0.04 * G84)) * (1 - $I$110))</f>
        <v>1.45925863828128</v>
      </c>
      <c r="H131" s="15">
        <f ca="1">((H84 * (1 - H115) + (0.04 * H84)) * (1 - $I$110))</f>
        <v>2.1065186176562882</v>
      </c>
      <c r="I131" s="15">
        <f ca="1">((I84 * (1 - I115) + (0.04 * I84)) * (1 - $I$110))</f>
        <v>2.4880576692441596</v>
      </c>
      <c r="J131" s="15">
        <f ca="1">((J84 * (1 - J115) + (0.04 * J84)) * (1 - $I$110))</f>
        <v>2.4880576692441596</v>
      </c>
      <c r="K131" s="15">
        <f ca="1">((K84 * (1 - K115) + (0.04 * K84)) * (1 - $I$110))</f>
        <v>1.6823317446719992</v>
      </c>
      <c r="L131" s="15">
        <f ca="1">((L84 * (1 - L115) + (0.04 * L84)) * (1 - $I$110))</f>
        <v>2.1378800925964794</v>
      </c>
      <c r="M131" s="15">
        <f ca="1">((M84 * (1 - M115) + (0.04 * M84)) * (1 - $I$110))</f>
        <v>2.1378800925964794</v>
      </c>
      <c r="N131" s="15">
        <f ca="1">((N84 * (1 - N115) + (0.04 * N84)) * (1 - $I$110))</f>
        <v>2.1378800925964794</v>
      </c>
      <c r="O131" s="16" t="str">
        <f>$E$106</f>
        <v>kg/head/day</v>
      </c>
      <c r="P131" s="16"/>
      <c r="Q131" s="16"/>
      <c r="R131" s="16"/>
      <c r="S131" s="16"/>
      <c r="W131" s="15" t="str">
        <f>TEXT(X_Cell_Site_StartDate,"mmmm")</f>
        <v>January</v>
      </c>
      <c r="X131" s="15">
        <f ca="1">((X76 * (1 - X115) + (0.04 * X76)) * (1 - $I$110))</f>
        <v>3.0245484814387189</v>
      </c>
      <c r="Y131" s="15">
        <f ca="1">((Y76 * (1 - Y115) + (0.04 * Y76)) * (1 - $I$110))</f>
        <v>4.0017766623235218</v>
      </c>
      <c r="Z131" s="15">
        <f ca="1">((Z76 * (1 - Z115) + (0.04 * Z76)) * (1 - $I$110))</f>
        <v>2.5435769713919996</v>
      </c>
      <c r="AA131" s="15">
        <f ca="1">((AA76 * (1 - AA115) + (0.04 * AA76)) * (1 - $I$110))</f>
        <v>3.5806278816553512</v>
      </c>
      <c r="AB131" s="15">
        <f ca="1">((AB76 * (1 - AB115) + (0.04 * AB76)) * (1 - $I$110))</f>
        <v>3.5452597228539839</v>
      </c>
      <c r="AC131" s="15">
        <f ca="1">((AC76 * (1 - AC115) + (0.04 * AC76)) * (1 - $I$110))</f>
        <v>3.5452597228539839</v>
      </c>
      <c r="AD131" s="15">
        <f ca="1">((AD76 * (1 - AD115) + (0.04 * AD76)) * (1 - $I$110))</f>
        <v>2.7878896244787201</v>
      </c>
      <c r="AE131" s="15">
        <f ca="1">((AE76 * (1 - AE115) + (0.04 * AE76)) * (1 - $I$110))</f>
        <v>3.1075873239175205</v>
      </c>
      <c r="AF131" s="15">
        <f ca="1">((AF76 * (1 - AF115) + (0.04 * AF76)) * (1 - $I$110))</f>
        <v>3.1075873239175205</v>
      </c>
      <c r="AG131" s="15">
        <f ca="1">((AG76 * (1 - AG115) + (0.04 * AG76)) * (1 - $I$110))</f>
        <v>3.1075873239175205</v>
      </c>
      <c r="AH131" s="16" t="str">
        <f t="shared" ref="AH131:AH142" si="3">$E$106</f>
        <v>kg/head/day</v>
      </c>
      <c r="AI131" s="16"/>
      <c r="AJ131" s="16"/>
    </row>
    <row r="132" spans="1:36" ht="20.100000000000001" customHeight="1" x14ac:dyDescent="0.2">
      <c r="D132" s="15" t="s">
        <v>335</v>
      </c>
      <c r="E132" s="15">
        <f ca="1">((E85 * (1 - E116) + (0.04 * E85)) * (1 - $I$110))</f>
        <v>3.0245484814387189</v>
      </c>
      <c r="F132" s="15">
        <f ca="1">((F85 * (1 - F116) + (0.04 * F85)) * (1 - $I$110))</f>
        <v>4.0017766623235218</v>
      </c>
      <c r="G132" s="15">
        <f ca="1">((G85 * (1 - G116) + (0.04 * G85)) * (1 - $I$110))</f>
        <v>2.5435769713919996</v>
      </c>
      <c r="H132" s="15">
        <f ca="1">((H85 * (1 - H116) + (0.04 * H85)) * (1 - $I$110))</f>
        <v>3.4640492994619203</v>
      </c>
      <c r="I132" s="15">
        <f ca="1">((I85 * (1 - I116) + (0.04 * I85)) * (1 - $I$110))</f>
        <v>3.4298326621099</v>
      </c>
      <c r="J132" s="15">
        <f ca="1">((J85 * (1 - J116) + (0.04 * J85)) * (1 - $I$110))</f>
        <v>3.4298326621099</v>
      </c>
      <c r="K132" s="15">
        <f ca="1">((K85 * (1 - K116) + (0.04 * K85)) * (1 - $I$110))</f>
        <v>2.7878896244787201</v>
      </c>
      <c r="L132" s="15">
        <f ca="1">((L85 * (1 - L116) + (0.04 * L85)) * (1 - $I$110))</f>
        <v>3.1075873239175205</v>
      </c>
      <c r="M132" s="15">
        <f ca="1">((M85 * (1 - M116) + (0.04 * M85)) * (1 - $I$110))</f>
        <v>3.1075873239175205</v>
      </c>
      <c r="N132" s="15">
        <f ca="1">((N85 * (1 - N116) + (0.04 * N85)) * (1 - $I$110))</f>
        <v>3.1075873239175205</v>
      </c>
      <c r="O132" s="16" t="str">
        <f t="shared" ref="O132:O134" si="4">$E$106</f>
        <v>kg/head/day</v>
      </c>
      <c r="P132" s="16"/>
      <c r="Q132" s="16"/>
      <c r="R132" s="16"/>
      <c r="S132" s="16"/>
      <c r="W132" s="15" t="str">
        <f>TEXT(EDATE(X_Cell_Site_StartDate,1), "mmmm")</f>
        <v>February</v>
      </c>
      <c r="X132" s="15">
        <f ca="1">((X77 * (1 - X116) + (0.04 * X77)) * (1 - $I$110))</f>
        <v>3.0245484814387189</v>
      </c>
      <c r="Y132" s="15">
        <f ca="1">((Y77 * (1 - Y116) + (0.04 * Y77)) * (1 - $I$110))</f>
        <v>4.0017766623235218</v>
      </c>
      <c r="Z132" s="15">
        <f ca="1">((Z77 * (1 - Z116) + (0.04 * Z77)) * (1 - $I$110))</f>
        <v>2.5435769713919996</v>
      </c>
      <c r="AA132" s="15">
        <f ca="1">((AA77 * (1 - AA116) + (0.04 * AA77)) * (1 - $I$110))</f>
        <v>3.3308166340980003</v>
      </c>
      <c r="AB132" s="15">
        <f ca="1">((AB77 * (1 - AB116) + (0.04 * AB77)) * (1 - $I$110))</f>
        <v>3.2979160212595193</v>
      </c>
      <c r="AC132" s="15">
        <f ca="1">((AC77 * (1 - AC116) + (0.04 * AC77)) * (1 - $I$110))</f>
        <v>3.2979160212595193</v>
      </c>
      <c r="AD132" s="15">
        <f ca="1">((AD77 * (1 - AD116) + (0.04 * AD77)) * (1 - $I$110))</f>
        <v>2.7878896244787201</v>
      </c>
      <c r="AE132" s="15">
        <f ca="1">((AE77 * (1 - AE116) + (0.04 * AE77)) * (1 - $I$110))</f>
        <v>3.1075873239175205</v>
      </c>
      <c r="AF132" s="15">
        <f ca="1">((AF77 * (1 - AF116) + (0.04 * AF77)) * (1 - $I$110))</f>
        <v>3.1075873239175205</v>
      </c>
      <c r="AG132" s="15">
        <f ca="1">((AG77 * (1 - AG116) + (0.04 * AG77)) * (1 - $I$110))</f>
        <v>3.1075873239175205</v>
      </c>
      <c r="AH132" s="16" t="str">
        <f t="shared" si="3"/>
        <v>kg/head/day</v>
      </c>
      <c r="AI132" s="16"/>
      <c r="AJ132" s="16"/>
    </row>
    <row r="133" spans="1:36" ht="20.100000000000001" customHeight="1" x14ac:dyDescent="0.2">
      <c r="D133" s="15" t="s">
        <v>336</v>
      </c>
      <c r="E133" s="15">
        <f ca="1">((E86 * (1 - E117) + (0.04 * E86)) * (1 - $I$110))</f>
        <v>1.6132109472</v>
      </c>
      <c r="F133" s="15">
        <f ca="1">((F86 * (1 - F117) + (0.04 * F86)) * (1 - $I$110))</f>
        <v>4.68216830671488</v>
      </c>
      <c r="G133" s="15">
        <f ca="1">((G86 * (1 - G117) + (0.04 * G86)) * (1 - $I$110))</f>
        <v>1.47069031131648</v>
      </c>
      <c r="H133" s="15">
        <f ca="1">((H86 * (1 - H117) + (0.04 * H86)) * (1 - $I$110))</f>
        <v>2.9894321558500128</v>
      </c>
      <c r="I133" s="15">
        <f ca="1">((I86 * (1 - I117) + (0.04 * I86)) * (1 - $I$110))</f>
        <v>3.3375011322160799</v>
      </c>
      <c r="J133" s="15">
        <f ca="1">((J86 * (1 - J117) + (0.04 * J86)) * (1 - $I$110))</f>
        <v>3.3375011322160799</v>
      </c>
      <c r="K133" s="15">
        <f ca="1">((K86 * (1 - K117) + (0.04 * K86)) * (1 - $I$110))</f>
        <v>1.6132109472</v>
      </c>
      <c r="L133" s="15">
        <f ca="1">((L86 * (1 - L117) + (0.04 * L86)) * (1 - $I$110))</f>
        <v>2.9288239104268809</v>
      </c>
      <c r="M133" s="15">
        <f ca="1">((M86 * (1 - M117) + (0.04 * M86)) * (1 - $I$110))</f>
        <v>2.9288239104268809</v>
      </c>
      <c r="N133" s="15">
        <f ca="1">((N86 * (1 - N117) + (0.04 * N86)) * (1 - $I$110))</f>
        <v>2.9288239104268809</v>
      </c>
      <c r="O133" s="16" t="str">
        <f t="shared" si="4"/>
        <v>kg/head/day</v>
      </c>
      <c r="P133" s="16"/>
      <c r="Q133" s="16"/>
      <c r="R133" s="16"/>
      <c r="S133" s="16"/>
      <c r="W133" s="15" t="str">
        <f>TEXT(EDATE(X_Cell_Site_StartDate,2), "mmmm")</f>
        <v>March</v>
      </c>
      <c r="X133" s="15">
        <f ca="1">((X78 * (1 - X117) + (0.04 * X78)) * (1 - $I$110))</f>
        <v>1.6132109472</v>
      </c>
      <c r="Y133" s="15">
        <f ca="1">((Y78 * (1 - Y117) + (0.04 * Y78)) * (1 - $I$110))</f>
        <v>4.68216830671488</v>
      </c>
      <c r="Z133" s="15">
        <f ca="1">((Z78 * (1 - Z117) + (0.04 * Z78)) * (1 - $I$110))</f>
        <v>1.47069031131648</v>
      </c>
      <c r="AA133" s="15">
        <f ca="1">((AA78 * (1 - AA117) + (0.04 * AA78)) * (1 - $I$110))</f>
        <v>2.9598338176732795</v>
      </c>
      <c r="AB133" s="15">
        <f ca="1">((AB78 * (1 - AB117) + (0.04 * AB78)) * (1 - $I$110))</f>
        <v>3.3375011322160799</v>
      </c>
      <c r="AC133" s="15">
        <f ca="1">((AC78 * (1 - AC117) + (0.04 * AC78)) * (1 - $I$110))</f>
        <v>3.3375011322160799</v>
      </c>
      <c r="AD133" s="15">
        <f ca="1">((AD78 * (1 - AD117) + (0.04 * AD78)) * (1 - $I$110))</f>
        <v>1.6132109472</v>
      </c>
      <c r="AE133" s="15">
        <f ca="1">((AE78 * (1 - AE117) + (0.04 * AE78)) * (1 - $I$110))</f>
        <v>2.9288239104268809</v>
      </c>
      <c r="AF133" s="15">
        <f ca="1">((AF78 * (1 - AF117) + (0.04 * AF78)) * (1 - $I$110))</f>
        <v>2.9288239104268809</v>
      </c>
      <c r="AG133" s="15">
        <f ca="1">((AG78 * (1 - AG117) + (0.04 * AG78)) * (1 - $I$110))</f>
        <v>2.9288239104268809</v>
      </c>
      <c r="AH133" s="16" t="str">
        <f t="shared" si="3"/>
        <v>kg/head/day</v>
      </c>
      <c r="AI133" s="16"/>
      <c r="AJ133" s="16"/>
    </row>
    <row r="134" spans="1:36" ht="20.100000000000001" customHeight="1" x14ac:dyDescent="0.2">
      <c r="D134" s="15" t="s">
        <v>337</v>
      </c>
      <c r="E134" s="15">
        <f ca="1">((E87 * (1 - E118) + (0.04 * E87)) * (1 - $I$110))</f>
        <v>1.3694571992330802</v>
      </c>
      <c r="F134" s="15">
        <f ca="1">((F87 * (1 - F118) + (0.04 * F87)) * (1 - $I$110))</f>
        <v>2.6612923518519995</v>
      </c>
      <c r="G134" s="15">
        <f ca="1">((G87 * (1 - G118) + (0.04 * G87)) * (1 - $I$110))</f>
        <v>1.1212816946670003</v>
      </c>
      <c r="H134" s="15">
        <f ca="1">((H87 * (1 - H118) + (0.04 * H87)) * (1 - $I$110))</f>
        <v>1.9136639454654354</v>
      </c>
      <c r="I134" s="15">
        <f ca="1">((I87 * (1 - I118) + (0.04 * I87)) * (1 - $I$110))</f>
        <v>2.4399380633826815</v>
      </c>
      <c r="J134" s="15">
        <f ca="1">((J87 * (1 - J118) + (0.04 * J87)) * (1 - $I$110))</f>
        <v>2.4399380633826815</v>
      </c>
      <c r="K134" s="15">
        <f ca="1">((K87 * (1 - K118) + (0.04 * K87)) * (1 - $I$110))</f>
        <v>1.2038731355098797</v>
      </c>
      <c r="L134" s="15">
        <f ca="1">((L87 * (1 - L118) + (0.04 * L87)) * (1 - $I$110))</f>
        <v>1.8328761618508798</v>
      </c>
      <c r="M134" s="15">
        <f ca="1">((M87 * (1 - M118) + (0.04 * M87)) * (1 - $I$110))</f>
        <v>1.8328761618508798</v>
      </c>
      <c r="N134" s="15">
        <f ca="1">((N87 * (1 - N118) + (0.04 * N87)) * (1 - $I$110))</f>
        <v>1.8328761618508798</v>
      </c>
      <c r="O134" s="16" t="str">
        <f t="shared" si="4"/>
        <v>kg/head/day</v>
      </c>
      <c r="P134" s="16"/>
      <c r="Q134" s="16"/>
      <c r="R134" s="16"/>
      <c r="S134" s="16"/>
      <c r="W134" s="15" t="str">
        <f>TEXT(EDATE(X_Cell_Site_StartDate,3), "mmmm")</f>
        <v>April</v>
      </c>
      <c r="X134" s="15">
        <f ca="1">((X79 * (1 - X118) + (0.04 * X79)) * (1 - $I$110))</f>
        <v>1.6132109472</v>
      </c>
      <c r="Y134" s="15">
        <f ca="1">((Y79 * (1 - Y118) + (0.04 * Y79)) * (1 - $I$110))</f>
        <v>4.68216830671488</v>
      </c>
      <c r="Z134" s="15">
        <f ca="1">((Z79 * (1 - Z118) + (0.04 * Z79)) * (1 - $I$110))</f>
        <v>1.47069031131648</v>
      </c>
      <c r="AA134" s="15">
        <f ca="1">((AA79 * (1 - AA118) + (0.04 * AA79)) * (1 - $I$110))</f>
        <v>2.9598338176732795</v>
      </c>
      <c r="AB134" s="15">
        <f ca="1">((AB79 * (1 - AB118) + (0.04 * AB79)) * (1 - $I$110))</f>
        <v>3.3375011322160799</v>
      </c>
      <c r="AC134" s="15">
        <f ca="1">((AC79 * (1 - AC118) + (0.04 * AC79)) * (1 - $I$110))</f>
        <v>3.3375011322160799</v>
      </c>
      <c r="AD134" s="15">
        <f ca="1">((AD79 * (1 - AD118) + (0.04 * AD79)) * (1 - $I$110))</f>
        <v>1.6132109472</v>
      </c>
      <c r="AE134" s="15">
        <f ca="1">((AE79 * (1 - AE118) + (0.04 * AE79)) * (1 - $I$110))</f>
        <v>2.9288239104268809</v>
      </c>
      <c r="AF134" s="15">
        <f ca="1">((AF79 * (1 - AF118) + (0.04 * AF79)) * (1 - $I$110))</f>
        <v>2.9288239104268809</v>
      </c>
      <c r="AG134" s="15">
        <f ca="1">((AG79 * (1 - AG118) + (0.04 * AG79)) * (1 - $I$110))</f>
        <v>2.9288239104268809</v>
      </c>
      <c r="AH134" s="16" t="str">
        <f t="shared" si="3"/>
        <v>kg/head/day</v>
      </c>
      <c r="AI134" s="16"/>
      <c r="AJ134" s="16"/>
    </row>
    <row r="135" spans="1:36" ht="20.100000000000001" customHeight="1" x14ac:dyDescent="0.2">
      <c r="W135" s="15" t="str">
        <f>TEXT(EDATE(X_Cell_Site_StartDate,4), "mmmm")</f>
        <v>May</v>
      </c>
      <c r="X135" s="15">
        <f ca="1">((X80 * (1 - X119) + (0.04 * X80)) * (1 - $I$110))</f>
        <v>1.6132109472</v>
      </c>
      <c r="Y135" s="15">
        <f ca="1">((Y80 * (1 - Y119) + (0.04 * Y80)) * (1 - $I$110))</f>
        <v>4.68216830671488</v>
      </c>
      <c r="Z135" s="15">
        <f ca="1">((Z80 * (1 - Z119) + (0.04 * Z80)) * (1 - $I$110))</f>
        <v>1.47069031131648</v>
      </c>
      <c r="AA135" s="15">
        <f ca="1">((AA80 * (1 - AA119) + (0.04 * AA80)) * (1 - $I$110))</f>
        <v>2.9598338176732795</v>
      </c>
      <c r="AB135" s="15">
        <f ca="1">((AB80 * (1 - AB119) + (0.04 * AB80)) * (1 - $I$110))</f>
        <v>3.3375011322160799</v>
      </c>
      <c r="AC135" s="15">
        <f ca="1">((AC80 * (1 - AC119) + (0.04 * AC80)) * (1 - $I$110))</f>
        <v>3.3375011322160799</v>
      </c>
      <c r="AD135" s="15">
        <f ca="1">((AD80 * (1 - AD119) + (0.04 * AD80)) * (1 - $I$110))</f>
        <v>1.6132109472</v>
      </c>
      <c r="AE135" s="15">
        <f ca="1">((AE80 * (1 - AE119) + (0.04 * AE80)) * (1 - $I$110))</f>
        <v>2.9288239104268809</v>
      </c>
      <c r="AF135" s="15">
        <f ca="1">((AF80 * (1 - AF119) + (0.04 * AF80)) * (1 - $I$110))</f>
        <v>2.9288239104268809</v>
      </c>
      <c r="AG135" s="15">
        <f ca="1">((AG80 * (1 - AG119) + (0.04 * AG80)) * (1 - $I$110))</f>
        <v>2.9288239104268809</v>
      </c>
      <c r="AH135" s="16" t="str">
        <f t="shared" si="3"/>
        <v>kg/head/day</v>
      </c>
      <c r="AI135" s="16"/>
      <c r="AJ135" s="16"/>
    </row>
    <row r="136" spans="1:36" ht="20.100000000000001" customHeight="1" x14ac:dyDescent="0.2">
      <c r="W136" s="15" t="str">
        <f>TEXT(EDATE(X_Cell_Site_StartDate,5), "mmmm")</f>
        <v>June</v>
      </c>
      <c r="X136" s="15">
        <f ca="1">((X81 * (1 - X120) + (0.04 * X81)) * (1 - $I$110))</f>
        <v>1.3694571992330802</v>
      </c>
      <c r="Y136" s="15">
        <f ca="1">((Y81 * (1 - Y120) + (0.04 * Y81)) * (1 - $I$110))</f>
        <v>2.6612923518519995</v>
      </c>
      <c r="Z136" s="15">
        <f ca="1">((Z81 * (1 - Z120) + (0.04 * Z81)) * (1 - $I$110))</f>
        <v>1.1212816946670003</v>
      </c>
      <c r="AA136" s="15">
        <f ca="1">((AA81 * (1 - AA120) + (0.04 * AA81)) * (1 - $I$110))</f>
        <v>1.5815404507978805</v>
      </c>
      <c r="AB136" s="15">
        <f ca="1">((AB81 * (1 - AB120) + (0.04 * AB81)) * (1 - $I$110))</f>
        <v>2.1216852725066797</v>
      </c>
      <c r="AC136" s="15">
        <f ca="1">((AC81 * (1 - AC120) + (0.04 * AC81)) * (1 - $I$110))</f>
        <v>2.1216852725066797</v>
      </c>
      <c r="AD136" s="15">
        <f ca="1">((AD81 * (1 - AD120) + (0.04 * AD81)) * (1 - $I$110))</f>
        <v>1.2038731355098797</v>
      </c>
      <c r="AE136" s="15">
        <f ca="1">((AE81 * (1 - AE120) + (0.04 * AE81)) * (1 - $I$110))</f>
        <v>1.8328761618508798</v>
      </c>
      <c r="AF136" s="15">
        <f ca="1">((AF81 * (1 - AF120) + (0.04 * AF81)) * (1 - $I$110))</f>
        <v>1.8328761618508798</v>
      </c>
      <c r="AG136" s="15">
        <f ca="1">((AG81 * (1 - AG120) + (0.04 * AG81)) * (1 - $I$110))</f>
        <v>1.8328761618508798</v>
      </c>
      <c r="AH136" s="16" t="str">
        <f t="shared" si="3"/>
        <v>kg/head/day</v>
      </c>
      <c r="AI136" s="16"/>
      <c r="AJ136" s="16"/>
    </row>
    <row r="137" spans="1:36" ht="20.100000000000001" customHeight="1" x14ac:dyDescent="0.2">
      <c r="W137" s="15" t="str">
        <f>TEXT(EDATE(X_Cell_Site_StartDate,6), "mmmm")</f>
        <v>July</v>
      </c>
      <c r="X137" s="15">
        <f ca="1">((X82 * (1 - X121) + (0.04 * X82)) * (1 - $I$110))</f>
        <v>1.3694571992330802</v>
      </c>
      <c r="Y137" s="15">
        <f ca="1">((Y82 * (1 - Y121) + (0.04 * Y82)) * (1 - $I$110))</f>
        <v>2.6612923518519995</v>
      </c>
      <c r="Z137" s="15">
        <f ca="1">((Z82 * (1 - Z121) + (0.04 * Z82)) * (1 - $I$110))</f>
        <v>1.1212816946670003</v>
      </c>
      <c r="AA137" s="15">
        <f ca="1">((AA82 * (1 - AA121) + (0.04 * AA82)) * (1 - $I$110))</f>
        <v>1.5815404507978805</v>
      </c>
      <c r="AB137" s="15">
        <f ca="1">((AB82 * (1 - AB121) + (0.04 * AB82)) * (1 - $I$110))</f>
        <v>2.1216852725066797</v>
      </c>
      <c r="AC137" s="15">
        <f ca="1">((AC82 * (1 - AC121) + (0.04 * AC82)) * (1 - $I$110))</f>
        <v>2.1216852725066797</v>
      </c>
      <c r="AD137" s="15">
        <f ca="1">((AD82 * (1 - AD121) + (0.04 * AD82)) * (1 - $I$110))</f>
        <v>1.2038731355098797</v>
      </c>
      <c r="AE137" s="15">
        <f ca="1">((AE82 * (1 - AE121) + (0.04 * AE82)) * (1 - $I$110))</f>
        <v>1.8328761618508798</v>
      </c>
      <c r="AF137" s="15">
        <f ca="1">((AF82 * (1 - AF121) + (0.04 * AF82)) * (1 - $I$110))</f>
        <v>1.8328761618508798</v>
      </c>
      <c r="AG137" s="15">
        <f ca="1">((AG82 * (1 - AG121) + (0.04 * AG82)) * (1 - $I$110))</f>
        <v>1.8328761618508798</v>
      </c>
      <c r="AH137" s="16" t="str">
        <f t="shared" si="3"/>
        <v>kg/head/day</v>
      </c>
      <c r="AI137" s="16"/>
      <c r="AJ137" s="16"/>
    </row>
    <row r="138" spans="1:36" ht="20.100000000000001" customHeight="1" x14ac:dyDescent="0.2">
      <c r="W138" s="15" t="str">
        <f>TEXT(EDATE(X_Cell_Site_StartDate,7), "mmmm")</f>
        <v>August</v>
      </c>
      <c r="X138" s="15">
        <f ca="1">((X83 * (1 - X122) + (0.04 * X83)) * (1 - $I$110))</f>
        <v>1.3694571992330802</v>
      </c>
      <c r="Y138" s="15">
        <f ca="1">((Y83 * (1 - Y122) + (0.04 * Y83)) * (1 - $I$110))</f>
        <v>2.6612923518519995</v>
      </c>
      <c r="Z138" s="15">
        <f ca="1">((Z83 * (1 - Z122) + (0.04 * Z83)) * (1 - $I$110))</f>
        <v>1.1212816946670003</v>
      </c>
      <c r="AA138" s="15">
        <f ca="1">((AA83 * (1 - AA122) + (0.04 * AA83)) * (1 - $I$110))</f>
        <v>1.9373870522274037</v>
      </c>
      <c r="AB138" s="15">
        <f ca="1">((AB83 * (1 - AB122) + (0.04 * AB83)) * (1 - $I$110))</f>
        <v>2.5990644588206826</v>
      </c>
      <c r="AC138" s="15">
        <f ca="1">((AC83 * (1 - AC122) + (0.04 * AC83)) * (1 - $I$110))</f>
        <v>2.5990644588206826</v>
      </c>
      <c r="AD138" s="15">
        <f ca="1">((AD83 * (1 - AD122) + (0.04 * AD83)) * (1 - $I$110))</f>
        <v>1.2038731355098797</v>
      </c>
      <c r="AE138" s="15">
        <f ca="1">((AE83 * (1 - AE122) + (0.04 * AE83)) * (1 - $I$110))</f>
        <v>1.8328761618508798</v>
      </c>
      <c r="AF138" s="15">
        <f ca="1">((AF83 * (1 - AF122) + (0.04 * AF83)) * (1 - $I$110))</f>
        <v>1.8328761618508798</v>
      </c>
      <c r="AG138" s="15">
        <f ca="1">((AG83 * (1 - AG122) + (0.04 * AG83)) * (1 - $I$110))</f>
        <v>1.8328761618508798</v>
      </c>
      <c r="AH138" s="16" t="str">
        <f t="shared" si="3"/>
        <v>kg/head/day</v>
      </c>
      <c r="AI138" s="16"/>
      <c r="AJ138" s="16"/>
    </row>
    <row r="139" spans="1:36" ht="20.100000000000001" customHeight="1" x14ac:dyDescent="0.2">
      <c r="W139" s="15" t="str">
        <f>TEXT(EDATE(X_Cell_Site_StartDate,8), "mmmm")</f>
        <v>September</v>
      </c>
      <c r="X139" s="15">
        <f ca="1">((X84 * (1 - X123) + (0.04 * X84)) * (1 - $I$110))</f>
        <v>1.9145357642956797</v>
      </c>
      <c r="Y139" s="15">
        <f ca="1">((Y84 * (1 - Y123) + (0.04 * Y84)) * (1 - $I$110))</f>
        <v>2.7040272552000002</v>
      </c>
      <c r="Z139" s="15">
        <f ca="1">((Z84 * (1 - Z123) + (0.04 * Z84)) * (1 - $I$110))</f>
        <v>1.45925863828128</v>
      </c>
      <c r="AA139" s="15">
        <f ca="1">((AA84 * (1 - AA123) + (0.04 * AA84)) * (1 - $I$110))</f>
        <v>2.3458957332990487</v>
      </c>
      <c r="AB139" s="15">
        <f ca="1">((AB84 * (1 - AB123) + (0.04 * AB84)) * (1 - $I$110))</f>
        <v>2.6050176451488007</v>
      </c>
      <c r="AC139" s="15">
        <f ca="1">((AC84 * (1 - AC123) + (0.04 * AC84)) * (1 - $I$110))</f>
        <v>2.6050176451488007</v>
      </c>
      <c r="AD139" s="15">
        <f ca="1">((AD84 * (1 - AD123) + (0.04 * AD84)) * (1 - $I$110))</f>
        <v>1.6823317446719992</v>
      </c>
      <c r="AE139" s="15">
        <f ca="1">((AE84 * (1 - AE123) + (0.04 * AE84)) * (1 - $I$110))</f>
        <v>2.1378800925964794</v>
      </c>
      <c r="AF139" s="15">
        <f ca="1">((AF84 * (1 - AF123) + (0.04 * AF84)) * (1 - $I$110))</f>
        <v>2.1378800925964794</v>
      </c>
      <c r="AG139" s="15">
        <f ca="1">((AG84 * (1 - AG123) + (0.04 * AG84)) * (1 - $I$110))</f>
        <v>2.1378800925964794</v>
      </c>
      <c r="AH139" s="16" t="str">
        <f t="shared" si="3"/>
        <v>kg/head/day</v>
      </c>
      <c r="AI139" s="16"/>
      <c r="AJ139" s="16"/>
    </row>
    <row r="140" spans="1:36" ht="20.100000000000001" customHeight="1" x14ac:dyDescent="0.2">
      <c r="W140" s="15" t="str">
        <f>TEXT(EDATE(X_Cell_Site_StartDate,9), "mmmm")</f>
        <v>October</v>
      </c>
      <c r="X140" s="15">
        <f ca="1">((X85 * (1 - X124) + (0.04 * X85)) * (1 - $I$110))</f>
        <v>1.9145357642956797</v>
      </c>
      <c r="Y140" s="15">
        <f ca="1">((Y85 * (1 - Y124) + (0.04 * Y85)) * (1 - $I$110))</f>
        <v>2.7040272552000002</v>
      </c>
      <c r="Z140" s="15">
        <f ca="1">((Z85 * (1 - Z124) + (0.04 * Z85)) * (1 - $I$110))</f>
        <v>1.45925863828128</v>
      </c>
      <c r="AA140" s="15">
        <f ca="1">((AA85 * (1 - AA124) + (0.04 * AA85)) * (1 - $I$110))</f>
        <v>2.3458957332990487</v>
      </c>
      <c r="AB140" s="15">
        <f ca="1">((AB85 * (1 - AB124) + (0.04 * AB85)) * (1 - $I$110))</f>
        <v>2.6050176451488007</v>
      </c>
      <c r="AC140" s="15">
        <f ca="1">((AC85 * (1 - AC124) + (0.04 * AC85)) * (1 - $I$110))</f>
        <v>2.6050176451488007</v>
      </c>
      <c r="AD140" s="15">
        <f ca="1">((AD85 * (1 - AD124) + (0.04 * AD85)) * (1 - $I$110))</f>
        <v>1.6823317446719992</v>
      </c>
      <c r="AE140" s="15">
        <f ca="1">((AE85 * (1 - AE124) + (0.04 * AE85)) * (1 - $I$110))</f>
        <v>2.1378800925964794</v>
      </c>
      <c r="AF140" s="15">
        <f ca="1">((AF85 * (1 - AF124) + (0.04 * AF85)) * (1 - $I$110))</f>
        <v>2.1378800925964794</v>
      </c>
      <c r="AG140" s="15">
        <f ca="1">((AG85 * (1 - AG124) + (0.04 * AG85)) * (1 - $I$110))</f>
        <v>2.1378800925964794</v>
      </c>
      <c r="AH140" s="16" t="str">
        <f t="shared" si="3"/>
        <v>kg/head/day</v>
      </c>
      <c r="AI140" s="16"/>
      <c r="AJ140" s="16"/>
    </row>
    <row r="141" spans="1:36" ht="20.100000000000001" customHeight="1" x14ac:dyDescent="0.2">
      <c r="W141" s="15" t="str">
        <f>TEXT(EDATE(X_Cell_Site_StartDate,10), "mmmm")</f>
        <v>November</v>
      </c>
      <c r="X141" s="15">
        <f ca="1">((X86 * (1 - X125) + (0.04 * X86)) * (1 - $I$110))</f>
        <v>1.9145357642956797</v>
      </c>
      <c r="Y141" s="15">
        <f ca="1">((Y86 * (1 - Y125) + (0.04 * Y86)) * (1 - $I$110))</f>
        <v>2.7040272552000002</v>
      </c>
      <c r="Z141" s="15">
        <f ca="1">((Z86 * (1 - Z125) + (0.04 * Z86)) * (1 - $I$110))</f>
        <v>1.45925863828128</v>
      </c>
      <c r="AA141" s="15">
        <f ca="1">((AA86 * (1 - AA125) + (0.04 * AA86)) * (1 - $I$110))</f>
        <v>2.0586431945277366</v>
      </c>
      <c r="AB141" s="15">
        <f ca="1">((AB86 * (1 - AB125) + (0.04 * AB86)) * (1 - $I$110))</f>
        <v>2.2860358926816002</v>
      </c>
      <c r="AC141" s="15">
        <f ca="1">((AC86 * (1 - AC125) + (0.04 * AC86)) * (1 - $I$110))</f>
        <v>2.2860358926816002</v>
      </c>
      <c r="AD141" s="15">
        <f ca="1">((AD86 * (1 - AD125) + (0.04 * AD86)) * (1 - $I$110))</f>
        <v>1.6823317446719992</v>
      </c>
      <c r="AE141" s="15">
        <f ca="1">((AE86 * (1 - AE125) + (0.04 * AE86)) * (1 - $I$110))</f>
        <v>2.1378800925964794</v>
      </c>
      <c r="AF141" s="15">
        <f ca="1">((AF86 * (1 - AF125) + (0.04 * AF86)) * (1 - $I$110))</f>
        <v>2.1378800925964794</v>
      </c>
      <c r="AG141" s="15">
        <f ca="1">((AG86 * (1 - AG125) + (0.04 * AG86)) * (1 - $I$110))</f>
        <v>2.1378800925964794</v>
      </c>
      <c r="AH141" s="16" t="str">
        <f t="shared" si="3"/>
        <v>kg/head/day</v>
      </c>
      <c r="AI141" s="16"/>
      <c r="AJ141" s="16"/>
    </row>
    <row r="142" spans="1:36" ht="20.100000000000001" customHeight="1" x14ac:dyDescent="0.2">
      <c r="W142" s="15" t="str">
        <f>TEXT(EDATE(X_Cell_Site_StartDate,11), "mmmm")</f>
        <v>December</v>
      </c>
      <c r="X142" s="15">
        <f ca="1">((X87 * (1 - X126) + (0.04 * X87)) * (1 - $I$110))</f>
        <v>3.0245484814387189</v>
      </c>
      <c r="Y142" s="15">
        <f ca="1">((Y87 * (1 - Y126) + (0.04 * Y87)) * (1 - $I$110))</f>
        <v>4.0017766623235218</v>
      </c>
      <c r="Z142" s="15">
        <f ca="1">((Z87 * (1 - Z126) + (0.04 * Z87)) * (1 - $I$110))</f>
        <v>2.5435769713919996</v>
      </c>
      <c r="AA142" s="15">
        <f ca="1">((AA87 * (1 - AA126) + (0.04 * AA87)) * (1 - $I$110))</f>
        <v>3.5806278816553512</v>
      </c>
      <c r="AB142" s="15">
        <f ca="1">((AB87 * (1 - AB126) + (0.04 * AB87)) * (1 - $I$110))</f>
        <v>3.5452597228539839</v>
      </c>
      <c r="AC142" s="15">
        <f ca="1">((AC87 * (1 - AC126) + (0.04 * AC87)) * (1 - $I$110))</f>
        <v>3.5452597228539839</v>
      </c>
      <c r="AD142" s="15">
        <f ca="1">((AD87 * (1 - AD126) + (0.04 * AD87)) * (1 - $I$110))</f>
        <v>2.7878896244787201</v>
      </c>
      <c r="AE142" s="15">
        <f ca="1">((AE87 * (1 - AE126) + (0.04 * AE87)) * (1 - $I$110))</f>
        <v>3.1075873239175205</v>
      </c>
      <c r="AF142" s="15">
        <f ca="1">((AF87 * (1 - AF126) + (0.04 * AF87)) * (1 - $I$110))</f>
        <v>3.1075873239175205</v>
      </c>
      <c r="AG142" s="15">
        <f ca="1">((AG87 * (1 - AG126) + (0.04 * AG87)) * (1 - $I$110))</f>
        <v>3.1075873239175205</v>
      </c>
      <c r="AH142" s="16" t="str">
        <f t="shared" si="3"/>
        <v>kg/head/day</v>
      </c>
      <c r="AI142" s="16"/>
      <c r="AJ142" s="16"/>
    </row>
    <row r="145" spans="3:37" ht="20.100000000000001" customHeight="1" x14ac:dyDescent="0.2">
      <c r="C145" s="88"/>
      <c r="D145" s="88"/>
      <c r="E145" s="88"/>
      <c r="F145" s="88"/>
      <c r="G145" s="88"/>
      <c r="H145" s="88"/>
      <c r="I145" s="88"/>
      <c r="J145" s="88"/>
      <c r="K145" s="88"/>
      <c r="L145" s="88"/>
      <c r="M145" s="88"/>
      <c r="N145" s="88"/>
      <c r="O145" s="88"/>
      <c r="P145" s="88"/>
      <c r="Q145" s="88"/>
      <c r="R145" s="88"/>
      <c r="S145" s="88"/>
      <c r="T145" s="88"/>
      <c r="V145" s="88"/>
      <c r="W145" s="88"/>
      <c r="X145" s="88"/>
      <c r="Y145" s="88"/>
      <c r="Z145" s="88"/>
      <c r="AA145" s="88"/>
      <c r="AB145" s="88"/>
      <c r="AC145" s="88"/>
      <c r="AD145" s="88"/>
      <c r="AE145" s="88"/>
      <c r="AF145" s="88"/>
      <c r="AG145" s="88"/>
      <c r="AH145" s="88"/>
      <c r="AI145" s="88"/>
      <c r="AJ145" s="88"/>
      <c r="AK145" s="88"/>
    </row>
    <row r="146" spans="3:37" ht="20.100000000000001" customHeight="1" x14ac:dyDescent="0.2">
      <c r="D146" s="2" t="s">
        <v>1361</v>
      </c>
    </row>
    <row r="147" spans="3:37" ht="20.100000000000001" customHeight="1" x14ac:dyDescent="0.2">
      <c r="D147" s="17" t="s">
        <v>1362</v>
      </c>
    </row>
    <row r="148" spans="3:37" ht="20.100000000000001" customHeight="1" x14ac:dyDescent="0.2">
      <c r="D148" s="104"/>
      <c r="E148" s="104"/>
    </row>
    <row r="151" spans="3:37" ht="20.100000000000001" customHeight="1" x14ac:dyDescent="0.2">
      <c r="D151" s="77" t="s">
        <v>374</v>
      </c>
      <c r="E151" s="1" t="s">
        <v>1363</v>
      </c>
    </row>
    <row r="152" spans="3:37" ht="20.100000000000001" customHeight="1" x14ac:dyDescent="0.2">
      <c r="D152" s="77" t="s">
        <v>126</v>
      </c>
      <c r="E152" s="9" t="s">
        <v>1341</v>
      </c>
    </row>
    <row r="154" spans="3:37" ht="20.100000000000001" customHeight="1" x14ac:dyDescent="0.2">
      <c r="D154" s="106" t="s">
        <v>1355</v>
      </c>
      <c r="E154" s="107" t="s">
        <v>1364</v>
      </c>
      <c r="F154" s="109"/>
      <c r="G154" s="106" t="s">
        <v>1376</v>
      </c>
      <c r="H154" s="111" t="s">
        <v>1377</v>
      </c>
      <c r="I154" s="112" t="str" cm="1">
        <f t="array" aca="1" ref="I154" ca="1">HYPERLINK(Common_InputFunctions.Utility_SourceHyperlink($D$128), $D$128)</f>
        <v>M1_Table_VS_j_k_l</v>
      </c>
      <c r="W154" s="106" t="s">
        <v>1355</v>
      </c>
      <c r="X154" s="107" t="s">
        <v>1364</v>
      </c>
      <c r="Y154" s="109"/>
      <c r="Z154" s="106" t="s">
        <v>1376</v>
      </c>
      <c r="AA154" s="111" t="s">
        <v>1377</v>
      </c>
      <c r="AB154" s="112"/>
    </row>
    <row r="155" spans="3:37" ht="20.100000000000001" customHeight="1" x14ac:dyDescent="0.2">
      <c r="D155" s="106" t="s">
        <v>1365</v>
      </c>
      <c r="E155" s="107" t="s">
        <v>1366</v>
      </c>
      <c r="F155" s="109"/>
      <c r="G155" s="106" t="s">
        <v>1378</v>
      </c>
      <c r="H155" s="111" t="s">
        <v>1326</v>
      </c>
      <c r="I155" s="106">
        <f>SourceData_PastureBeef_MethaneEmissionsPotential_Data</f>
        <v>0.19</v>
      </c>
      <c r="W155" s="106" t="s">
        <v>1365</v>
      </c>
      <c r="X155" s="107" t="s">
        <v>1366</v>
      </c>
      <c r="Y155" s="109"/>
      <c r="Z155" s="106" t="s">
        <v>1378</v>
      </c>
      <c r="AA155" s="111" t="s">
        <v>1326</v>
      </c>
      <c r="AB155" s="106"/>
    </row>
    <row r="156" spans="3:37" ht="20.100000000000001" customHeight="1" x14ac:dyDescent="0.2">
      <c r="D156" s="106" t="s">
        <v>1367</v>
      </c>
      <c r="E156" s="107" t="s">
        <v>1368</v>
      </c>
      <c r="F156" s="109"/>
      <c r="G156" s="106" t="s">
        <v>347</v>
      </c>
      <c r="H156" s="110" t="s">
        <v>1325</v>
      </c>
      <c r="I156" s="112" t="str" cm="1">
        <f t="array" aca="1" ref="I156" ca="1">HYPERLINK(Common_InputFunctions.Utility_SourceHyperlink($D$162), $D$162)</f>
        <v>Table_MMS_m</v>
      </c>
      <c r="W156" s="106" t="s">
        <v>1367</v>
      </c>
      <c r="X156" s="107" t="s">
        <v>1368</v>
      </c>
      <c r="Y156" s="109"/>
      <c r="Z156" s="106" t="s">
        <v>347</v>
      </c>
      <c r="AA156" s="110" t="s">
        <v>1325</v>
      </c>
      <c r="AB156" s="112"/>
    </row>
    <row r="157" spans="3:37" ht="20.100000000000001" customHeight="1" x14ac:dyDescent="0.2">
      <c r="D157" s="106" t="s">
        <v>1369</v>
      </c>
      <c r="E157" s="107" t="s">
        <v>1370</v>
      </c>
      <c r="F157" s="109"/>
      <c r="G157" s="106" t="s">
        <v>347</v>
      </c>
      <c r="H157" s="111" t="s">
        <v>1326</v>
      </c>
      <c r="I157" s="112" t="str" cm="1">
        <f t="array" aca="1" ref="I157" ca="1">HYPERLINK(Common_InputFunctions.Utility_SourceHyperlink($D$168), $D$168)</f>
        <v>M1_Table_MCF_i_m</v>
      </c>
      <c r="W157" s="106" t="s">
        <v>1369</v>
      </c>
      <c r="X157" s="107" t="s">
        <v>1370</v>
      </c>
      <c r="Y157" s="109"/>
      <c r="Z157" s="106" t="s">
        <v>347</v>
      </c>
      <c r="AA157" s="111" t="s">
        <v>1326</v>
      </c>
      <c r="AB157" s="112"/>
    </row>
    <row r="158" spans="3:37" ht="20.100000000000001" customHeight="1" x14ac:dyDescent="0.2">
      <c r="D158" s="106" t="s">
        <v>1371</v>
      </c>
      <c r="E158" s="107" t="s">
        <v>1372</v>
      </c>
      <c r="F158" s="109"/>
      <c r="G158" s="106" t="s">
        <v>1379</v>
      </c>
      <c r="H158" s="111" t="s">
        <v>1326</v>
      </c>
      <c r="I158" s="106">
        <f>Common_SourceData_DensityOfMethane_Data</f>
        <v>0.6784</v>
      </c>
      <c r="W158" s="106" t="s">
        <v>1371</v>
      </c>
      <c r="X158" s="107" t="s">
        <v>1372</v>
      </c>
      <c r="Y158" s="109"/>
      <c r="Z158" s="106" t="s">
        <v>1379</v>
      </c>
      <c r="AA158" s="111" t="s">
        <v>1326</v>
      </c>
      <c r="AB158" s="106"/>
    </row>
    <row r="159" spans="3:37" ht="20.100000000000001" customHeight="1" x14ac:dyDescent="0.2">
      <c r="D159" s="106" t="s">
        <v>1373</v>
      </c>
      <c r="E159" s="107" t="s">
        <v>1374</v>
      </c>
      <c r="F159" s="109"/>
      <c r="G159" s="106"/>
      <c r="H159" s="110" t="s">
        <v>1325</v>
      </c>
      <c r="I159" s="106" t="str">
        <f>X_Cell_Site_State</f>
        <v>Western Australia</v>
      </c>
      <c r="W159" s="106" t="s">
        <v>42</v>
      </c>
      <c r="X159" s="107" t="s">
        <v>1380</v>
      </c>
      <c r="Y159" s="109"/>
      <c r="Z159" s="106" t="s">
        <v>1381</v>
      </c>
      <c r="AA159" s="110" t="s">
        <v>1325</v>
      </c>
      <c r="AB159" s="106">
        <f>X_Cell_Site_AverageTemperature</f>
        <v>18</v>
      </c>
    </row>
    <row r="160" spans="3:37" ht="20.100000000000001" customHeight="1" x14ac:dyDescent="0.2">
      <c r="D160" s="106" t="s">
        <v>1373</v>
      </c>
      <c r="E160" s="107" t="s">
        <v>1375</v>
      </c>
      <c r="F160" s="109"/>
      <c r="G160" s="106"/>
      <c r="H160" s="110" t="s">
        <v>1325</v>
      </c>
      <c r="I160" s="106" t="str">
        <f>X_Cell_PastureBeef_ProductionRegion</f>
        <v>South West</v>
      </c>
    </row>
    <row r="161" spans="1:34" ht="20.100000000000001" customHeight="1" x14ac:dyDescent="0.2">
      <c r="A161" s="85" t="str">
        <f>HYPERLINK("#A1", "▲ Back to top")</f>
        <v>▲ Back to top</v>
      </c>
    </row>
    <row r="162" spans="1:34" ht="20.100000000000001" customHeight="1" x14ac:dyDescent="0.2">
      <c r="D162" s="113" t="s">
        <v>409</v>
      </c>
    </row>
    <row r="163" spans="1:34" ht="20.100000000000001" customHeight="1" x14ac:dyDescent="0.2">
      <c r="D163" s="114" t="s">
        <v>410</v>
      </c>
    </row>
    <row r="164" spans="1:34" ht="20.100000000000001" customHeight="1" x14ac:dyDescent="0.2">
      <c r="D164" s="115" t="s">
        <v>411</v>
      </c>
      <c r="E164" s="82" t="s">
        <v>412</v>
      </c>
      <c r="F164" s="16" t="s">
        <v>347</v>
      </c>
    </row>
    <row r="165" spans="1:34" ht="20.100000000000001" customHeight="1" x14ac:dyDescent="0.2">
      <c r="D165" s="15" t="str">
        <f>'Input - Pasture Beef'!$D$152</f>
        <v>Pasture range and paddock</v>
      </c>
      <c r="E165" s="15">
        <f>X_Cell_PastureBeef_CalculatedMMSPastureRangeAndPaddock</f>
        <v>0.99621999999999999</v>
      </c>
      <c r="F165" s="16" t="s">
        <v>347</v>
      </c>
    </row>
    <row r="166" spans="1:34" ht="20.100000000000001" customHeight="1" x14ac:dyDescent="0.2">
      <c r="D166" s="15" t="str">
        <f>'Input - Pasture Beef'!$D$153</f>
        <v>Anaerobic lagoon</v>
      </c>
      <c r="E166" s="15">
        <f>X_Cell_PastureBeef_CalculatedMMSAnaerobicLagoon</f>
        <v>3.7799999999999999E-3</v>
      </c>
    </row>
    <row r="168" spans="1:34" ht="20.100000000000001" customHeight="1" x14ac:dyDescent="0.2">
      <c r="D168" s="113" t="s">
        <v>413</v>
      </c>
      <c r="W168" s="113" t="s">
        <v>414</v>
      </c>
    </row>
    <row r="169" spans="1:34" ht="20.100000000000001" customHeight="1" x14ac:dyDescent="0.2">
      <c r="D169" s="114" t="s">
        <v>415</v>
      </c>
      <c r="W169" s="114" t="s">
        <v>416</v>
      </c>
    </row>
    <row r="170" spans="1:34" ht="20.100000000000001" customHeight="1" x14ac:dyDescent="0.2">
      <c r="D170" s="115" t="s">
        <v>411</v>
      </c>
      <c r="E170" s="115" t="s">
        <v>417</v>
      </c>
      <c r="W170" s="115" t="s">
        <v>411</v>
      </c>
      <c r="X170" s="115" t="s">
        <v>417</v>
      </c>
    </row>
    <row r="171" spans="1:34" ht="20.100000000000001" customHeight="1" x14ac:dyDescent="0.2">
      <c r="D171" s="15" t="str">
        <f>'Input - Pasture Beef'!$D$152</f>
        <v>Pasture range and paddock</v>
      </c>
      <c r="E171" s="15">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15" t="str">
        <f>'Input - Pasture Beef'!$D$152</f>
        <v>Pasture range and paddock</v>
      </c>
      <c r="X171" s="15">
        <f>Common_InputFunctions.Common_GetMCFTemperatureZone($AB$159, W171,Table_SourceData_Common_MCFTemperatureZone[MAT raw],Table_SourceData_Common_MCFTemperatureZone[#Headers],Table_SourceData_Common_MCFTemperatureZone[#Data])</f>
        <v>4.7000000000000002E-3</v>
      </c>
    </row>
    <row r="172" spans="1:34" ht="20.100000000000001" customHeight="1" x14ac:dyDescent="0.2">
      <c r="D172" s="15" t="str">
        <f>'Input - Pasture Beef'!$D$153</f>
        <v>Anaerobic lagoon</v>
      </c>
      <c r="E172" s="15">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15" t="str">
        <f>'Input - Pasture Beef'!$D$153</f>
        <v>Anaerobic lagoon</v>
      </c>
      <c r="X172" s="15">
        <f>Common_InputFunctions.Common_GetMCFTemperatureZone($AB$159, W172,Table_SourceData_Common_MCFTemperatureZone[MAT raw],Table_SourceData_Common_MCFTemperatureZone[#Headers],Table_SourceData_Common_MCFTemperatureZone[#Data])</f>
        <v>0.77</v>
      </c>
    </row>
    <row r="174" spans="1:34" ht="20.100000000000001" customHeight="1" x14ac:dyDescent="0.2">
      <c r="D174" s="113" t="s">
        <v>418</v>
      </c>
      <c r="W174" s="113" t="s">
        <v>419</v>
      </c>
    </row>
    <row r="175" spans="1:34" ht="20.100000000000001" customHeight="1" x14ac:dyDescent="0.2">
      <c r="D175" s="114" t="s">
        <v>420</v>
      </c>
      <c r="W175" s="114" t="s">
        <v>421</v>
      </c>
    </row>
    <row r="176" spans="1:34" ht="20.100000000000001" customHeight="1" x14ac:dyDescent="0.2">
      <c r="D176" s="115" t="s">
        <v>411</v>
      </c>
      <c r="E176" s="115" t="s">
        <v>76</v>
      </c>
      <c r="F176" s="115" t="s">
        <v>325</v>
      </c>
      <c r="G176" s="115" t="s">
        <v>189</v>
      </c>
      <c r="H176" s="115" t="s">
        <v>326</v>
      </c>
      <c r="I176" s="115" t="s">
        <v>327</v>
      </c>
      <c r="J176" s="115" t="s">
        <v>328</v>
      </c>
      <c r="K176" s="115" t="s">
        <v>329</v>
      </c>
      <c r="L176" s="115" t="s">
        <v>330</v>
      </c>
      <c r="M176" s="115" t="s">
        <v>331</v>
      </c>
      <c r="N176" s="115" t="s">
        <v>332</v>
      </c>
      <c r="O176" s="115" t="s">
        <v>333</v>
      </c>
      <c r="W176" s="115" t="s">
        <v>411</v>
      </c>
      <c r="X176" s="115" t="s">
        <v>75</v>
      </c>
      <c r="Y176" s="115" t="s">
        <v>325</v>
      </c>
      <c r="Z176" s="115" t="s">
        <v>189</v>
      </c>
      <c r="AA176" s="115" t="s">
        <v>326</v>
      </c>
      <c r="AB176" s="115" t="s">
        <v>327</v>
      </c>
      <c r="AC176" s="115" t="s">
        <v>328</v>
      </c>
      <c r="AD176" s="115" t="s">
        <v>329</v>
      </c>
      <c r="AE176" s="115" t="s">
        <v>330</v>
      </c>
      <c r="AF176" s="115" t="s">
        <v>331</v>
      </c>
      <c r="AG176" s="115" t="s">
        <v>332</v>
      </c>
      <c r="AH176" s="115" t="s">
        <v>333</v>
      </c>
    </row>
    <row r="177" spans="1:36" ht="20.100000000000001" customHeight="1" x14ac:dyDescent="0.2">
      <c r="D177" s="15" t="str">
        <f>'Input - Pasture Beef'!$D$152</f>
        <v>Pasture range and paddock</v>
      </c>
      <c r="E177" s="15" t="s">
        <v>334</v>
      </c>
      <c r="F177" s="15">
        <f ca="1">(E131 * $I$155 * $E$165 * $E$171 * $I$158)</f>
        <v>1.1554629863615776E-3</v>
      </c>
      <c r="G177" s="15">
        <f ca="1">(F131 * $I$155 * $E$165 * $E$171 * $I$158)</f>
        <v>1.6319378649193843E-3</v>
      </c>
      <c r="H177" s="15">
        <f ca="1">(G131 * $I$155 * $E$165 * $E$171 * $I$158)</f>
        <v>8.8069357361036688E-4</v>
      </c>
      <c r="I177" s="15">
        <f ca="1">(H131 * $I$155 * $E$165 * $E$171 * $I$158)</f>
        <v>1.2713287148641069E-3</v>
      </c>
      <c r="J177" s="15">
        <f ca="1">(I131 * $I$155 * $E$165 * $E$171 * $I$158)</f>
        <v>1.5015956339694118E-3</v>
      </c>
      <c r="K177" s="15">
        <f ca="1">(J131 * $I$155 * $E$165 * $E$171 * $I$158)</f>
        <v>1.5015956339694118E-3</v>
      </c>
      <c r="L177" s="15">
        <f ca="1">(K131 * $I$155 * $E$165 * $E$171 * $I$158)</f>
        <v>1.0153229299765547E-3</v>
      </c>
      <c r="M177" s="15">
        <f ca="1">(L131 * $I$155 * $E$165 * $E$171 * $I$158)</f>
        <v>1.2902560309095339E-3</v>
      </c>
      <c r="N177" s="15">
        <f ca="1">(M131 * $I$155 * $E$165 * $E$171 * $I$158)</f>
        <v>1.2902560309095339E-3</v>
      </c>
      <c r="O177" s="15">
        <f ca="1">(N131 * $I$155 * $E$165 * $E$171 * $I$158)</f>
        <v>1.2902560309095339E-3</v>
      </c>
      <c r="P177" s="16" t="str">
        <f t="shared" ref="P177:P184" si="5">$E$152</f>
        <v>kg CH4/head/day</v>
      </c>
      <c r="Q177" s="16"/>
      <c r="R177" s="16"/>
      <c r="S177" s="16"/>
      <c r="W177" s="15" t="str">
        <f>'Input - Pasture Beef'!$D$152</f>
        <v>Pasture range and paddock</v>
      </c>
      <c r="X177" s="15" t="str">
        <f>TEXT(X_Cell_Site_StartDate,"mmmm")</f>
        <v>January</v>
      </c>
      <c r="Y177" s="15">
        <f ca="1">(X131 * $I$155 * $E$165 * $X$171 * $I$158)</f>
        <v>1.8253792307944732E-3</v>
      </c>
      <c r="Z177" s="15">
        <f ca="1">(Y131 * $I$155 * $E$165 * $X$171 * $I$158)</f>
        <v>2.4151571880932964E-3</v>
      </c>
      <c r="AA177" s="15">
        <f ca="1">(Z131 * $I$155 * $E$165 * $X$171 * $I$158)</f>
        <v>1.5351027116938406E-3</v>
      </c>
      <c r="AB177" s="15">
        <f ca="1">(AA131 * $I$155 * $E$165 * $X$171 * $I$158)</f>
        <v>2.1609849564283527E-3</v>
      </c>
      <c r="AC177" s="15">
        <f ca="1">(AB131 * $I$155 * $E$165 * $X$171 * $I$158)</f>
        <v>2.139639521596127E-3</v>
      </c>
      <c r="AD177" s="15">
        <f ca="1">(AC131 * $I$155 * $E$165 * $X$171 * $I$158)</f>
        <v>2.139639521596127E-3</v>
      </c>
      <c r="AE177" s="15">
        <f ca="1">(AD131 * $I$155 * $E$165 * $X$171 * $I$158)</f>
        <v>1.6825505854844633E-3</v>
      </c>
      <c r="AF177" s="15">
        <f ca="1">(AE131 * $I$155 * $E$165 * $X$171 * $I$158)</f>
        <v>1.8754949354493101E-3</v>
      </c>
      <c r="AG177" s="15">
        <f ca="1">(AF131 * $I$155 * $E$165 * $X$171 * $I$158)</f>
        <v>1.8754949354493101E-3</v>
      </c>
      <c r="AH177" s="15">
        <f ca="1">(AG131 * $I$155 * $E$165 * $X$171 * $I$158)</f>
        <v>1.8754949354493101E-3</v>
      </c>
      <c r="AI177" s="16" t="str">
        <f t="shared" ref="AI177:AI200" si="6">$E$152</f>
        <v>kg CH4/head/day</v>
      </c>
      <c r="AJ177" s="16"/>
    </row>
    <row r="178" spans="1:36" ht="20.100000000000001" customHeight="1" x14ac:dyDescent="0.2">
      <c r="D178" s="15" t="str">
        <f>'Input - Pasture Beef'!$D$152</f>
        <v>Pasture range and paddock</v>
      </c>
      <c r="E178" s="15" t="s">
        <v>335</v>
      </c>
      <c r="F178" s="15">
        <f ca="1">(E132 * $I$155 * $E$165 * $E$171 * $I$158)</f>
        <v>1.8253792307944732E-3</v>
      </c>
      <c r="G178" s="15">
        <f ca="1">(F132 * $I$155 * $E$165 * $E$171 * $I$158)</f>
        <v>2.4151571880932964E-3</v>
      </c>
      <c r="H178" s="15">
        <f ca="1">(G132 * $I$155 * $E$165 * $E$171 * $I$158)</f>
        <v>1.5351027116938406E-3</v>
      </c>
      <c r="I178" s="15">
        <f ca="1">(H132 * $I$155 * $E$165 * $E$171 * $I$158)</f>
        <v>2.0906273066841736E-3</v>
      </c>
      <c r="J178" s="15">
        <f ca="1">(I132 * $I$155 * $E$165 * $E$171 * $I$158)</f>
        <v>2.0699768394976483E-3</v>
      </c>
      <c r="K178" s="15">
        <f ca="1">(J132 * $I$155 * $E$165 * $E$171 * $I$158)</f>
        <v>2.0699768394976483E-3</v>
      </c>
      <c r="L178" s="15">
        <f ca="1">(K132 * $I$155 * $E$165 * $E$171 * $I$158)</f>
        <v>1.6825505854844633E-3</v>
      </c>
      <c r="M178" s="15">
        <f ca="1">(L132 * $I$155 * $E$165 * $E$171 * $I$158)</f>
        <v>1.8754949354493101E-3</v>
      </c>
      <c r="N178" s="15">
        <f ca="1">(M132 * $I$155 * $E$165 * $E$171 * $I$158)</f>
        <v>1.8754949354493101E-3</v>
      </c>
      <c r="O178" s="15">
        <f ca="1">(N132 * $I$155 * $E$165 * $E$171 * $I$158)</f>
        <v>1.8754949354493101E-3</v>
      </c>
      <c r="P178" s="16" t="str">
        <f t="shared" si="5"/>
        <v>kg CH4/head/day</v>
      </c>
      <c r="Q178" s="16"/>
      <c r="R178" s="16"/>
      <c r="S178" s="16"/>
      <c r="W178" s="15" t="str">
        <f>'Input - Pasture Beef'!$D$152</f>
        <v>Pasture range and paddock</v>
      </c>
      <c r="X178" s="15" t="str">
        <f>TEXT(EDATE(X_Cell_Site_StartDate,1), "mmmm")</f>
        <v>February</v>
      </c>
      <c r="Y178" s="15">
        <f ca="1">(X132 * $I$155 * $E$165 * $X$171 * $I$158)</f>
        <v>1.8253792307944732E-3</v>
      </c>
      <c r="Z178" s="15">
        <f ca="1">(Y132 * $I$155 * $E$165 * $X$171 * $I$158)</f>
        <v>2.4151571880932964E-3</v>
      </c>
      <c r="AA178" s="15">
        <f ca="1">(Z132 * $I$155 * $E$165 * $X$171 * $I$158)</f>
        <v>1.5351027116938406E-3</v>
      </c>
      <c r="AB178" s="15">
        <f ca="1">(AA132 * $I$155 * $E$165 * $X$171 * $I$158)</f>
        <v>2.0102185641193977E-3</v>
      </c>
      <c r="AC178" s="15">
        <f ca="1">(AB132 * $I$155 * $E$165 * $X$171 * $I$158)</f>
        <v>1.9903623456708156E-3</v>
      </c>
      <c r="AD178" s="15">
        <f ca="1">(AC132 * $I$155 * $E$165 * $X$171 * $I$158)</f>
        <v>1.9903623456708156E-3</v>
      </c>
      <c r="AE178" s="15">
        <f ca="1">(AD132 * $I$155 * $E$165 * $X$171 * $I$158)</f>
        <v>1.6825505854844633E-3</v>
      </c>
      <c r="AF178" s="15">
        <f ca="1">(AE132 * $I$155 * $E$165 * $X$171 * $I$158)</f>
        <v>1.8754949354493101E-3</v>
      </c>
      <c r="AG178" s="15">
        <f ca="1">(AF132 * $I$155 * $E$165 * $X$171 * $I$158)</f>
        <v>1.8754949354493101E-3</v>
      </c>
      <c r="AH178" s="15">
        <f ca="1">(AG132 * $I$155 * $E$165 * $X$171 * $I$158)</f>
        <v>1.8754949354493101E-3</v>
      </c>
      <c r="AI178" s="16" t="str">
        <f t="shared" si="6"/>
        <v>kg CH4/head/day</v>
      </c>
      <c r="AJ178" s="16"/>
    </row>
    <row r="179" spans="1:36" ht="20.100000000000001" customHeight="1" x14ac:dyDescent="0.2">
      <c r="D179" s="15" t="str">
        <f>'Input - Pasture Beef'!$D$152</f>
        <v>Pasture range and paddock</v>
      </c>
      <c r="E179" s="15" t="s">
        <v>336</v>
      </c>
      <c r="F179" s="15">
        <f ca="1">(E133 * $I$155 * $E$165 * $E$171 * $I$158)</f>
        <v>9.7360706101441404E-4</v>
      </c>
      <c r="G179" s="15">
        <f ca="1">(F133 * $I$155 * $E$165 * $E$171 * $I$158)</f>
        <v>2.8257879926910463E-3</v>
      </c>
      <c r="H179" s="15">
        <f ca="1">(G133 * $I$155 * $E$165 * $E$171 * $I$158)</f>
        <v>8.8759283102341434E-4</v>
      </c>
      <c r="I179" s="15">
        <f ca="1">(H133 * $I$155 * $E$165 * $E$171 * $I$158)</f>
        <v>1.804185782653431E-3</v>
      </c>
      <c r="J179" s="15">
        <f ca="1">(I133 * $I$155 * $E$165 * $E$171 * $I$158)</f>
        <v>2.0142528006700457E-3</v>
      </c>
      <c r="K179" s="15">
        <f ca="1">(J133 * $I$155 * $E$165 * $E$171 * $I$158)</f>
        <v>2.0142528006700457E-3</v>
      </c>
      <c r="L179" s="15">
        <f ca="1">(K133 * $I$155 * $E$165 * $E$171 * $I$158)</f>
        <v>9.7360706101441404E-4</v>
      </c>
      <c r="M179" s="15">
        <f ca="1">(L133 * $I$155 * $E$165 * $E$171 * $I$158)</f>
        <v>1.7676074196054518E-3</v>
      </c>
      <c r="N179" s="15">
        <f ca="1">(M133 * $I$155 * $E$165 * $E$171 * $I$158)</f>
        <v>1.7676074196054518E-3</v>
      </c>
      <c r="O179" s="15">
        <f ca="1">(N133 * $I$155 * $E$165 * $E$171 * $I$158)</f>
        <v>1.7676074196054518E-3</v>
      </c>
      <c r="P179" s="16" t="str">
        <f t="shared" si="5"/>
        <v>kg CH4/head/day</v>
      </c>
      <c r="Q179" s="16"/>
      <c r="R179" s="16"/>
      <c r="S179" s="16"/>
      <c r="W179" s="15" t="str">
        <f>'Input - Pasture Beef'!$D$152</f>
        <v>Pasture range and paddock</v>
      </c>
      <c r="X179" s="15" t="str">
        <f>TEXT(EDATE(X_Cell_Site_StartDate,2), "mmmm")</f>
        <v>March</v>
      </c>
      <c r="Y179" s="15">
        <f ca="1">(X133 * $I$155 * $E$165 * $X$171 * $I$158)</f>
        <v>9.7360706101441404E-4</v>
      </c>
      <c r="Z179" s="15">
        <f ca="1">(Y133 * $I$155 * $E$165 * $X$171 * $I$158)</f>
        <v>2.8257879926910463E-3</v>
      </c>
      <c r="AA179" s="15">
        <f ca="1">(Z133 * $I$155 * $E$165 * $X$171 * $I$158)</f>
        <v>8.8759283102341434E-4</v>
      </c>
      <c r="AB179" s="15">
        <f ca="1">(AA133 * $I$155 * $E$165 * $X$171 * $I$158)</f>
        <v>1.7863225570826046E-3</v>
      </c>
      <c r="AC179" s="15">
        <f ca="1">(AB133 * $I$155 * $E$165 * $X$171 * $I$158)</f>
        <v>2.0142528006700457E-3</v>
      </c>
      <c r="AD179" s="15">
        <f ca="1">(AC133 * $I$155 * $E$165 * $X$171 * $I$158)</f>
        <v>2.0142528006700457E-3</v>
      </c>
      <c r="AE179" s="15">
        <f ca="1">(AD133 * $I$155 * $E$165 * $X$171 * $I$158)</f>
        <v>9.7360706101441404E-4</v>
      </c>
      <c r="AF179" s="15">
        <f ca="1">(AE133 * $I$155 * $E$165 * $X$171 * $I$158)</f>
        <v>1.7676074196054518E-3</v>
      </c>
      <c r="AG179" s="15">
        <f ca="1">(AF133 * $I$155 * $E$165 * $X$171 * $I$158)</f>
        <v>1.7676074196054518E-3</v>
      </c>
      <c r="AH179" s="15">
        <f ca="1">(AG133 * $I$155 * $E$165 * $X$171 * $I$158)</f>
        <v>1.7676074196054518E-3</v>
      </c>
      <c r="AI179" s="16" t="str">
        <f t="shared" si="6"/>
        <v>kg CH4/head/day</v>
      </c>
      <c r="AJ179" s="16"/>
    </row>
    <row r="180" spans="1:36" ht="20.100000000000001" customHeight="1" x14ac:dyDescent="0.2">
      <c r="D180" s="15" t="str">
        <f>'Input - Pasture Beef'!$D$152</f>
        <v>Pasture range and paddock</v>
      </c>
      <c r="E180" s="15" t="s">
        <v>337</v>
      </c>
      <c r="F180" s="15">
        <f ca="1">(E134 * $I$155 * $E$165 * $E$171 * $I$158)</f>
        <v>8.2649649833119491E-4</v>
      </c>
      <c r="G180" s="15">
        <f ca="1">(F134 * $I$155 * $E$165 * $E$171 * $I$158)</f>
        <v>1.6061464433302867E-3</v>
      </c>
      <c r="H180" s="15">
        <f ca="1">(G134 * $I$155 * $E$165 * $E$171 * $I$158)</f>
        <v>6.7671731165028866E-4</v>
      </c>
      <c r="I180" s="15">
        <f ca="1">(H134 * $I$155 * $E$165 * $E$171 * $I$158)</f>
        <v>1.1549368251856172E-3</v>
      </c>
      <c r="J180" s="15">
        <f ca="1">(I134 * $I$155 * $E$165 * $E$171 * $I$158)</f>
        <v>1.4725544300764671E-3</v>
      </c>
      <c r="K180" s="15">
        <f ca="1">(J134 * $I$155 * $E$165 * $E$171 * $I$158)</f>
        <v>1.4725544300764671E-3</v>
      </c>
      <c r="L180" s="15">
        <f ca="1">(K134 * $I$155 * $E$165 * $E$171 * $I$158)</f>
        <v>7.2656299991787044E-4</v>
      </c>
      <c r="M180" s="15">
        <f ca="1">(L134 * $I$155 * $E$165 * $E$171 * $I$158)</f>
        <v>1.1061796823535802E-3</v>
      </c>
      <c r="N180" s="15">
        <f ca="1">(M134 * $I$155 * $E$165 * $E$171 * $I$158)</f>
        <v>1.1061796823535802E-3</v>
      </c>
      <c r="O180" s="15">
        <f ca="1">(N134 * $I$155 * $E$165 * $E$171 * $I$158)</f>
        <v>1.1061796823535802E-3</v>
      </c>
      <c r="P180" s="16" t="str">
        <f t="shared" si="5"/>
        <v>kg CH4/head/day</v>
      </c>
      <c r="Q180" s="16"/>
      <c r="R180" s="16"/>
      <c r="S180" s="16"/>
      <c r="W180" s="15" t="str">
        <f>'Input - Pasture Beef'!$D$152</f>
        <v>Pasture range and paddock</v>
      </c>
      <c r="X180" s="15" t="str">
        <f>TEXT(EDATE(X_Cell_Site_StartDate,3), "mmmm")</f>
        <v>April</v>
      </c>
      <c r="Y180" s="15">
        <f ca="1">(X134 * $I$155 * $E$165 * $X$171 * $I$158)</f>
        <v>9.7360706101441404E-4</v>
      </c>
      <c r="Z180" s="15">
        <f ca="1">(Y134 * $I$155 * $E$165 * $X$171 * $I$158)</f>
        <v>2.8257879926910463E-3</v>
      </c>
      <c r="AA180" s="15">
        <f ca="1">(Z134 * $I$155 * $E$165 * $X$171 * $I$158)</f>
        <v>8.8759283102341434E-4</v>
      </c>
      <c r="AB180" s="15">
        <f ca="1">(AA134 * $I$155 * $E$165 * $X$171 * $I$158)</f>
        <v>1.7863225570826046E-3</v>
      </c>
      <c r="AC180" s="15">
        <f ca="1">(AB134 * $I$155 * $E$165 * $X$171 * $I$158)</f>
        <v>2.0142528006700457E-3</v>
      </c>
      <c r="AD180" s="15">
        <f ca="1">(AC134 * $I$155 * $E$165 * $X$171 * $I$158)</f>
        <v>2.0142528006700457E-3</v>
      </c>
      <c r="AE180" s="15">
        <f ca="1">(AD134 * $I$155 * $E$165 * $X$171 * $I$158)</f>
        <v>9.7360706101441404E-4</v>
      </c>
      <c r="AF180" s="15">
        <f ca="1">(AE134 * $I$155 * $E$165 * $X$171 * $I$158)</f>
        <v>1.7676074196054518E-3</v>
      </c>
      <c r="AG180" s="15">
        <f ca="1">(AF134 * $I$155 * $E$165 * $X$171 * $I$158)</f>
        <v>1.7676074196054518E-3</v>
      </c>
      <c r="AH180" s="15">
        <f ca="1">(AG134 * $I$155 * $E$165 * $X$171 * $I$158)</f>
        <v>1.7676074196054518E-3</v>
      </c>
      <c r="AI180" s="16" t="str">
        <f t="shared" si="6"/>
        <v>kg CH4/head/day</v>
      </c>
      <c r="AJ180" s="16"/>
    </row>
    <row r="181" spans="1:36" ht="20.100000000000001" customHeight="1" x14ac:dyDescent="0.2">
      <c r="D181" s="15" t="str">
        <f>'Input - Pasture Beef'!$D$153</f>
        <v>Anaerobic lagoon</v>
      </c>
      <c r="E181" s="15" t="s">
        <v>334</v>
      </c>
      <c r="F181" s="15">
        <f ca="1">(E131 * $I$155 * $E$166 * $E$172 * $I$158)</f>
        <v>7.0893809818551147E-4</v>
      </c>
      <c r="G181" s="15">
        <f ca="1">(F131 * $I$155 * $E$166 * $E$172 * $I$158)</f>
        <v>1.0012808198694057E-3</v>
      </c>
      <c r="H181" s="15">
        <f ca="1">(G131 * $I$155 * $E$166 * $E$172 * $I$158)</f>
        <v>5.4035242541655584E-4</v>
      </c>
      <c r="I181" s="15">
        <f ca="1">(H131 * $I$155 * $E$166 * $E$172 * $I$158)</f>
        <v>7.800278952443656E-4</v>
      </c>
      <c r="J181" s="15">
        <f ca="1">(I131 * $I$155 * $E$166 * $E$172 * $I$158)</f>
        <v>9.2130891733888706E-4</v>
      </c>
      <c r="K181" s="15">
        <f ca="1">(J131 * $I$155 * $E$166 * $E$172 * $I$158)</f>
        <v>9.2130891733888706E-4</v>
      </c>
      <c r="L181" s="15">
        <f ca="1">(K131 * $I$155 * $E$166 * $E$172 * $I$158)</f>
        <v>6.2295470778193614E-4</v>
      </c>
      <c r="M181" s="15">
        <f ca="1">(L131 * $I$155 * $E$166 * $E$172 * $I$158)</f>
        <v>7.9164081197071932E-4</v>
      </c>
      <c r="N181" s="15">
        <f ca="1">(M131 * $I$155 * $E$166 * $E$172 * $I$158)</f>
        <v>7.9164081197071932E-4</v>
      </c>
      <c r="O181" s="15">
        <f ca="1">(N131 * $I$155 * $E$166 * $E$172 * $I$158)</f>
        <v>7.9164081197071932E-4</v>
      </c>
      <c r="P181" s="16" t="str">
        <f t="shared" si="5"/>
        <v>kg CH4/head/day</v>
      </c>
      <c r="Q181" s="16"/>
      <c r="R181" s="16"/>
      <c r="S181" s="16"/>
      <c r="W181" s="15" t="str">
        <f>'Input - Pasture Beef'!$D$152</f>
        <v>Pasture range and paddock</v>
      </c>
      <c r="X181" s="15" t="str">
        <f>TEXT(EDATE(X_Cell_Site_StartDate,4), "mmmm")</f>
        <v>May</v>
      </c>
      <c r="Y181" s="15">
        <f ca="1">(X135 * $I$155 * $E$165 * $X$171 * $I$158)</f>
        <v>9.7360706101441404E-4</v>
      </c>
      <c r="Z181" s="15">
        <f ca="1">(Y135 * $I$155 * $E$165 * $X$171 * $I$158)</f>
        <v>2.8257879926910463E-3</v>
      </c>
      <c r="AA181" s="15">
        <f ca="1">(Z135 * $I$155 * $E$165 * $X$171 * $I$158)</f>
        <v>8.8759283102341434E-4</v>
      </c>
      <c r="AB181" s="15">
        <f ca="1">(AA135 * $I$155 * $E$165 * $X$171 * $I$158)</f>
        <v>1.7863225570826046E-3</v>
      </c>
      <c r="AC181" s="15">
        <f ca="1">(AB135 * $I$155 * $E$165 * $X$171 * $I$158)</f>
        <v>2.0142528006700457E-3</v>
      </c>
      <c r="AD181" s="15">
        <f ca="1">(AC135 * $I$155 * $E$165 * $X$171 * $I$158)</f>
        <v>2.0142528006700457E-3</v>
      </c>
      <c r="AE181" s="15">
        <f ca="1">(AD135 * $I$155 * $E$165 * $X$171 * $I$158)</f>
        <v>9.7360706101441404E-4</v>
      </c>
      <c r="AF181" s="15">
        <f ca="1">(AE135 * $I$155 * $E$165 * $X$171 * $I$158)</f>
        <v>1.7676074196054518E-3</v>
      </c>
      <c r="AG181" s="15">
        <f ca="1">(AF135 * $I$155 * $E$165 * $X$171 * $I$158)</f>
        <v>1.7676074196054518E-3</v>
      </c>
      <c r="AH181" s="15">
        <f ca="1">(AG135 * $I$155 * $E$165 * $X$171 * $I$158)</f>
        <v>1.7676074196054518E-3</v>
      </c>
      <c r="AI181" s="16" t="str">
        <f t="shared" si="6"/>
        <v>kg CH4/head/day</v>
      </c>
      <c r="AJ181" s="16"/>
    </row>
    <row r="182" spans="1:36" ht="20.100000000000001" customHeight="1" x14ac:dyDescent="0.2">
      <c r="D182" s="15" t="str">
        <f>'Input - Pasture Beef'!$D$153</f>
        <v>Anaerobic lagoon</v>
      </c>
      <c r="E182" s="15" t="s">
        <v>335</v>
      </c>
      <c r="F182" s="15">
        <f ca="1">(E132 * $I$155 * $E$166 * $E$172 * $I$158)</f>
        <v>1.1199674032152948E-3</v>
      </c>
      <c r="G182" s="15">
        <f ca="1">(F132 * $I$155 * $E$166 * $E$172 * $I$158)</f>
        <v>1.4818275998069344E-3</v>
      </c>
      <c r="H182" s="15">
        <f ca="1">(G132 * $I$155 * $E$166 * $E$172 * $I$158)</f>
        <v>9.4186729457649166E-4</v>
      </c>
      <c r="I182" s="15">
        <f ca="1">(H132 * $I$155 * $E$166 * $E$172 * $I$158)</f>
        <v>1.282711228580693E-3</v>
      </c>
      <c r="J182" s="15">
        <f ca="1">(I132 * $I$155 * $E$166 * $E$172 * $I$158)</f>
        <v>1.2700410668302446E-3</v>
      </c>
      <c r="K182" s="15">
        <f ca="1">(J132 * $I$155 * $E$166 * $E$172 * $I$158)</f>
        <v>1.2700410668302446E-3</v>
      </c>
      <c r="L182" s="15">
        <f ca="1">(K132 * $I$155 * $E$166 * $E$172 * $I$158)</f>
        <v>1.0323344202745454E-3</v>
      </c>
      <c r="M182" s="15">
        <f ca="1">(L132 * $I$155 * $E$166 * $E$172 * $I$158)</f>
        <v>1.1507160578815108E-3</v>
      </c>
      <c r="N182" s="15">
        <f ca="1">(M132 * $I$155 * $E$166 * $E$172 * $I$158)</f>
        <v>1.1507160578815108E-3</v>
      </c>
      <c r="O182" s="15">
        <f ca="1">(N132 * $I$155 * $E$166 * $E$172 * $I$158)</f>
        <v>1.1507160578815108E-3</v>
      </c>
      <c r="P182" s="16" t="str">
        <f t="shared" si="5"/>
        <v>kg CH4/head/day</v>
      </c>
      <c r="Q182" s="16"/>
      <c r="R182" s="16"/>
      <c r="S182" s="16"/>
      <c r="W182" s="15" t="str">
        <f>'Input - Pasture Beef'!$D$152</f>
        <v>Pasture range and paddock</v>
      </c>
      <c r="X182" s="15" t="str">
        <f>TEXT(EDATE(X_Cell_Site_StartDate,5), "mmmm")</f>
        <v>June</v>
      </c>
      <c r="Y182" s="15">
        <f ca="1">(X136 * $I$155 * $E$165 * $X$171 * $I$158)</f>
        <v>8.2649649833119491E-4</v>
      </c>
      <c r="Z182" s="15">
        <f ca="1">(Y136 * $I$155 * $E$165 * $X$171 * $I$158)</f>
        <v>1.6061464433302867E-3</v>
      </c>
      <c r="AA182" s="15">
        <f ca="1">(Z136 * $I$155 * $E$165 * $X$171 * $I$158)</f>
        <v>6.7671731165028866E-4</v>
      </c>
      <c r="AB182" s="15">
        <f ca="1">(AA136 * $I$155 * $E$165 * $X$171 * $I$158)</f>
        <v>9.5449324395505564E-4</v>
      </c>
      <c r="AC182" s="15">
        <f ca="1">(AB136 * $I$155 * $E$165 * $X$171 * $I$158)</f>
        <v>1.2804821131099714E-3</v>
      </c>
      <c r="AD182" s="15">
        <f ca="1">(AC136 * $I$155 * $E$165 * $X$171 * $I$158)</f>
        <v>1.2804821131099714E-3</v>
      </c>
      <c r="AE182" s="15">
        <f ca="1">(AD136 * $I$155 * $E$165 * $X$171 * $I$158)</f>
        <v>7.2656299991787044E-4</v>
      </c>
      <c r="AF182" s="15">
        <f ca="1">(AE136 * $I$155 * $E$165 * $X$171 * $I$158)</f>
        <v>1.1061796823535802E-3</v>
      </c>
      <c r="AG182" s="15">
        <f ca="1">(AF136 * $I$155 * $E$165 * $X$171 * $I$158)</f>
        <v>1.1061796823535802E-3</v>
      </c>
      <c r="AH182" s="15">
        <f ca="1">(AG136 * $I$155 * $E$165 * $X$171 * $I$158)</f>
        <v>1.1061796823535802E-3</v>
      </c>
      <c r="AI182" s="16" t="str">
        <f t="shared" si="6"/>
        <v>kg CH4/head/day</v>
      </c>
      <c r="AJ182" s="16"/>
    </row>
    <row r="183" spans="1:36" ht="20.100000000000001" customHeight="1" x14ac:dyDescent="0.2">
      <c r="D183" s="15" t="str">
        <f>'Input - Pasture Beef'!$D$153</f>
        <v>Anaerobic lagoon</v>
      </c>
      <c r="E183" s="15" t="s">
        <v>336</v>
      </c>
      <c r="F183" s="15">
        <f ca="1">(E133 * $I$155 * $E$166 * $E$172 * $I$158)</f>
        <v>5.9735979980543661E-4</v>
      </c>
      <c r="G183" s="15">
        <f ca="1">(F133 * $I$155 * $E$166 * $E$172 * $I$158)</f>
        <v>1.7337714743438364E-3</v>
      </c>
      <c r="H183" s="15">
        <f ca="1">(G133 * $I$155 * $E$166 * $E$172 * $I$158)</f>
        <v>5.4458548739000758E-4</v>
      </c>
      <c r="I183" s="15">
        <f ca="1">(H133 * $I$155 * $E$166 * $E$172 * $I$158)</f>
        <v>1.1069640937225215E-3</v>
      </c>
      <c r="J183" s="15">
        <f ca="1">(I133 * $I$155 * $E$166 * $E$172 * $I$158)</f>
        <v>1.2358514003710424E-3</v>
      </c>
      <c r="K183" s="15">
        <f ca="1">(J133 * $I$155 * $E$166 * $E$172 * $I$158)</f>
        <v>1.2358514003710424E-3</v>
      </c>
      <c r="L183" s="15">
        <f ca="1">(K133 * $I$155 * $E$166 * $E$172 * $I$158)</f>
        <v>5.9735979980543661E-4</v>
      </c>
      <c r="M183" s="15">
        <f ca="1">(L133 * $I$155 * $E$166 * $E$172 * $I$158)</f>
        <v>1.0845213193194834E-3</v>
      </c>
      <c r="N183" s="15">
        <f ca="1">(M133 * $I$155 * $E$166 * $E$172 * $I$158)</f>
        <v>1.0845213193194834E-3</v>
      </c>
      <c r="O183" s="15">
        <f ca="1">(N133 * $I$155 * $E$166 * $E$172 * $I$158)</f>
        <v>1.0845213193194834E-3</v>
      </c>
      <c r="P183" s="16" t="str">
        <f t="shared" si="5"/>
        <v>kg CH4/head/day</v>
      </c>
      <c r="Q183" s="16"/>
      <c r="R183" s="16"/>
      <c r="S183" s="16"/>
      <c r="W183" s="15" t="str">
        <f>'Input - Pasture Beef'!$D$152</f>
        <v>Pasture range and paddock</v>
      </c>
      <c r="X183" s="15" t="str">
        <f>TEXT(EDATE(X_Cell_Site_StartDate,6), "mmmm")</f>
        <v>July</v>
      </c>
      <c r="Y183" s="15">
        <f ca="1">(X137 * $I$155 * $E$165 * $X$171 * $I$158)</f>
        <v>8.2649649833119491E-4</v>
      </c>
      <c r="Z183" s="15">
        <f ca="1">(Y137 * $I$155 * $E$165 * $X$171 * $I$158)</f>
        <v>1.6061464433302867E-3</v>
      </c>
      <c r="AA183" s="15">
        <f ca="1">(Z137 * $I$155 * $E$165 * $X$171 * $I$158)</f>
        <v>6.7671731165028866E-4</v>
      </c>
      <c r="AB183" s="15">
        <f ca="1">(AA137 * $I$155 * $E$165 * $X$171 * $I$158)</f>
        <v>9.5449324395505564E-4</v>
      </c>
      <c r="AC183" s="15">
        <f ca="1">(AB137 * $I$155 * $E$165 * $X$171 * $I$158)</f>
        <v>1.2804821131099714E-3</v>
      </c>
      <c r="AD183" s="15">
        <f ca="1">(AC137 * $I$155 * $E$165 * $X$171 * $I$158)</f>
        <v>1.2804821131099714E-3</v>
      </c>
      <c r="AE183" s="15">
        <f ca="1">(AD137 * $I$155 * $E$165 * $X$171 * $I$158)</f>
        <v>7.2656299991787044E-4</v>
      </c>
      <c r="AF183" s="15">
        <f ca="1">(AE137 * $I$155 * $E$165 * $X$171 * $I$158)</f>
        <v>1.1061796823535802E-3</v>
      </c>
      <c r="AG183" s="15">
        <f ca="1">(AF137 * $I$155 * $E$165 * $X$171 * $I$158)</f>
        <v>1.1061796823535802E-3</v>
      </c>
      <c r="AH183" s="15">
        <f ca="1">(AG137 * $I$155 * $E$165 * $X$171 * $I$158)</f>
        <v>1.1061796823535802E-3</v>
      </c>
      <c r="AI183" s="16" t="str">
        <f t="shared" si="6"/>
        <v>kg CH4/head/day</v>
      </c>
      <c r="AJ183" s="16"/>
    </row>
    <row r="184" spans="1:36" ht="20.100000000000001" customHeight="1" x14ac:dyDescent="0.2">
      <c r="D184" s="15" t="str">
        <f>'Input - Pasture Beef'!$D$153</f>
        <v>Anaerobic lagoon</v>
      </c>
      <c r="E184" s="15" t="s">
        <v>337</v>
      </c>
      <c r="F184" s="15">
        <f ca="1">(E134 * $I$155 * $E$166 * $E$172 * $I$158)</f>
        <v>5.0709963244166274E-4</v>
      </c>
      <c r="G184" s="15">
        <f ca="1">(F134 * $I$155 * $E$166 * $E$172 * $I$158)</f>
        <v>9.854564087141411E-4</v>
      </c>
      <c r="H184" s="15">
        <f ca="1">(G134 * $I$155 * $E$166 * $E$172 * $I$158)</f>
        <v>4.1520212208722356E-4</v>
      </c>
      <c r="I184" s="15">
        <f ca="1">(H134 * $I$155 * $E$166 * $E$172 * $I$158)</f>
        <v>7.0861527027338679E-4</v>
      </c>
      <c r="J184" s="15">
        <f ca="1">(I134 * $I$155 * $E$166 * $E$172 * $I$158)</f>
        <v>9.0349059161154151E-4</v>
      </c>
      <c r="K184" s="15">
        <f ca="1">(J134 * $I$155 * $E$166 * $E$172 * $I$158)</f>
        <v>9.0349059161154151E-4</v>
      </c>
      <c r="L184" s="15">
        <f ca="1">(K134 * $I$155 * $E$166 * $E$172 * $I$158)</f>
        <v>4.457851073150249E-4</v>
      </c>
      <c r="M184" s="15">
        <f ca="1">(L134 * $I$155 * $E$166 * $E$172 * $I$158)</f>
        <v>6.787001656613841E-4</v>
      </c>
      <c r="N184" s="15">
        <f ca="1">(M134 * $I$155 * $E$166 * $E$172 * $I$158)</f>
        <v>6.787001656613841E-4</v>
      </c>
      <c r="O184" s="15">
        <f ca="1">(N134 * $I$155 * $E$166 * $E$172 * $I$158)</f>
        <v>6.787001656613841E-4</v>
      </c>
      <c r="P184" s="16" t="str">
        <f t="shared" si="5"/>
        <v>kg CH4/head/day</v>
      </c>
      <c r="Q184" s="16"/>
      <c r="R184" s="16"/>
      <c r="S184" s="16"/>
      <c r="W184" s="15" t="str">
        <f>'Input - Pasture Beef'!$D$152</f>
        <v>Pasture range and paddock</v>
      </c>
      <c r="X184" s="15" t="str">
        <f>TEXT(EDATE(X_Cell_Site_StartDate,7), "mmmm")</f>
        <v>August</v>
      </c>
      <c r="Y184" s="15">
        <f ca="1">(X138 * $I$155 * $E$165 * $X$171 * $I$158)</f>
        <v>8.2649649833119491E-4</v>
      </c>
      <c r="Z184" s="15">
        <f ca="1">(Y138 * $I$155 * $E$165 * $X$171 * $I$158)</f>
        <v>1.6061464433302867E-3</v>
      </c>
      <c r="AA184" s="15">
        <f ca="1">(Z138 * $I$155 * $E$165 * $X$171 * $I$158)</f>
        <v>6.7671731165028866E-4</v>
      </c>
      <c r="AB184" s="15">
        <f ca="1">(AA138 * $I$155 * $E$165 * $X$171 * $I$158)</f>
        <v>1.169254223844943E-3</v>
      </c>
      <c r="AC184" s="15">
        <f ca="1">(AB138 * $I$155 * $E$165 * $X$171 * $I$158)</f>
        <v>1.568590588559715E-3</v>
      </c>
      <c r="AD184" s="15">
        <f ca="1">(AC138 * $I$155 * $E$165 * $X$171 * $I$158)</f>
        <v>1.568590588559715E-3</v>
      </c>
      <c r="AE184" s="15">
        <f ca="1">(AD138 * $I$155 * $E$165 * $X$171 * $I$158)</f>
        <v>7.2656299991787044E-4</v>
      </c>
      <c r="AF184" s="15">
        <f ca="1">(AE138 * $I$155 * $E$165 * $X$171 * $I$158)</f>
        <v>1.1061796823535802E-3</v>
      </c>
      <c r="AG184" s="15">
        <f ca="1">(AF138 * $I$155 * $E$165 * $X$171 * $I$158)</f>
        <v>1.1061796823535802E-3</v>
      </c>
      <c r="AH184" s="15">
        <f ca="1">(AG138 * $I$155 * $E$165 * $X$171 * $I$158)</f>
        <v>1.1061796823535802E-3</v>
      </c>
      <c r="AI184" s="16" t="str">
        <f t="shared" si="6"/>
        <v>kg CH4/head/day</v>
      </c>
      <c r="AJ184" s="16"/>
    </row>
    <row r="185" spans="1:36" ht="20.100000000000001" customHeight="1" x14ac:dyDescent="0.2">
      <c r="W185" s="15" t="str">
        <f>'Input - Pasture Beef'!$D$152</f>
        <v>Pasture range and paddock</v>
      </c>
      <c r="X185" s="15" t="str">
        <f>TEXT(EDATE(X_Cell_Site_StartDate,8), "mmmm")</f>
        <v>September</v>
      </c>
      <c r="Y185" s="15">
        <f ca="1">(X139 * $I$155 * $E$165 * $X$171 * $I$158)</f>
        <v>1.1554629863615776E-3</v>
      </c>
      <c r="Z185" s="15">
        <f ca="1">(Y139 * $I$155 * $E$165 * $X$171 * $I$158)</f>
        <v>1.6319378649193843E-3</v>
      </c>
      <c r="AA185" s="15">
        <f ca="1">(Z139 * $I$155 * $E$165 * $X$171 * $I$158)</f>
        <v>8.8069357361036688E-4</v>
      </c>
      <c r="AB185" s="15">
        <f ca="1">(AA139 * $I$155 * $E$165 * $X$171 * $I$158)</f>
        <v>1.4157978870077558E-3</v>
      </c>
      <c r="AC185" s="15">
        <f ca="1">(AB139 * $I$155 * $E$165 * $X$171 * $I$158)</f>
        <v>1.5721834629166926E-3</v>
      </c>
      <c r="AD185" s="15">
        <f ca="1">(AC139 * $I$155 * $E$165 * $X$171 * $I$158)</f>
        <v>1.5721834629166926E-3</v>
      </c>
      <c r="AE185" s="15">
        <f ca="1">(AD139 * $I$155 * $E$165 * $X$171 * $I$158)</f>
        <v>1.0153229299765547E-3</v>
      </c>
      <c r="AF185" s="15">
        <f ca="1">(AE139 * $I$155 * $E$165 * $X$171 * $I$158)</f>
        <v>1.2902560309095339E-3</v>
      </c>
      <c r="AG185" s="15">
        <f ca="1">(AF139 * $I$155 * $E$165 * $X$171 * $I$158)</f>
        <v>1.2902560309095339E-3</v>
      </c>
      <c r="AH185" s="15">
        <f ca="1">(AG139 * $I$155 * $E$165 * $X$171 * $I$158)</f>
        <v>1.2902560309095339E-3</v>
      </c>
      <c r="AI185" s="16" t="str">
        <f t="shared" si="6"/>
        <v>kg CH4/head/day</v>
      </c>
      <c r="AJ185" s="16"/>
    </row>
    <row r="186" spans="1:36" ht="20.100000000000001" customHeight="1" x14ac:dyDescent="0.2">
      <c r="W186" s="15" t="str">
        <f>'Input - Pasture Beef'!$D$152</f>
        <v>Pasture range and paddock</v>
      </c>
      <c r="X186" s="15" t="str">
        <f>TEXT(EDATE(X_Cell_Site_StartDate,9), "mmmm")</f>
        <v>October</v>
      </c>
      <c r="Y186" s="15">
        <f ca="1">(X140 * $I$155 * $E$165 * $X$171 * $I$158)</f>
        <v>1.1554629863615776E-3</v>
      </c>
      <c r="Z186" s="15">
        <f ca="1">(Y140 * $I$155 * $E$165 * $X$171 * $I$158)</f>
        <v>1.6319378649193843E-3</v>
      </c>
      <c r="AA186" s="15">
        <f ca="1">(Z140 * $I$155 * $E$165 * $X$171 * $I$158)</f>
        <v>8.8069357361036688E-4</v>
      </c>
      <c r="AB186" s="15">
        <f ca="1">(AA140 * $I$155 * $E$165 * $X$171 * $I$158)</f>
        <v>1.4157978870077558E-3</v>
      </c>
      <c r="AC186" s="15">
        <f ca="1">(AB140 * $I$155 * $E$165 * $X$171 * $I$158)</f>
        <v>1.5721834629166926E-3</v>
      </c>
      <c r="AD186" s="15">
        <f ca="1">(AC140 * $I$155 * $E$165 * $X$171 * $I$158)</f>
        <v>1.5721834629166926E-3</v>
      </c>
      <c r="AE186" s="15">
        <f ca="1">(AD140 * $I$155 * $E$165 * $X$171 * $I$158)</f>
        <v>1.0153229299765547E-3</v>
      </c>
      <c r="AF186" s="15">
        <f ca="1">(AE140 * $I$155 * $E$165 * $X$171 * $I$158)</f>
        <v>1.2902560309095339E-3</v>
      </c>
      <c r="AG186" s="15">
        <f ca="1">(AF140 * $I$155 * $E$165 * $X$171 * $I$158)</f>
        <v>1.2902560309095339E-3</v>
      </c>
      <c r="AH186" s="15">
        <f ca="1">(AG140 * $I$155 * $E$165 * $X$171 * $I$158)</f>
        <v>1.2902560309095339E-3</v>
      </c>
      <c r="AI186" s="16" t="str">
        <f t="shared" si="6"/>
        <v>kg CH4/head/day</v>
      </c>
      <c r="AJ186" s="16"/>
    </row>
    <row r="187" spans="1:36" ht="20.100000000000001" customHeight="1" x14ac:dyDescent="0.2">
      <c r="W187" s="15" t="str">
        <f>'Input - Pasture Beef'!$D$152</f>
        <v>Pasture range and paddock</v>
      </c>
      <c r="X187" s="15" t="str">
        <f>TEXT(EDATE(X_Cell_Site_StartDate,10), "mmmm")</f>
        <v>November</v>
      </c>
      <c r="Y187" s="15">
        <f ca="1">(X141 * $I$155 * $E$165 * $X$171 * $I$158)</f>
        <v>1.1554629863615776E-3</v>
      </c>
      <c r="Z187" s="15">
        <f ca="1">(Y141 * $I$155 * $E$165 * $X$171 * $I$158)</f>
        <v>1.6319378649193843E-3</v>
      </c>
      <c r="AA187" s="15">
        <f ca="1">(Z141 * $I$155 * $E$165 * $X$171 * $I$158)</f>
        <v>8.8069357361036688E-4</v>
      </c>
      <c r="AB187" s="15">
        <f ca="1">(AA141 * $I$155 * $E$165 * $X$171 * $I$158)</f>
        <v>1.2424348804353775E-3</v>
      </c>
      <c r="AC187" s="15">
        <f ca="1">(AB141 * $I$155 * $E$165 * $X$171 * $I$158)</f>
        <v>1.3796712021513829E-3</v>
      </c>
      <c r="AD187" s="15">
        <f ca="1">(AC141 * $I$155 * $E$165 * $X$171 * $I$158)</f>
        <v>1.3796712021513829E-3</v>
      </c>
      <c r="AE187" s="15">
        <f ca="1">(AD141 * $I$155 * $E$165 * $X$171 * $I$158)</f>
        <v>1.0153229299765547E-3</v>
      </c>
      <c r="AF187" s="15">
        <f ca="1">(AE141 * $I$155 * $E$165 * $X$171 * $I$158)</f>
        <v>1.2902560309095339E-3</v>
      </c>
      <c r="AG187" s="15">
        <f ca="1">(AF141 * $I$155 * $E$165 * $X$171 * $I$158)</f>
        <v>1.2902560309095339E-3</v>
      </c>
      <c r="AH187" s="15">
        <f ca="1">(AG141 * $I$155 * $E$165 * $X$171 * $I$158)</f>
        <v>1.2902560309095339E-3</v>
      </c>
      <c r="AI187" s="16" t="str">
        <f t="shared" si="6"/>
        <v>kg CH4/head/day</v>
      </c>
      <c r="AJ187" s="16"/>
    </row>
    <row r="188" spans="1:36" ht="20.100000000000001" customHeight="1" x14ac:dyDescent="0.2">
      <c r="W188" s="15" t="str">
        <f>'Input - Pasture Beef'!$D$152</f>
        <v>Pasture range and paddock</v>
      </c>
      <c r="X188" s="15" t="str">
        <f>TEXT(EDATE(X_Cell_Site_StartDate,11), "mmmm")</f>
        <v>December</v>
      </c>
      <c r="Y188" s="15">
        <f ca="1">(X142 * $I$155 * $E$165 * $X$171 * $I$158)</f>
        <v>1.8253792307944732E-3</v>
      </c>
      <c r="Z188" s="15">
        <f ca="1">(Y142 * $I$155 * $E$165 * $X$171 * $I$158)</f>
        <v>2.4151571880932964E-3</v>
      </c>
      <c r="AA188" s="15">
        <f ca="1">(Z142 * $I$155 * $E$165 * $X$171 * $I$158)</f>
        <v>1.5351027116938406E-3</v>
      </c>
      <c r="AB188" s="15">
        <f ca="1">(AA142 * $I$155 * $E$165 * $X$171 * $I$158)</f>
        <v>2.1609849564283527E-3</v>
      </c>
      <c r="AC188" s="15">
        <f ca="1">(AB142 * $I$155 * $E$165 * $X$171 * $I$158)</f>
        <v>2.139639521596127E-3</v>
      </c>
      <c r="AD188" s="15">
        <f ca="1">(AC142 * $I$155 * $E$165 * $X$171 * $I$158)</f>
        <v>2.139639521596127E-3</v>
      </c>
      <c r="AE188" s="15">
        <f ca="1">(AD142 * $I$155 * $E$165 * $X$171 * $I$158)</f>
        <v>1.6825505854844633E-3</v>
      </c>
      <c r="AF188" s="15">
        <f ca="1">(AE142 * $I$155 * $E$165 * $X$171 * $I$158)</f>
        <v>1.8754949354493101E-3</v>
      </c>
      <c r="AG188" s="15">
        <f ca="1">(AF142 * $I$155 * $E$165 * $X$171 * $I$158)</f>
        <v>1.8754949354493101E-3</v>
      </c>
      <c r="AH188" s="15">
        <f ca="1">(AG142 * $I$155 * $E$165 * $X$171 * $I$158)</f>
        <v>1.8754949354493101E-3</v>
      </c>
      <c r="AI188" s="16" t="str">
        <f t="shared" si="6"/>
        <v>kg CH4/head/day</v>
      </c>
      <c r="AJ188" s="16"/>
    </row>
    <row r="189" spans="1:36" ht="20.100000000000001" customHeight="1" x14ac:dyDescent="0.2">
      <c r="W189" s="15" t="str">
        <f>'Input - Pasture Beef'!$D$153</f>
        <v>Anaerobic lagoon</v>
      </c>
      <c r="X189" s="15" t="str">
        <f>TEXT(X_Cell_Site_StartDate,"mmmm")</f>
        <v>January</v>
      </c>
      <c r="Y189" s="15">
        <f ca="1">(X131 * $I$155 * $E$166 * $X$172 * $I$158)</f>
        <v>1.1347038164154961E-3</v>
      </c>
      <c r="Z189" s="15">
        <f ca="1">(Y131 * $I$155 * $E$166 * $X$172 * $I$158)</f>
        <v>1.5013253313833415E-3</v>
      </c>
      <c r="AA189" s="15">
        <f ca="1">(Z131 * $I$155 * $E$166 * $X$172 * $I$158)</f>
        <v>9.5426028529460333E-4</v>
      </c>
      <c r="AB189" s="15">
        <f ca="1">(AA131 * $I$155 * $E$166 * $X$172 * $I$158)</f>
        <v>1.3433251764393584E-3</v>
      </c>
      <c r="AC189" s="15">
        <f ca="1">(AB131 * $I$155 * $E$166 * $X$172 * $I$158)</f>
        <v>1.3300562918379748E-3</v>
      </c>
      <c r="AD189" s="15">
        <f ca="1">(AC131 * $I$155 * $E$166 * $X$172 * $I$158)</f>
        <v>1.3300562918379748E-3</v>
      </c>
      <c r="AE189" s="15">
        <f ca="1">(AD131 * $I$155 * $E$166 * $X$172 * $I$158)</f>
        <v>1.0459177679097368E-3</v>
      </c>
      <c r="AF189" s="15">
        <f ca="1">(AE131 * $I$155 * $E$166 * $X$172 * $I$158)</f>
        <v>1.1658570586431096E-3</v>
      </c>
      <c r="AG189" s="15">
        <f ca="1">(AF131 * $I$155 * $E$166 * $X$172 * $I$158)</f>
        <v>1.1658570586431096E-3</v>
      </c>
      <c r="AH189" s="15">
        <f ca="1">(AG131 * $I$155 * $E$166 * $X$172 * $I$158)</f>
        <v>1.1658570586431096E-3</v>
      </c>
      <c r="AI189" s="16" t="str">
        <f t="shared" si="6"/>
        <v>kg CH4/head/day</v>
      </c>
      <c r="AJ189" s="16"/>
    </row>
    <row r="190" spans="1:36" ht="20.100000000000001" customHeight="1" x14ac:dyDescent="0.2">
      <c r="W190" s="15" t="str">
        <f>'Input - Pasture Beef'!$D$153</f>
        <v>Anaerobic lagoon</v>
      </c>
      <c r="X190" s="15" t="str">
        <f>TEXT(EDATE(X_Cell_Site_StartDate,1), "mmmm")</f>
        <v>February</v>
      </c>
      <c r="Y190" s="15">
        <f ca="1">(X132 * $I$155 * $E$166 * $X$172 * $I$158)</f>
        <v>1.1347038164154961E-3</v>
      </c>
      <c r="Z190" s="15">
        <f ca="1">(Y132 * $I$155 * $E$166 * $X$172 * $I$158)</f>
        <v>1.5013253313833415E-3</v>
      </c>
      <c r="AA190" s="15">
        <f ca="1">(Z132 * $I$155 * $E$166 * $X$172 * $I$158)</f>
        <v>9.5426028529460333E-4</v>
      </c>
      <c r="AB190" s="15">
        <f ca="1">(AA132 * $I$155 * $E$166 * $X$172 * $I$158)</f>
        <v>1.2496048152924261E-3</v>
      </c>
      <c r="AC190" s="15">
        <f ca="1">(AB132 * $I$155 * $E$166 * $X$172 * $I$158)</f>
        <v>1.2372616668260229E-3</v>
      </c>
      <c r="AD190" s="15">
        <f ca="1">(AC132 * $I$155 * $E$166 * $X$172 * $I$158)</f>
        <v>1.2372616668260229E-3</v>
      </c>
      <c r="AE190" s="15">
        <f ca="1">(AD132 * $I$155 * $E$166 * $X$172 * $I$158)</f>
        <v>1.0459177679097368E-3</v>
      </c>
      <c r="AF190" s="15">
        <f ca="1">(AE132 * $I$155 * $E$166 * $X$172 * $I$158)</f>
        <v>1.1658570586431096E-3</v>
      </c>
      <c r="AG190" s="15">
        <f ca="1">(AF132 * $I$155 * $E$166 * $X$172 * $I$158)</f>
        <v>1.1658570586431096E-3</v>
      </c>
      <c r="AH190" s="15">
        <f ca="1">(AG132 * $I$155 * $E$166 * $X$172 * $I$158)</f>
        <v>1.1658570586431096E-3</v>
      </c>
      <c r="AI190" s="16" t="str">
        <f t="shared" si="6"/>
        <v>kg CH4/head/day</v>
      </c>
      <c r="AJ190" s="16"/>
    </row>
    <row r="191" spans="1:36" ht="20.100000000000001" customHeight="1" x14ac:dyDescent="0.2">
      <c r="A191" s="85" t="str">
        <f>HYPERLINK("#A1", "▲ Back to top")</f>
        <v>▲ Back to top</v>
      </c>
      <c r="W191" s="15" t="str">
        <f>'Input - Pasture Beef'!$D$153</f>
        <v>Anaerobic lagoon</v>
      </c>
      <c r="X191" s="15" t="str">
        <f>TEXT(EDATE(X_Cell_Site_StartDate,2), "mmmm")</f>
        <v>March</v>
      </c>
      <c r="Y191" s="15">
        <f ca="1">(X133 * $I$155 * $E$166 * $X$172 * $I$158)</f>
        <v>6.0521979717129766E-4</v>
      </c>
      <c r="Z191" s="15">
        <f ca="1">(Y133 * $I$155 * $E$166 * $X$172 * $I$158)</f>
        <v>1.7565842569009921E-3</v>
      </c>
      <c r="AA191" s="15">
        <f ca="1">(Z133 * $I$155 * $E$166 * $X$172 * $I$158)</f>
        <v>5.5175108590829725E-4</v>
      </c>
      <c r="AB191" s="15">
        <f ca="1">(AA133 * $I$155 * $E$166 * $X$172 * $I$158)</f>
        <v>1.1104251591536494E-3</v>
      </c>
      <c r="AC191" s="15">
        <f ca="1">(AB133 * $I$155 * $E$166 * $X$172 * $I$158)</f>
        <v>1.2521126030075034E-3</v>
      </c>
      <c r="AD191" s="15">
        <f ca="1">(AC133 * $I$155 * $E$166 * $X$172 * $I$158)</f>
        <v>1.2521126030075034E-3</v>
      </c>
      <c r="AE191" s="15">
        <f ca="1">(AD133 * $I$155 * $E$166 * $X$172 * $I$158)</f>
        <v>6.0521979717129766E-4</v>
      </c>
      <c r="AF191" s="15">
        <f ca="1">(AE133 * $I$155 * $E$166 * $X$172 * $I$158)</f>
        <v>1.0987913366789503E-3</v>
      </c>
      <c r="AG191" s="15">
        <f ca="1">(AF133 * $I$155 * $E$166 * $X$172 * $I$158)</f>
        <v>1.0987913366789503E-3</v>
      </c>
      <c r="AH191" s="15">
        <f ca="1">(AG133 * $I$155 * $E$166 * $X$172 * $I$158)</f>
        <v>1.0987913366789503E-3</v>
      </c>
      <c r="AI191" s="16" t="str">
        <f t="shared" si="6"/>
        <v>kg CH4/head/day</v>
      </c>
      <c r="AJ191" s="16"/>
    </row>
    <row r="192" spans="1:36" ht="20.100000000000001" customHeight="1" x14ac:dyDescent="0.2">
      <c r="W192" s="15" t="str">
        <f>'Input - Pasture Beef'!$D$153</f>
        <v>Anaerobic lagoon</v>
      </c>
      <c r="X192" s="15" t="str">
        <f>TEXT(EDATE(X_Cell_Site_StartDate,3), "mmmm")</f>
        <v>April</v>
      </c>
      <c r="Y192" s="15">
        <f ca="1">(X134 * $I$155 * $E$166 * $X$172 * $I$158)</f>
        <v>6.0521979717129766E-4</v>
      </c>
      <c r="Z192" s="15">
        <f ca="1">(Y134 * $I$155 * $E$166 * $X$172 * $I$158)</f>
        <v>1.7565842569009921E-3</v>
      </c>
      <c r="AA192" s="15">
        <f ca="1">(Z134 * $I$155 * $E$166 * $X$172 * $I$158)</f>
        <v>5.5175108590829725E-4</v>
      </c>
      <c r="AB192" s="15">
        <f ca="1">(AA134 * $I$155 * $E$166 * $X$172 * $I$158)</f>
        <v>1.1104251591536494E-3</v>
      </c>
      <c r="AC192" s="15">
        <f ca="1">(AB134 * $I$155 * $E$166 * $X$172 * $I$158)</f>
        <v>1.2521126030075034E-3</v>
      </c>
      <c r="AD192" s="15">
        <f ca="1">(AC134 * $I$155 * $E$166 * $X$172 * $I$158)</f>
        <v>1.2521126030075034E-3</v>
      </c>
      <c r="AE192" s="15">
        <f ca="1">(AD134 * $I$155 * $E$166 * $X$172 * $I$158)</f>
        <v>6.0521979717129766E-4</v>
      </c>
      <c r="AF192" s="15">
        <f ca="1">(AE134 * $I$155 * $E$166 * $X$172 * $I$158)</f>
        <v>1.0987913366789503E-3</v>
      </c>
      <c r="AG192" s="15">
        <f ca="1">(AF134 * $I$155 * $E$166 * $X$172 * $I$158)</f>
        <v>1.0987913366789503E-3</v>
      </c>
      <c r="AH192" s="15">
        <f ca="1">(AG134 * $I$155 * $E$166 * $X$172 * $I$158)</f>
        <v>1.0987913366789503E-3</v>
      </c>
      <c r="AI192" s="16" t="str">
        <f t="shared" si="6"/>
        <v>kg CH4/head/day</v>
      </c>
      <c r="AJ192" s="16"/>
    </row>
    <row r="193" spans="3:37" ht="20.100000000000001" customHeight="1" x14ac:dyDescent="0.2">
      <c r="W193" s="15" t="str">
        <f>'Input - Pasture Beef'!$D$153</f>
        <v>Anaerobic lagoon</v>
      </c>
      <c r="X193" s="15" t="str">
        <f>TEXT(EDATE(X_Cell_Site_StartDate,4), "mmmm")</f>
        <v>May</v>
      </c>
      <c r="Y193" s="15">
        <f ca="1">(X135 * $I$155 * $E$166 * $X$172 * $I$158)</f>
        <v>6.0521979717129766E-4</v>
      </c>
      <c r="Z193" s="15">
        <f ca="1">(Y135 * $I$155 * $E$166 * $X$172 * $I$158)</f>
        <v>1.7565842569009921E-3</v>
      </c>
      <c r="AA193" s="15">
        <f ca="1">(Z135 * $I$155 * $E$166 * $X$172 * $I$158)</f>
        <v>5.5175108590829725E-4</v>
      </c>
      <c r="AB193" s="15">
        <f ca="1">(AA135 * $I$155 * $E$166 * $X$172 * $I$158)</f>
        <v>1.1104251591536494E-3</v>
      </c>
      <c r="AC193" s="15">
        <f ca="1">(AB135 * $I$155 * $E$166 * $X$172 * $I$158)</f>
        <v>1.2521126030075034E-3</v>
      </c>
      <c r="AD193" s="15">
        <f ca="1">(AC135 * $I$155 * $E$166 * $X$172 * $I$158)</f>
        <v>1.2521126030075034E-3</v>
      </c>
      <c r="AE193" s="15">
        <f ca="1">(AD135 * $I$155 * $E$166 * $X$172 * $I$158)</f>
        <v>6.0521979717129766E-4</v>
      </c>
      <c r="AF193" s="15">
        <f ca="1">(AE135 * $I$155 * $E$166 * $X$172 * $I$158)</f>
        <v>1.0987913366789503E-3</v>
      </c>
      <c r="AG193" s="15">
        <f ca="1">(AF135 * $I$155 * $E$166 * $X$172 * $I$158)</f>
        <v>1.0987913366789503E-3</v>
      </c>
      <c r="AH193" s="15">
        <f ca="1">(AG135 * $I$155 * $E$166 * $X$172 * $I$158)</f>
        <v>1.0987913366789503E-3</v>
      </c>
      <c r="AI193" s="16" t="str">
        <f t="shared" si="6"/>
        <v>kg CH4/head/day</v>
      </c>
      <c r="AJ193" s="16"/>
    </row>
    <row r="194" spans="3:37" ht="20.100000000000001" customHeight="1" x14ac:dyDescent="0.2">
      <c r="W194" s="15" t="str">
        <f>'Input - Pasture Beef'!$D$153</f>
        <v>Anaerobic lagoon</v>
      </c>
      <c r="X194" s="15" t="str">
        <f>TEXT(EDATE(X_Cell_Site_StartDate,5), "mmmm")</f>
        <v>June</v>
      </c>
      <c r="Y194" s="15">
        <f ca="1">(X136 * $I$155 * $E$166 * $X$172 * $I$158)</f>
        <v>5.1377199602642149E-4</v>
      </c>
      <c r="Z194" s="15">
        <f ca="1">(Y136 * $I$155 * $E$166 * $X$172 * $I$158)</f>
        <v>9.984229404077481E-4</v>
      </c>
      <c r="AA194" s="15">
        <f ca="1">(Z136 * $I$155 * $E$166 * $X$172 * $I$158)</f>
        <v>4.2066530790416074E-4</v>
      </c>
      <c r="AB194" s="15">
        <f ca="1">(AA136 * $I$155 * $E$166 * $X$172 * $I$158)</f>
        <v>5.9333814496575457E-4</v>
      </c>
      <c r="AC194" s="15">
        <f ca="1">(AB136 * $I$155 * $E$166 * $X$172 * $I$158)</f>
        <v>7.9598141366234209E-4</v>
      </c>
      <c r="AD194" s="15">
        <f ca="1">(AC136 * $I$155 * $E$166 * $X$172 * $I$158)</f>
        <v>7.9598141366234209E-4</v>
      </c>
      <c r="AE194" s="15">
        <f ca="1">(AD136 * $I$155 * $E$166 * $X$172 * $I$158)</f>
        <v>4.5165070083232783E-4</v>
      </c>
      <c r="AF194" s="15">
        <f ca="1">(AE136 * $I$155 * $E$166 * $X$172 * $I$158)</f>
        <v>6.8763043099903404E-4</v>
      </c>
      <c r="AG194" s="15">
        <f ca="1">(AF136 * $I$155 * $E$166 * $X$172 * $I$158)</f>
        <v>6.8763043099903404E-4</v>
      </c>
      <c r="AH194" s="15">
        <f ca="1">(AG136 * $I$155 * $E$166 * $X$172 * $I$158)</f>
        <v>6.8763043099903404E-4</v>
      </c>
      <c r="AI194" s="16" t="str">
        <f t="shared" si="6"/>
        <v>kg CH4/head/day</v>
      </c>
      <c r="AJ194" s="16"/>
    </row>
    <row r="195" spans="3:37" ht="20.100000000000001" customHeight="1" x14ac:dyDescent="0.2">
      <c r="W195" s="15" t="str">
        <f>'Input - Pasture Beef'!$D$153</f>
        <v>Anaerobic lagoon</v>
      </c>
      <c r="X195" s="15" t="str">
        <f>TEXT(EDATE(X_Cell_Site_StartDate,6), "mmmm")</f>
        <v>July</v>
      </c>
      <c r="Y195" s="15">
        <f ca="1">(X137 * $I$155 * $E$166 * $X$172 * $I$158)</f>
        <v>5.1377199602642149E-4</v>
      </c>
      <c r="Z195" s="15">
        <f ca="1">(Y137 * $I$155 * $E$166 * $X$172 * $I$158)</f>
        <v>9.984229404077481E-4</v>
      </c>
      <c r="AA195" s="15">
        <f ca="1">(Z137 * $I$155 * $E$166 * $X$172 * $I$158)</f>
        <v>4.2066530790416074E-4</v>
      </c>
      <c r="AB195" s="15">
        <f ca="1">(AA137 * $I$155 * $E$166 * $X$172 * $I$158)</f>
        <v>5.9333814496575457E-4</v>
      </c>
      <c r="AC195" s="15">
        <f ca="1">(AB137 * $I$155 * $E$166 * $X$172 * $I$158)</f>
        <v>7.9598141366234209E-4</v>
      </c>
      <c r="AD195" s="15">
        <f ca="1">(AC137 * $I$155 * $E$166 * $X$172 * $I$158)</f>
        <v>7.9598141366234209E-4</v>
      </c>
      <c r="AE195" s="15">
        <f ca="1">(AD137 * $I$155 * $E$166 * $X$172 * $I$158)</f>
        <v>4.5165070083232783E-4</v>
      </c>
      <c r="AF195" s="15">
        <f ca="1">(AE137 * $I$155 * $E$166 * $X$172 * $I$158)</f>
        <v>6.8763043099903404E-4</v>
      </c>
      <c r="AG195" s="15">
        <f ca="1">(AF137 * $I$155 * $E$166 * $X$172 * $I$158)</f>
        <v>6.8763043099903404E-4</v>
      </c>
      <c r="AH195" s="15">
        <f ca="1">(AG137 * $I$155 * $E$166 * $X$172 * $I$158)</f>
        <v>6.8763043099903404E-4</v>
      </c>
      <c r="AI195" s="16" t="str">
        <f t="shared" si="6"/>
        <v>kg CH4/head/day</v>
      </c>
      <c r="AJ195" s="16"/>
    </row>
    <row r="196" spans="3:37" ht="20.100000000000001" customHeight="1" x14ac:dyDescent="0.2">
      <c r="W196" s="15" t="str">
        <f>'Input - Pasture Beef'!$D$153</f>
        <v>Anaerobic lagoon</v>
      </c>
      <c r="X196" s="15" t="str">
        <f>TEXT(EDATE(X_Cell_Site_StartDate,7), "mmmm")</f>
        <v>August</v>
      </c>
      <c r="Y196" s="15">
        <f ca="1">(X138 * $I$155 * $E$166 * $X$172 * $I$158)</f>
        <v>5.1377199602642149E-4</v>
      </c>
      <c r="Z196" s="15">
        <f ca="1">(Y138 * $I$155 * $E$166 * $X$172 * $I$158)</f>
        <v>9.984229404077481E-4</v>
      </c>
      <c r="AA196" s="15">
        <f ca="1">(Z138 * $I$155 * $E$166 * $X$172 * $I$158)</f>
        <v>4.2066530790416074E-4</v>
      </c>
      <c r="AB196" s="15">
        <f ca="1">(AA138 * $I$155 * $E$166 * $X$172 * $I$158)</f>
        <v>7.2683922758304937E-4</v>
      </c>
      <c r="AC196" s="15">
        <f ca="1">(AB138 * $I$155 * $E$166 * $X$172 * $I$158)</f>
        <v>9.75077231736369E-4</v>
      </c>
      <c r="AD196" s="15">
        <f ca="1">(AC138 * $I$155 * $E$166 * $X$172 * $I$158)</f>
        <v>9.75077231736369E-4</v>
      </c>
      <c r="AE196" s="15">
        <f ca="1">(AD138 * $I$155 * $E$166 * $X$172 * $I$158)</f>
        <v>4.5165070083232783E-4</v>
      </c>
      <c r="AF196" s="15">
        <f ca="1">(AE138 * $I$155 * $E$166 * $X$172 * $I$158)</f>
        <v>6.8763043099903404E-4</v>
      </c>
      <c r="AG196" s="15">
        <f ca="1">(AF138 * $I$155 * $E$166 * $X$172 * $I$158)</f>
        <v>6.8763043099903404E-4</v>
      </c>
      <c r="AH196" s="15">
        <f ca="1">(AG138 * $I$155 * $E$166 * $X$172 * $I$158)</f>
        <v>6.8763043099903404E-4</v>
      </c>
      <c r="AI196" s="16" t="str">
        <f t="shared" si="6"/>
        <v>kg CH4/head/day</v>
      </c>
      <c r="AJ196" s="16"/>
    </row>
    <row r="197" spans="3:37" ht="20.100000000000001" customHeight="1" x14ac:dyDescent="0.2">
      <c r="W197" s="15" t="str">
        <f>'Input - Pasture Beef'!$D$153</f>
        <v>Anaerobic lagoon</v>
      </c>
      <c r="X197" s="15" t="str">
        <f>TEXT(EDATE(X_Cell_Site_StartDate,8), "mmmm")</f>
        <v>September</v>
      </c>
      <c r="Y197" s="15">
        <f ca="1">(X139 * $I$155 * $E$166 * $X$172 * $I$158)</f>
        <v>7.1826623105637353E-4</v>
      </c>
      <c r="Z197" s="15">
        <f ca="1">(Y139 * $I$155 * $E$166 * $X$172 * $I$158)</f>
        <v>1.0144555674992664E-3</v>
      </c>
      <c r="AA197" s="15">
        <f ca="1">(Z139 * $I$155 * $E$166 * $X$172 * $I$158)</f>
        <v>5.4746232575098421E-4</v>
      </c>
      <c r="AB197" s="15">
        <f ca="1">(AA139 * $I$155 * $E$166 * $X$172 * $I$158)</f>
        <v>8.8009726338426778E-4</v>
      </c>
      <c r="AC197" s="15">
        <f ca="1">(AB139 * $I$155 * $E$166 * $X$172 * $I$158)</f>
        <v>9.7731065708491415E-4</v>
      </c>
      <c r="AD197" s="15">
        <f ca="1">(AC139 * $I$155 * $E$166 * $X$172 * $I$158)</f>
        <v>9.7731065708491415E-4</v>
      </c>
      <c r="AE197" s="15">
        <f ca="1">(AD139 * $I$155 * $E$166 * $X$172 * $I$158)</f>
        <v>6.3115148025275102E-4</v>
      </c>
      <c r="AF197" s="15">
        <f ca="1">(AE139 * $I$155 * $E$166 * $X$172 * $I$158)</f>
        <v>8.020571384440183E-4</v>
      </c>
      <c r="AG197" s="15">
        <f ca="1">(AF139 * $I$155 * $E$166 * $X$172 * $I$158)</f>
        <v>8.020571384440183E-4</v>
      </c>
      <c r="AH197" s="15">
        <f ca="1">(AG139 * $I$155 * $E$166 * $X$172 * $I$158)</f>
        <v>8.020571384440183E-4</v>
      </c>
      <c r="AI197" s="16" t="str">
        <f t="shared" si="6"/>
        <v>kg CH4/head/day</v>
      </c>
      <c r="AJ197" s="16"/>
    </row>
    <row r="198" spans="3:37" ht="20.100000000000001" customHeight="1" x14ac:dyDescent="0.2">
      <c r="W198" s="15" t="str">
        <f>'Input - Pasture Beef'!$D$153</f>
        <v>Anaerobic lagoon</v>
      </c>
      <c r="X198" s="15" t="str">
        <f>TEXT(EDATE(X_Cell_Site_StartDate,9), "mmmm")</f>
        <v>October</v>
      </c>
      <c r="Y198" s="15">
        <f ca="1">(X140 * $I$155 * $E$166 * $X$172 * $I$158)</f>
        <v>7.1826623105637353E-4</v>
      </c>
      <c r="Z198" s="15">
        <f ca="1">(Y140 * $I$155 * $E$166 * $X$172 * $I$158)</f>
        <v>1.0144555674992664E-3</v>
      </c>
      <c r="AA198" s="15">
        <f ca="1">(Z140 * $I$155 * $E$166 * $X$172 * $I$158)</f>
        <v>5.4746232575098421E-4</v>
      </c>
      <c r="AB198" s="15">
        <f ca="1">(AA140 * $I$155 * $E$166 * $X$172 * $I$158)</f>
        <v>8.8009726338426778E-4</v>
      </c>
      <c r="AC198" s="15">
        <f ca="1">(AB140 * $I$155 * $E$166 * $X$172 * $I$158)</f>
        <v>9.7731065708491415E-4</v>
      </c>
      <c r="AD198" s="15">
        <f ca="1">(AC140 * $I$155 * $E$166 * $X$172 * $I$158)</f>
        <v>9.7731065708491415E-4</v>
      </c>
      <c r="AE198" s="15">
        <f ca="1">(AD140 * $I$155 * $E$166 * $X$172 * $I$158)</f>
        <v>6.3115148025275102E-4</v>
      </c>
      <c r="AF198" s="15">
        <f ca="1">(AE140 * $I$155 * $E$166 * $X$172 * $I$158)</f>
        <v>8.020571384440183E-4</v>
      </c>
      <c r="AG198" s="15">
        <f ca="1">(AF140 * $I$155 * $E$166 * $X$172 * $I$158)</f>
        <v>8.020571384440183E-4</v>
      </c>
      <c r="AH198" s="15">
        <f ca="1">(AG140 * $I$155 * $E$166 * $X$172 * $I$158)</f>
        <v>8.020571384440183E-4</v>
      </c>
      <c r="AI198" s="16" t="str">
        <f t="shared" si="6"/>
        <v>kg CH4/head/day</v>
      </c>
      <c r="AJ198" s="16"/>
    </row>
    <row r="199" spans="3:37" ht="20.100000000000001" customHeight="1" x14ac:dyDescent="0.2">
      <c r="W199" s="15" t="str">
        <f>'Input - Pasture Beef'!$D$153</f>
        <v>Anaerobic lagoon</v>
      </c>
      <c r="X199" s="15" t="str">
        <f>TEXT(EDATE(X_Cell_Site_StartDate,10), "mmmm")</f>
        <v>November</v>
      </c>
      <c r="Y199" s="15">
        <f ca="1">(X141 * $I$155 * $E$166 * $X$172 * $I$158)</f>
        <v>7.1826623105637353E-4</v>
      </c>
      <c r="Z199" s="15">
        <f ca="1">(Y141 * $I$155 * $E$166 * $X$172 * $I$158)</f>
        <v>1.0144555674992664E-3</v>
      </c>
      <c r="AA199" s="15">
        <f ca="1">(Z141 * $I$155 * $E$166 * $X$172 * $I$158)</f>
        <v>5.4746232575098421E-4</v>
      </c>
      <c r="AB199" s="15">
        <f ca="1">(AA141 * $I$155 * $E$166 * $X$172 * $I$158)</f>
        <v>7.7233025154129636E-4</v>
      </c>
      <c r="AC199" s="15">
        <f ca="1">(AB141 * $I$155 * $E$166 * $X$172 * $I$158)</f>
        <v>8.576399643806386E-4</v>
      </c>
      <c r="AD199" s="15">
        <f ca="1">(AC141 * $I$155 * $E$166 * $X$172 * $I$158)</f>
        <v>8.576399643806386E-4</v>
      </c>
      <c r="AE199" s="15">
        <f ca="1">(AD141 * $I$155 * $E$166 * $X$172 * $I$158)</f>
        <v>6.3115148025275102E-4</v>
      </c>
      <c r="AF199" s="15">
        <f ca="1">(AE141 * $I$155 * $E$166 * $X$172 * $I$158)</f>
        <v>8.020571384440183E-4</v>
      </c>
      <c r="AG199" s="15">
        <f ca="1">(AF141 * $I$155 * $E$166 * $X$172 * $I$158)</f>
        <v>8.020571384440183E-4</v>
      </c>
      <c r="AH199" s="15">
        <f ca="1">(AG141 * $I$155 * $E$166 * $X$172 * $I$158)</f>
        <v>8.020571384440183E-4</v>
      </c>
      <c r="AI199" s="16" t="str">
        <f t="shared" si="6"/>
        <v>kg CH4/head/day</v>
      </c>
      <c r="AJ199" s="16"/>
    </row>
    <row r="200" spans="3:37" ht="20.100000000000001" customHeight="1" x14ac:dyDescent="0.2">
      <c r="W200" s="15" t="str">
        <f>'Input - Pasture Beef'!$D$153</f>
        <v>Anaerobic lagoon</v>
      </c>
      <c r="X200" s="15" t="str">
        <f>TEXT(EDATE(X_Cell_Site_StartDate,11), "mmmm")</f>
        <v>December</v>
      </c>
      <c r="Y200" s="15">
        <f ca="1">(X142 * $I$155 * $E$166 * $X$172 * $I$158)</f>
        <v>1.1347038164154961E-3</v>
      </c>
      <c r="Z200" s="15">
        <f ca="1">(Y142 * $I$155 * $E$166 * $X$172 * $I$158)</f>
        <v>1.5013253313833415E-3</v>
      </c>
      <c r="AA200" s="15">
        <f ca="1">(Z142 * $I$155 * $E$166 * $X$172 * $I$158)</f>
        <v>9.5426028529460333E-4</v>
      </c>
      <c r="AB200" s="15">
        <f ca="1">(AA142 * $I$155 * $E$166 * $X$172 * $I$158)</f>
        <v>1.3433251764393584E-3</v>
      </c>
      <c r="AC200" s="15">
        <f ca="1">(AB142 * $I$155 * $E$166 * $X$172 * $I$158)</f>
        <v>1.3300562918379748E-3</v>
      </c>
      <c r="AD200" s="15">
        <f ca="1">(AC142 * $I$155 * $E$166 * $X$172 * $I$158)</f>
        <v>1.3300562918379748E-3</v>
      </c>
      <c r="AE200" s="15">
        <f ca="1">(AD142 * $I$155 * $E$166 * $X$172 * $I$158)</f>
        <v>1.0459177679097368E-3</v>
      </c>
      <c r="AF200" s="15">
        <f ca="1">(AE142 * $I$155 * $E$166 * $X$172 * $I$158)</f>
        <v>1.1658570586431096E-3</v>
      </c>
      <c r="AG200" s="15">
        <f ca="1">(AF142 * $I$155 * $E$166 * $X$172 * $I$158)</f>
        <v>1.1658570586431096E-3</v>
      </c>
      <c r="AH200" s="15">
        <f ca="1">(AG142 * $I$155 * $E$166 * $X$172 * $I$158)</f>
        <v>1.1658570586431096E-3</v>
      </c>
      <c r="AI200" s="16" t="str">
        <f t="shared" si="6"/>
        <v>kg CH4/head/day</v>
      </c>
      <c r="AJ200" s="16"/>
    </row>
    <row r="203" spans="3:37" ht="20.100000000000001" customHeight="1" x14ac:dyDescent="0.2">
      <c r="C203" s="88"/>
      <c r="D203" s="88"/>
      <c r="E203" s="88"/>
      <c r="F203" s="88"/>
      <c r="G203" s="88"/>
      <c r="H203" s="88"/>
      <c r="I203" s="88"/>
      <c r="J203" s="88"/>
      <c r="K203" s="88"/>
      <c r="L203" s="88"/>
      <c r="M203" s="88"/>
      <c r="N203" s="88"/>
      <c r="O203" s="88"/>
      <c r="P203" s="88"/>
      <c r="Q203" s="88"/>
      <c r="R203" s="88"/>
      <c r="S203" s="88"/>
      <c r="T203" s="88"/>
      <c r="V203" s="88"/>
      <c r="W203" s="88"/>
      <c r="X203" s="88"/>
      <c r="Y203" s="88"/>
      <c r="Z203" s="88"/>
      <c r="AA203" s="88"/>
      <c r="AB203" s="88"/>
      <c r="AC203" s="88"/>
      <c r="AD203" s="88"/>
      <c r="AE203" s="88"/>
      <c r="AF203" s="88"/>
      <c r="AG203" s="88"/>
      <c r="AH203" s="88"/>
      <c r="AI203" s="88"/>
      <c r="AJ203" s="88"/>
      <c r="AK203" s="88"/>
    </row>
    <row r="204" spans="3:37" ht="20.100000000000001" customHeight="1" x14ac:dyDescent="0.2">
      <c r="D204" s="2" t="s">
        <v>1382</v>
      </c>
    </row>
    <row r="205" spans="3:37" ht="20.100000000000001" customHeight="1" x14ac:dyDescent="0.2">
      <c r="D205" s="17" t="s">
        <v>1383</v>
      </c>
    </row>
    <row r="206" spans="3:37" ht="20.100000000000001" customHeight="1" x14ac:dyDescent="0.2">
      <c r="D206" s="104"/>
      <c r="E206" s="104"/>
    </row>
    <row r="209" spans="1:34" ht="20.100000000000001" customHeight="1" x14ac:dyDescent="0.2">
      <c r="D209" s="77" t="s">
        <v>374</v>
      </c>
      <c r="E209" s="1" t="s">
        <v>1384</v>
      </c>
    </row>
    <row r="210" spans="1:34" ht="20.100000000000001" customHeight="1" x14ac:dyDescent="0.2">
      <c r="D210" s="77" t="s">
        <v>126</v>
      </c>
      <c r="E210" s="9" t="s">
        <v>5</v>
      </c>
    </row>
    <row r="212" spans="1:34" ht="20.100000000000001" customHeight="1" x14ac:dyDescent="0.2">
      <c r="D212" s="106" t="s">
        <v>1350</v>
      </c>
      <c r="E212" s="107" t="s">
        <v>1351</v>
      </c>
      <c r="F212" s="109"/>
      <c r="G212" s="106" t="s">
        <v>426</v>
      </c>
      <c r="H212" s="110" t="s">
        <v>1325</v>
      </c>
      <c r="I212" s="112" t="str" cm="1">
        <f t="array" aca="1" ref="I212" ca="1">HYPERLINK(Common_InputFunctions.Utility_SourceHyperlink($D$216), $D$216)</f>
        <v>M1_Table_N_j_k_l</v>
      </c>
    </row>
    <row r="213" spans="1:34" ht="20.100000000000001" customHeight="1" x14ac:dyDescent="0.2">
      <c r="D213" s="106" t="s">
        <v>1363</v>
      </c>
      <c r="E213" s="107" t="s">
        <v>1385</v>
      </c>
      <c r="F213" s="109"/>
      <c r="G213" s="106" t="s">
        <v>345</v>
      </c>
      <c r="H213" s="111" t="s">
        <v>1387</v>
      </c>
      <c r="I213" s="112" t="str" cm="1">
        <f t="array" aca="1" ref="I213" ca="1">HYPERLINK(Common_InputFunctions.Utility_SourceHyperlink($D$174), $D$174)</f>
        <v>M1_Table_M_j_k_l_m</v>
      </c>
    </row>
    <row r="214" spans="1:34" ht="20.100000000000001" customHeight="1" x14ac:dyDescent="0.2">
      <c r="D214" s="106" t="s">
        <v>1347</v>
      </c>
      <c r="E214" s="107" t="s">
        <v>1386</v>
      </c>
      <c r="F214" s="109"/>
      <c r="G214" s="106" t="s">
        <v>429</v>
      </c>
      <c r="H214" s="110" t="s">
        <v>1325</v>
      </c>
      <c r="I214" s="112" t="str" cm="1">
        <f t="array" aca="1" ref="I214" ca="1">HYPERLINK(Common_InputFunctions.Utility_SourceHyperlink($D$224), $D$224)</f>
        <v>M1_Table_D_j</v>
      </c>
    </row>
    <row r="216" spans="1:34" ht="20.100000000000001" customHeight="1" x14ac:dyDescent="0.2">
      <c r="D216" s="113" t="s">
        <v>422</v>
      </c>
      <c r="W216" s="113" t="s">
        <v>423</v>
      </c>
    </row>
    <row r="217" spans="1:34" ht="20.100000000000001" customHeight="1" x14ac:dyDescent="0.2">
      <c r="D217" s="114" t="s">
        <v>424</v>
      </c>
      <c r="W217" s="114" t="s">
        <v>425</v>
      </c>
    </row>
    <row r="218" spans="1:34" ht="20.100000000000001" customHeight="1" x14ac:dyDescent="0.2">
      <c r="D218" s="115" t="s">
        <v>76</v>
      </c>
      <c r="E218" s="82" t="s">
        <v>325</v>
      </c>
      <c r="F218" s="82" t="s">
        <v>189</v>
      </c>
      <c r="G218" s="82" t="s">
        <v>326</v>
      </c>
      <c r="H218" s="82" t="s">
        <v>327</v>
      </c>
      <c r="I218" s="82" t="s">
        <v>328</v>
      </c>
      <c r="J218" s="82" t="s">
        <v>329</v>
      </c>
      <c r="K218" s="82" t="s">
        <v>330</v>
      </c>
      <c r="L218" s="82" t="s">
        <v>331</v>
      </c>
      <c r="M218" s="82" t="s">
        <v>332</v>
      </c>
      <c r="N218" s="82" t="s">
        <v>333</v>
      </c>
      <c r="W218" s="115" t="s">
        <v>75</v>
      </c>
      <c r="X218" s="82" t="s">
        <v>325</v>
      </c>
      <c r="Y218" s="82" t="s">
        <v>189</v>
      </c>
      <c r="Z218" s="82" t="s">
        <v>326</v>
      </c>
      <c r="AA218" s="82" t="s">
        <v>327</v>
      </c>
      <c r="AB218" s="82" t="s">
        <v>328</v>
      </c>
      <c r="AC218" s="82" t="s">
        <v>329</v>
      </c>
      <c r="AD218" s="82" t="s">
        <v>330</v>
      </c>
      <c r="AE218" s="82" t="s">
        <v>331</v>
      </c>
      <c r="AF218" s="82" t="s">
        <v>332</v>
      </c>
      <c r="AG218" s="82" t="s">
        <v>333</v>
      </c>
      <c r="AH218" s="16"/>
    </row>
    <row r="219" spans="1:34" ht="20.100000000000001" customHeight="1" x14ac:dyDescent="0.2">
      <c r="D219" s="15" t="s">
        <v>334</v>
      </c>
      <c r="E219" s="15" cm="1">
        <f t="array" aca="1" ref="E219:N222" ca="1">OFFSET(X_Table_PastureBeef_Head_Method1, 1,1, 4,10)</f>
        <v>100</v>
      </c>
      <c r="F219" s="15">
        <f ca="1"/>
        <v>100</v>
      </c>
      <c r="G219" s="15">
        <f ca="1"/>
        <v>100</v>
      </c>
      <c r="H219" s="15">
        <f ca="1"/>
        <v>100</v>
      </c>
      <c r="I219" s="15">
        <f ca="1"/>
        <v>100</v>
      </c>
      <c r="J219" s="15">
        <f ca="1"/>
        <v>100</v>
      </c>
      <c r="K219" s="15">
        <f ca="1"/>
        <v>100</v>
      </c>
      <c r="L219" s="15">
        <f ca="1"/>
        <v>100</v>
      </c>
      <c r="M219" s="15">
        <f ca="1"/>
        <v>100</v>
      </c>
      <c r="N219" s="15">
        <f ca="1"/>
        <v>100</v>
      </c>
      <c r="O219" s="16" t="s">
        <v>426</v>
      </c>
      <c r="W219" s="15" t="str">
        <f>TEXT(X_Cell_Site_StartDate,"mmmm")</f>
        <v>January</v>
      </c>
      <c r="X219" s="15" cm="1">
        <f t="array" aca="1" ref="X219:AG230" ca="1">OFFSET(X_Table_PastureBeef_Head_Method2, 1,1, 12,10)</f>
        <v>100</v>
      </c>
      <c r="Y219" s="15">
        <f ca="1"/>
        <v>100</v>
      </c>
      <c r="Z219" s="15">
        <f ca="1"/>
        <v>100</v>
      </c>
      <c r="AA219" s="15">
        <f ca="1"/>
        <v>100</v>
      </c>
      <c r="AB219" s="15">
        <f ca="1"/>
        <v>100</v>
      </c>
      <c r="AC219" s="15">
        <f ca="1"/>
        <v>100</v>
      </c>
      <c r="AD219" s="15">
        <f ca="1"/>
        <v>100</v>
      </c>
      <c r="AE219" s="15">
        <f ca="1"/>
        <v>100</v>
      </c>
      <c r="AF219" s="15">
        <f ca="1"/>
        <v>100</v>
      </c>
      <c r="AG219" s="15">
        <f ca="1"/>
        <v>100</v>
      </c>
      <c r="AH219" s="16" t="s">
        <v>339</v>
      </c>
    </row>
    <row r="220" spans="1:34" ht="20.100000000000001" customHeight="1" x14ac:dyDescent="0.2">
      <c r="D220" s="15" t="s">
        <v>335</v>
      </c>
      <c r="E220" s="15">
        <f ca="1"/>
        <v>100</v>
      </c>
      <c r="F220" s="15">
        <f ca="1"/>
        <v>100</v>
      </c>
      <c r="G220" s="15">
        <f ca="1"/>
        <v>100</v>
      </c>
      <c r="H220" s="15">
        <f ca="1"/>
        <v>100</v>
      </c>
      <c r="I220" s="15">
        <f ca="1"/>
        <v>100</v>
      </c>
      <c r="J220" s="15">
        <f ca="1"/>
        <v>100</v>
      </c>
      <c r="K220" s="15">
        <f ca="1"/>
        <v>100</v>
      </c>
      <c r="L220" s="15">
        <f ca="1"/>
        <v>100</v>
      </c>
      <c r="M220" s="15">
        <f ca="1"/>
        <v>100</v>
      </c>
      <c r="N220" s="15">
        <f ca="1"/>
        <v>100</v>
      </c>
      <c r="O220" s="16" t="s">
        <v>426</v>
      </c>
      <c r="W220" s="15" t="str">
        <f>TEXT(EDATE(X_Cell_Site_StartDate,1), "mmmm")</f>
        <v>February</v>
      </c>
      <c r="X220" s="15">
        <f ca="1"/>
        <v>100</v>
      </c>
      <c r="Y220" s="15">
        <f ca="1"/>
        <v>100</v>
      </c>
      <c r="Z220" s="15">
        <f ca="1"/>
        <v>100</v>
      </c>
      <c r="AA220" s="15">
        <f ca="1"/>
        <v>100</v>
      </c>
      <c r="AB220" s="15">
        <f ca="1"/>
        <v>100</v>
      </c>
      <c r="AC220" s="15">
        <f ca="1"/>
        <v>100</v>
      </c>
      <c r="AD220" s="15">
        <f ca="1"/>
        <v>100</v>
      </c>
      <c r="AE220" s="15">
        <f ca="1"/>
        <v>100</v>
      </c>
      <c r="AF220" s="15">
        <f ca="1"/>
        <v>100</v>
      </c>
      <c r="AG220" s="15">
        <f ca="1"/>
        <v>100</v>
      </c>
      <c r="AH220" s="16" t="s">
        <v>339</v>
      </c>
    </row>
    <row r="221" spans="1:34" ht="20.100000000000001" customHeight="1" x14ac:dyDescent="0.2">
      <c r="A221" s="85" t="str">
        <f>HYPERLINK("#A1", "▲ Back to top")</f>
        <v>▲ Back to top</v>
      </c>
      <c r="D221" s="15" t="s">
        <v>336</v>
      </c>
      <c r="E221" s="15">
        <f ca="1"/>
        <v>100</v>
      </c>
      <c r="F221" s="15">
        <f ca="1"/>
        <v>100</v>
      </c>
      <c r="G221" s="15">
        <f ca="1"/>
        <v>100</v>
      </c>
      <c r="H221" s="15">
        <f ca="1"/>
        <v>100</v>
      </c>
      <c r="I221" s="15">
        <f ca="1"/>
        <v>100</v>
      </c>
      <c r="J221" s="15">
        <f ca="1"/>
        <v>100</v>
      </c>
      <c r="K221" s="15">
        <f ca="1"/>
        <v>100</v>
      </c>
      <c r="L221" s="15">
        <f ca="1"/>
        <v>100</v>
      </c>
      <c r="M221" s="15">
        <f ca="1"/>
        <v>100</v>
      </c>
      <c r="N221" s="15">
        <f ca="1"/>
        <v>100</v>
      </c>
      <c r="O221" s="16" t="s">
        <v>426</v>
      </c>
      <c r="W221" s="15" t="str">
        <f>TEXT(EDATE(X_Cell_Site_StartDate,2), "mmmm")</f>
        <v>March</v>
      </c>
      <c r="X221" s="15">
        <f ca="1"/>
        <v>100</v>
      </c>
      <c r="Y221" s="15">
        <f ca="1"/>
        <v>100</v>
      </c>
      <c r="Z221" s="15">
        <f ca="1"/>
        <v>100</v>
      </c>
      <c r="AA221" s="15">
        <f ca="1"/>
        <v>100</v>
      </c>
      <c r="AB221" s="15">
        <f ca="1"/>
        <v>100</v>
      </c>
      <c r="AC221" s="15">
        <f ca="1"/>
        <v>100</v>
      </c>
      <c r="AD221" s="15">
        <f ca="1"/>
        <v>100</v>
      </c>
      <c r="AE221" s="15">
        <f ca="1"/>
        <v>100</v>
      </c>
      <c r="AF221" s="15">
        <f ca="1"/>
        <v>100</v>
      </c>
      <c r="AG221" s="15">
        <f ca="1"/>
        <v>100</v>
      </c>
      <c r="AH221" s="16" t="s">
        <v>339</v>
      </c>
    </row>
    <row r="222" spans="1:34" ht="20.100000000000001" customHeight="1" x14ac:dyDescent="0.2">
      <c r="D222" s="15" t="s">
        <v>337</v>
      </c>
      <c r="E222" s="15">
        <f ca="1"/>
        <v>100</v>
      </c>
      <c r="F222" s="15">
        <f ca="1"/>
        <v>100</v>
      </c>
      <c r="G222" s="15">
        <f ca="1"/>
        <v>100</v>
      </c>
      <c r="H222" s="15">
        <f ca="1"/>
        <v>100</v>
      </c>
      <c r="I222" s="15">
        <f ca="1"/>
        <v>100</v>
      </c>
      <c r="J222" s="15">
        <f ca="1"/>
        <v>100</v>
      </c>
      <c r="K222" s="15">
        <f ca="1"/>
        <v>100</v>
      </c>
      <c r="L222" s="15">
        <f ca="1"/>
        <v>100</v>
      </c>
      <c r="M222" s="15">
        <f ca="1"/>
        <v>100</v>
      </c>
      <c r="N222" s="15">
        <f ca="1"/>
        <v>100</v>
      </c>
      <c r="O222" s="16" t="s">
        <v>426</v>
      </c>
      <c r="W222" s="15" t="str">
        <f>TEXT(EDATE(X_Cell_Site_StartDate,3), "mmmm")</f>
        <v>April</v>
      </c>
      <c r="X222" s="15">
        <f ca="1"/>
        <v>100</v>
      </c>
      <c r="Y222" s="15">
        <f ca="1"/>
        <v>100</v>
      </c>
      <c r="Z222" s="15">
        <f ca="1"/>
        <v>100</v>
      </c>
      <c r="AA222" s="15">
        <f ca="1"/>
        <v>100</v>
      </c>
      <c r="AB222" s="15">
        <f ca="1"/>
        <v>100</v>
      </c>
      <c r="AC222" s="15">
        <f ca="1"/>
        <v>100</v>
      </c>
      <c r="AD222" s="15">
        <f ca="1"/>
        <v>100</v>
      </c>
      <c r="AE222" s="15">
        <f ca="1"/>
        <v>100</v>
      </c>
      <c r="AF222" s="15">
        <f ca="1"/>
        <v>100</v>
      </c>
      <c r="AG222" s="15">
        <f ca="1"/>
        <v>100</v>
      </c>
      <c r="AH222" s="16" t="s">
        <v>339</v>
      </c>
    </row>
    <row r="223" spans="1:34" ht="20.100000000000001" customHeight="1" x14ac:dyDescent="0.2">
      <c r="W223" s="15" t="str">
        <f>TEXT(EDATE(X_Cell_Site_StartDate,4), "mmmm")</f>
        <v>May</v>
      </c>
      <c r="X223" s="15">
        <f ca="1"/>
        <v>100</v>
      </c>
      <c r="Y223" s="15">
        <f ca="1"/>
        <v>100</v>
      </c>
      <c r="Z223" s="15">
        <f ca="1"/>
        <v>100</v>
      </c>
      <c r="AA223" s="15">
        <f ca="1"/>
        <v>100</v>
      </c>
      <c r="AB223" s="15">
        <f ca="1"/>
        <v>100</v>
      </c>
      <c r="AC223" s="15">
        <f ca="1"/>
        <v>100</v>
      </c>
      <c r="AD223" s="15">
        <f ca="1"/>
        <v>100</v>
      </c>
      <c r="AE223" s="15">
        <f ca="1"/>
        <v>100</v>
      </c>
      <c r="AF223" s="15">
        <f ca="1"/>
        <v>100</v>
      </c>
      <c r="AG223" s="15">
        <f ca="1"/>
        <v>100</v>
      </c>
      <c r="AH223" s="16" t="s">
        <v>339</v>
      </c>
    </row>
    <row r="224" spans="1:34" ht="20.100000000000001" customHeight="1" x14ac:dyDescent="0.2">
      <c r="D224" s="113" t="s">
        <v>427</v>
      </c>
      <c r="W224" s="15" t="str">
        <f>TEXT(EDATE(X_Cell_Site_StartDate,5), "mmmm")</f>
        <v>June</v>
      </c>
      <c r="X224" s="15">
        <f ca="1"/>
        <v>100</v>
      </c>
      <c r="Y224" s="15">
        <f ca="1"/>
        <v>100</v>
      </c>
      <c r="Z224" s="15">
        <f ca="1"/>
        <v>100</v>
      </c>
      <c r="AA224" s="15">
        <f ca="1"/>
        <v>100</v>
      </c>
      <c r="AB224" s="15">
        <f ca="1"/>
        <v>100</v>
      </c>
      <c r="AC224" s="15">
        <f ca="1"/>
        <v>100</v>
      </c>
      <c r="AD224" s="15">
        <f ca="1"/>
        <v>100</v>
      </c>
      <c r="AE224" s="15">
        <f ca="1"/>
        <v>100</v>
      </c>
      <c r="AF224" s="15">
        <f ca="1"/>
        <v>100</v>
      </c>
      <c r="AG224" s="15">
        <f ca="1"/>
        <v>100</v>
      </c>
      <c r="AH224" s="16" t="s">
        <v>339</v>
      </c>
    </row>
    <row r="225" spans="4:34" ht="20.100000000000001" customHeight="1" x14ac:dyDescent="0.2">
      <c r="D225" s="114" t="s">
        <v>428</v>
      </c>
      <c r="W225" s="15" t="str">
        <f>TEXT(EDATE(X_Cell_Site_StartDate,6), "mmmm")</f>
        <v>July</v>
      </c>
      <c r="X225" s="15">
        <f ca="1"/>
        <v>100</v>
      </c>
      <c r="Y225" s="15">
        <f ca="1"/>
        <v>100</v>
      </c>
      <c r="Z225" s="15">
        <f ca="1"/>
        <v>100</v>
      </c>
      <c r="AA225" s="15">
        <f ca="1"/>
        <v>100</v>
      </c>
      <c r="AB225" s="15">
        <f ca="1"/>
        <v>100</v>
      </c>
      <c r="AC225" s="15">
        <f ca="1"/>
        <v>100</v>
      </c>
      <c r="AD225" s="15">
        <f ca="1"/>
        <v>100</v>
      </c>
      <c r="AE225" s="15">
        <f ca="1"/>
        <v>100</v>
      </c>
      <c r="AF225" s="15">
        <f ca="1"/>
        <v>100</v>
      </c>
      <c r="AG225" s="15">
        <f ca="1"/>
        <v>100</v>
      </c>
      <c r="AH225" s="16" t="s">
        <v>339</v>
      </c>
    </row>
    <row r="226" spans="4:34" ht="20.100000000000001" customHeight="1" x14ac:dyDescent="0.2">
      <c r="D226" s="115" t="s">
        <v>76</v>
      </c>
      <c r="E226" s="82" t="s">
        <v>325</v>
      </c>
      <c r="F226" s="82" t="s">
        <v>189</v>
      </c>
      <c r="G226" s="82" t="s">
        <v>326</v>
      </c>
      <c r="H226" s="82" t="s">
        <v>327</v>
      </c>
      <c r="I226" s="82" t="s">
        <v>328</v>
      </c>
      <c r="J226" s="82" t="s">
        <v>329</v>
      </c>
      <c r="K226" s="82" t="s">
        <v>330</v>
      </c>
      <c r="L226" s="82" t="s">
        <v>331</v>
      </c>
      <c r="M226" s="82" t="s">
        <v>332</v>
      </c>
      <c r="N226" s="82" t="s">
        <v>333</v>
      </c>
      <c r="W226" s="15" t="str">
        <f>TEXT(EDATE(X_Cell_Site_StartDate,7), "mmmm")</f>
        <v>August</v>
      </c>
      <c r="X226" s="15">
        <f ca="1"/>
        <v>100</v>
      </c>
      <c r="Y226" s="15">
        <f ca="1"/>
        <v>100</v>
      </c>
      <c r="Z226" s="15">
        <f ca="1"/>
        <v>100</v>
      </c>
      <c r="AA226" s="15">
        <f ca="1"/>
        <v>100</v>
      </c>
      <c r="AB226" s="15">
        <f ca="1"/>
        <v>100</v>
      </c>
      <c r="AC226" s="15">
        <f ca="1"/>
        <v>100</v>
      </c>
      <c r="AD226" s="15">
        <f ca="1"/>
        <v>100</v>
      </c>
      <c r="AE226" s="15">
        <f ca="1"/>
        <v>100</v>
      </c>
      <c r="AF226" s="15">
        <f ca="1"/>
        <v>100</v>
      </c>
      <c r="AG226" s="15">
        <f ca="1"/>
        <v>100</v>
      </c>
      <c r="AH226" s="16" t="s">
        <v>339</v>
      </c>
    </row>
    <row r="227" spans="4:34" ht="20.100000000000001" customHeight="1" x14ac:dyDescent="0.2">
      <c r="D227" s="15" t="s">
        <v>334</v>
      </c>
      <c r="E227" s="15" cm="1">
        <f t="array" aca="1" ref="E227:N230" ca="1">OFFSET(X_Table_PastureBeef_Duration_Method1, 1,1, 4,10)</f>
        <v>91.25</v>
      </c>
      <c r="F227" s="15">
        <f ca="1"/>
        <v>91.25</v>
      </c>
      <c r="G227" s="15">
        <f ca="1"/>
        <v>91.25</v>
      </c>
      <c r="H227" s="15">
        <f ca="1"/>
        <v>91.25</v>
      </c>
      <c r="I227" s="15">
        <f ca="1"/>
        <v>91.25</v>
      </c>
      <c r="J227" s="15">
        <f ca="1"/>
        <v>91.25</v>
      </c>
      <c r="K227" s="15">
        <f ca="1"/>
        <v>91.25</v>
      </c>
      <c r="L227" s="15">
        <f ca="1"/>
        <v>91.25</v>
      </c>
      <c r="M227" s="15">
        <f ca="1"/>
        <v>91.25</v>
      </c>
      <c r="N227" s="15">
        <f ca="1"/>
        <v>91.25</v>
      </c>
      <c r="O227" s="16" t="s">
        <v>429</v>
      </c>
      <c r="W227" s="15" t="str">
        <f>TEXT(EDATE(X_Cell_Site_StartDate,8), "mmmm")</f>
        <v>September</v>
      </c>
      <c r="X227" s="15">
        <f ca="1"/>
        <v>100</v>
      </c>
      <c r="Y227" s="15">
        <f ca="1"/>
        <v>100</v>
      </c>
      <c r="Z227" s="15">
        <f ca="1"/>
        <v>100</v>
      </c>
      <c r="AA227" s="15">
        <f ca="1"/>
        <v>100</v>
      </c>
      <c r="AB227" s="15">
        <f ca="1"/>
        <v>100</v>
      </c>
      <c r="AC227" s="15">
        <f ca="1"/>
        <v>100</v>
      </c>
      <c r="AD227" s="15">
        <f ca="1"/>
        <v>100</v>
      </c>
      <c r="AE227" s="15">
        <f ca="1"/>
        <v>100</v>
      </c>
      <c r="AF227" s="15">
        <f ca="1"/>
        <v>100</v>
      </c>
      <c r="AG227" s="15">
        <f ca="1"/>
        <v>100</v>
      </c>
      <c r="AH227" s="16" t="s">
        <v>339</v>
      </c>
    </row>
    <row r="228" spans="4:34" ht="20.100000000000001" customHeight="1" x14ac:dyDescent="0.2">
      <c r="D228" s="15" t="s">
        <v>335</v>
      </c>
      <c r="E228" s="15">
        <f ca="1"/>
        <v>91.25</v>
      </c>
      <c r="F228" s="15">
        <f ca="1"/>
        <v>91.25</v>
      </c>
      <c r="G228" s="15">
        <f ca="1"/>
        <v>91.25</v>
      </c>
      <c r="H228" s="15">
        <f ca="1"/>
        <v>91.25</v>
      </c>
      <c r="I228" s="15">
        <f ca="1"/>
        <v>91.25</v>
      </c>
      <c r="J228" s="15">
        <f ca="1"/>
        <v>91.25</v>
      </c>
      <c r="K228" s="15">
        <f ca="1"/>
        <v>91.25</v>
      </c>
      <c r="L228" s="15">
        <f ca="1"/>
        <v>91.25</v>
      </c>
      <c r="M228" s="15">
        <f ca="1"/>
        <v>91.25</v>
      </c>
      <c r="N228" s="15">
        <f ca="1"/>
        <v>91.25</v>
      </c>
      <c r="O228" s="16" t="s">
        <v>429</v>
      </c>
      <c r="W228" s="15" t="str">
        <f>TEXT(EDATE(X_Cell_Site_StartDate,9), "mmmm")</f>
        <v>October</v>
      </c>
      <c r="X228" s="15">
        <f ca="1"/>
        <v>100</v>
      </c>
      <c r="Y228" s="15">
        <f ca="1"/>
        <v>100</v>
      </c>
      <c r="Z228" s="15">
        <f ca="1"/>
        <v>100</v>
      </c>
      <c r="AA228" s="15">
        <f ca="1"/>
        <v>100</v>
      </c>
      <c r="AB228" s="15">
        <f ca="1"/>
        <v>100</v>
      </c>
      <c r="AC228" s="15">
        <f ca="1"/>
        <v>100</v>
      </c>
      <c r="AD228" s="15">
        <f ca="1"/>
        <v>100</v>
      </c>
      <c r="AE228" s="15">
        <f ca="1"/>
        <v>100</v>
      </c>
      <c r="AF228" s="15">
        <f ca="1"/>
        <v>100</v>
      </c>
      <c r="AG228" s="15">
        <f ca="1"/>
        <v>100</v>
      </c>
      <c r="AH228" s="16" t="s">
        <v>339</v>
      </c>
    </row>
    <row r="229" spans="4:34" ht="20.100000000000001" customHeight="1" x14ac:dyDescent="0.2">
      <c r="D229" s="15" t="s">
        <v>336</v>
      </c>
      <c r="E229" s="15">
        <f ca="1"/>
        <v>91.25</v>
      </c>
      <c r="F229" s="15">
        <f ca="1"/>
        <v>91.25</v>
      </c>
      <c r="G229" s="15">
        <f ca="1"/>
        <v>91.25</v>
      </c>
      <c r="H229" s="15">
        <f ca="1"/>
        <v>91.25</v>
      </c>
      <c r="I229" s="15">
        <f ca="1"/>
        <v>91.25</v>
      </c>
      <c r="J229" s="15">
        <f ca="1"/>
        <v>91.25</v>
      </c>
      <c r="K229" s="15">
        <f ca="1"/>
        <v>91.25</v>
      </c>
      <c r="L229" s="15">
        <f ca="1"/>
        <v>91.25</v>
      </c>
      <c r="M229" s="15">
        <f ca="1"/>
        <v>91.25</v>
      </c>
      <c r="N229" s="15">
        <f ca="1"/>
        <v>91.25</v>
      </c>
      <c r="O229" s="16" t="s">
        <v>429</v>
      </c>
      <c r="W229" s="15" t="str">
        <f>TEXT(EDATE(X_Cell_Site_StartDate,10), "mmmm")</f>
        <v>November</v>
      </c>
      <c r="X229" s="15">
        <f ca="1"/>
        <v>100</v>
      </c>
      <c r="Y229" s="15">
        <f ca="1"/>
        <v>100</v>
      </c>
      <c r="Z229" s="15">
        <f ca="1"/>
        <v>100</v>
      </c>
      <c r="AA229" s="15">
        <f ca="1"/>
        <v>100</v>
      </c>
      <c r="AB229" s="15">
        <f ca="1"/>
        <v>100</v>
      </c>
      <c r="AC229" s="15">
        <f ca="1"/>
        <v>100</v>
      </c>
      <c r="AD229" s="15">
        <f ca="1"/>
        <v>100</v>
      </c>
      <c r="AE229" s="15">
        <f ca="1"/>
        <v>100</v>
      </c>
      <c r="AF229" s="15">
        <f ca="1"/>
        <v>100</v>
      </c>
      <c r="AG229" s="15">
        <f ca="1"/>
        <v>100</v>
      </c>
      <c r="AH229" s="16" t="s">
        <v>339</v>
      </c>
    </row>
    <row r="230" spans="4:34" ht="20.100000000000001" customHeight="1" x14ac:dyDescent="0.2">
      <c r="D230" s="15" t="s">
        <v>337</v>
      </c>
      <c r="E230" s="15">
        <f ca="1"/>
        <v>91.25</v>
      </c>
      <c r="F230" s="15">
        <f ca="1"/>
        <v>91.25</v>
      </c>
      <c r="G230" s="15">
        <f ca="1"/>
        <v>91.25</v>
      </c>
      <c r="H230" s="15">
        <f ca="1"/>
        <v>91.25</v>
      </c>
      <c r="I230" s="15">
        <f ca="1"/>
        <v>91.25</v>
      </c>
      <c r="J230" s="15">
        <f ca="1"/>
        <v>91.25</v>
      </c>
      <c r="K230" s="15">
        <f ca="1"/>
        <v>91.25</v>
      </c>
      <c r="L230" s="15">
        <f ca="1"/>
        <v>91.25</v>
      </c>
      <c r="M230" s="15">
        <f ca="1"/>
        <v>91.25</v>
      </c>
      <c r="N230" s="15">
        <f ca="1"/>
        <v>91.25</v>
      </c>
      <c r="O230" s="16" t="s">
        <v>429</v>
      </c>
      <c r="W230" s="15" t="str">
        <f>TEXT(EDATE(X_Cell_Site_StartDate,11), "mmmm")</f>
        <v>December</v>
      </c>
      <c r="X230" s="15">
        <f ca="1"/>
        <v>100</v>
      </c>
      <c r="Y230" s="15">
        <f ca="1"/>
        <v>100</v>
      </c>
      <c r="Z230" s="15">
        <f ca="1"/>
        <v>100</v>
      </c>
      <c r="AA230" s="15">
        <f ca="1"/>
        <v>100</v>
      </c>
      <c r="AB230" s="15">
        <f ca="1"/>
        <v>100</v>
      </c>
      <c r="AC230" s="15">
        <f ca="1"/>
        <v>100</v>
      </c>
      <c r="AD230" s="15">
        <f ca="1"/>
        <v>100</v>
      </c>
      <c r="AE230" s="15">
        <f ca="1"/>
        <v>100</v>
      </c>
      <c r="AF230" s="15">
        <f ca="1"/>
        <v>100</v>
      </c>
      <c r="AG230" s="15">
        <f ca="1"/>
        <v>100</v>
      </c>
      <c r="AH230" s="16" t="s">
        <v>339</v>
      </c>
    </row>
    <row r="232" spans="4:34" ht="20.100000000000001" customHeight="1" x14ac:dyDescent="0.2">
      <c r="D232" s="113" t="s">
        <v>430</v>
      </c>
      <c r="W232" s="113" t="s">
        <v>431</v>
      </c>
    </row>
    <row r="233" spans="4:34" ht="20.100000000000001" customHeight="1" x14ac:dyDescent="0.2">
      <c r="D233" s="114" t="s">
        <v>432</v>
      </c>
      <c r="W233" s="114" t="s">
        <v>433</v>
      </c>
    </row>
    <row r="234" spans="4:34" ht="20.100000000000001" customHeight="1" x14ac:dyDescent="0.2">
      <c r="D234" s="115" t="s">
        <v>411</v>
      </c>
      <c r="E234" s="115" t="s">
        <v>76</v>
      </c>
      <c r="F234" s="115" t="s">
        <v>325</v>
      </c>
      <c r="G234" s="115" t="s">
        <v>189</v>
      </c>
      <c r="H234" s="115" t="s">
        <v>326</v>
      </c>
      <c r="I234" s="115" t="s">
        <v>327</v>
      </c>
      <c r="J234" s="115" t="s">
        <v>328</v>
      </c>
      <c r="K234" s="115" t="s">
        <v>329</v>
      </c>
      <c r="L234" s="115" t="s">
        <v>330</v>
      </c>
      <c r="M234" s="115" t="s">
        <v>331</v>
      </c>
      <c r="N234" s="115" t="s">
        <v>332</v>
      </c>
      <c r="O234" s="115" t="s">
        <v>333</v>
      </c>
      <c r="W234" s="115" t="s">
        <v>75</v>
      </c>
      <c r="X234" s="82" t="s">
        <v>325</v>
      </c>
      <c r="Y234" s="82" t="s">
        <v>189</v>
      </c>
      <c r="Z234" s="82" t="s">
        <v>326</v>
      </c>
      <c r="AA234" s="82" t="s">
        <v>327</v>
      </c>
      <c r="AB234" s="82" t="s">
        <v>328</v>
      </c>
      <c r="AC234" s="82" t="s">
        <v>329</v>
      </c>
      <c r="AD234" s="82" t="s">
        <v>330</v>
      </c>
      <c r="AE234" s="82" t="s">
        <v>331</v>
      </c>
      <c r="AF234" s="82" t="s">
        <v>332</v>
      </c>
      <c r="AG234" s="82" t="s">
        <v>333</v>
      </c>
      <c r="AH234" s="16"/>
    </row>
    <row r="235" spans="4:34" ht="20.100000000000001" customHeight="1" x14ac:dyDescent="0.2">
      <c r="D235" s="15" t="str">
        <f>'Input - Pasture Beef'!$D$152</f>
        <v>Pasture range and paddock</v>
      </c>
      <c r="E235" s="15" t="s">
        <v>334</v>
      </c>
      <c r="F235" s="15">
        <f ca="1">((E219 * F177 * E227) * 10 ^ -3)</f>
        <v>1.0543599750549396E-2</v>
      </c>
      <c r="G235" s="15">
        <f ca="1">((F219 * G177 * F227) * 10 ^ -3)</f>
        <v>1.4891433017389384E-2</v>
      </c>
      <c r="H235" s="15">
        <f ca="1">((G219 * H177 * G227) * 10 ^ -3)</f>
        <v>8.036328859194598E-3</v>
      </c>
      <c r="I235" s="15">
        <f ca="1">((H219 * I177 * H227) * 10 ^ -3)</f>
        <v>1.1600874523134977E-2</v>
      </c>
      <c r="J235" s="15">
        <f ca="1">((I219 * J177 * I227) * 10 ^ -3)</f>
        <v>1.3702060159970882E-2</v>
      </c>
      <c r="K235" s="15">
        <f ca="1">((J219 * K177 * J227) * 10 ^ -3)</f>
        <v>1.3702060159970882E-2</v>
      </c>
      <c r="L235" s="15">
        <f ca="1">((K219 * L177 * K227) * 10 ^ -3)</f>
        <v>9.2648217360360614E-3</v>
      </c>
      <c r="M235" s="15">
        <f ca="1">((L219 * M177 * L227) * 10 ^ -3)</f>
        <v>1.1773586282049499E-2</v>
      </c>
      <c r="N235" s="15">
        <f ca="1">((M219 * N177 * M227) * 10 ^ -3)</f>
        <v>1.1773586282049499E-2</v>
      </c>
      <c r="O235" s="15">
        <f ca="1">((N219 * O177 * N227) * 10 ^ -3)</f>
        <v>1.1773586282049499E-2</v>
      </c>
      <c r="P235" s="16" t="str">
        <f>$E$210</f>
        <v>t CH4</v>
      </c>
      <c r="Q235" s="16"/>
      <c r="R235" s="16"/>
      <c r="S235" s="16"/>
      <c r="W235" s="15" t="str">
        <f>TEXT(X_Cell_Site_StartDate,"mmmm")</f>
        <v>January</v>
      </c>
      <c r="X235" s="15" cm="1">
        <f t="array" aca="1" ref="X235:AG246" ca="1">OFFSET(X_Table_PastureBeef_Duration_Method2, 1,1, 12,10)</f>
        <v>31</v>
      </c>
      <c r="Y235" s="15">
        <f ca="1"/>
        <v>31</v>
      </c>
      <c r="Z235" s="15">
        <f ca="1"/>
        <v>31</v>
      </c>
      <c r="AA235" s="15">
        <f ca="1"/>
        <v>31</v>
      </c>
      <c r="AB235" s="15">
        <f ca="1"/>
        <v>31</v>
      </c>
      <c r="AC235" s="15">
        <f ca="1"/>
        <v>31</v>
      </c>
      <c r="AD235" s="15">
        <f ca="1"/>
        <v>31</v>
      </c>
      <c r="AE235" s="15">
        <f ca="1"/>
        <v>31</v>
      </c>
      <c r="AF235" s="15">
        <f ca="1"/>
        <v>31</v>
      </c>
      <c r="AG235" s="15">
        <f ca="1"/>
        <v>31</v>
      </c>
      <c r="AH235" s="16" t="s">
        <v>429</v>
      </c>
    </row>
    <row r="236" spans="4:34" ht="20.100000000000001" customHeight="1" x14ac:dyDescent="0.2">
      <c r="D236" s="15" t="str">
        <f>'Input - Pasture Beef'!$D$152</f>
        <v>Pasture range and paddock</v>
      </c>
      <c r="E236" s="15" t="s">
        <v>335</v>
      </c>
      <c r="F236" s="15">
        <f ca="1">((E220 * F178 * E228) * 10 ^ -3)</f>
        <v>1.6656585480999568E-2</v>
      </c>
      <c r="G236" s="15">
        <f ca="1">((F220 * G178 * F228) * 10 ^ -3)</f>
        <v>2.2038309341351328E-2</v>
      </c>
      <c r="H236" s="15">
        <f ca="1">((G220 * H178 * G228) * 10 ^ -3)</f>
        <v>1.4007812244206296E-2</v>
      </c>
      <c r="I236" s="15">
        <f ca="1">((H220 * I178 * H228) * 10 ^ -3)</f>
        <v>1.9076974173493084E-2</v>
      </c>
      <c r="J236" s="15">
        <f ca="1">((I220 * J178 * I228) * 10 ^ -3)</f>
        <v>1.8888538660416041E-2</v>
      </c>
      <c r="K236" s="15">
        <f ca="1">((J220 * K178 * J228) * 10 ^ -3)</f>
        <v>1.8888538660416041E-2</v>
      </c>
      <c r="L236" s="15">
        <f ca="1">((K220 * L178 * K228) * 10 ^ -3)</f>
        <v>1.5353274092545728E-2</v>
      </c>
      <c r="M236" s="15">
        <f ca="1">((L220 * M178 * L228) * 10 ^ -3)</f>
        <v>1.7113891285974955E-2</v>
      </c>
      <c r="N236" s="15">
        <f ca="1">((M220 * N178 * M228) * 10 ^ -3)</f>
        <v>1.7113891285974955E-2</v>
      </c>
      <c r="O236" s="15">
        <f ca="1">((N220 * O178 * N228) * 10 ^ -3)</f>
        <v>1.7113891285974955E-2</v>
      </c>
      <c r="P236" s="16" t="str">
        <f t="shared" ref="P236:P242" si="7">$E$210</f>
        <v>t CH4</v>
      </c>
      <c r="Q236" s="16"/>
      <c r="R236" s="16"/>
      <c r="S236" s="16"/>
      <c r="W236" s="15" t="str">
        <f>TEXT(EDATE(X_Cell_Site_StartDate,1), "mmmm")</f>
        <v>February</v>
      </c>
      <c r="X236" s="15">
        <f ca="1"/>
        <v>29</v>
      </c>
      <c r="Y236" s="15">
        <f ca="1"/>
        <v>29</v>
      </c>
      <c r="Z236" s="15">
        <f ca="1"/>
        <v>29</v>
      </c>
      <c r="AA236" s="15">
        <f ca="1"/>
        <v>29</v>
      </c>
      <c r="AB236" s="15">
        <f ca="1"/>
        <v>29</v>
      </c>
      <c r="AC236" s="15">
        <f ca="1"/>
        <v>29</v>
      </c>
      <c r="AD236" s="15">
        <f ca="1"/>
        <v>29</v>
      </c>
      <c r="AE236" s="15">
        <f ca="1"/>
        <v>29</v>
      </c>
      <c r="AF236" s="15">
        <f ca="1"/>
        <v>29</v>
      </c>
      <c r="AG236" s="15">
        <f ca="1"/>
        <v>29</v>
      </c>
      <c r="AH236" s="16" t="s">
        <v>429</v>
      </c>
    </row>
    <row r="237" spans="4:34" ht="20.100000000000001" customHeight="1" x14ac:dyDescent="0.2">
      <c r="D237" s="15" t="str">
        <f>'Input - Pasture Beef'!$D$152</f>
        <v>Pasture range and paddock</v>
      </c>
      <c r="E237" s="15" t="s">
        <v>336</v>
      </c>
      <c r="F237" s="15">
        <f ca="1">((E221 * F179 * E229) * 10 ^ -3)</f>
        <v>8.884164431756528E-3</v>
      </c>
      <c r="G237" s="15">
        <f ca="1">((F221 * G179 * F229) * 10 ^ -3)</f>
        <v>2.5785315433305797E-2</v>
      </c>
      <c r="H237" s="15">
        <f ca="1">((G221 * H179 * G229) * 10 ^ -3)</f>
        <v>8.0992845830886555E-3</v>
      </c>
      <c r="I237" s="15">
        <f ca="1">((H221 * I179 * H229) * 10 ^ -3)</f>
        <v>1.6463195266712558E-2</v>
      </c>
      <c r="J237" s="15">
        <f ca="1">((I221 * J179 * I229) * 10 ^ -3)</f>
        <v>1.8380056806114171E-2</v>
      </c>
      <c r="K237" s="15">
        <f ca="1">((J221 * K179 * J229) * 10 ^ -3)</f>
        <v>1.8380056806114171E-2</v>
      </c>
      <c r="L237" s="15">
        <f ca="1">((K221 * L179 * K229) * 10 ^ -3)</f>
        <v>8.884164431756528E-3</v>
      </c>
      <c r="M237" s="15">
        <f ca="1">((L221 * M179 * L229) * 10 ^ -3)</f>
        <v>1.6129417703899748E-2</v>
      </c>
      <c r="N237" s="15">
        <f ca="1">((M221 * N179 * M229) * 10 ^ -3)</f>
        <v>1.6129417703899748E-2</v>
      </c>
      <c r="O237" s="15">
        <f ca="1">((N221 * O179 * N229) * 10 ^ -3)</f>
        <v>1.6129417703899748E-2</v>
      </c>
      <c r="P237" s="16" t="str">
        <f t="shared" si="7"/>
        <v>t CH4</v>
      </c>
      <c r="Q237" s="16"/>
      <c r="R237" s="16"/>
      <c r="S237" s="16"/>
      <c r="W237" s="15" t="str">
        <f>TEXT(EDATE(X_Cell_Site_StartDate,2), "mmmm")</f>
        <v>March</v>
      </c>
      <c r="X237" s="15">
        <f ca="1"/>
        <v>31</v>
      </c>
      <c r="Y237" s="15">
        <f ca="1"/>
        <v>31</v>
      </c>
      <c r="Z237" s="15">
        <f ca="1"/>
        <v>31</v>
      </c>
      <c r="AA237" s="15">
        <f ca="1"/>
        <v>31</v>
      </c>
      <c r="AB237" s="15">
        <f ca="1"/>
        <v>31</v>
      </c>
      <c r="AC237" s="15">
        <f ca="1"/>
        <v>31</v>
      </c>
      <c r="AD237" s="15">
        <f ca="1"/>
        <v>31</v>
      </c>
      <c r="AE237" s="15">
        <f ca="1"/>
        <v>31</v>
      </c>
      <c r="AF237" s="15">
        <f ca="1"/>
        <v>31</v>
      </c>
      <c r="AG237" s="15">
        <f ca="1"/>
        <v>31</v>
      </c>
      <c r="AH237" s="16" t="s">
        <v>429</v>
      </c>
    </row>
    <row r="238" spans="4:34" ht="20.100000000000001" customHeight="1" x14ac:dyDescent="0.2">
      <c r="D238" s="15" t="str">
        <f>'Input - Pasture Beef'!$D$152</f>
        <v>Pasture range and paddock</v>
      </c>
      <c r="E238" s="15" t="s">
        <v>337</v>
      </c>
      <c r="F238" s="15">
        <f ca="1">((E222 * F180 * E230) * 10 ^ -3)</f>
        <v>7.5417805472721543E-3</v>
      </c>
      <c r="G238" s="15">
        <f ca="1">((F222 * G180 * F230) * 10 ^ -3)</f>
        <v>1.4656086295388867E-2</v>
      </c>
      <c r="H238" s="15">
        <f ca="1">((G222 * H180 * G230) * 10 ^ -3)</f>
        <v>6.1750454688088846E-3</v>
      </c>
      <c r="I238" s="15">
        <f ca="1">((H222 * I180 * H230) * 10 ^ -3)</f>
        <v>1.0538798529818759E-2</v>
      </c>
      <c r="J238" s="15">
        <f ca="1">((I222 * J180 * I230) * 10 ^ -3)</f>
        <v>1.3437059174447761E-2</v>
      </c>
      <c r="K238" s="15">
        <f ca="1">((J222 * K180 * J230) * 10 ^ -3)</f>
        <v>1.3437059174447761E-2</v>
      </c>
      <c r="L238" s="15">
        <f ca="1">((K222 * L180 * K230) * 10 ^ -3)</f>
        <v>6.6298873742505681E-3</v>
      </c>
      <c r="M238" s="15">
        <f ca="1">((L222 * M180 * L230) * 10 ^ -3)</f>
        <v>1.0093889601476421E-2</v>
      </c>
      <c r="N238" s="15">
        <f ca="1">((M222 * N180 * M230) * 10 ^ -3)</f>
        <v>1.0093889601476421E-2</v>
      </c>
      <c r="O238" s="15">
        <f ca="1">((N222 * O180 * N230) * 10 ^ -3)</f>
        <v>1.0093889601476421E-2</v>
      </c>
      <c r="P238" s="16" t="str">
        <f t="shared" si="7"/>
        <v>t CH4</v>
      </c>
      <c r="Q238" s="16"/>
      <c r="R238" s="16"/>
      <c r="S238" s="16"/>
      <c r="W238" s="15" t="str">
        <f>TEXT(EDATE(X_Cell_Site_StartDate,3), "mmmm")</f>
        <v>April</v>
      </c>
      <c r="X238" s="15">
        <f ca="1"/>
        <v>30</v>
      </c>
      <c r="Y238" s="15">
        <f ca="1"/>
        <v>30</v>
      </c>
      <c r="Z238" s="15">
        <f ca="1"/>
        <v>30</v>
      </c>
      <c r="AA238" s="15">
        <f ca="1"/>
        <v>30</v>
      </c>
      <c r="AB238" s="15">
        <f ca="1"/>
        <v>30</v>
      </c>
      <c r="AC238" s="15">
        <f ca="1"/>
        <v>30</v>
      </c>
      <c r="AD238" s="15">
        <f ca="1"/>
        <v>30</v>
      </c>
      <c r="AE238" s="15">
        <f ca="1"/>
        <v>30</v>
      </c>
      <c r="AF238" s="15">
        <f ca="1"/>
        <v>30</v>
      </c>
      <c r="AG238" s="15">
        <f ca="1"/>
        <v>30</v>
      </c>
      <c r="AH238" s="16" t="s">
        <v>429</v>
      </c>
    </row>
    <row r="239" spans="4:34" ht="20.100000000000001" customHeight="1" x14ac:dyDescent="0.2">
      <c r="D239" s="15" t="str">
        <f>'Input - Pasture Beef'!$D$153</f>
        <v>Anaerobic lagoon</v>
      </c>
      <c r="E239" s="15" t="s">
        <v>334</v>
      </c>
      <c r="F239" s="15">
        <f ca="1">((E219 * F181 * E227) * 10 ^ -3)</f>
        <v>6.4690601459427921E-3</v>
      </c>
      <c r="G239" s="15">
        <f ca="1">((F219 * G181 * F227) * 10 ^ -3)</f>
        <v>9.1366874813083275E-3</v>
      </c>
      <c r="H239" s="15">
        <f ca="1">((G219 * H181 * G227) * 10 ^ -3)</f>
        <v>4.9307158819260717E-3</v>
      </c>
      <c r="I239" s="15">
        <f ca="1">((H219 * I181 * H227) * 10 ^ -3)</f>
        <v>7.1177545441048363E-3</v>
      </c>
      <c r="J239" s="15">
        <f ca="1">((I219 * J181 * I227) * 10 ^ -3)</f>
        <v>8.4069438707173438E-3</v>
      </c>
      <c r="K239" s="15">
        <f ca="1">((J219 * K181 * J227) * 10 ^ -3)</f>
        <v>8.4069438707173438E-3</v>
      </c>
      <c r="L239" s="15">
        <f ca="1">((K219 * L181 * K227) * 10 ^ -3)</f>
        <v>5.6844617085101672E-3</v>
      </c>
      <c r="M239" s="15">
        <f ca="1">((L219 * M181 * L227) * 10 ^ -3)</f>
        <v>7.2237224092328136E-3</v>
      </c>
      <c r="N239" s="15">
        <f ca="1">((M219 * N181 * M227) * 10 ^ -3)</f>
        <v>7.2237224092328136E-3</v>
      </c>
      <c r="O239" s="15">
        <f ca="1">((N219 * O181 * N227) * 10 ^ -3)</f>
        <v>7.2237224092328136E-3</v>
      </c>
      <c r="P239" s="16" t="str">
        <f t="shared" si="7"/>
        <v>t CH4</v>
      </c>
      <c r="Q239" s="16"/>
      <c r="R239" s="16"/>
      <c r="S239" s="16"/>
      <c r="W239" s="15" t="str">
        <f>TEXT(EDATE(X_Cell_Site_StartDate,4), "mmmm")</f>
        <v>May</v>
      </c>
      <c r="X239" s="15">
        <f ca="1"/>
        <v>31</v>
      </c>
      <c r="Y239" s="15">
        <f ca="1"/>
        <v>31</v>
      </c>
      <c r="Z239" s="15">
        <f ca="1"/>
        <v>31</v>
      </c>
      <c r="AA239" s="15">
        <f ca="1"/>
        <v>31</v>
      </c>
      <c r="AB239" s="15">
        <f ca="1"/>
        <v>31</v>
      </c>
      <c r="AC239" s="15">
        <f ca="1"/>
        <v>31</v>
      </c>
      <c r="AD239" s="15">
        <f ca="1"/>
        <v>31</v>
      </c>
      <c r="AE239" s="15">
        <f ca="1"/>
        <v>31</v>
      </c>
      <c r="AF239" s="15">
        <f ca="1"/>
        <v>31</v>
      </c>
      <c r="AG239" s="15">
        <f ca="1"/>
        <v>31</v>
      </c>
      <c r="AH239" s="16" t="s">
        <v>429</v>
      </c>
    </row>
    <row r="240" spans="4:34" ht="20.100000000000001" customHeight="1" x14ac:dyDescent="0.2">
      <c r="D240" s="15" t="str">
        <f>'Input - Pasture Beef'!$D$153</f>
        <v>Anaerobic lagoon</v>
      </c>
      <c r="E240" s="15" t="s">
        <v>335</v>
      </c>
      <c r="F240" s="15">
        <f ca="1">((E220 * F182 * E228) * 10 ^ -3)</f>
        <v>1.0219702554339564E-2</v>
      </c>
      <c r="G240" s="15">
        <f ca="1">((F220 * G182 * F228) * 10 ^ -3)</f>
        <v>1.3521676848238278E-2</v>
      </c>
      <c r="H240" s="15">
        <f ca="1">((G220 * H182 * G228) * 10 ^ -3)</f>
        <v>8.5945390630104875E-3</v>
      </c>
      <c r="I240" s="15">
        <f ca="1">((H220 * I182 * H228) * 10 ^ -3)</f>
        <v>1.1704739960798825E-2</v>
      </c>
      <c r="J240" s="15">
        <f ca="1">((I220 * J182 * I228) * 10 ^ -3)</f>
        <v>1.1589124734825984E-2</v>
      </c>
      <c r="K240" s="15">
        <f ca="1">((J220 * K182 * J228) * 10 ^ -3)</f>
        <v>1.1589124734825984E-2</v>
      </c>
      <c r="L240" s="15">
        <f ca="1">((K220 * L182 * K228) * 10 ^ -3)</f>
        <v>9.420051585005227E-3</v>
      </c>
      <c r="M240" s="15">
        <f ca="1">((L220 * M182 * L228) * 10 ^ -3)</f>
        <v>1.0500284028168785E-2</v>
      </c>
      <c r="N240" s="15">
        <f ca="1">((M220 * N182 * M228) * 10 ^ -3)</f>
        <v>1.0500284028168785E-2</v>
      </c>
      <c r="O240" s="15">
        <f ca="1">((N220 * O182 * N228) * 10 ^ -3)</f>
        <v>1.0500284028168785E-2</v>
      </c>
      <c r="P240" s="16" t="str">
        <f t="shared" si="7"/>
        <v>t CH4</v>
      </c>
      <c r="Q240" s="16"/>
      <c r="R240" s="16"/>
      <c r="S240" s="16"/>
      <c r="W240" s="15" t="str">
        <f>TEXT(EDATE(X_Cell_Site_StartDate,5), "mmmm")</f>
        <v>June</v>
      </c>
      <c r="X240" s="15">
        <f ca="1"/>
        <v>30</v>
      </c>
      <c r="Y240" s="15">
        <f ca="1"/>
        <v>30</v>
      </c>
      <c r="Z240" s="15">
        <f ca="1"/>
        <v>30</v>
      </c>
      <c r="AA240" s="15">
        <f ca="1"/>
        <v>30</v>
      </c>
      <c r="AB240" s="15">
        <f ca="1"/>
        <v>30</v>
      </c>
      <c r="AC240" s="15">
        <f ca="1"/>
        <v>30</v>
      </c>
      <c r="AD240" s="15">
        <f ca="1"/>
        <v>30</v>
      </c>
      <c r="AE240" s="15">
        <f ca="1"/>
        <v>30</v>
      </c>
      <c r="AF240" s="15">
        <f ca="1"/>
        <v>30</v>
      </c>
      <c r="AG240" s="15">
        <f ca="1"/>
        <v>30</v>
      </c>
      <c r="AH240" s="16" t="s">
        <v>429</v>
      </c>
    </row>
    <row r="241" spans="1:36" ht="20.100000000000001" customHeight="1" x14ac:dyDescent="0.2">
      <c r="D241" s="15" t="str">
        <f>'Input - Pasture Beef'!$D$153</f>
        <v>Anaerobic lagoon</v>
      </c>
      <c r="E241" s="15" t="s">
        <v>336</v>
      </c>
      <c r="F241" s="15">
        <f ca="1">((E221 * F183 * E229) * 10 ^ -3)</f>
        <v>5.4509081732246091E-3</v>
      </c>
      <c r="G241" s="15">
        <f ca="1">((F221 * G183 * F229) * 10 ^ -3)</f>
        <v>1.5820664703387506E-2</v>
      </c>
      <c r="H241" s="15">
        <f ca="1">((G221 * H183 * G229) * 10 ^ -3)</f>
        <v>4.9693425724338198E-3</v>
      </c>
      <c r="I241" s="15">
        <f ca="1">((H221 * I183 * H229) * 10 ^ -3)</f>
        <v>1.010104735521801E-2</v>
      </c>
      <c r="J241" s="15">
        <f ca="1">((I221 * J183 * I229) * 10 ^ -3)</f>
        <v>1.1277144028385762E-2</v>
      </c>
      <c r="K241" s="15">
        <f ca="1">((J221 * K183 * J229) * 10 ^ -3)</f>
        <v>1.1277144028385762E-2</v>
      </c>
      <c r="L241" s="15">
        <f ca="1">((K221 * L183 * K229) * 10 ^ -3)</f>
        <v>5.4509081732246091E-3</v>
      </c>
      <c r="M241" s="15">
        <f ca="1">((L221 * M183 * L229) * 10 ^ -3)</f>
        <v>9.8962570387902855E-3</v>
      </c>
      <c r="N241" s="15">
        <f ca="1">((M221 * N183 * M229) * 10 ^ -3)</f>
        <v>9.8962570387902855E-3</v>
      </c>
      <c r="O241" s="15">
        <f ca="1">((N221 * O183 * N229) * 10 ^ -3)</f>
        <v>9.8962570387902855E-3</v>
      </c>
      <c r="P241" s="16" t="str">
        <f t="shared" si="7"/>
        <v>t CH4</v>
      </c>
      <c r="Q241" s="16"/>
      <c r="R241" s="16"/>
      <c r="S241" s="16"/>
      <c r="W241" s="15" t="str">
        <f>TEXT(EDATE(X_Cell_Site_StartDate,6), "mmmm")</f>
        <v>July</v>
      </c>
      <c r="X241" s="15">
        <f ca="1"/>
        <v>31</v>
      </c>
      <c r="Y241" s="15">
        <f ca="1"/>
        <v>31</v>
      </c>
      <c r="Z241" s="15">
        <f ca="1"/>
        <v>31</v>
      </c>
      <c r="AA241" s="15">
        <f ca="1"/>
        <v>31</v>
      </c>
      <c r="AB241" s="15">
        <f ca="1"/>
        <v>31</v>
      </c>
      <c r="AC241" s="15">
        <f ca="1"/>
        <v>31</v>
      </c>
      <c r="AD241" s="15">
        <f ca="1"/>
        <v>31</v>
      </c>
      <c r="AE241" s="15">
        <f ca="1"/>
        <v>31</v>
      </c>
      <c r="AF241" s="15">
        <f ca="1"/>
        <v>31</v>
      </c>
      <c r="AG241" s="15">
        <f ca="1"/>
        <v>31</v>
      </c>
      <c r="AH241" s="16" t="s">
        <v>429</v>
      </c>
    </row>
    <row r="242" spans="1:36" ht="20.100000000000001" customHeight="1" x14ac:dyDescent="0.2">
      <c r="D242" s="15" t="str">
        <f>'Input - Pasture Beef'!$D$153</f>
        <v>Anaerobic lagoon</v>
      </c>
      <c r="E242" s="15" t="s">
        <v>337</v>
      </c>
      <c r="F242" s="15">
        <f ca="1">((E222 * F184 * E230) * 10 ^ -3)</f>
        <v>4.6272841460301721E-3</v>
      </c>
      <c r="G242" s="15">
        <f ca="1">((F222 * G184 * F230) * 10 ^ -3)</f>
        <v>8.992289729516538E-3</v>
      </c>
      <c r="H242" s="15">
        <f ca="1">((G222 * H184 * G230) * 10 ^ -3)</f>
        <v>3.7887193640459152E-3</v>
      </c>
      <c r="I242" s="15">
        <f ca="1">((H222 * I184 * H230) * 10 ^ -3)</f>
        <v>6.4661143412446552E-3</v>
      </c>
      <c r="J242" s="15">
        <f ca="1">((I222 * J184 * I230) * 10 ^ -3)</f>
        <v>8.2443516484553159E-3</v>
      </c>
      <c r="K242" s="15">
        <f ca="1">((J222 * K184 * J230) * 10 ^ -3)</f>
        <v>8.2443516484553159E-3</v>
      </c>
      <c r="L242" s="15">
        <f ca="1">((K222 * L184 * K230) * 10 ^ -3)</f>
        <v>4.0677891042496025E-3</v>
      </c>
      <c r="M242" s="15">
        <f ca="1">((L222 * M184 * L230) * 10 ^ -3)</f>
        <v>6.1931390116601297E-3</v>
      </c>
      <c r="N242" s="15">
        <f ca="1">((M222 * N184 * M230) * 10 ^ -3)</f>
        <v>6.1931390116601297E-3</v>
      </c>
      <c r="O242" s="15">
        <f ca="1">((N222 * O184 * N230) * 10 ^ -3)</f>
        <v>6.1931390116601297E-3</v>
      </c>
      <c r="P242" s="16" t="str">
        <f t="shared" si="7"/>
        <v>t CH4</v>
      </c>
      <c r="Q242" s="16"/>
      <c r="R242" s="16"/>
      <c r="S242" s="16"/>
      <c r="W242" s="15" t="str">
        <f>TEXT(EDATE(X_Cell_Site_StartDate,7), "mmmm")</f>
        <v>August</v>
      </c>
      <c r="X242" s="15">
        <f ca="1"/>
        <v>31</v>
      </c>
      <c r="Y242" s="15">
        <f ca="1"/>
        <v>31</v>
      </c>
      <c r="Z242" s="15">
        <f ca="1"/>
        <v>31</v>
      </c>
      <c r="AA242" s="15">
        <f ca="1"/>
        <v>31</v>
      </c>
      <c r="AB242" s="15">
        <f ca="1"/>
        <v>31</v>
      </c>
      <c r="AC242" s="15">
        <f ca="1"/>
        <v>31</v>
      </c>
      <c r="AD242" s="15">
        <f ca="1"/>
        <v>31</v>
      </c>
      <c r="AE242" s="15">
        <f ca="1"/>
        <v>31</v>
      </c>
      <c r="AF242" s="15">
        <f ca="1"/>
        <v>31</v>
      </c>
      <c r="AG242" s="15">
        <f ca="1"/>
        <v>31</v>
      </c>
      <c r="AH242" s="16" t="s">
        <v>429</v>
      </c>
    </row>
    <row r="243" spans="1:36" ht="20.100000000000001" customHeight="1" x14ac:dyDescent="0.2">
      <c r="W243" s="15" t="str">
        <f>TEXT(EDATE(X_Cell_Site_StartDate,8), "mmmm")</f>
        <v>September</v>
      </c>
      <c r="X243" s="15">
        <f ca="1"/>
        <v>30</v>
      </c>
      <c r="Y243" s="15">
        <f ca="1"/>
        <v>30</v>
      </c>
      <c r="Z243" s="15">
        <f ca="1"/>
        <v>30</v>
      </c>
      <c r="AA243" s="15">
        <f ca="1"/>
        <v>30</v>
      </c>
      <c r="AB243" s="15">
        <f ca="1"/>
        <v>30</v>
      </c>
      <c r="AC243" s="15">
        <f ca="1"/>
        <v>30</v>
      </c>
      <c r="AD243" s="15">
        <f ca="1"/>
        <v>30</v>
      </c>
      <c r="AE243" s="15">
        <f ca="1"/>
        <v>30</v>
      </c>
      <c r="AF243" s="15">
        <f ca="1"/>
        <v>30</v>
      </c>
      <c r="AG243" s="15">
        <f ca="1"/>
        <v>30</v>
      </c>
      <c r="AH243" s="16" t="s">
        <v>429</v>
      </c>
    </row>
    <row r="244" spans="1:36" ht="20.100000000000001" customHeight="1" x14ac:dyDescent="0.2">
      <c r="D244" s="91" t="s">
        <v>434</v>
      </c>
      <c r="E244" s="92">
        <f ca="1">SUM(F235:O242)</f>
        <v>0.88628531326724402</v>
      </c>
      <c r="F244" s="96" t="str">
        <f>E210</f>
        <v>t CH4</v>
      </c>
      <c r="W244" s="15" t="str">
        <f>TEXT(EDATE(X_Cell_Site_StartDate,9), "mmmm")</f>
        <v>October</v>
      </c>
      <c r="X244" s="15">
        <f ca="1"/>
        <v>31</v>
      </c>
      <c r="Y244" s="15">
        <f ca="1"/>
        <v>31</v>
      </c>
      <c r="Z244" s="15">
        <f ca="1"/>
        <v>31</v>
      </c>
      <c r="AA244" s="15">
        <f ca="1"/>
        <v>31</v>
      </c>
      <c r="AB244" s="15">
        <f ca="1"/>
        <v>31</v>
      </c>
      <c r="AC244" s="15">
        <f ca="1"/>
        <v>31</v>
      </c>
      <c r="AD244" s="15">
        <f ca="1"/>
        <v>31</v>
      </c>
      <c r="AE244" s="15">
        <f ca="1"/>
        <v>31</v>
      </c>
      <c r="AF244" s="15">
        <f ca="1"/>
        <v>31</v>
      </c>
      <c r="AG244" s="15">
        <f ca="1"/>
        <v>31</v>
      </c>
      <c r="AH244" s="16" t="s">
        <v>429</v>
      </c>
    </row>
    <row r="245" spans="1:36" ht="20.100000000000001" customHeight="1" x14ac:dyDescent="0.2">
      <c r="W245" s="15" t="str">
        <f>TEXT(EDATE(X_Cell_Site_StartDate,10), "mmmm")</f>
        <v>November</v>
      </c>
      <c r="X245" s="15">
        <f ca="1"/>
        <v>30</v>
      </c>
      <c r="Y245" s="15">
        <f ca="1"/>
        <v>30</v>
      </c>
      <c r="Z245" s="15">
        <f ca="1"/>
        <v>30</v>
      </c>
      <c r="AA245" s="15">
        <f ca="1"/>
        <v>30</v>
      </c>
      <c r="AB245" s="15">
        <f ca="1"/>
        <v>30</v>
      </c>
      <c r="AC245" s="15">
        <f ca="1"/>
        <v>30</v>
      </c>
      <c r="AD245" s="15">
        <f ca="1"/>
        <v>30</v>
      </c>
      <c r="AE245" s="15">
        <f ca="1"/>
        <v>30</v>
      </c>
      <c r="AF245" s="15">
        <f ca="1"/>
        <v>30</v>
      </c>
      <c r="AG245" s="15">
        <f ca="1"/>
        <v>30</v>
      </c>
      <c r="AH245" s="16" t="s">
        <v>429</v>
      </c>
    </row>
    <row r="246" spans="1:36" ht="20.100000000000001" customHeight="1" x14ac:dyDescent="0.2">
      <c r="D246" s="117" t="str" cm="1">
        <f t="array" ref="D246:E247">Common_Equations.Common_ConvertCH4ToCO2e_Arguments()</f>
        <v>ECH4</v>
      </c>
      <c r="E246" s="118" t="str">
        <v>Methane emissions (t CH4)</v>
      </c>
      <c r="F246" s="119"/>
      <c r="G246" s="15">
        <f ca="1">VEERG_4_2_1_1__1_TotalAnnualMethaneProductionFromManureManagement_Result_Method1</f>
        <v>0.88628531326724402</v>
      </c>
      <c r="W246" s="15" t="str">
        <f>TEXT(EDATE(X_Cell_Site_StartDate,11), "mmmm")</f>
        <v>December</v>
      </c>
      <c r="X246" s="15">
        <f ca="1"/>
        <v>31</v>
      </c>
      <c r="Y246" s="15">
        <f ca="1"/>
        <v>31</v>
      </c>
      <c r="Z246" s="15">
        <f ca="1"/>
        <v>31</v>
      </c>
      <c r="AA246" s="15">
        <f ca="1"/>
        <v>31</v>
      </c>
      <c r="AB246" s="15">
        <f ca="1"/>
        <v>31</v>
      </c>
      <c r="AC246" s="15">
        <f ca="1"/>
        <v>31</v>
      </c>
      <c r="AD246" s="15">
        <f ca="1"/>
        <v>31</v>
      </c>
      <c r="AE246" s="15">
        <f ca="1"/>
        <v>31</v>
      </c>
      <c r="AF246" s="15">
        <f ca="1"/>
        <v>31</v>
      </c>
      <c r="AG246" s="15">
        <f ca="1"/>
        <v>31</v>
      </c>
      <c r="AH246" s="16" t="s">
        <v>429</v>
      </c>
    </row>
    <row r="247" spans="1:36" ht="20.100000000000001" customHeight="1" x14ac:dyDescent="0.2">
      <c r="D247" s="117" t="str">
        <v>GWPCH4</v>
      </c>
      <c r="E247" s="118" t="str">
        <v>Global warming potential for methane (t CO2-e / t CH4)</v>
      </c>
      <c r="F247" s="119"/>
      <c r="G247" s="15">
        <f>Common_InputFunctions.Utility_LookupValueInTableNumber("CH4",Table_GWPData[Gas],Table_GWPData[CO2-e factor])</f>
        <v>28</v>
      </c>
    </row>
    <row r="248" spans="1:36" ht="20.100000000000001" customHeight="1" x14ac:dyDescent="0.2">
      <c r="W248" s="113" t="s">
        <v>435</v>
      </c>
    </row>
    <row r="249" spans="1:36" ht="20.100000000000001" customHeight="1" x14ac:dyDescent="0.2">
      <c r="D249" s="88" t="s">
        <v>436</v>
      </c>
      <c r="E249" s="88" cm="1">
        <f t="array" aca="1" ref="E249" ca="1">Common_Equations.Common_ConvertN2OToCO2e(G246,G247)</f>
        <v>24.815988771482832</v>
      </c>
      <c r="F249" s="95" t="str" cm="1">
        <f t="array" ref="F249">Common_Equations.Common_ConvertN2OToCO2e_Unit()</f>
        <v>t CO2e</v>
      </c>
      <c r="W249" s="114" t="s">
        <v>437</v>
      </c>
    </row>
    <row r="250" spans="1:36" ht="20.100000000000001" customHeight="1" x14ac:dyDescent="0.2">
      <c r="W250" s="115" t="s">
        <v>411</v>
      </c>
      <c r="X250" s="115" t="s">
        <v>75</v>
      </c>
      <c r="Y250" s="115" t="s">
        <v>325</v>
      </c>
      <c r="Z250" s="115" t="s">
        <v>189</v>
      </c>
      <c r="AA250" s="115" t="s">
        <v>326</v>
      </c>
      <c r="AB250" s="115" t="s">
        <v>327</v>
      </c>
      <c r="AC250" s="115" t="s">
        <v>328</v>
      </c>
      <c r="AD250" s="115" t="s">
        <v>329</v>
      </c>
      <c r="AE250" s="115" t="s">
        <v>330</v>
      </c>
      <c r="AF250" s="115" t="s">
        <v>331</v>
      </c>
      <c r="AG250" s="115" t="s">
        <v>332</v>
      </c>
      <c r="AH250" s="115" t="s">
        <v>333</v>
      </c>
    </row>
    <row r="251" spans="1:36" ht="20.100000000000001" customHeight="1" x14ac:dyDescent="0.2">
      <c r="A251" s="85" t="str">
        <f>HYPERLINK("#A1", "▲ Back to top")</f>
        <v>▲ Back to top</v>
      </c>
      <c r="W251" s="15" t="str">
        <f>'Input - Pasture Beef'!$D$152</f>
        <v>Pasture range and paddock</v>
      </c>
      <c r="X251" s="15" t="str">
        <f>TEXT(X_Cell_Site_StartDate,"mmmm")</f>
        <v>January</v>
      </c>
      <c r="Y251" s="15">
        <f ca="1">((X219 * Y177 * X235) * 10 ^ -3)</f>
        <v>5.6586756154628675E-3</v>
      </c>
      <c r="Z251" s="15">
        <f ca="1">((Y219 * Z177 * Y235) * 10 ^ -3)</f>
        <v>7.4869872830892192E-3</v>
      </c>
      <c r="AA251" s="15">
        <f ca="1">((Z219 * AA177 * Z235) * 10 ^ -3)</f>
        <v>4.7588184062509068E-3</v>
      </c>
      <c r="AB251" s="15">
        <f ca="1">((AA219 * AB177 * AA235) * 10 ^ -3)</f>
        <v>6.6990533649278934E-3</v>
      </c>
      <c r="AC251" s="15">
        <f ca="1">((AB219 * AC177 * AB235) * 10 ^ -3)</f>
        <v>6.6328825169479936E-3</v>
      </c>
      <c r="AD251" s="15">
        <f ca="1">((AC219 * AD177 * AC235) * 10 ^ -3)</f>
        <v>6.6328825169479936E-3</v>
      </c>
      <c r="AE251" s="15">
        <f ca="1">((AD219 * AE177 * AD235) * 10 ^ -3)</f>
        <v>5.2159068150018362E-3</v>
      </c>
      <c r="AF251" s="15">
        <f ca="1">((AE219 * AF177 * AE235) * 10 ^ -3)</f>
        <v>5.8140342998928615E-3</v>
      </c>
      <c r="AG251" s="15">
        <f ca="1">((AF219 * AG177 * AF235) * 10 ^ -3)</f>
        <v>5.8140342998928615E-3</v>
      </c>
      <c r="AH251" s="15">
        <f ca="1">((AG219 * AH177 * AG235) * 10 ^ -3)</f>
        <v>5.8140342998928615E-3</v>
      </c>
      <c r="AI251" s="16" t="str">
        <f t="shared" ref="AI251:AI274" si="8">$E$210</f>
        <v>t CH4</v>
      </c>
      <c r="AJ251" s="16"/>
    </row>
    <row r="252" spans="1:36" ht="20.100000000000001" customHeight="1" x14ac:dyDescent="0.2">
      <c r="W252" s="15" t="str">
        <f>'Input - Pasture Beef'!$D$152</f>
        <v>Pasture range and paddock</v>
      </c>
      <c r="X252" s="15" t="str">
        <f>TEXT(EDATE(X_Cell_Site_StartDate,1), "mmmm")</f>
        <v>February</v>
      </c>
      <c r="Y252" s="15">
        <f ca="1">((X220 * Y178 * X236) * 10 ^ -3)</f>
        <v>5.2935997693039733E-3</v>
      </c>
      <c r="Z252" s="15">
        <f ca="1">((Y220 * Z178 * Y236) * 10 ^ -3)</f>
        <v>7.00395584547056E-3</v>
      </c>
      <c r="AA252" s="15">
        <f ca="1">((Z220 * AA178 * Z236) * 10 ^ -3)</f>
        <v>4.4517978639121384E-3</v>
      </c>
      <c r="AB252" s="15">
        <f ca="1">((AA220 * AB178 * AA236) * 10 ^ -3)</f>
        <v>5.8296338359462531E-3</v>
      </c>
      <c r="AC252" s="15">
        <f ca="1">((AB220 * AC178 * AB236) * 10 ^ -3)</f>
        <v>5.7720508024453653E-3</v>
      </c>
      <c r="AD252" s="15">
        <f ca="1">((AC220 * AD178 * AC236) * 10 ^ -3)</f>
        <v>5.7720508024453653E-3</v>
      </c>
      <c r="AE252" s="15">
        <f ca="1">((AD220 * AE178 * AD236) * 10 ^ -3)</f>
        <v>4.8793966979049433E-3</v>
      </c>
      <c r="AF252" s="15">
        <f ca="1">((AE220 * AF178 * AE236) * 10 ^ -3)</f>
        <v>5.4389353128029994E-3</v>
      </c>
      <c r="AG252" s="15">
        <f ca="1">((AF220 * AG178 * AF236) * 10 ^ -3)</f>
        <v>5.4389353128029994E-3</v>
      </c>
      <c r="AH252" s="15">
        <f ca="1">((AG220 * AH178 * AG236) * 10 ^ -3)</f>
        <v>5.4389353128029994E-3</v>
      </c>
      <c r="AI252" s="16" t="str">
        <f t="shared" si="8"/>
        <v>t CH4</v>
      </c>
      <c r="AJ252" s="16"/>
    </row>
    <row r="253" spans="1:36" ht="20.100000000000001" customHeight="1" x14ac:dyDescent="0.2">
      <c r="W253" s="15" t="str">
        <f>'Input - Pasture Beef'!$D$152</f>
        <v>Pasture range and paddock</v>
      </c>
      <c r="X253" s="15" t="str">
        <f>TEXT(EDATE(X_Cell_Site_StartDate,2), "mmmm")</f>
        <v>March</v>
      </c>
      <c r="Y253" s="15">
        <f ca="1">((X221 * Y179 * X237) * 10 ^ -3)</f>
        <v>3.0181818891446837E-3</v>
      </c>
      <c r="Z253" s="15">
        <f ca="1">((Y221 * Z179 * Y237) * 10 ^ -3)</f>
        <v>8.7599427773422424E-3</v>
      </c>
      <c r="AA253" s="15">
        <f ca="1">((Z221 * AA179 * Z237) * 10 ^ -3)</f>
        <v>2.7515377761725842E-3</v>
      </c>
      <c r="AB253" s="15">
        <f ca="1">((AA221 * AB179 * AA237) * 10 ^ -3)</f>
        <v>5.5375999269560751E-3</v>
      </c>
      <c r="AC253" s="15">
        <f ca="1">((AB221 * AC179 * AB237) * 10 ^ -3)</f>
        <v>6.2441836820771417E-3</v>
      </c>
      <c r="AD253" s="15">
        <f ca="1">((AC221 * AD179 * AC237) * 10 ^ -3)</f>
        <v>6.2441836820771417E-3</v>
      </c>
      <c r="AE253" s="15">
        <f ca="1">((AD221 * AE179 * AD237) * 10 ^ -3)</f>
        <v>3.0181818891446837E-3</v>
      </c>
      <c r="AF253" s="15">
        <f ca="1">((AE221 * AF179 * AE237) * 10 ^ -3)</f>
        <v>5.4795830007768999E-3</v>
      </c>
      <c r="AG253" s="15">
        <f ca="1">((AF221 * AG179 * AF237) * 10 ^ -3)</f>
        <v>5.4795830007768999E-3</v>
      </c>
      <c r="AH253" s="15">
        <f ca="1">((AG221 * AH179 * AG237) * 10 ^ -3)</f>
        <v>5.4795830007768999E-3</v>
      </c>
      <c r="AI253" s="16" t="str">
        <f t="shared" si="8"/>
        <v>t CH4</v>
      </c>
      <c r="AJ253" s="16"/>
    </row>
    <row r="254" spans="1:36" ht="20.100000000000001" customHeight="1" x14ac:dyDescent="0.2">
      <c r="W254" s="15" t="str">
        <f>'Input - Pasture Beef'!$D$152</f>
        <v>Pasture range and paddock</v>
      </c>
      <c r="X254" s="15" t="str">
        <f>TEXT(EDATE(X_Cell_Site_StartDate,3), "mmmm")</f>
        <v>April</v>
      </c>
      <c r="Y254" s="15">
        <f ca="1">((X222 * Y180 * X238) * 10 ^ -3)</f>
        <v>2.9208211830432421E-3</v>
      </c>
      <c r="Z254" s="15">
        <f ca="1">((Y222 * Z180 * Y238) * 10 ^ -3)</f>
        <v>8.4773639780731398E-3</v>
      </c>
      <c r="AA254" s="15">
        <f ca="1">((Z222 * AA180 * Z238) * 10 ^ -3)</f>
        <v>2.6627784930702432E-3</v>
      </c>
      <c r="AB254" s="15">
        <f ca="1">((AA222 * AB180 * AA238) * 10 ^ -3)</f>
        <v>5.3589676712478143E-3</v>
      </c>
      <c r="AC254" s="15">
        <f ca="1">((AB222 * AC180 * AB238) * 10 ^ -3)</f>
        <v>6.0427584020101375E-3</v>
      </c>
      <c r="AD254" s="15">
        <f ca="1">((AC222 * AD180 * AC238) * 10 ^ -3)</f>
        <v>6.0427584020101375E-3</v>
      </c>
      <c r="AE254" s="15">
        <f ca="1">((AD222 * AE180 * AD238) * 10 ^ -3)</f>
        <v>2.9208211830432421E-3</v>
      </c>
      <c r="AF254" s="15">
        <f ca="1">((AE222 * AF180 * AE238) * 10 ^ -3)</f>
        <v>5.3028222588163551E-3</v>
      </c>
      <c r="AG254" s="15">
        <f ca="1">((AF222 * AG180 * AF238) * 10 ^ -3)</f>
        <v>5.3028222588163551E-3</v>
      </c>
      <c r="AH254" s="15">
        <f ca="1">((AG222 * AH180 * AG238) * 10 ^ -3)</f>
        <v>5.3028222588163551E-3</v>
      </c>
      <c r="AI254" s="16" t="str">
        <f t="shared" si="8"/>
        <v>t CH4</v>
      </c>
      <c r="AJ254" s="16"/>
    </row>
    <row r="255" spans="1:36" ht="20.100000000000001" customHeight="1" x14ac:dyDescent="0.2">
      <c r="W255" s="15" t="str">
        <f>'Input - Pasture Beef'!$D$152</f>
        <v>Pasture range and paddock</v>
      </c>
      <c r="X255" s="15" t="str">
        <f>TEXT(EDATE(X_Cell_Site_StartDate,4), "mmmm")</f>
        <v>May</v>
      </c>
      <c r="Y255" s="15">
        <f ca="1">((X223 * Y181 * X239) * 10 ^ -3)</f>
        <v>3.0181818891446837E-3</v>
      </c>
      <c r="Z255" s="15">
        <f ca="1">((Y223 * Z181 * Y239) * 10 ^ -3)</f>
        <v>8.7599427773422424E-3</v>
      </c>
      <c r="AA255" s="15">
        <f ca="1">((Z223 * AA181 * Z239) * 10 ^ -3)</f>
        <v>2.7515377761725842E-3</v>
      </c>
      <c r="AB255" s="15">
        <f ca="1">((AA223 * AB181 * AA239) * 10 ^ -3)</f>
        <v>5.5375999269560751E-3</v>
      </c>
      <c r="AC255" s="15">
        <f ca="1">((AB223 * AC181 * AB239) * 10 ^ -3)</f>
        <v>6.2441836820771417E-3</v>
      </c>
      <c r="AD255" s="15">
        <f ca="1">((AC223 * AD181 * AC239) * 10 ^ -3)</f>
        <v>6.2441836820771417E-3</v>
      </c>
      <c r="AE255" s="15">
        <f ca="1">((AD223 * AE181 * AD239) * 10 ^ -3)</f>
        <v>3.0181818891446837E-3</v>
      </c>
      <c r="AF255" s="15">
        <f ca="1">((AE223 * AF181 * AE239) * 10 ^ -3)</f>
        <v>5.4795830007768999E-3</v>
      </c>
      <c r="AG255" s="15">
        <f ca="1">((AF223 * AG181 * AF239) * 10 ^ -3)</f>
        <v>5.4795830007768999E-3</v>
      </c>
      <c r="AH255" s="15">
        <f ca="1">((AG223 * AH181 * AG239) * 10 ^ -3)</f>
        <v>5.4795830007768999E-3</v>
      </c>
      <c r="AI255" s="16" t="str">
        <f t="shared" si="8"/>
        <v>t CH4</v>
      </c>
      <c r="AJ255" s="16"/>
    </row>
    <row r="256" spans="1:36" ht="20.100000000000001" customHeight="1" x14ac:dyDescent="0.2">
      <c r="W256" s="15" t="str">
        <f>'Input - Pasture Beef'!$D$152</f>
        <v>Pasture range and paddock</v>
      </c>
      <c r="X256" s="15" t="str">
        <f>TEXT(EDATE(X_Cell_Site_StartDate,5), "mmmm")</f>
        <v>June</v>
      </c>
      <c r="Y256" s="15">
        <f ca="1">((X224 * Y182 * X240) * 10 ^ -3)</f>
        <v>2.4794894949935848E-3</v>
      </c>
      <c r="Z256" s="15">
        <f ca="1">((Y224 * Z182 * Y240) * 10 ^ -3)</f>
        <v>4.81843932999086E-3</v>
      </c>
      <c r="AA256" s="15">
        <f ca="1">((Z224 * AA182 * Z240) * 10 ^ -3)</f>
        <v>2.0301519349508663E-3</v>
      </c>
      <c r="AB256" s="15">
        <f ca="1">((AA224 * AB182 * AA240) * 10 ^ -3)</f>
        <v>2.8634797318651669E-3</v>
      </c>
      <c r="AC256" s="15">
        <f ca="1">((AB224 * AC182 * AB240) * 10 ^ -3)</f>
        <v>3.8414463393299145E-3</v>
      </c>
      <c r="AD256" s="15">
        <f ca="1">((AC224 * AD182 * AC240) * 10 ^ -3)</f>
        <v>3.8414463393299145E-3</v>
      </c>
      <c r="AE256" s="15">
        <f ca="1">((AD224 * AE182 * AD240) * 10 ^ -3)</f>
        <v>2.1796889997536114E-3</v>
      </c>
      <c r="AF256" s="15">
        <f ca="1">((AE224 * AF182 * AE240) * 10 ^ -3)</f>
        <v>3.3185390470607404E-3</v>
      </c>
      <c r="AG256" s="15">
        <f ca="1">((AF224 * AG182 * AF240) * 10 ^ -3)</f>
        <v>3.3185390470607404E-3</v>
      </c>
      <c r="AH256" s="15">
        <f ca="1">((AG224 * AH182 * AG240) * 10 ^ -3)</f>
        <v>3.3185390470607404E-3</v>
      </c>
      <c r="AI256" s="16" t="str">
        <f t="shared" si="8"/>
        <v>t CH4</v>
      </c>
      <c r="AJ256" s="16"/>
    </row>
    <row r="257" spans="23:36" ht="20.100000000000001" customHeight="1" x14ac:dyDescent="0.2">
      <c r="W257" s="15" t="str">
        <f>'Input - Pasture Beef'!$D$152</f>
        <v>Pasture range and paddock</v>
      </c>
      <c r="X257" s="15" t="str">
        <f>TEXT(EDATE(X_Cell_Site_StartDate,6), "mmmm")</f>
        <v>July</v>
      </c>
      <c r="Y257" s="15">
        <f ca="1">((X225 * Y183 * X241) * 10 ^ -3)</f>
        <v>2.5621391448267046E-3</v>
      </c>
      <c r="Z257" s="15">
        <f ca="1">((Y225 * Z183 * Y241) * 10 ^ -3)</f>
        <v>4.9790539743238887E-3</v>
      </c>
      <c r="AA257" s="15">
        <f ca="1">((Z225 * AA183 * Z241) * 10 ^ -3)</f>
        <v>2.097823666115895E-3</v>
      </c>
      <c r="AB257" s="15">
        <f ca="1">((AA225 * AB183 * AA241) * 10 ^ -3)</f>
        <v>2.9589290562606727E-3</v>
      </c>
      <c r="AC257" s="15">
        <f ca="1">((AB225 * AC183 * AB241) * 10 ^ -3)</f>
        <v>3.969494550640911E-3</v>
      </c>
      <c r="AD257" s="15">
        <f ca="1">((AC225 * AD183 * AC241) * 10 ^ -3)</f>
        <v>3.969494550640911E-3</v>
      </c>
      <c r="AE257" s="15">
        <f ca="1">((AD225 * AE183 * AD241) * 10 ^ -3)</f>
        <v>2.2523452997453984E-3</v>
      </c>
      <c r="AF257" s="15">
        <f ca="1">((AE225 * AF183 * AE241) * 10 ^ -3)</f>
        <v>3.4291570152960985E-3</v>
      </c>
      <c r="AG257" s="15">
        <f ca="1">((AF225 * AG183 * AF241) * 10 ^ -3)</f>
        <v>3.4291570152960985E-3</v>
      </c>
      <c r="AH257" s="15">
        <f ca="1">((AG225 * AH183 * AG241) * 10 ^ -3)</f>
        <v>3.4291570152960985E-3</v>
      </c>
      <c r="AI257" s="16" t="str">
        <f t="shared" si="8"/>
        <v>t CH4</v>
      </c>
      <c r="AJ257" s="16"/>
    </row>
    <row r="258" spans="23:36" ht="20.100000000000001" customHeight="1" x14ac:dyDescent="0.2">
      <c r="W258" s="15" t="str">
        <f>'Input - Pasture Beef'!$D$152</f>
        <v>Pasture range and paddock</v>
      </c>
      <c r="X258" s="15" t="str">
        <f>TEXT(EDATE(X_Cell_Site_StartDate,7), "mmmm")</f>
        <v>August</v>
      </c>
      <c r="Y258" s="15">
        <f ca="1">((X226 * Y184 * X242) * 10 ^ -3)</f>
        <v>2.5621391448267046E-3</v>
      </c>
      <c r="Z258" s="15">
        <f ca="1">((Y226 * Z184 * Y242) * 10 ^ -3)</f>
        <v>4.9790539743238887E-3</v>
      </c>
      <c r="AA258" s="15">
        <f ca="1">((Z226 * AA184 * Z242) * 10 ^ -3)</f>
        <v>2.097823666115895E-3</v>
      </c>
      <c r="AB258" s="15">
        <f ca="1">((AA226 * AB184 * AA242) * 10 ^ -3)</f>
        <v>3.6246880939193233E-3</v>
      </c>
      <c r="AC258" s="15">
        <f ca="1">((AB226 * AC184 * AB242) * 10 ^ -3)</f>
        <v>4.862630824535117E-3</v>
      </c>
      <c r="AD258" s="15">
        <f ca="1">((AC226 * AD184 * AC242) * 10 ^ -3)</f>
        <v>4.862630824535117E-3</v>
      </c>
      <c r="AE258" s="15">
        <f ca="1">((AD226 * AE184 * AD242) * 10 ^ -3)</f>
        <v>2.2523452997453984E-3</v>
      </c>
      <c r="AF258" s="15">
        <f ca="1">((AE226 * AF184 * AE242) * 10 ^ -3)</f>
        <v>3.4291570152960985E-3</v>
      </c>
      <c r="AG258" s="15">
        <f ca="1">((AF226 * AG184 * AF242) * 10 ^ -3)</f>
        <v>3.4291570152960985E-3</v>
      </c>
      <c r="AH258" s="15">
        <f ca="1">((AG226 * AH184 * AG242) * 10 ^ -3)</f>
        <v>3.4291570152960985E-3</v>
      </c>
      <c r="AI258" s="16" t="str">
        <f t="shared" si="8"/>
        <v>t CH4</v>
      </c>
      <c r="AJ258" s="16"/>
    </row>
    <row r="259" spans="23:36" ht="20.100000000000001" customHeight="1" x14ac:dyDescent="0.2">
      <c r="W259" s="15" t="str">
        <f>'Input - Pasture Beef'!$D$152</f>
        <v>Pasture range and paddock</v>
      </c>
      <c r="X259" s="15" t="str">
        <f>TEXT(EDATE(X_Cell_Site_StartDate,8), "mmmm")</f>
        <v>September</v>
      </c>
      <c r="Y259" s="15">
        <f ca="1">((X227 * Y185 * X243) * 10 ^ -3)</f>
        <v>3.466388959084733E-3</v>
      </c>
      <c r="Z259" s="15">
        <f ca="1">((Y227 * Z185 * Y243) * 10 ^ -3)</f>
        <v>4.895813594758153E-3</v>
      </c>
      <c r="AA259" s="15">
        <f ca="1">((Z227 * AA185 * Z243) * 10 ^ -3)</f>
        <v>2.6420807208311007E-3</v>
      </c>
      <c r="AB259" s="15">
        <f ca="1">((AA227 * AB185 * AA243) * 10 ^ -3)</f>
        <v>4.2473936610232677E-3</v>
      </c>
      <c r="AC259" s="15">
        <f ca="1">((AB227 * AC185 * AB243) * 10 ^ -3)</f>
        <v>4.7165503887500772E-3</v>
      </c>
      <c r="AD259" s="15">
        <f ca="1">((AC227 * AD185 * AC243) * 10 ^ -3)</f>
        <v>4.7165503887500772E-3</v>
      </c>
      <c r="AE259" s="15">
        <f ca="1">((AD227 * AE185 * AD243) * 10 ^ -3)</f>
        <v>3.0459687899296642E-3</v>
      </c>
      <c r="AF259" s="15">
        <f ca="1">((AE227 * AF185 * AE243) * 10 ^ -3)</f>
        <v>3.8707680927286023E-3</v>
      </c>
      <c r="AG259" s="15">
        <f ca="1">((AF227 * AG185 * AF243) * 10 ^ -3)</f>
        <v>3.8707680927286023E-3</v>
      </c>
      <c r="AH259" s="15">
        <f ca="1">((AG227 * AH185 * AG243) * 10 ^ -3)</f>
        <v>3.8707680927286023E-3</v>
      </c>
      <c r="AI259" s="16" t="str">
        <f t="shared" si="8"/>
        <v>t CH4</v>
      </c>
      <c r="AJ259" s="16"/>
    </row>
    <row r="260" spans="23:36" ht="20.100000000000001" customHeight="1" x14ac:dyDescent="0.2">
      <c r="W260" s="15" t="str">
        <f>'Input - Pasture Beef'!$D$152</f>
        <v>Pasture range and paddock</v>
      </c>
      <c r="X260" s="15" t="str">
        <f>TEXT(EDATE(X_Cell_Site_StartDate,9), "mmmm")</f>
        <v>October</v>
      </c>
      <c r="Y260" s="15">
        <f ca="1">((X228 * Y186 * X244) * 10 ^ -3)</f>
        <v>3.5819352577208907E-3</v>
      </c>
      <c r="Z260" s="15">
        <f ca="1">((Y228 * Z186 * Y244) * 10 ^ -3)</f>
        <v>5.0590073812500913E-3</v>
      </c>
      <c r="AA260" s="15">
        <f ca="1">((Z228 * AA186 * Z244) * 10 ^ -3)</f>
        <v>2.7301500781921374E-3</v>
      </c>
      <c r="AB260" s="15">
        <f ca="1">((AA228 * AB186 * AA244) * 10 ^ -3)</f>
        <v>4.3889734497240427E-3</v>
      </c>
      <c r="AC260" s="15">
        <f ca="1">((AB228 * AC186 * AB244) * 10 ^ -3)</f>
        <v>4.8737687350417468E-3</v>
      </c>
      <c r="AD260" s="15">
        <f ca="1">((AC228 * AD186 * AC244) * 10 ^ -3)</f>
        <v>4.8737687350417468E-3</v>
      </c>
      <c r="AE260" s="15">
        <f ca="1">((AD228 * AE186 * AD244) * 10 ^ -3)</f>
        <v>3.1475010829273196E-3</v>
      </c>
      <c r="AF260" s="15">
        <f ca="1">((AE228 * AF186 * AE244) * 10 ^ -3)</f>
        <v>3.9997936958195554E-3</v>
      </c>
      <c r="AG260" s="15">
        <f ca="1">((AF228 * AG186 * AF244) * 10 ^ -3)</f>
        <v>3.9997936958195554E-3</v>
      </c>
      <c r="AH260" s="15">
        <f ca="1">((AG228 * AH186 * AG244) * 10 ^ -3)</f>
        <v>3.9997936958195554E-3</v>
      </c>
      <c r="AI260" s="16" t="str">
        <f t="shared" si="8"/>
        <v>t CH4</v>
      </c>
      <c r="AJ260" s="16"/>
    </row>
    <row r="261" spans="23:36" ht="20.100000000000001" customHeight="1" x14ac:dyDescent="0.2">
      <c r="W261" s="15" t="str">
        <f>'Input - Pasture Beef'!$D$152</f>
        <v>Pasture range and paddock</v>
      </c>
      <c r="X261" s="15" t="str">
        <f>TEXT(EDATE(X_Cell_Site_StartDate,10), "mmmm")</f>
        <v>November</v>
      </c>
      <c r="Y261" s="15">
        <f ca="1">((X229 * Y187 * X245) * 10 ^ -3)</f>
        <v>3.466388959084733E-3</v>
      </c>
      <c r="Z261" s="15">
        <f ca="1">((Y229 * Z187 * Y245) * 10 ^ -3)</f>
        <v>4.895813594758153E-3</v>
      </c>
      <c r="AA261" s="15">
        <f ca="1">((Z229 * AA187 * Z245) * 10 ^ -3)</f>
        <v>2.6420807208311007E-3</v>
      </c>
      <c r="AB261" s="15">
        <f ca="1">((AA229 * AB187 * AA245) * 10 ^ -3)</f>
        <v>3.7273046413061331E-3</v>
      </c>
      <c r="AC261" s="15">
        <f ca="1">((AB229 * AC187 * AB245) * 10 ^ -3)</f>
        <v>4.1390136064541486E-3</v>
      </c>
      <c r="AD261" s="15">
        <f ca="1">((AC229 * AD187 * AC245) * 10 ^ -3)</f>
        <v>4.1390136064541486E-3</v>
      </c>
      <c r="AE261" s="15">
        <f ca="1">((AD229 * AE187 * AD245) * 10 ^ -3)</f>
        <v>3.0459687899296642E-3</v>
      </c>
      <c r="AF261" s="15">
        <f ca="1">((AE229 * AF187 * AE245) * 10 ^ -3)</f>
        <v>3.8707680927286023E-3</v>
      </c>
      <c r="AG261" s="15">
        <f ca="1">((AF229 * AG187 * AF245) * 10 ^ -3)</f>
        <v>3.8707680927286023E-3</v>
      </c>
      <c r="AH261" s="15">
        <f ca="1">((AG229 * AH187 * AG245) * 10 ^ -3)</f>
        <v>3.8707680927286023E-3</v>
      </c>
      <c r="AI261" s="16" t="str">
        <f t="shared" si="8"/>
        <v>t CH4</v>
      </c>
      <c r="AJ261" s="16"/>
    </row>
    <row r="262" spans="23:36" ht="20.100000000000001" customHeight="1" x14ac:dyDescent="0.2">
      <c r="W262" s="15" t="str">
        <f>'Input - Pasture Beef'!$D$152</f>
        <v>Pasture range and paddock</v>
      </c>
      <c r="X262" s="15" t="str">
        <f>TEXT(EDATE(X_Cell_Site_StartDate,11), "mmmm")</f>
        <v>December</v>
      </c>
      <c r="Y262" s="15">
        <f ca="1">((X230 * Y188 * X246) * 10 ^ -3)</f>
        <v>5.6586756154628675E-3</v>
      </c>
      <c r="Z262" s="15">
        <f ca="1">((Y230 * Z188 * Y246) * 10 ^ -3)</f>
        <v>7.4869872830892192E-3</v>
      </c>
      <c r="AA262" s="15">
        <f ca="1">((Z230 * AA188 * Z246) * 10 ^ -3)</f>
        <v>4.7588184062509068E-3</v>
      </c>
      <c r="AB262" s="15">
        <f ca="1">((AA230 * AB188 * AA246) * 10 ^ -3)</f>
        <v>6.6990533649278934E-3</v>
      </c>
      <c r="AC262" s="15">
        <f ca="1">((AB230 * AC188 * AB246) * 10 ^ -3)</f>
        <v>6.6328825169479936E-3</v>
      </c>
      <c r="AD262" s="15">
        <f ca="1">((AC230 * AD188 * AC246) * 10 ^ -3)</f>
        <v>6.6328825169479936E-3</v>
      </c>
      <c r="AE262" s="15">
        <f ca="1">((AD230 * AE188 * AD246) * 10 ^ -3)</f>
        <v>5.2159068150018362E-3</v>
      </c>
      <c r="AF262" s="15">
        <f ca="1">((AE230 * AF188 * AE246) * 10 ^ -3)</f>
        <v>5.8140342998928615E-3</v>
      </c>
      <c r="AG262" s="15">
        <f ca="1">((AF230 * AG188 * AF246) * 10 ^ -3)</f>
        <v>5.8140342998928615E-3</v>
      </c>
      <c r="AH262" s="15">
        <f ca="1">((AG230 * AH188 * AG246) * 10 ^ -3)</f>
        <v>5.8140342998928615E-3</v>
      </c>
      <c r="AI262" s="16" t="str">
        <f t="shared" si="8"/>
        <v>t CH4</v>
      </c>
      <c r="AJ262" s="16"/>
    </row>
    <row r="263" spans="23:36" ht="20.100000000000001" customHeight="1" x14ac:dyDescent="0.2">
      <c r="W263" s="15" t="str">
        <f>'Input - Pasture Beef'!$D$153</f>
        <v>Anaerobic lagoon</v>
      </c>
      <c r="X263" s="15" t="str">
        <f>TEXT(X_Cell_Site_StartDate,"mmmm")</f>
        <v>January</v>
      </c>
      <c r="Y263" s="15">
        <f ca="1">((X219 * Y189 * X235) * 10 ^ -3)</f>
        <v>3.5175818308880382E-3</v>
      </c>
      <c r="Z263" s="15">
        <f ca="1">((Y219 * Z189 * Y235) * 10 ^ -3)</f>
        <v>4.6541085272883585E-3</v>
      </c>
      <c r="AA263" s="15">
        <f ca="1">((Z219 * AA189 * Z235) * 10 ^ -3)</f>
        <v>2.9582068844132702E-3</v>
      </c>
      <c r="AB263" s="15">
        <f ca="1">((AA219 * AB189 * AA235) * 10 ^ -3)</f>
        <v>4.1643080469620118E-3</v>
      </c>
      <c r="AC263" s="15">
        <f ca="1">((AB219 * AC189 * AB235) * 10 ^ -3)</f>
        <v>4.1231745046977223E-3</v>
      </c>
      <c r="AD263" s="15">
        <f ca="1">((AC219 * AD189 * AC235) * 10 ^ -3)</f>
        <v>4.1231745046977223E-3</v>
      </c>
      <c r="AE263" s="15">
        <f ca="1">((AD219 * AE189 * AD235) * 10 ^ -3)</f>
        <v>3.242345080520184E-3</v>
      </c>
      <c r="AF263" s="15">
        <f ca="1">((AE219 * AF189 * AE235) * 10 ^ -3)</f>
        <v>3.6141568817936397E-3</v>
      </c>
      <c r="AG263" s="15">
        <f ca="1">((AF219 * AG189 * AF235) * 10 ^ -3)</f>
        <v>3.6141568817936397E-3</v>
      </c>
      <c r="AH263" s="15">
        <f ca="1">((AG219 * AH189 * AG235) * 10 ^ -3)</f>
        <v>3.6141568817936397E-3</v>
      </c>
      <c r="AI263" s="16" t="str">
        <f t="shared" si="8"/>
        <v>t CH4</v>
      </c>
      <c r="AJ263" s="16"/>
    </row>
    <row r="264" spans="23:36" ht="20.100000000000001" customHeight="1" x14ac:dyDescent="0.2">
      <c r="W264" s="15" t="str">
        <f>'Input - Pasture Beef'!$D$153</f>
        <v>Anaerobic lagoon</v>
      </c>
      <c r="X264" s="15" t="str">
        <f>TEXT(EDATE(X_Cell_Site_StartDate,1), "mmmm")</f>
        <v>February</v>
      </c>
      <c r="Y264" s="15">
        <f ca="1">((X220 * Y190 * X236) * 10 ^ -3)</f>
        <v>3.290641067604939E-3</v>
      </c>
      <c r="Z264" s="15">
        <f ca="1">((Y220 * Z190 * Y236) * 10 ^ -3)</f>
        <v>4.3538434610116902E-3</v>
      </c>
      <c r="AA264" s="15">
        <f ca="1">((Z220 * AA190 * Z236) * 10 ^ -3)</f>
        <v>2.7673548273543496E-3</v>
      </c>
      <c r="AB264" s="15">
        <f ca="1">((AA220 * AB190 * AA236) * 10 ^ -3)</f>
        <v>3.6238539643480357E-3</v>
      </c>
      <c r="AC264" s="15">
        <f ca="1">((AB220 * AC190 * AB236) * 10 ^ -3)</f>
        <v>3.5880588337954666E-3</v>
      </c>
      <c r="AD264" s="15">
        <f ca="1">((AC220 * AD190 * AC236) * 10 ^ -3)</f>
        <v>3.5880588337954666E-3</v>
      </c>
      <c r="AE264" s="15">
        <f ca="1">((AD220 * AE190 * AD236) * 10 ^ -3)</f>
        <v>3.0331615269382369E-3</v>
      </c>
      <c r="AF264" s="15">
        <f ca="1">((AE220 * AF190 * AE236) * 10 ^ -3)</f>
        <v>3.3809854700650181E-3</v>
      </c>
      <c r="AG264" s="15">
        <f ca="1">((AF220 * AG190 * AF236) * 10 ^ -3)</f>
        <v>3.3809854700650181E-3</v>
      </c>
      <c r="AH264" s="15">
        <f ca="1">((AG220 * AH190 * AG236) * 10 ^ -3)</f>
        <v>3.3809854700650181E-3</v>
      </c>
      <c r="AI264" s="16" t="str">
        <f t="shared" si="8"/>
        <v>t CH4</v>
      </c>
      <c r="AJ264" s="16"/>
    </row>
    <row r="265" spans="23:36" ht="20.100000000000001" customHeight="1" x14ac:dyDescent="0.2">
      <c r="W265" s="15" t="str">
        <f>'Input - Pasture Beef'!$D$153</f>
        <v>Anaerobic lagoon</v>
      </c>
      <c r="X265" s="15" t="str">
        <f>TEXT(EDATE(X_Cell_Site_StartDate,2), "mmmm")</f>
        <v>March</v>
      </c>
      <c r="Y265" s="15">
        <f ca="1">((X221 * Y191 * X237) * 10 ^ -3)</f>
        <v>1.8761813712310229E-3</v>
      </c>
      <c r="Z265" s="15">
        <f ca="1">((Y221 * Z191 * Y237) * 10 ^ -3)</f>
        <v>5.4454111963930752E-3</v>
      </c>
      <c r="AA265" s="15">
        <f ca="1">((Z221 * AA191 * Z237) * 10 ^ -3)</f>
        <v>1.7104283663157216E-3</v>
      </c>
      <c r="AB265" s="15">
        <f ca="1">((AA221 * AB191 * AA237) * 10 ^ -3)</f>
        <v>3.4423179933763134E-3</v>
      </c>
      <c r="AC265" s="15">
        <f ca="1">((AB221 * AC191 * AB237) * 10 ^ -3)</f>
        <v>3.8815490693232604E-3</v>
      </c>
      <c r="AD265" s="15">
        <f ca="1">((AC221 * AD191 * AC237) * 10 ^ -3)</f>
        <v>3.8815490693232604E-3</v>
      </c>
      <c r="AE265" s="15">
        <f ca="1">((AD221 * AE191 * AD237) * 10 ^ -3)</f>
        <v>1.8761813712310229E-3</v>
      </c>
      <c r="AF265" s="15">
        <f ca="1">((AE221 * AF191 * AE237) * 10 ^ -3)</f>
        <v>3.4062531437047462E-3</v>
      </c>
      <c r="AG265" s="15">
        <f ca="1">((AF221 * AG191 * AF237) * 10 ^ -3)</f>
        <v>3.4062531437047462E-3</v>
      </c>
      <c r="AH265" s="15">
        <f ca="1">((AG221 * AH191 * AG237) * 10 ^ -3)</f>
        <v>3.4062531437047462E-3</v>
      </c>
      <c r="AI265" s="16" t="str">
        <f t="shared" si="8"/>
        <v>t CH4</v>
      </c>
      <c r="AJ265" s="16"/>
    </row>
    <row r="266" spans="23:36" ht="20.100000000000001" customHeight="1" x14ac:dyDescent="0.2">
      <c r="W266" s="15" t="str">
        <f>'Input - Pasture Beef'!$D$153</f>
        <v>Anaerobic lagoon</v>
      </c>
      <c r="X266" s="15" t="str">
        <f>TEXT(EDATE(X_Cell_Site_StartDate,3), "mmmm")</f>
        <v>April</v>
      </c>
      <c r="Y266" s="15">
        <f ca="1">((X222 * Y192 * X238) * 10 ^ -3)</f>
        <v>1.815659391513893E-3</v>
      </c>
      <c r="Z266" s="15">
        <f ca="1">((Y222 * Z192 * Y238) * 10 ^ -3)</f>
        <v>5.2697527707029771E-3</v>
      </c>
      <c r="AA266" s="15">
        <f ca="1">((Z222 * AA192 * Z238) * 10 ^ -3)</f>
        <v>1.6552532577248918E-3</v>
      </c>
      <c r="AB266" s="15">
        <f ca="1">((AA222 * AB192 * AA238) * 10 ^ -3)</f>
        <v>3.3312754774609482E-3</v>
      </c>
      <c r="AC266" s="15">
        <f ca="1">((AB222 * AC192 * AB238) * 10 ^ -3)</f>
        <v>3.7563378090225102E-3</v>
      </c>
      <c r="AD266" s="15">
        <f ca="1">((AC222 * AD192 * AC238) * 10 ^ -3)</f>
        <v>3.7563378090225102E-3</v>
      </c>
      <c r="AE266" s="15">
        <f ca="1">((AD222 * AE192 * AD238) * 10 ^ -3)</f>
        <v>1.815659391513893E-3</v>
      </c>
      <c r="AF266" s="15">
        <f ca="1">((AE222 * AF192 * AE238) * 10 ^ -3)</f>
        <v>3.296374010036851E-3</v>
      </c>
      <c r="AG266" s="15">
        <f ca="1">((AF222 * AG192 * AF238) * 10 ^ -3)</f>
        <v>3.296374010036851E-3</v>
      </c>
      <c r="AH266" s="15">
        <f ca="1">((AG222 * AH192 * AG238) * 10 ^ -3)</f>
        <v>3.296374010036851E-3</v>
      </c>
      <c r="AI266" s="16" t="str">
        <f t="shared" si="8"/>
        <v>t CH4</v>
      </c>
      <c r="AJ266" s="16"/>
    </row>
    <row r="267" spans="23:36" ht="20.100000000000001" customHeight="1" x14ac:dyDescent="0.2">
      <c r="W267" s="15" t="str">
        <f>'Input - Pasture Beef'!$D$153</f>
        <v>Anaerobic lagoon</v>
      </c>
      <c r="X267" s="15" t="str">
        <f>TEXT(EDATE(X_Cell_Site_StartDate,4), "mmmm")</f>
        <v>May</v>
      </c>
      <c r="Y267" s="15">
        <f ca="1">((X223 * Y193 * X239) * 10 ^ -3)</f>
        <v>1.8761813712310229E-3</v>
      </c>
      <c r="Z267" s="15">
        <f ca="1">((Y223 * Z193 * Y239) * 10 ^ -3)</f>
        <v>5.4454111963930752E-3</v>
      </c>
      <c r="AA267" s="15">
        <f ca="1">((Z223 * AA193 * Z239) * 10 ^ -3)</f>
        <v>1.7104283663157216E-3</v>
      </c>
      <c r="AB267" s="15">
        <f ca="1">((AA223 * AB193 * AA239) * 10 ^ -3)</f>
        <v>3.4423179933763134E-3</v>
      </c>
      <c r="AC267" s="15">
        <f ca="1">((AB223 * AC193 * AB239) * 10 ^ -3)</f>
        <v>3.8815490693232604E-3</v>
      </c>
      <c r="AD267" s="15">
        <f ca="1">((AC223 * AD193 * AC239) * 10 ^ -3)</f>
        <v>3.8815490693232604E-3</v>
      </c>
      <c r="AE267" s="15">
        <f ca="1">((AD223 * AE193 * AD239) * 10 ^ -3)</f>
        <v>1.8761813712310229E-3</v>
      </c>
      <c r="AF267" s="15">
        <f ca="1">((AE223 * AF193 * AE239) * 10 ^ -3)</f>
        <v>3.4062531437047462E-3</v>
      </c>
      <c r="AG267" s="15">
        <f ca="1">((AF223 * AG193 * AF239) * 10 ^ -3)</f>
        <v>3.4062531437047462E-3</v>
      </c>
      <c r="AH267" s="15">
        <f ca="1">((AG223 * AH193 * AG239) * 10 ^ -3)</f>
        <v>3.4062531437047462E-3</v>
      </c>
      <c r="AI267" s="16" t="str">
        <f t="shared" si="8"/>
        <v>t CH4</v>
      </c>
      <c r="AJ267" s="16"/>
    </row>
    <row r="268" spans="23:36" ht="20.100000000000001" customHeight="1" x14ac:dyDescent="0.2">
      <c r="W268" s="15" t="str">
        <f>'Input - Pasture Beef'!$D$153</f>
        <v>Anaerobic lagoon</v>
      </c>
      <c r="X268" s="15" t="str">
        <f>TEXT(EDATE(X_Cell_Site_StartDate,5), "mmmm")</f>
        <v>June</v>
      </c>
      <c r="Y268" s="15">
        <f ca="1">((X224 * Y194 * X240) * 10 ^ -3)</f>
        <v>1.5413159880792644E-3</v>
      </c>
      <c r="Z268" s="15">
        <f ca="1">((Y224 * Z194 * Y240) * 10 ^ -3)</f>
        <v>2.9952688212232445E-3</v>
      </c>
      <c r="AA268" s="15">
        <f ca="1">((Z224 * AA194 * Z240) * 10 ^ -3)</f>
        <v>1.2619959237124823E-3</v>
      </c>
      <c r="AB268" s="15">
        <f ca="1">((AA224 * AB194 * AA240) * 10 ^ -3)</f>
        <v>1.7800144348972637E-3</v>
      </c>
      <c r="AC268" s="15">
        <f ca="1">((AB224 * AC194 * AB240) * 10 ^ -3)</f>
        <v>2.3879442409870263E-3</v>
      </c>
      <c r="AD268" s="15">
        <f ca="1">((AC224 * AD194 * AC240) * 10 ^ -3)</f>
        <v>2.3879442409870263E-3</v>
      </c>
      <c r="AE268" s="15">
        <f ca="1">((AD224 * AE194 * AD240) * 10 ^ -3)</f>
        <v>1.3549521024969835E-3</v>
      </c>
      <c r="AF268" s="15">
        <f ca="1">((AE224 * AF194 * AE240) * 10 ^ -3)</f>
        <v>2.0628912929971021E-3</v>
      </c>
      <c r="AG268" s="15">
        <f ca="1">((AF224 * AG194 * AF240) * 10 ^ -3)</f>
        <v>2.0628912929971021E-3</v>
      </c>
      <c r="AH268" s="15">
        <f ca="1">((AG224 * AH194 * AG240) * 10 ^ -3)</f>
        <v>2.0628912929971021E-3</v>
      </c>
      <c r="AI268" s="16" t="str">
        <f t="shared" si="8"/>
        <v>t CH4</v>
      </c>
      <c r="AJ268" s="16"/>
    </row>
    <row r="269" spans="23:36" ht="20.100000000000001" customHeight="1" x14ac:dyDescent="0.2">
      <c r="W269" s="15" t="str">
        <f>'Input - Pasture Beef'!$D$153</f>
        <v>Anaerobic lagoon</v>
      </c>
      <c r="X269" s="15" t="str">
        <f>TEXT(EDATE(X_Cell_Site_StartDate,6), "mmmm")</f>
        <v>July</v>
      </c>
      <c r="Y269" s="15">
        <f ca="1">((X225 * Y195 * X241) * 10 ^ -3)</f>
        <v>1.5926931876819065E-3</v>
      </c>
      <c r="Z269" s="15">
        <f ca="1">((Y225 * Z195 * Y241) * 10 ^ -3)</f>
        <v>3.0951111152640195E-3</v>
      </c>
      <c r="AA269" s="15">
        <f ca="1">((Z225 * AA195 * Z241) * 10 ^ -3)</f>
        <v>1.3040624545028986E-3</v>
      </c>
      <c r="AB269" s="15">
        <f ca="1">((AA225 * AB195 * AA241) * 10 ^ -3)</f>
        <v>1.8393482493938393E-3</v>
      </c>
      <c r="AC269" s="15">
        <f ca="1">((AB225 * AC195 * AB241) * 10 ^ -3)</f>
        <v>2.4675423823532607E-3</v>
      </c>
      <c r="AD269" s="15">
        <f ca="1">((AC225 * AD195 * AC241) * 10 ^ -3)</f>
        <v>2.4675423823532607E-3</v>
      </c>
      <c r="AE269" s="15">
        <f ca="1">((AD225 * AE195 * AD241) * 10 ^ -3)</f>
        <v>1.4001171725802162E-3</v>
      </c>
      <c r="AF269" s="15">
        <f ca="1">((AE225 * AF195 * AE241) * 10 ^ -3)</f>
        <v>2.1316543360970054E-3</v>
      </c>
      <c r="AG269" s="15">
        <f ca="1">((AF225 * AG195 * AF241) * 10 ^ -3)</f>
        <v>2.1316543360970054E-3</v>
      </c>
      <c r="AH269" s="15">
        <f ca="1">((AG225 * AH195 * AG241) * 10 ^ -3)</f>
        <v>2.1316543360970054E-3</v>
      </c>
      <c r="AI269" s="16" t="str">
        <f t="shared" si="8"/>
        <v>t CH4</v>
      </c>
      <c r="AJ269" s="16"/>
    </row>
    <row r="270" spans="23:36" ht="20.100000000000001" customHeight="1" x14ac:dyDescent="0.2">
      <c r="W270" s="15" t="str">
        <f>'Input - Pasture Beef'!$D$153</f>
        <v>Anaerobic lagoon</v>
      </c>
      <c r="X270" s="15" t="str">
        <f>TEXT(EDATE(X_Cell_Site_StartDate,7), "mmmm")</f>
        <v>August</v>
      </c>
      <c r="Y270" s="15">
        <f ca="1">((X226 * Y196 * X242) * 10 ^ -3)</f>
        <v>1.5926931876819065E-3</v>
      </c>
      <c r="Z270" s="15">
        <f ca="1">((Y226 * Z196 * Y242) * 10 ^ -3)</f>
        <v>3.0951111152640195E-3</v>
      </c>
      <c r="AA270" s="15">
        <f ca="1">((Z226 * AA196 * Z242) * 10 ^ -3)</f>
        <v>1.3040624545028986E-3</v>
      </c>
      <c r="AB270" s="15">
        <f ca="1">((AA226 * AB196 * AA242) * 10 ^ -3)</f>
        <v>2.253201605507453E-3</v>
      </c>
      <c r="AC270" s="15">
        <f ca="1">((AB226 * AC196 * AB242) * 10 ^ -3)</f>
        <v>3.0227394183827442E-3</v>
      </c>
      <c r="AD270" s="15">
        <f ca="1">((AC226 * AD196 * AC242) * 10 ^ -3)</f>
        <v>3.0227394183827442E-3</v>
      </c>
      <c r="AE270" s="15">
        <f ca="1">((AD226 * AE196 * AD242) * 10 ^ -3)</f>
        <v>1.4001171725802162E-3</v>
      </c>
      <c r="AF270" s="15">
        <f ca="1">((AE226 * AF196 * AE242) * 10 ^ -3)</f>
        <v>2.1316543360970054E-3</v>
      </c>
      <c r="AG270" s="15">
        <f ca="1">((AF226 * AG196 * AF242) * 10 ^ -3)</f>
        <v>2.1316543360970054E-3</v>
      </c>
      <c r="AH270" s="15">
        <f ca="1">((AG226 * AH196 * AG242) * 10 ^ -3)</f>
        <v>2.1316543360970054E-3</v>
      </c>
      <c r="AI270" s="16" t="str">
        <f t="shared" si="8"/>
        <v>t CH4</v>
      </c>
      <c r="AJ270" s="16"/>
    </row>
    <row r="271" spans="23:36" ht="20.100000000000001" customHeight="1" x14ac:dyDescent="0.2">
      <c r="W271" s="15" t="str">
        <f>'Input - Pasture Beef'!$D$153</f>
        <v>Anaerobic lagoon</v>
      </c>
      <c r="X271" s="15" t="str">
        <f>TEXT(EDATE(X_Cell_Site_StartDate,8), "mmmm")</f>
        <v>September</v>
      </c>
      <c r="Y271" s="15">
        <f ca="1">((X227 * Y197 * X243) * 10 ^ -3)</f>
        <v>2.1547986931691209E-3</v>
      </c>
      <c r="Z271" s="15">
        <f ca="1">((Y227 * Z197 * Y243) * 10 ^ -3)</f>
        <v>3.0433667024977996E-3</v>
      </c>
      <c r="AA271" s="15">
        <f ca="1">((Z227 * AA197 * Z243) * 10 ^ -3)</f>
        <v>1.6423869772529524E-3</v>
      </c>
      <c r="AB271" s="15">
        <f ca="1">((AA227 * AB197 * AA243) * 10 ^ -3)</f>
        <v>2.6402917901528038E-3</v>
      </c>
      <c r="AC271" s="15">
        <f ca="1">((AB227 * AC197 * AB243) * 10 ^ -3)</f>
        <v>2.9319319712547425E-3</v>
      </c>
      <c r="AD271" s="15">
        <f ca="1">((AC227 * AD197 * AC243) * 10 ^ -3)</f>
        <v>2.9319319712547425E-3</v>
      </c>
      <c r="AE271" s="15">
        <f ca="1">((AD227 * AE197 * AD243) * 10 ^ -3)</f>
        <v>1.893454440758253E-3</v>
      </c>
      <c r="AF271" s="15">
        <f ca="1">((AE227 * AF197 * AE243) * 10 ^ -3)</f>
        <v>2.4061714153320547E-3</v>
      </c>
      <c r="AG271" s="15">
        <f ca="1">((AF227 * AG197 * AF243) * 10 ^ -3)</f>
        <v>2.4061714153320547E-3</v>
      </c>
      <c r="AH271" s="15">
        <f ca="1">((AG227 * AH197 * AG243) * 10 ^ -3)</f>
        <v>2.4061714153320547E-3</v>
      </c>
      <c r="AI271" s="16" t="str">
        <f t="shared" si="8"/>
        <v>t CH4</v>
      </c>
      <c r="AJ271" s="16"/>
    </row>
    <row r="272" spans="23:36" ht="20.100000000000001" customHeight="1" x14ac:dyDescent="0.2">
      <c r="W272" s="15" t="str">
        <f>'Input - Pasture Beef'!$D$153</f>
        <v>Anaerobic lagoon</v>
      </c>
      <c r="X272" s="15" t="str">
        <f>TEXT(EDATE(X_Cell_Site_StartDate,9), "mmmm")</f>
        <v>October</v>
      </c>
      <c r="Y272" s="15">
        <f ca="1">((X228 * Y198 * X244) * 10 ^ -3)</f>
        <v>2.226625316274758E-3</v>
      </c>
      <c r="Z272" s="15">
        <f ca="1">((Y228 * Z198 * Y244) * 10 ^ -3)</f>
        <v>3.144812259247726E-3</v>
      </c>
      <c r="AA272" s="15">
        <f ca="1">((Z228 * AA198 * Z244) * 10 ^ -3)</f>
        <v>1.697133209828051E-3</v>
      </c>
      <c r="AB272" s="15">
        <f ca="1">((AA228 * AB198 * AA244) * 10 ^ -3)</f>
        <v>2.7283015164912302E-3</v>
      </c>
      <c r="AC272" s="15">
        <f ca="1">((AB228 * AC198 * AB244) * 10 ^ -3)</f>
        <v>3.0296630369632338E-3</v>
      </c>
      <c r="AD272" s="15">
        <f ca="1">((AC228 * AD198 * AC244) * 10 ^ -3)</f>
        <v>3.0296630369632338E-3</v>
      </c>
      <c r="AE272" s="15">
        <f ca="1">((AD228 * AE198 * AD244) * 10 ^ -3)</f>
        <v>1.956569588783528E-3</v>
      </c>
      <c r="AF272" s="15">
        <f ca="1">((AE228 * AF198 * AE244) * 10 ^ -3)</f>
        <v>2.4863771291764565E-3</v>
      </c>
      <c r="AG272" s="15">
        <f ca="1">((AF228 * AG198 * AF244) * 10 ^ -3)</f>
        <v>2.4863771291764565E-3</v>
      </c>
      <c r="AH272" s="15">
        <f ca="1">((AG228 * AH198 * AG244) * 10 ^ -3)</f>
        <v>2.4863771291764565E-3</v>
      </c>
      <c r="AI272" s="16" t="str">
        <f t="shared" si="8"/>
        <v>t CH4</v>
      </c>
      <c r="AJ272" s="16"/>
    </row>
    <row r="273" spans="1:36" ht="20.100000000000001" customHeight="1" x14ac:dyDescent="0.2">
      <c r="W273" s="15" t="str">
        <f>'Input - Pasture Beef'!$D$153</f>
        <v>Anaerobic lagoon</v>
      </c>
      <c r="X273" s="15" t="str">
        <f>TEXT(EDATE(X_Cell_Site_StartDate,10), "mmmm")</f>
        <v>November</v>
      </c>
      <c r="Y273" s="15">
        <f ca="1">((X229 * Y199 * X245) * 10 ^ -3)</f>
        <v>2.1547986931691209E-3</v>
      </c>
      <c r="Z273" s="15">
        <f ca="1">((Y229 * Z199 * Y245) * 10 ^ -3)</f>
        <v>3.0433667024977996E-3</v>
      </c>
      <c r="AA273" s="15">
        <f ca="1">((Z229 * AA199 * Z245) * 10 ^ -3)</f>
        <v>1.6423869772529524E-3</v>
      </c>
      <c r="AB273" s="15">
        <f ca="1">((AA229 * AB199 * AA245) * 10 ^ -3)</f>
        <v>2.3169907546238891E-3</v>
      </c>
      <c r="AC273" s="15">
        <f ca="1">((AB229 * AC199 * AB245) * 10 ^ -3)</f>
        <v>2.5729198931419158E-3</v>
      </c>
      <c r="AD273" s="15">
        <f ca="1">((AC229 * AD199 * AC245) * 10 ^ -3)</f>
        <v>2.5729198931419158E-3</v>
      </c>
      <c r="AE273" s="15">
        <f ca="1">((AD229 * AE199 * AD245) * 10 ^ -3)</f>
        <v>1.893454440758253E-3</v>
      </c>
      <c r="AF273" s="15">
        <f ca="1">((AE229 * AF199 * AE245) * 10 ^ -3)</f>
        <v>2.4061714153320547E-3</v>
      </c>
      <c r="AG273" s="15">
        <f ca="1">((AF229 * AG199 * AF245) * 10 ^ -3)</f>
        <v>2.4061714153320547E-3</v>
      </c>
      <c r="AH273" s="15">
        <f ca="1">((AG229 * AH199 * AG245) * 10 ^ -3)</f>
        <v>2.4061714153320547E-3</v>
      </c>
      <c r="AI273" s="16" t="str">
        <f t="shared" si="8"/>
        <v>t CH4</v>
      </c>
      <c r="AJ273" s="16"/>
    </row>
    <row r="274" spans="1:36" ht="20.100000000000001" customHeight="1" x14ac:dyDescent="0.2">
      <c r="W274" s="15" t="str">
        <f>'Input - Pasture Beef'!$D$153</f>
        <v>Anaerobic lagoon</v>
      </c>
      <c r="X274" s="15" t="str">
        <f>TEXT(EDATE(X_Cell_Site_StartDate,11), "mmmm")</f>
        <v>December</v>
      </c>
      <c r="Y274" s="15">
        <f ca="1">((X230 * Y200 * X246) * 10 ^ -3)</f>
        <v>3.5175818308880382E-3</v>
      </c>
      <c r="Z274" s="15">
        <f ca="1">((Y230 * Z200 * Y246) * 10 ^ -3)</f>
        <v>4.6541085272883585E-3</v>
      </c>
      <c r="AA274" s="15">
        <f ca="1">((Z230 * AA200 * Z246) * 10 ^ -3)</f>
        <v>2.9582068844132702E-3</v>
      </c>
      <c r="AB274" s="15">
        <f ca="1">((AA230 * AB200 * AA246) * 10 ^ -3)</f>
        <v>4.1643080469620118E-3</v>
      </c>
      <c r="AC274" s="15">
        <f ca="1">((AB230 * AC200 * AB246) * 10 ^ -3)</f>
        <v>4.1231745046977223E-3</v>
      </c>
      <c r="AD274" s="15">
        <f ca="1">((AC230 * AD200 * AC246) * 10 ^ -3)</f>
        <v>4.1231745046977223E-3</v>
      </c>
      <c r="AE274" s="15">
        <f ca="1">((AD230 * AE200 * AD246) * 10 ^ -3)</f>
        <v>3.242345080520184E-3</v>
      </c>
      <c r="AF274" s="15">
        <f ca="1">((AE230 * AF200 * AE246) * 10 ^ -3)</f>
        <v>3.6141568817936397E-3</v>
      </c>
      <c r="AG274" s="15">
        <f ca="1">((AF230 * AG200 * AF246) * 10 ^ -3)</f>
        <v>3.6141568817936397E-3</v>
      </c>
      <c r="AH274" s="15">
        <f ca="1">((AG230 * AH200 * AG246) * 10 ^ -3)</f>
        <v>3.6141568817936397E-3</v>
      </c>
      <c r="AI274" s="16" t="str">
        <f t="shared" si="8"/>
        <v>t CH4</v>
      </c>
      <c r="AJ274" s="16"/>
    </row>
    <row r="276" spans="1:36" ht="20.100000000000001" customHeight="1" x14ac:dyDescent="0.2">
      <c r="W276" s="91" t="s">
        <v>434</v>
      </c>
      <c r="X276" s="92">
        <f ca="1">SUM(Y251:AH274)</f>
        <v>0.89029635334910784</v>
      </c>
      <c r="Y276" s="96">
        <f ca="1">X242</f>
        <v>31</v>
      </c>
    </row>
    <row r="278" spans="1:36" ht="20.100000000000001" customHeight="1" x14ac:dyDescent="0.2">
      <c r="W278" s="117" t="str" cm="1">
        <f t="array" ref="W278:X279">Common_Equations.Common_ConvertCH4ToCO2e_Arguments()</f>
        <v>ECH4</v>
      </c>
      <c r="X278" s="118" t="str">
        <v>Methane emissions (t CH4)</v>
      </c>
      <c r="Y278" s="119"/>
      <c r="Z278" s="15">
        <f ca="1">VEERG_4_2_1_1__1_TotalAnnualMethaneProductionFromManureManagement_Result_Method2</f>
        <v>0.89029635334910784</v>
      </c>
    </row>
    <row r="279" spans="1:36" ht="20.100000000000001" customHeight="1" x14ac:dyDescent="0.2">
      <c r="W279" s="117" t="str">
        <v>GWPCH4</v>
      </c>
      <c r="X279" s="118" t="str">
        <v>Global warming potential for methane (t CO2-e / t CH4)</v>
      </c>
      <c r="Y279" s="119"/>
      <c r="Z279" s="15">
        <f>Common_InputFunctions.Utility_LookupValueInTableNumber("CH4",Table_GWPData[Gas],Table_GWPData[CO2-e factor])</f>
        <v>28</v>
      </c>
    </row>
    <row r="281" spans="1:36" ht="20.100000000000001" customHeight="1" x14ac:dyDescent="0.2">
      <c r="A281" s="85" t="str">
        <f>HYPERLINK("#A1", "▲ Back to top")</f>
        <v>▲ Back to top</v>
      </c>
      <c r="W281" s="88" t="s">
        <v>436</v>
      </c>
      <c r="X281" s="88" cm="1">
        <f t="array" aca="1" ref="X281" ca="1">Common_Equations.Common_ConvertN2OToCO2e(Z278,Z279)</f>
        <v>24.928297893775021</v>
      </c>
      <c r="Y281" s="95"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D01E9EED-F815-4002-96F5-2C50CE01BCBB}"/>
  </dataValidation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02EBC-CBC5-4F7D-9182-97045383451D}">
  <sheetPr>
    <tabColor rgb="FF008000"/>
  </sheetPr>
  <dimension ref="A1:AI272"/>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21" customFormat="1" ht="30" customHeight="1" x14ac:dyDescent="0.35">
      <c r="A1" s="10" t="e" vm="1">
        <v>#VALUE!</v>
      </c>
      <c r="C1" s="21" t="s">
        <v>438</v>
      </c>
    </row>
    <row r="2" spans="1:35" s="3" customFormat="1" ht="20.100000000000001" customHeight="1" x14ac:dyDescent="0.2">
      <c r="A2"/>
    </row>
    <row r="3" spans="1:35" ht="20.100000000000001" customHeight="1" x14ac:dyDescent="0.2">
      <c r="A3" s="5" t="str">
        <f>HYPERLINK("#'Home'!A1", "Home")</f>
        <v>Home</v>
      </c>
      <c r="C3" s="23"/>
      <c r="D3" s="23" t="s">
        <v>141</v>
      </c>
      <c r="E3" s="23"/>
      <c r="F3" s="23"/>
      <c r="G3" s="23"/>
      <c r="H3" s="23"/>
      <c r="I3" s="23"/>
      <c r="J3" s="23"/>
      <c r="K3" s="23"/>
      <c r="L3" s="23"/>
      <c r="M3" s="23"/>
      <c r="N3" s="23"/>
      <c r="O3" s="23"/>
      <c r="P3" s="23"/>
      <c r="Q3" s="23"/>
      <c r="R3" s="23"/>
      <c r="T3" s="23"/>
      <c r="U3" s="23" t="s">
        <v>142</v>
      </c>
      <c r="V3" s="23"/>
      <c r="W3" s="23"/>
      <c r="X3" s="23"/>
      <c r="Y3" s="23"/>
      <c r="Z3" s="23"/>
      <c r="AA3" s="23"/>
      <c r="AB3" s="23"/>
      <c r="AC3" s="23"/>
      <c r="AD3" s="23"/>
      <c r="AE3" s="23"/>
      <c r="AF3" s="23"/>
      <c r="AG3" s="23"/>
      <c r="AH3" s="23"/>
      <c r="AI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1388</v>
      </c>
    </row>
    <row r="6" spans="1:35" ht="20.100000000000001" customHeight="1" x14ac:dyDescent="0.2">
      <c r="D6" s="17" t="s">
        <v>1389</v>
      </c>
    </row>
    <row r="7" spans="1:35" ht="20.100000000000001" customHeight="1" x14ac:dyDescent="0.2">
      <c r="D7" s="104"/>
      <c r="E7" s="104"/>
    </row>
    <row r="8" spans="1:35" ht="20.100000000000001" customHeight="1" x14ac:dyDescent="0.2">
      <c r="A8" s="7" t="s">
        <v>0</v>
      </c>
    </row>
    <row r="9" spans="1:35" ht="20.100000000000001" customHeight="1" x14ac:dyDescent="0.2">
      <c r="A9" s="5" t="str">
        <f>HYPERLINK("#'Input - Enterprise'!A1", "Enterprise")</f>
        <v>Enterprise</v>
      </c>
    </row>
    <row r="10" spans="1:35" ht="20.100000000000001" customHeight="1" x14ac:dyDescent="0.2">
      <c r="A10" s="5" t="str">
        <f>HYPERLINK("#'Input - Site'!A1", "Site")</f>
        <v>Site</v>
      </c>
      <c r="D10" s="77" t="s">
        <v>374</v>
      </c>
      <c r="E10" s="1" t="s">
        <v>1390</v>
      </c>
    </row>
    <row r="11" spans="1:35" ht="20.100000000000001" customHeight="1" x14ac:dyDescent="0.2">
      <c r="A11" s="5" t="str">
        <f>HYPERLINK("#'Input - Pasture Beef'!A1", "Pasture Beef")</f>
        <v>Pasture Beef</v>
      </c>
      <c r="D11" s="77" t="s">
        <v>126</v>
      </c>
      <c r="E11" s="9" t="s">
        <v>1391</v>
      </c>
    </row>
    <row r="12" spans="1:35" ht="20.100000000000001" customHeight="1" x14ac:dyDescent="0.2">
      <c r="A12" s="5" t="str">
        <f>HYPERLINK("#'Input - Livestock sales'!A1", "Livestock sales")</f>
        <v>Livestock sales</v>
      </c>
    </row>
    <row r="13" spans="1:35" ht="20.100000000000001" customHeight="1" x14ac:dyDescent="0.2">
      <c r="A13" s="5" t="str">
        <f>HYPERLINK("#'Input - Beef cattle purchases'!A1", "Beef cattle purchases")</f>
        <v>Beef cattle purchases</v>
      </c>
      <c r="D13" s="106" t="s">
        <v>1332</v>
      </c>
      <c r="E13" s="106" t="s">
        <v>1333</v>
      </c>
      <c r="F13" s="106" t="s">
        <v>653</v>
      </c>
      <c r="G13" s="110" t="s">
        <v>1325</v>
      </c>
      <c r="H13" s="112" t="str" cm="1">
        <f t="array" aca="1" ref="H13" ca="1">HYPERLINK(Common_InputFunctions.Utility_SourceHyperlink(D17), D17)</f>
        <v>M1_Table_W_j_k_l</v>
      </c>
    </row>
    <row r="14" spans="1:35" ht="20.100000000000001" customHeight="1" x14ac:dyDescent="0.2">
      <c r="A14" s="5" t="str">
        <f>HYPERLINK("#'Input - Pasture'!A1", "Pasture")</f>
        <v>Pasture</v>
      </c>
      <c r="D14" s="106" t="s">
        <v>1392</v>
      </c>
      <c r="E14" s="106" t="s">
        <v>1393</v>
      </c>
      <c r="F14" s="106" t="s">
        <v>653</v>
      </c>
      <c r="G14" s="111" t="s">
        <v>1326</v>
      </c>
      <c r="H14" s="112" t="str" cm="1">
        <f t="array" aca="1" ref="H14" ca="1">HYPERLINK(Common_InputFunctions.Utility_SourceHyperlink(D25), D25)</f>
        <v>Table_SRW_k</v>
      </c>
    </row>
    <row r="15" spans="1:35" ht="20.100000000000001" customHeight="1" x14ac:dyDescent="0.2">
      <c r="A15" s="5" t="str">
        <f>HYPERLINK("#'Input - Fert Prod System'!A1", "Fert Prod System")</f>
        <v>Fert Prod System</v>
      </c>
      <c r="D15" s="106" t="s">
        <v>1373</v>
      </c>
      <c r="E15" s="106" t="s">
        <v>1374</v>
      </c>
      <c r="F15" s="106"/>
      <c r="G15" s="110" t="s">
        <v>1325</v>
      </c>
      <c r="H15" s="106" t="str">
        <f>X_Cell_Site_State</f>
        <v>Western Australia</v>
      </c>
    </row>
    <row r="16" spans="1:35" ht="20.100000000000001" customHeight="1" x14ac:dyDescent="0.2">
      <c r="A16" s="5" t="str">
        <f>HYPERLINK("#'Input - Fertiliser'!A1", "Fertiliser")</f>
        <v>Fertiliser</v>
      </c>
    </row>
    <row r="17" spans="1:34" ht="20.100000000000001" customHeight="1" x14ac:dyDescent="0.2">
      <c r="A17" s="5" t="str">
        <f>HYPERLINK("#'Input - Fuel'!A1", "Fuel")</f>
        <v>Fuel</v>
      </c>
      <c r="D17" s="113" t="s">
        <v>391</v>
      </c>
      <c r="U17" s="113" t="s">
        <v>439</v>
      </c>
    </row>
    <row r="18" spans="1:34" ht="20.100000000000001" customHeight="1" x14ac:dyDescent="0.2">
      <c r="A18" s="5" t="str">
        <f>HYPERLINK("#'Input - Electricity'!A1", "Electricity")</f>
        <v>Electricity</v>
      </c>
      <c r="D18" s="114" t="s">
        <v>392</v>
      </c>
      <c r="U18" s="114" t="s">
        <v>390</v>
      </c>
    </row>
    <row r="19" spans="1:34" ht="20.100000000000001" customHeight="1" x14ac:dyDescent="0.2">
      <c r="A19" s="5" t="str">
        <f>HYPERLINK("#'Input - Common farm inputs'!A1", "Common farm inputs")</f>
        <v>Common farm inputs</v>
      </c>
      <c r="D19" s="115" t="s">
        <v>76</v>
      </c>
      <c r="E19" s="82" t="s">
        <v>325</v>
      </c>
      <c r="F19" s="82" t="s">
        <v>189</v>
      </c>
      <c r="G19" s="82" t="s">
        <v>326</v>
      </c>
      <c r="H19" s="82" t="s">
        <v>327</v>
      </c>
      <c r="I19" s="82" t="s">
        <v>328</v>
      </c>
      <c r="J19" s="82" t="s">
        <v>329</v>
      </c>
      <c r="K19" s="82" t="s">
        <v>330</v>
      </c>
      <c r="L19" s="82" t="s">
        <v>331</v>
      </c>
      <c r="M19" s="82" t="s">
        <v>332</v>
      </c>
      <c r="N19" s="82" t="s">
        <v>333</v>
      </c>
      <c r="U19" s="115" t="s">
        <v>75</v>
      </c>
      <c r="V19" s="82" t="s">
        <v>325</v>
      </c>
      <c r="W19" s="82" t="s">
        <v>189</v>
      </c>
      <c r="X19" s="82" t="s">
        <v>326</v>
      </c>
      <c r="Y19" s="82" t="s">
        <v>327</v>
      </c>
      <c r="Z19" s="82" t="s">
        <v>328</v>
      </c>
      <c r="AA19" s="82" t="s">
        <v>329</v>
      </c>
      <c r="AB19" s="82" t="s">
        <v>330</v>
      </c>
      <c r="AC19" s="82" t="s">
        <v>331</v>
      </c>
      <c r="AD19" s="82" t="s">
        <v>332</v>
      </c>
      <c r="AE19" s="82" t="s">
        <v>333</v>
      </c>
      <c r="AF19" s="16"/>
      <c r="AG19" s="16"/>
      <c r="AH19" s="16"/>
    </row>
    <row r="20" spans="1:34" ht="20.100000000000001" customHeight="1" x14ac:dyDescent="0.2">
      <c r="A20" s="5" t="str">
        <f>HYPERLINK("#'Input - Crop pasture farm input'!A1", "Crop pasture farm input")</f>
        <v>Crop pasture farm input</v>
      </c>
      <c r="D20" s="15" t="str">
        <f>INDEX(X_Table_PastureBeef_Liveweight_Method1,2,1)</f>
        <v>Spring</v>
      </c>
      <c r="E20" s="15" cm="1">
        <f t="array" aca="1" ref="E20:N23" ca="1">OFFSET(X_Table_PastureBeef_Liveweight_Method1, 1,1, 4,10)</f>
        <v>340</v>
      </c>
      <c r="F20" s="15">
        <f ca="1"/>
        <v>800</v>
      </c>
      <c r="G20" s="15">
        <f ca="1"/>
        <v>260</v>
      </c>
      <c r="H20" s="15">
        <f ca="1"/>
        <v>420</v>
      </c>
      <c r="I20" s="15">
        <f ca="1"/>
        <v>550</v>
      </c>
      <c r="J20" s="15">
        <f ca="1"/>
        <v>550</v>
      </c>
      <c r="K20" s="15">
        <f ca="1"/>
        <v>300</v>
      </c>
      <c r="L20" s="15">
        <f ca="1"/>
        <v>480</v>
      </c>
      <c r="M20" s="15">
        <f ca="1"/>
        <v>480</v>
      </c>
      <c r="N20" s="15">
        <f ca="1"/>
        <v>480</v>
      </c>
      <c r="O20" s="16" t="s">
        <v>343</v>
      </c>
      <c r="U20" s="15" t="str">
        <f>TEXT(X_Cell_Site_StartDate,"mmmm")</f>
        <v>January</v>
      </c>
      <c r="V20" s="15" cm="1">
        <f t="array" aca="1" ref="V20:AE31" ca="1">OFFSET(X_Table_PastureBeef_Liveweight_Method2, 1,1, 12,10)</f>
        <v>380</v>
      </c>
      <c r="W20" s="15">
        <f ca="1"/>
        <v>780</v>
      </c>
      <c r="X20" s="15">
        <f ca="1"/>
        <v>300</v>
      </c>
      <c r="Y20" s="15">
        <f ca="1"/>
        <v>450</v>
      </c>
      <c r="Z20" s="15">
        <f ca="1"/>
        <v>530</v>
      </c>
      <c r="AA20" s="15">
        <f ca="1"/>
        <v>530</v>
      </c>
      <c r="AB20" s="15">
        <f ca="1"/>
        <v>340</v>
      </c>
      <c r="AC20" s="15">
        <f ca="1"/>
        <v>470</v>
      </c>
      <c r="AD20" s="15">
        <f ca="1"/>
        <v>470</v>
      </c>
      <c r="AE20" s="15">
        <f ca="1"/>
        <v>470</v>
      </c>
      <c r="AF20" s="16" t="s">
        <v>343</v>
      </c>
      <c r="AG20" s="16"/>
      <c r="AH20" s="16"/>
    </row>
    <row r="21" spans="1:34" ht="20.100000000000001" customHeight="1" x14ac:dyDescent="0.2">
      <c r="A21" s="5" t="str">
        <f>HYPERLINK("#'Input - Livestock farm Inputs'!A1", "Livestock farm Inputs")</f>
        <v>Livestock farm Inputs</v>
      </c>
      <c r="D21" s="15" t="str">
        <f>INDEX(X_Table_PastureBeef_Liveweight_Method1,3,1)</f>
        <v>Summer</v>
      </c>
      <c r="E21" s="15">
        <f ca="1"/>
        <v>380</v>
      </c>
      <c r="F21" s="15">
        <f ca="1"/>
        <v>780</v>
      </c>
      <c r="G21" s="15">
        <f ca="1"/>
        <v>300</v>
      </c>
      <c r="H21" s="15">
        <f ca="1"/>
        <v>450</v>
      </c>
      <c r="I21" s="15">
        <f ca="1"/>
        <v>530</v>
      </c>
      <c r="J21" s="15">
        <f ca="1"/>
        <v>530</v>
      </c>
      <c r="K21" s="15">
        <f ca="1"/>
        <v>340</v>
      </c>
      <c r="L21" s="15">
        <f ca="1"/>
        <v>470</v>
      </c>
      <c r="M21" s="15">
        <f ca="1"/>
        <v>470</v>
      </c>
      <c r="N21" s="15">
        <f ca="1"/>
        <v>470</v>
      </c>
      <c r="O21" s="16" t="s">
        <v>343</v>
      </c>
      <c r="U21" s="15" t="str">
        <f>TEXT(EDATE(X_Cell_Site_StartDate,1), "mmmm")</f>
        <v>February</v>
      </c>
      <c r="V21" s="15">
        <f ca="1"/>
        <v>380</v>
      </c>
      <c r="W21" s="15">
        <f ca="1"/>
        <v>780</v>
      </c>
      <c r="X21" s="15">
        <f ca="1"/>
        <v>300</v>
      </c>
      <c r="Y21" s="15">
        <f ca="1"/>
        <v>450</v>
      </c>
      <c r="Z21" s="15">
        <f ca="1"/>
        <v>530</v>
      </c>
      <c r="AA21" s="15">
        <f ca="1"/>
        <v>530</v>
      </c>
      <c r="AB21" s="15">
        <f ca="1"/>
        <v>340</v>
      </c>
      <c r="AC21" s="15">
        <f ca="1"/>
        <v>470</v>
      </c>
      <c r="AD21" s="15">
        <f ca="1"/>
        <v>470</v>
      </c>
      <c r="AE21" s="15">
        <f ca="1"/>
        <v>470</v>
      </c>
      <c r="AF21" s="16" t="s">
        <v>343</v>
      </c>
      <c r="AG21" s="16"/>
      <c r="AH21" s="16"/>
    </row>
    <row r="22" spans="1:34" ht="20.100000000000001" customHeight="1" x14ac:dyDescent="0.2">
      <c r="A22" s="5" t="str">
        <f>HYPERLINK("#'Input - Freight'!A1", "Freight")</f>
        <v>Freight</v>
      </c>
      <c r="D22" s="15" t="str">
        <f>INDEX(X_Table_PastureBeef_Liveweight_Method1,4,1)</f>
        <v>Autumn</v>
      </c>
      <c r="E22" s="15">
        <f ca="1"/>
        <v>100</v>
      </c>
      <c r="F22" s="15">
        <f ca="1"/>
        <v>680</v>
      </c>
      <c r="G22" s="15">
        <f ca="1"/>
        <v>80</v>
      </c>
      <c r="H22" s="15">
        <f ca="1"/>
        <v>320</v>
      </c>
      <c r="I22" s="15">
        <f ca="1"/>
        <v>480</v>
      </c>
      <c r="J22" s="15">
        <f ca="1"/>
        <v>480</v>
      </c>
      <c r="K22" s="15">
        <f ca="1"/>
        <v>100</v>
      </c>
      <c r="L22" s="15">
        <f ca="1"/>
        <v>340</v>
      </c>
      <c r="M22" s="15">
        <f ca="1"/>
        <v>340</v>
      </c>
      <c r="N22" s="15">
        <f ca="1"/>
        <v>340</v>
      </c>
      <c r="O22" s="16" t="s">
        <v>343</v>
      </c>
      <c r="U22" s="15" t="str">
        <f>TEXT(EDATE(X_Cell_Site_StartDate,2), "mmmm")</f>
        <v>March</v>
      </c>
      <c r="V22" s="15">
        <f ca="1"/>
        <v>100</v>
      </c>
      <c r="W22" s="15">
        <f ca="1"/>
        <v>680</v>
      </c>
      <c r="X22" s="15">
        <f ca="1"/>
        <v>80</v>
      </c>
      <c r="Y22" s="15">
        <f ca="1"/>
        <v>320</v>
      </c>
      <c r="Z22" s="15">
        <f ca="1"/>
        <v>480</v>
      </c>
      <c r="AA22" s="15">
        <f ca="1"/>
        <v>480</v>
      </c>
      <c r="AB22" s="15">
        <f ca="1"/>
        <v>100</v>
      </c>
      <c r="AC22" s="15">
        <f ca="1"/>
        <v>340</v>
      </c>
      <c r="AD22" s="15">
        <f ca="1"/>
        <v>340</v>
      </c>
      <c r="AE22" s="15">
        <f ca="1"/>
        <v>340</v>
      </c>
      <c r="AF22" s="16" t="s">
        <v>343</v>
      </c>
      <c r="AG22" s="16"/>
      <c r="AH22" s="16"/>
    </row>
    <row r="23" spans="1:34" ht="20.100000000000001" customHeight="1" x14ac:dyDescent="0.2">
      <c r="A23" s="5" t="str">
        <f>HYPERLINK("#'Input - Solid waste'!A1", "Solid waste")</f>
        <v>Solid waste</v>
      </c>
      <c r="D23" s="15" t="str">
        <f>INDEX(X_Table_PastureBeef_Liveweight_Method1,5,1)</f>
        <v>Winter</v>
      </c>
      <c r="E23" s="15">
        <f ca="1"/>
        <v>190</v>
      </c>
      <c r="F23" s="15">
        <f ca="1"/>
        <v>700</v>
      </c>
      <c r="G23" s="15">
        <f ca="1"/>
        <v>150</v>
      </c>
      <c r="H23" s="15">
        <f ca="1"/>
        <v>330</v>
      </c>
      <c r="I23" s="15">
        <f ca="1"/>
        <v>490</v>
      </c>
      <c r="J23" s="15">
        <f ca="1"/>
        <v>490</v>
      </c>
      <c r="K23" s="15">
        <f ca="1"/>
        <v>170</v>
      </c>
      <c r="L23" s="15">
        <f ca="1"/>
        <v>360</v>
      </c>
      <c r="M23" s="15">
        <f ca="1"/>
        <v>360</v>
      </c>
      <c r="N23" s="15">
        <f ca="1"/>
        <v>360</v>
      </c>
      <c r="O23" s="16" t="s">
        <v>343</v>
      </c>
      <c r="U23" s="15" t="str">
        <f>TEXT(EDATE(X_Cell_Site_StartDate,3), "mmmm")</f>
        <v>April</v>
      </c>
      <c r="V23" s="15">
        <f ca="1"/>
        <v>100</v>
      </c>
      <c r="W23" s="15">
        <f ca="1"/>
        <v>680</v>
      </c>
      <c r="X23" s="15">
        <f ca="1"/>
        <v>80</v>
      </c>
      <c r="Y23" s="15">
        <f ca="1"/>
        <v>320</v>
      </c>
      <c r="Z23" s="15">
        <f ca="1"/>
        <v>480</v>
      </c>
      <c r="AA23" s="15">
        <f ca="1"/>
        <v>480</v>
      </c>
      <c r="AB23" s="15">
        <f ca="1"/>
        <v>100</v>
      </c>
      <c r="AC23" s="15">
        <f ca="1"/>
        <v>340</v>
      </c>
      <c r="AD23" s="15">
        <f ca="1"/>
        <v>340</v>
      </c>
      <c r="AE23" s="15">
        <f ca="1"/>
        <v>340</v>
      </c>
      <c r="AF23" s="16" t="s">
        <v>343</v>
      </c>
      <c r="AG23" s="16"/>
      <c r="AH23" s="16"/>
    </row>
    <row r="24" spans="1:34" ht="20.100000000000001" customHeight="1" x14ac:dyDescent="0.2">
      <c r="A24" s="5" t="str">
        <f>HYPERLINK("#'Input - Manure sent off-site'!A1", "Manure sent off-site")</f>
        <v>Manure sent off-site</v>
      </c>
      <c r="U24" s="15" t="str">
        <f>TEXT(EDATE(X_Cell_Site_StartDate,4), "mmmm")</f>
        <v>May</v>
      </c>
      <c r="V24" s="15">
        <f ca="1"/>
        <v>100</v>
      </c>
      <c r="W24" s="15">
        <f ca="1"/>
        <v>680</v>
      </c>
      <c r="X24" s="15">
        <f ca="1"/>
        <v>80</v>
      </c>
      <c r="Y24" s="15">
        <f ca="1"/>
        <v>320</v>
      </c>
      <c r="Z24" s="15">
        <f ca="1"/>
        <v>480</v>
      </c>
      <c r="AA24" s="15">
        <f ca="1"/>
        <v>480</v>
      </c>
      <c r="AB24" s="15">
        <f ca="1"/>
        <v>100</v>
      </c>
      <c r="AC24" s="15">
        <f ca="1"/>
        <v>340</v>
      </c>
      <c r="AD24" s="15">
        <f ca="1"/>
        <v>340</v>
      </c>
      <c r="AE24" s="15">
        <f ca="1"/>
        <v>340</v>
      </c>
      <c r="AF24" s="16" t="s">
        <v>343</v>
      </c>
      <c r="AG24" s="16"/>
      <c r="AH24" s="16"/>
    </row>
    <row r="25" spans="1:34" ht="20.100000000000001" customHeight="1" x14ac:dyDescent="0.2">
      <c r="A25" s="5" t="str">
        <f>HYPERLINK("#'Input - Data quality'!A1", "Data quality")</f>
        <v>Data quality</v>
      </c>
      <c r="D25" s="113" t="s">
        <v>440</v>
      </c>
      <c r="U25" s="15" t="str">
        <f>TEXT(EDATE(X_Cell_Site_StartDate,5), "mmmm")</f>
        <v>June</v>
      </c>
      <c r="V25" s="15">
        <f ca="1"/>
        <v>190</v>
      </c>
      <c r="W25" s="15">
        <f ca="1"/>
        <v>700</v>
      </c>
      <c r="X25" s="15">
        <f ca="1"/>
        <v>150</v>
      </c>
      <c r="Y25" s="15">
        <f ca="1"/>
        <v>330</v>
      </c>
      <c r="Z25" s="15">
        <f ca="1"/>
        <v>490</v>
      </c>
      <c r="AA25" s="15">
        <f ca="1"/>
        <v>490</v>
      </c>
      <c r="AB25" s="15">
        <f ca="1"/>
        <v>170</v>
      </c>
      <c r="AC25" s="15">
        <f ca="1"/>
        <v>360</v>
      </c>
      <c r="AD25" s="15">
        <f ca="1"/>
        <v>360</v>
      </c>
      <c r="AE25" s="15">
        <f ca="1"/>
        <v>360</v>
      </c>
      <c r="AF25" s="16" t="s">
        <v>343</v>
      </c>
      <c r="AG25" s="16"/>
      <c r="AH25" s="16"/>
    </row>
    <row r="26" spans="1:34" ht="20.100000000000001" customHeight="1" x14ac:dyDescent="0.2">
      <c r="D26" s="114" t="s">
        <v>441</v>
      </c>
      <c r="U26" s="15" t="str">
        <f>TEXT(EDATE(X_Cell_Site_StartDate,6), "mmmm")</f>
        <v>July</v>
      </c>
      <c r="V26" s="15">
        <f ca="1"/>
        <v>190</v>
      </c>
      <c r="W26" s="15">
        <f ca="1"/>
        <v>700</v>
      </c>
      <c r="X26" s="15">
        <f ca="1"/>
        <v>150</v>
      </c>
      <c r="Y26" s="15">
        <f ca="1"/>
        <v>330</v>
      </c>
      <c r="Z26" s="15">
        <f ca="1"/>
        <v>490</v>
      </c>
      <c r="AA26" s="15">
        <f ca="1"/>
        <v>490</v>
      </c>
      <c r="AB26" s="15">
        <f ca="1"/>
        <v>170</v>
      </c>
      <c r="AC26" s="15">
        <f ca="1"/>
        <v>360</v>
      </c>
      <c r="AD26" s="15">
        <f ca="1"/>
        <v>360</v>
      </c>
      <c r="AE26" s="15">
        <f ca="1"/>
        <v>360</v>
      </c>
      <c r="AF26" s="16" t="s">
        <v>343</v>
      </c>
      <c r="AG26" s="16"/>
      <c r="AH26" s="16"/>
    </row>
    <row r="27" spans="1:34" ht="20.100000000000001" customHeight="1" x14ac:dyDescent="0.2">
      <c r="D27" s="115" t="s">
        <v>325</v>
      </c>
      <c r="E27" s="115" t="s">
        <v>189</v>
      </c>
      <c r="F27" s="115" t="s">
        <v>326</v>
      </c>
      <c r="G27" s="115" t="s">
        <v>327</v>
      </c>
      <c r="H27" s="115" t="s">
        <v>328</v>
      </c>
      <c r="I27" s="115" t="s">
        <v>329</v>
      </c>
      <c r="J27" s="115" t="s">
        <v>330</v>
      </c>
      <c r="K27" s="115" t="s">
        <v>331</v>
      </c>
      <c r="L27" s="115" t="s">
        <v>332</v>
      </c>
      <c r="M27" s="115" t="s">
        <v>333</v>
      </c>
      <c r="U27" s="15" t="str">
        <f>TEXT(EDATE(X_Cell_Site_StartDate,7), "mmmm")</f>
        <v>August</v>
      </c>
      <c r="V27" s="15">
        <f ca="1"/>
        <v>190</v>
      </c>
      <c r="W27" s="15">
        <f ca="1"/>
        <v>700</v>
      </c>
      <c r="X27" s="15">
        <f ca="1"/>
        <v>150</v>
      </c>
      <c r="Y27" s="15">
        <f ca="1"/>
        <v>330</v>
      </c>
      <c r="Z27" s="15">
        <f ca="1"/>
        <v>490</v>
      </c>
      <c r="AA27" s="15">
        <f ca="1"/>
        <v>490</v>
      </c>
      <c r="AB27" s="15">
        <f ca="1"/>
        <v>170</v>
      </c>
      <c r="AC27" s="15">
        <f ca="1"/>
        <v>360</v>
      </c>
      <c r="AD27" s="15">
        <f ca="1"/>
        <v>360</v>
      </c>
      <c r="AE27" s="15">
        <f ca="1"/>
        <v>360</v>
      </c>
      <c r="AF27" s="16" t="s">
        <v>343</v>
      </c>
      <c r="AG27" s="16"/>
      <c r="AH27" s="16"/>
    </row>
    <row r="28" spans="1:34" ht="20.100000000000001" customHeight="1" x14ac:dyDescent="0.2">
      <c r="A28" s="6" t="s">
        <v>2</v>
      </c>
      <c r="D28" s="15">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abbreviation],Table_SourceData_PastureBeef_StandardReferenceWeightsExpanded[#Headers],Table_SourceData_PastureBeef_StandardReferenceWeightsExpanded[#Data])</f>
        <v>770</v>
      </c>
      <c r="E28" s="15">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abbreviation],Table_SourceData_PastureBeef_StandardReferenceWeightsExpanded[#Headers],Table_SourceData_PastureBeef_StandardReferenceWeightsExpanded[#Data])</f>
        <v>770</v>
      </c>
      <c r="F28" s="15">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abbreviation],Table_SourceData_PastureBeef_StandardReferenceWeightsExpanded[#Headers],Table_SourceData_PastureBeef_StandardReferenceWeightsExpanded[#Data])</f>
        <v>550</v>
      </c>
      <c r="G28" s="15">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abbreviation],Table_SourceData_PastureBeef_StandardReferenceWeightsExpanded[#Headers],Table_SourceData_PastureBeef_StandardReferenceWeightsExpanded[#Data])</f>
        <v>550</v>
      </c>
      <c r="H28" s="15">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abbreviation],Table_SourceData_PastureBeef_StandardReferenceWeightsExpanded[#Headers],Table_SourceData_PastureBeef_StandardReferenceWeightsExpanded[#Data])</f>
        <v>550</v>
      </c>
      <c r="I28" s="15">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abbreviation],Table_SourceData_PastureBeef_StandardReferenceWeightsExpanded[#Headers],Table_SourceData_PastureBeef_StandardReferenceWeightsExpanded[#Data])</f>
        <v>550</v>
      </c>
      <c r="J28" s="15">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abbreviation],Table_SourceData_PastureBeef_StandardReferenceWeightsExpanded[#Headers],Table_SourceData_PastureBeef_StandardReferenceWeightsExpanded[#Data])</f>
        <v>660</v>
      </c>
      <c r="K28" s="15">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abbreviation],Table_SourceData_PastureBeef_StandardReferenceWeightsExpanded[#Headers],Table_SourceData_PastureBeef_StandardReferenceWeightsExpanded[#Data])</f>
        <v>660</v>
      </c>
      <c r="L28" s="15">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abbreviation],Table_SourceData_PastureBeef_StandardReferenceWeightsExpanded[#Headers],Table_SourceData_PastureBeef_StandardReferenceWeightsExpanded[#Data])</f>
        <v>660</v>
      </c>
      <c r="M28" s="15">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abbreviation],Table_SourceData_PastureBeef_StandardReferenceWeightsExpanded[#Headers],Table_SourceData_PastureBeef_StandardReferenceWeightsExpanded[#Data])</f>
        <v>660</v>
      </c>
      <c r="N28" s="16" t="s">
        <v>343</v>
      </c>
      <c r="U28" s="15" t="str">
        <f>TEXT(EDATE(X_Cell_Site_StartDate,8), "mmmm")</f>
        <v>September</v>
      </c>
      <c r="V28" s="15">
        <f ca="1"/>
        <v>340</v>
      </c>
      <c r="W28" s="15">
        <f ca="1"/>
        <v>800</v>
      </c>
      <c r="X28" s="15">
        <f ca="1"/>
        <v>260</v>
      </c>
      <c r="Y28" s="15">
        <f ca="1"/>
        <v>420</v>
      </c>
      <c r="Z28" s="15">
        <f ca="1"/>
        <v>550</v>
      </c>
      <c r="AA28" s="15">
        <f ca="1"/>
        <v>550</v>
      </c>
      <c r="AB28" s="15">
        <f ca="1"/>
        <v>300</v>
      </c>
      <c r="AC28" s="15">
        <f ca="1"/>
        <v>480</v>
      </c>
      <c r="AD28" s="15">
        <f ca="1"/>
        <v>480</v>
      </c>
      <c r="AE28" s="15">
        <f ca="1"/>
        <v>480</v>
      </c>
      <c r="AF28" s="16" t="s">
        <v>343</v>
      </c>
      <c r="AG28" s="16"/>
      <c r="AH28" s="16"/>
    </row>
    <row r="29" spans="1:34" ht="20.100000000000001" customHeight="1" x14ac:dyDescent="0.2">
      <c r="A29" s="5" t="str">
        <f>HYPERLINK("#'3.2.1.1-2 Enteric Methane'!A1", "3.2.1.1-2 Enteric Methane")</f>
        <v>3.2.1.1-2 Enteric Methane</v>
      </c>
      <c r="U29" s="15" t="str">
        <f>TEXT(EDATE(X_Cell_Site_StartDate,9), "mmmm")</f>
        <v>October</v>
      </c>
      <c r="V29" s="15">
        <f ca="1"/>
        <v>340</v>
      </c>
      <c r="W29" s="15">
        <f ca="1"/>
        <v>800</v>
      </c>
      <c r="X29" s="15">
        <f ca="1"/>
        <v>260</v>
      </c>
      <c r="Y29" s="15">
        <f ca="1"/>
        <v>420</v>
      </c>
      <c r="Z29" s="15">
        <f ca="1"/>
        <v>550</v>
      </c>
      <c r="AA29" s="15">
        <f ca="1"/>
        <v>550</v>
      </c>
      <c r="AB29" s="15">
        <f ca="1"/>
        <v>300</v>
      </c>
      <c r="AC29" s="15">
        <f ca="1"/>
        <v>480</v>
      </c>
      <c r="AD29" s="15">
        <f ca="1"/>
        <v>480</v>
      </c>
      <c r="AE29" s="15">
        <f ca="1"/>
        <v>480</v>
      </c>
      <c r="AF29" s="16" t="s">
        <v>343</v>
      </c>
      <c r="AG29" s="16"/>
      <c r="AH29" s="16"/>
    </row>
    <row r="30" spans="1:34" ht="20.100000000000001" customHeight="1" x14ac:dyDescent="0.2">
      <c r="A30" s="5" t="str">
        <f>HYPERLINK("#'4.2.1.1-2 Methane'!A1", "4.2.1.1-2 Manure methane")</f>
        <v>4.2.1.1-2 Manure methane</v>
      </c>
      <c r="D30" s="113" t="s">
        <v>442</v>
      </c>
      <c r="U30" s="15" t="str">
        <f>TEXT(EDATE(X_Cell_Site_StartDate,10), "mmmm")</f>
        <v>November</v>
      </c>
      <c r="V30" s="15">
        <f ca="1"/>
        <v>340</v>
      </c>
      <c r="W30" s="15">
        <f ca="1"/>
        <v>800</v>
      </c>
      <c r="X30" s="15">
        <f ca="1"/>
        <v>260</v>
      </c>
      <c r="Y30" s="15">
        <f ca="1"/>
        <v>420</v>
      </c>
      <c r="Z30" s="15">
        <f ca="1"/>
        <v>550</v>
      </c>
      <c r="AA30" s="15">
        <f ca="1"/>
        <v>550</v>
      </c>
      <c r="AB30" s="15">
        <f ca="1"/>
        <v>300</v>
      </c>
      <c r="AC30" s="15">
        <f ca="1"/>
        <v>480</v>
      </c>
      <c r="AD30" s="15">
        <f ca="1"/>
        <v>480</v>
      </c>
      <c r="AE30" s="15">
        <f ca="1"/>
        <v>480</v>
      </c>
      <c r="AF30" s="16" t="s">
        <v>343</v>
      </c>
      <c r="AG30" s="16"/>
      <c r="AH30" s="16"/>
    </row>
    <row r="31" spans="1:34" ht="20.100000000000001" customHeight="1" x14ac:dyDescent="0.2">
      <c r="A31" s="105" t="str">
        <f>HYPERLINK("#'4.2.1.3-4 Soil direct N20'!A1", "4.2.1.3-4 Soil direct N2O")</f>
        <v>4.2.1.3-4 Soil direct N2O</v>
      </c>
      <c r="D31" s="114" t="s">
        <v>443</v>
      </c>
      <c r="U31" s="15" t="str">
        <f>TEXT(EDATE(X_Cell_Site_StartDate,11), "mmmm")</f>
        <v>December</v>
      </c>
      <c r="V31" s="15">
        <f ca="1"/>
        <v>380</v>
      </c>
      <c r="W31" s="15">
        <f ca="1"/>
        <v>780</v>
      </c>
      <c r="X31" s="15">
        <f ca="1"/>
        <v>300</v>
      </c>
      <c r="Y31" s="15">
        <f ca="1"/>
        <v>450</v>
      </c>
      <c r="Z31" s="15">
        <f ca="1"/>
        <v>530</v>
      </c>
      <c r="AA31" s="15">
        <f ca="1"/>
        <v>530</v>
      </c>
      <c r="AB31" s="15">
        <f ca="1"/>
        <v>340</v>
      </c>
      <c r="AC31" s="15">
        <f ca="1"/>
        <v>470</v>
      </c>
      <c r="AD31" s="15">
        <f ca="1"/>
        <v>470</v>
      </c>
      <c r="AE31" s="15">
        <f ca="1"/>
        <v>470</v>
      </c>
      <c r="AF31" s="16" t="s">
        <v>343</v>
      </c>
      <c r="AG31" s="16"/>
      <c r="AH31" s="16"/>
    </row>
    <row r="32" spans="1:34" ht="20.100000000000001" customHeight="1" x14ac:dyDescent="0.2">
      <c r="A32" s="5" t="str">
        <f>HYPERLINK("#'4.2.1.5-6 Soil Atmos Dep'!A1", "4.2.1.5-6 Soil atm. deposition")</f>
        <v>4.2.1.5-6 Soil atm. deposition</v>
      </c>
      <c r="D32" s="115" t="s">
        <v>76</v>
      </c>
      <c r="E32" s="115" t="s">
        <v>325</v>
      </c>
      <c r="F32" s="115" t="s">
        <v>189</v>
      </c>
      <c r="G32" s="115" t="s">
        <v>326</v>
      </c>
      <c r="H32" s="115" t="s">
        <v>327</v>
      </c>
      <c r="I32" s="115" t="s">
        <v>328</v>
      </c>
      <c r="J32" s="115" t="s">
        <v>329</v>
      </c>
      <c r="K32" s="115" t="s">
        <v>330</v>
      </c>
      <c r="L32" s="115" t="s">
        <v>331</v>
      </c>
      <c r="M32" s="115" t="s">
        <v>332</v>
      </c>
      <c r="N32" s="115" t="s">
        <v>333</v>
      </c>
    </row>
    <row r="33" spans="1:34" ht="20.100000000000001" customHeight="1" x14ac:dyDescent="0.2">
      <c r="A33" s="5" t="str">
        <f>HYPERLINK("#'4.2.1.7-8 Soil leach runoff'!A1", "4.2.1.7-8 Soil leach &amp; runoff")</f>
        <v>4.2.1.7-8 Soil leach &amp; runoff</v>
      </c>
      <c r="D33" s="15" t="str">
        <f>INDEX(X_Table_PastureBeef_Liveweight_Method1,2,1)</f>
        <v>Spring</v>
      </c>
      <c r="E33" s="15">
        <f ca="1">(E20 / D$28)</f>
        <v>0.44155844155844154</v>
      </c>
      <c r="F33" s="15">
        <f ca="1">(F20 / E$28)</f>
        <v>1.0389610389610389</v>
      </c>
      <c r="G33" s="15">
        <f ca="1">(G20 / F$28)</f>
        <v>0.47272727272727272</v>
      </c>
      <c r="H33" s="15">
        <f ca="1">(H20 / G$28)</f>
        <v>0.76363636363636367</v>
      </c>
      <c r="I33" s="15">
        <f ca="1">(I20 / H$28)</f>
        <v>1</v>
      </c>
      <c r="J33" s="15">
        <f ca="1">(J20 / I$28)</f>
        <v>1</v>
      </c>
      <c r="K33" s="15">
        <f ca="1">(K20 / J$28)</f>
        <v>0.45454545454545453</v>
      </c>
      <c r="L33" s="15">
        <f ca="1">(L20 / K$28)</f>
        <v>0.72727272727272729</v>
      </c>
      <c r="M33" s="15">
        <f ca="1">(M20 / L$28)</f>
        <v>0.72727272727272729</v>
      </c>
      <c r="N33" s="15">
        <f ca="1">(N20 / M$28)</f>
        <v>0.72727272727272729</v>
      </c>
      <c r="O33" s="16" t="str">
        <f>$E$11</f>
        <v>ratio</v>
      </c>
      <c r="U33" s="113" t="s">
        <v>444</v>
      </c>
    </row>
    <row r="34" spans="1:34" ht="20.100000000000001" customHeight="1" x14ac:dyDescent="0.2">
      <c r="A34" s="5" t="str">
        <f>HYPERLINK("#'5.1.1.1-2 Inorganic fert N2O'!A1", "5.1.1.1-2 Inorganic fert N2O")</f>
        <v>5.1.1.1-2 Inorganic fert N2O</v>
      </c>
      <c r="D34" s="15" t="str">
        <f>INDEX(X_Table_PastureBeef_Liveweight_Method1,3,1)</f>
        <v>Summer</v>
      </c>
      <c r="E34" s="15">
        <f ca="1">(E21 / D$28)</f>
        <v>0.4935064935064935</v>
      </c>
      <c r="F34" s="15">
        <f ca="1">(F21 / E$28)</f>
        <v>1.0129870129870129</v>
      </c>
      <c r="G34" s="15">
        <f ca="1">(G21 / F$28)</f>
        <v>0.54545454545454541</v>
      </c>
      <c r="H34" s="15">
        <f ca="1">(H21 / G$28)</f>
        <v>0.81818181818181823</v>
      </c>
      <c r="I34" s="15">
        <f ca="1">(I21 / H$28)</f>
        <v>0.96363636363636362</v>
      </c>
      <c r="J34" s="15">
        <f ca="1">(J21 / I$28)</f>
        <v>0.96363636363636362</v>
      </c>
      <c r="K34" s="15">
        <f ca="1">(K21 / J$28)</f>
        <v>0.51515151515151514</v>
      </c>
      <c r="L34" s="15">
        <f ca="1">(L21 / K$28)</f>
        <v>0.71212121212121215</v>
      </c>
      <c r="M34" s="15">
        <f ca="1">(M21 / L$28)</f>
        <v>0.71212121212121215</v>
      </c>
      <c r="N34" s="15">
        <f ca="1">(N21 / M$28)</f>
        <v>0.71212121212121215</v>
      </c>
      <c r="O34" s="16" t="str">
        <f t="shared" ref="O34:O36" si="0">$E$11</f>
        <v>ratio</v>
      </c>
      <c r="U34" s="114" t="s">
        <v>445</v>
      </c>
    </row>
    <row r="35" spans="1:34" ht="20.100000000000001" customHeight="1" x14ac:dyDescent="0.2">
      <c r="A35" s="5" t="str">
        <f>HYPERLINK("#'5.1.1.3-4 Inorganic fert CO2'!A1", "5.1.1.3-4 Inorganic fert CO2")</f>
        <v>5.1.1.3-4 Inorganic fert CO2</v>
      </c>
      <c r="D35" s="15" t="str">
        <f>INDEX(X_Table_PastureBeef_Liveweight_Method1,4,1)</f>
        <v>Autumn</v>
      </c>
      <c r="E35" s="15">
        <f ca="1">(E22 / D$28)</f>
        <v>0.12987012987012986</v>
      </c>
      <c r="F35" s="15">
        <f ca="1">(F22 / E$28)</f>
        <v>0.88311688311688308</v>
      </c>
      <c r="G35" s="15">
        <f ca="1">(G22 / F$28)</f>
        <v>0.14545454545454545</v>
      </c>
      <c r="H35" s="15">
        <f ca="1">(H22 / G$28)</f>
        <v>0.58181818181818179</v>
      </c>
      <c r="I35" s="15">
        <f ca="1">(I22 / H$28)</f>
        <v>0.87272727272727268</v>
      </c>
      <c r="J35" s="15">
        <f ca="1">(J22 / I$28)</f>
        <v>0.87272727272727268</v>
      </c>
      <c r="K35" s="15">
        <f ca="1">(K22 / J$28)</f>
        <v>0.15151515151515152</v>
      </c>
      <c r="L35" s="15">
        <f ca="1">(L22 / K$28)</f>
        <v>0.51515151515151514</v>
      </c>
      <c r="M35" s="15">
        <f ca="1">(M22 / L$28)</f>
        <v>0.51515151515151514</v>
      </c>
      <c r="N35" s="15">
        <f ca="1">(N22 / M$28)</f>
        <v>0.51515151515151514</v>
      </c>
      <c r="O35" s="16" t="str">
        <f t="shared" si="0"/>
        <v>ratio</v>
      </c>
      <c r="U35" s="115" t="s">
        <v>75</v>
      </c>
      <c r="V35" s="115" t="s">
        <v>325</v>
      </c>
      <c r="W35" s="115" t="s">
        <v>189</v>
      </c>
      <c r="X35" s="115" t="s">
        <v>326</v>
      </c>
      <c r="Y35" s="115" t="s">
        <v>327</v>
      </c>
      <c r="Z35" s="115" t="s">
        <v>328</v>
      </c>
      <c r="AA35" s="115" t="s">
        <v>329</v>
      </c>
      <c r="AB35" s="115" t="s">
        <v>330</v>
      </c>
      <c r="AC35" s="115" t="s">
        <v>331</v>
      </c>
      <c r="AD35" s="115" t="s">
        <v>332</v>
      </c>
      <c r="AE35" s="115" t="s">
        <v>333</v>
      </c>
      <c r="AF35" s="16"/>
      <c r="AG35" s="16"/>
      <c r="AH35" s="16"/>
    </row>
    <row r="36" spans="1:34" ht="20.100000000000001" customHeight="1" x14ac:dyDescent="0.2">
      <c r="A36" s="5" t="str">
        <f>HYPERLINK("#'5.2.1.1-2 Organic Fert N2O'!A1", "5.2.1.1-2 Organic fert N2O")</f>
        <v>5.2.1.1-2 Organic fert N2O</v>
      </c>
      <c r="D36" s="15" t="str">
        <f>INDEX(X_Table_PastureBeef_Liveweight_Method1,5,1)</f>
        <v>Winter</v>
      </c>
      <c r="E36" s="15">
        <f ca="1">(E23 / D$28)</f>
        <v>0.24675324675324675</v>
      </c>
      <c r="F36" s="15">
        <f ca="1">(F23 / E$28)</f>
        <v>0.90909090909090906</v>
      </c>
      <c r="G36" s="15">
        <f ca="1">(G23 / F$28)</f>
        <v>0.27272727272727271</v>
      </c>
      <c r="H36" s="15">
        <f ca="1">(H23 / G$28)</f>
        <v>0.6</v>
      </c>
      <c r="I36" s="15">
        <f ca="1">(I23 / H$28)</f>
        <v>0.89090909090909087</v>
      </c>
      <c r="J36" s="15">
        <f ca="1">(J23 / I$28)</f>
        <v>0.89090909090909087</v>
      </c>
      <c r="K36" s="15">
        <f ca="1">(K23 / J$28)</f>
        <v>0.25757575757575757</v>
      </c>
      <c r="L36" s="15">
        <f ca="1">(L23 / K$28)</f>
        <v>0.54545454545454541</v>
      </c>
      <c r="M36" s="15">
        <f ca="1">(M23 / L$28)</f>
        <v>0.54545454545454541</v>
      </c>
      <c r="N36" s="15">
        <f ca="1">(N23 / M$28)</f>
        <v>0.54545454545454541</v>
      </c>
      <c r="O36" s="16" t="str">
        <f t="shared" si="0"/>
        <v>ratio</v>
      </c>
      <c r="U36" s="15" t="str">
        <f>TEXT(X_Cell_Site_StartDate,"mmmm")</f>
        <v>January</v>
      </c>
      <c r="V36" s="15">
        <f ca="1">(V20 / D$28)</f>
        <v>0.4935064935064935</v>
      </c>
      <c r="W36" s="15">
        <f ca="1">(W20 / E$28)</f>
        <v>1.0129870129870129</v>
      </c>
      <c r="X36" s="15">
        <f ca="1">(X20 / F$28)</f>
        <v>0.54545454545454541</v>
      </c>
      <c r="Y36" s="15">
        <f ca="1">(Y20 / G$28)</f>
        <v>0.81818181818181823</v>
      </c>
      <c r="Z36" s="15">
        <f ca="1">(Z20 / H$28)</f>
        <v>0.96363636363636362</v>
      </c>
      <c r="AA36" s="15">
        <f ca="1">(AA20 / I$28)</f>
        <v>0.96363636363636362</v>
      </c>
      <c r="AB36" s="15">
        <f ca="1">(AB20 / J$28)</f>
        <v>0.51515151515151514</v>
      </c>
      <c r="AC36" s="15">
        <f ca="1">(AC20 / K$28)</f>
        <v>0.71212121212121215</v>
      </c>
      <c r="AD36" s="15">
        <f ca="1">(AD20 / L$28)</f>
        <v>0.71212121212121215</v>
      </c>
      <c r="AE36" s="15">
        <f ca="1">(AE20 / M$28)</f>
        <v>0.71212121212121215</v>
      </c>
      <c r="AF36" s="16" t="str">
        <f t="shared" ref="AF36:AF47" si="1">$E$11</f>
        <v>ratio</v>
      </c>
      <c r="AG36" s="16"/>
      <c r="AH36" s="16"/>
    </row>
    <row r="37" spans="1:34" ht="20.100000000000001" customHeight="1" x14ac:dyDescent="0.2">
      <c r="A37" s="5" t="str">
        <f>HYPERLINK("#'5.3.1.1-2 Lime CO2'!A1", "5.3.1.1-2 Lime CO2")</f>
        <v>5.3.1.1-2 Lime CO2</v>
      </c>
      <c r="U37" s="15" t="str">
        <f>TEXT(EDATE(X_Cell_Site_StartDate,1), "mmmm")</f>
        <v>February</v>
      </c>
      <c r="V37" s="15">
        <f ca="1">(V21 / D$28)</f>
        <v>0.4935064935064935</v>
      </c>
      <c r="W37" s="15">
        <f ca="1">(W21 / E$28)</f>
        <v>1.0129870129870129</v>
      </c>
      <c r="X37" s="15">
        <f ca="1">(X21 / F$28)</f>
        <v>0.54545454545454541</v>
      </c>
      <c r="Y37" s="15">
        <f ca="1">(Y21 / G$28)</f>
        <v>0.81818181818181823</v>
      </c>
      <c r="Z37" s="15">
        <f ca="1">(Z21 / H$28)</f>
        <v>0.96363636363636362</v>
      </c>
      <c r="AA37" s="15">
        <f ca="1">(AA21 / I$28)</f>
        <v>0.96363636363636362</v>
      </c>
      <c r="AB37" s="15">
        <f ca="1">(AB21 / J$28)</f>
        <v>0.51515151515151514</v>
      </c>
      <c r="AC37" s="15">
        <f ca="1">(AC21 / K$28)</f>
        <v>0.71212121212121215</v>
      </c>
      <c r="AD37" s="15">
        <f ca="1">(AD21 / L$28)</f>
        <v>0.71212121212121215</v>
      </c>
      <c r="AE37" s="15">
        <f ca="1">(AE21 / M$28)</f>
        <v>0.71212121212121215</v>
      </c>
      <c r="AF37" s="16" t="str">
        <f t="shared" si="1"/>
        <v>ratio</v>
      </c>
      <c r="AG37" s="16"/>
      <c r="AH37" s="16"/>
    </row>
    <row r="38" spans="1:34" ht="20.100000000000001" customHeight="1" x14ac:dyDescent="0.2">
      <c r="A38" s="5" t="str">
        <f>HYPERLINK("#'5.4.1.1-4 Atmos deposition'!A1", "5.4.1.1-4 Atmos. deposition")</f>
        <v>5.4.1.1-4 Atmos. deposition</v>
      </c>
      <c r="U38" s="15" t="str">
        <f>TEXT(EDATE(X_Cell_Site_StartDate,2), "mmmm")</f>
        <v>March</v>
      </c>
      <c r="V38" s="15">
        <f ca="1">(V22 / D$28)</f>
        <v>0.12987012987012986</v>
      </c>
      <c r="W38" s="15">
        <f ca="1">(W22 / E$28)</f>
        <v>0.88311688311688308</v>
      </c>
      <c r="X38" s="15">
        <f ca="1">(X22 / F$28)</f>
        <v>0.14545454545454545</v>
      </c>
      <c r="Y38" s="15">
        <f ca="1">(Y22 / G$28)</f>
        <v>0.58181818181818179</v>
      </c>
      <c r="Z38" s="15">
        <f ca="1">(Z22 / H$28)</f>
        <v>0.87272727272727268</v>
      </c>
      <c r="AA38" s="15">
        <f ca="1">(AA22 / I$28)</f>
        <v>0.87272727272727268</v>
      </c>
      <c r="AB38" s="15">
        <f ca="1">(AB22 / J$28)</f>
        <v>0.15151515151515152</v>
      </c>
      <c r="AC38" s="15">
        <f ca="1">(AC22 / K$28)</f>
        <v>0.51515151515151514</v>
      </c>
      <c r="AD38" s="15">
        <f ca="1">(AD22 / L$28)</f>
        <v>0.51515151515151514</v>
      </c>
      <c r="AE38" s="15">
        <f ca="1">(AE22 / M$28)</f>
        <v>0.51515151515151514</v>
      </c>
      <c r="AF38" s="16" t="str">
        <f t="shared" si="1"/>
        <v>ratio</v>
      </c>
      <c r="AG38" s="16"/>
      <c r="AH38" s="16"/>
    </row>
    <row r="39" spans="1:34" ht="20.100000000000001" customHeight="1" x14ac:dyDescent="0.2">
      <c r="A39" s="5" t="str">
        <f>HYPERLINK("#'5.5.1.1-2 Leaching and runoff'!A1", "5.5.1.1-2 Leaching &amp; runoff")</f>
        <v>5.5.1.1-2 Leaching &amp; runoff</v>
      </c>
      <c r="C39" s="88"/>
      <c r="D39" s="88"/>
      <c r="E39" s="88"/>
      <c r="F39" s="88"/>
      <c r="G39" s="88"/>
      <c r="H39" s="88"/>
      <c r="I39" s="88"/>
      <c r="J39" s="88"/>
      <c r="K39" s="88"/>
      <c r="L39" s="88"/>
      <c r="M39" s="88"/>
      <c r="N39" s="88"/>
      <c r="O39" s="88"/>
      <c r="P39" s="88"/>
      <c r="Q39" s="88"/>
      <c r="R39" s="88"/>
      <c r="U39" s="15" t="str">
        <f>TEXT(EDATE(X_Cell_Site_StartDate,3), "mmmm")</f>
        <v>April</v>
      </c>
      <c r="V39" s="15">
        <f ca="1">(V23 / D$28)</f>
        <v>0.12987012987012986</v>
      </c>
      <c r="W39" s="15">
        <f ca="1">(W23 / E$28)</f>
        <v>0.88311688311688308</v>
      </c>
      <c r="X39" s="15">
        <f ca="1">(X23 / F$28)</f>
        <v>0.14545454545454545</v>
      </c>
      <c r="Y39" s="15">
        <f ca="1">(Y23 / G$28)</f>
        <v>0.58181818181818179</v>
      </c>
      <c r="Z39" s="15">
        <f ca="1">(Z23 / H$28)</f>
        <v>0.87272727272727268</v>
      </c>
      <c r="AA39" s="15">
        <f ca="1">(AA23 / I$28)</f>
        <v>0.87272727272727268</v>
      </c>
      <c r="AB39" s="15">
        <f ca="1">(AB23 / J$28)</f>
        <v>0.15151515151515152</v>
      </c>
      <c r="AC39" s="15">
        <f ca="1">(AC23 / K$28)</f>
        <v>0.51515151515151514</v>
      </c>
      <c r="AD39" s="15">
        <f ca="1">(AD23 / L$28)</f>
        <v>0.51515151515151514</v>
      </c>
      <c r="AE39" s="15">
        <f ca="1">(AE23 / M$28)</f>
        <v>0.51515151515151514</v>
      </c>
      <c r="AF39" s="16" t="str">
        <f t="shared" si="1"/>
        <v>ratio</v>
      </c>
      <c r="AG39" s="16"/>
      <c r="AH39" s="16"/>
    </row>
    <row r="40" spans="1:34" ht="20.100000000000001" customHeight="1" x14ac:dyDescent="0.2">
      <c r="A40" s="5" t="str">
        <f>HYPERLINK("#'6.2.1.1-2 Pasture residue N2O'!A1", "6.2.1.1-2 Pasture residue N2O")</f>
        <v>6.2.1.1-2 Pasture residue N2O</v>
      </c>
      <c r="D40" s="2" t="s">
        <v>1394</v>
      </c>
      <c r="U40" s="15" t="str">
        <f>TEXT(EDATE(X_Cell_Site_StartDate,4), "mmmm")</f>
        <v>May</v>
      </c>
      <c r="V40" s="15">
        <f ca="1">(V24 / D$28)</f>
        <v>0.12987012987012986</v>
      </c>
      <c r="W40" s="15">
        <f ca="1">(W24 / E$28)</f>
        <v>0.88311688311688308</v>
      </c>
      <c r="X40" s="15">
        <f ca="1">(X24 / F$28)</f>
        <v>0.14545454545454545</v>
      </c>
      <c r="Y40" s="15">
        <f ca="1">(Y24 / G$28)</f>
        <v>0.58181818181818179</v>
      </c>
      <c r="Z40" s="15">
        <f ca="1">(Z24 / H$28)</f>
        <v>0.87272727272727268</v>
      </c>
      <c r="AA40" s="15">
        <f ca="1">(AA24 / I$28)</f>
        <v>0.87272727272727268</v>
      </c>
      <c r="AB40" s="15">
        <f ca="1">(AB24 / J$28)</f>
        <v>0.15151515151515152</v>
      </c>
      <c r="AC40" s="15">
        <f ca="1">(AC24 / K$28)</f>
        <v>0.51515151515151514</v>
      </c>
      <c r="AD40" s="15">
        <f ca="1">(AD24 / L$28)</f>
        <v>0.51515151515151514</v>
      </c>
      <c r="AE40" s="15">
        <f ca="1">(AE24 / M$28)</f>
        <v>0.51515151515151514</v>
      </c>
      <c r="AF40" s="16" t="str">
        <f t="shared" si="1"/>
        <v>ratio</v>
      </c>
      <c r="AG40" s="16"/>
      <c r="AH40" s="16"/>
    </row>
    <row r="41" spans="1:34" ht="20.100000000000001" customHeight="1" x14ac:dyDescent="0.2">
      <c r="A41" s="5" t="str">
        <f>HYPERLINK("#'6.3.1.1-2 Leach runoff pasture'!A1", "6.3.1.1-2 Leach &amp; runoff (pasture)")</f>
        <v>6.3.1.1-2 Leach &amp; runoff (pasture)</v>
      </c>
      <c r="D41" s="17" t="s">
        <v>1395</v>
      </c>
      <c r="U41" s="15" t="str">
        <f>TEXT(EDATE(X_Cell_Site_StartDate,5), "mmmm")</f>
        <v>June</v>
      </c>
      <c r="V41" s="15">
        <f ca="1">(V25 / D$28)</f>
        <v>0.24675324675324675</v>
      </c>
      <c r="W41" s="15">
        <f ca="1">(W25 / E$28)</f>
        <v>0.90909090909090906</v>
      </c>
      <c r="X41" s="15">
        <f ca="1">(X25 / F$28)</f>
        <v>0.27272727272727271</v>
      </c>
      <c r="Y41" s="15">
        <f ca="1">(Y25 / G$28)</f>
        <v>0.6</v>
      </c>
      <c r="Z41" s="15">
        <f ca="1">(Z25 / H$28)</f>
        <v>0.89090909090909087</v>
      </c>
      <c r="AA41" s="15">
        <f ca="1">(AA25 / I$28)</f>
        <v>0.89090909090909087</v>
      </c>
      <c r="AB41" s="15">
        <f ca="1">(AB25 / J$28)</f>
        <v>0.25757575757575757</v>
      </c>
      <c r="AC41" s="15">
        <f ca="1">(AC25 / K$28)</f>
        <v>0.54545454545454541</v>
      </c>
      <c r="AD41" s="15">
        <f ca="1">(AD25 / L$28)</f>
        <v>0.54545454545454541</v>
      </c>
      <c r="AE41" s="15">
        <f ca="1">(AE25 / M$28)</f>
        <v>0.54545454545454541</v>
      </c>
      <c r="AF41" s="16" t="str">
        <f t="shared" si="1"/>
        <v>ratio</v>
      </c>
      <c r="AG41" s="16"/>
      <c r="AH41" s="16"/>
    </row>
    <row r="42" spans="1:34" ht="20.100000000000001" customHeight="1" x14ac:dyDescent="0.2">
      <c r="A42" s="5" t="str">
        <f>HYPERLINK("#'8.1.1.1-2 Transport fuel'!A1", "8.1.1.1-2 Transport fuel")</f>
        <v>8.1.1.1-2 Transport fuel</v>
      </c>
      <c r="D42" s="104"/>
      <c r="E42" s="104"/>
      <c r="U42" s="15" t="str">
        <f>TEXT(EDATE(X_Cell_Site_StartDate,6), "mmmm")</f>
        <v>July</v>
      </c>
      <c r="V42" s="15">
        <f ca="1">(V26 / D$28)</f>
        <v>0.24675324675324675</v>
      </c>
      <c r="W42" s="15">
        <f ca="1">(W26 / E$28)</f>
        <v>0.90909090909090906</v>
      </c>
      <c r="X42" s="15">
        <f ca="1">(X26 / F$28)</f>
        <v>0.27272727272727271</v>
      </c>
      <c r="Y42" s="15">
        <f ca="1">(Y26 / G$28)</f>
        <v>0.6</v>
      </c>
      <c r="Z42" s="15">
        <f ca="1">(Z26 / H$28)</f>
        <v>0.89090909090909087</v>
      </c>
      <c r="AA42" s="15">
        <f ca="1">(AA26 / I$28)</f>
        <v>0.89090909090909087</v>
      </c>
      <c r="AB42" s="15">
        <f ca="1">(AB26 / J$28)</f>
        <v>0.25757575757575757</v>
      </c>
      <c r="AC42" s="15">
        <f ca="1">(AC26 / K$28)</f>
        <v>0.54545454545454541</v>
      </c>
      <c r="AD42" s="15">
        <f ca="1">(AD26 / L$28)</f>
        <v>0.54545454545454541</v>
      </c>
      <c r="AE42" s="15">
        <f ca="1">(AE26 / M$28)</f>
        <v>0.54545454545454541</v>
      </c>
      <c r="AF42" s="16" t="str">
        <f t="shared" si="1"/>
        <v>ratio</v>
      </c>
      <c r="AG42" s="16"/>
      <c r="AH42" s="16"/>
    </row>
    <row r="43" spans="1:34" ht="20.100000000000001" customHeight="1" x14ac:dyDescent="0.2">
      <c r="A43" s="5" t="str">
        <f>HYPERLINK("#'8.2.1.1-2 Stationary fuel'!A1", "8.2.1.1-2 Stationary fuel")</f>
        <v>8.2.1.1-2 Stationary fuel</v>
      </c>
      <c r="U43" s="15" t="str">
        <f>TEXT(EDATE(X_Cell_Site_StartDate,7), "mmmm")</f>
        <v>August</v>
      </c>
      <c r="V43" s="15">
        <f ca="1">(V27 / D$28)</f>
        <v>0.24675324675324675</v>
      </c>
      <c r="W43" s="15">
        <f ca="1">(W27 / E$28)</f>
        <v>0.90909090909090906</v>
      </c>
      <c r="X43" s="15">
        <f ca="1">(X27 / F$28)</f>
        <v>0.27272727272727271</v>
      </c>
      <c r="Y43" s="15">
        <f ca="1">(Y27 / G$28)</f>
        <v>0.6</v>
      </c>
      <c r="Z43" s="15">
        <f ca="1">(Z27 / H$28)</f>
        <v>0.89090909090909087</v>
      </c>
      <c r="AA43" s="15">
        <f ca="1">(AA27 / I$28)</f>
        <v>0.89090909090909087</v>
      </c>
      <c r="AB43" s="15">
        <f ca="1">(AB27 / J$28)</f>
        <v>0.25757575757575757</v>
      </c>
      <c r="AC43" s="15">
        <f ca="1">(AC27 / K$28)</f>
        <v>0.54545454545454541</v>
      </c>
      <c r="AD43" s="15">
        <f ca="1">(AD27 / L$28)</f>
        <v>0.54545454545454541</v>
      </c>
      <c r="AE43" s="15">
        <f ca="1">(AE27 / M$28)</f>
        <v>0.54545454545454541</v>
      </c>
      <c r="AF43" s="16" t="str">
        <f t="shared" si="1"/>
        <v>ratio</v>
      </c>
      <c r="AG43" s="16"/>
      <c r="AH43" s="16"/>
    </row>
    <row r="44" spans="1:34" ht="20.100000000000001" customHeight="1" x14ac:dyDescent="0.2">
      <c r="A44" s="5" t="str">
        <f>HYPERLINK("#'10.1.1-2 Solid waste treatment'!A1", "10.1.1.1-2 Solid waste")</f>
        <v>10.1.1.1-2 Solid waste</v>
      </c>
      <c r="U44" s="15" t="str">
        <f>TEXT(EDATE(X_Cell_Site_StartDate,8), "mmmm")</f>
        <v>September</v>
      </c>
      <c r="V44" s="15">
        <f ca="1">(V28 / D$28)</f>
        <v>0.44155844155844154</v>
      </c>
      <c r="W44" s="15">
        <f ca="1">(W28 / E$28)</f>
        <v>1.0389610389610389</v>
      </c>
      <c r="X44" s="15">
        <f ca="1">(X28 / F$28)</f>
        <v>0.47272727272727272</v>
      </c>
      <c r="Y44" s="15">
        <f ca="1">(Y28 / G$28)</f>
        <v>0.76363636363636367</v>
      </c>
      <c r="Z44" s="15">
        <f ca="1">(Z28 / H$28)</f>
        <v>1</v>
      </c>
      <c r="AA44" s="15">
        <f ca="1">(AA28 / I$28)</f>
        <v>1</v>
      </c>
      <c r="AB44" s="15">
        <f ca="1">(AB28 / J$28)</f>
        <v>0.45454545454545453</v>
      </c>
      <c r="AC44" s="15">
        <f ca="1">(AC28 / K$28)</f>
        <v>0.72727272727272729</v>
      </c>
      <c r="AD44" s="15">
        <f ca="1">(AD28 / L$28)</f>
        <v>0.72727272727272729</v>
      </c>
      <c r="AE44" s="15">
        <f ca="1">(AE28 / M$28)</f>
        <v>0.72727272727272729</v>
      </c>
      <c r="AF44" s="16" t="str">
        <f t="shared" si="1"/>
        <v>ratio</v>
      </c>
      <c r="AG44" s="16"/>
      <c r="AH44" s="16"/>
    </row>
    <row r="45" spans="1:34" ht="20.100000000000001" customHeight="1" x14ac:dyDescent="0.2">
      <c r="A45" s="5" t="str">
        <f>HYPERLINK("#'14.1.1-2 Purchased electricity'!A1", "14.1.1-2 Purchased electricity")</f>
        <v>14.1.1-2 Purchased electricity</v>
      </c>
      <c r="D45" s="77" t="s">
        <v>374</v>
      </c>
      <c r="E45" s="1" t="s">
        <v>1396</v>
      </c>
      <c r="U45" s="15" t="str">
        <f>TEXT(EDATE(X_Cell_Site_StartDate,9), "mmmm")</f>
        <v>October</v>
      </c>
      <c r="V45" s="15">
        <f ca="1">(V29 / D$28)</f>
        <v>0.44155844155844154</v>
      </c>
      <c r="W45" s="15">
        <f ca="1">(W29 / E$28)</f>
        <v>1.0389610389610389</v>
      </c>
      <c r="X45" s="15">
        <f ca="1">(X29 / F$28)</f>
        <v>0.47272727272727272</v>
      </c>
      <c r="Y45" s="15">
        <f ca="1">(Y29 / G$28)</f>
        <v>0.76363636363636367</v>
      </c>
      <c r="Z45" s="15">
        <f ca="1">(Z29 / H$28)</f>
        <v>1</v>
      </c>
      <c r="AA45" s="15">
        <f ca="1">(AA29 / I$28)</f>
        <v>1</v>
      </c>
      <c r="AB45" s="15">
        <f ca="1">(AB29 / J$28)</f>
        <v>0.45454545454545453</v>
      </c>
      <c r="AC45" s="15">
        <f ca="1">(AC29 / K$28)</f>
        <v>0.72727272727272729</v>
      </c>
      <c r="AD45" s="15">
        <f ca="1">(AD29 / L$28)</f>
        <v>0.72727272727272729</v>
      </c>
      <c r="AE45" s="15">
        <f ca="1">(AE29 / M$28)</f>
        <v>0.72727272727272729</v>
      </c>
      <c r="AF45" s="16" t="str">
        <f t="shared" si="1"/>
        <v>ratio</v>
      </c>
      <c r="AG45" s="16"/>
      <c r="AH45" s="16"/>
    </row>
    <row r="46" spans="1:34" ht="20.100000000000001" customHeight="1" x14ac:dyDescent="0.2">
      <c r="A46" s="5" t="str">
        <f>HYPERLINK("#'15 Scope 3'!A1", "15 Scope 3")</f>
        <v>15 Scope 3</v>
      </c>
      <c r="D46" s="77" t="s">
        <v>126</v>
      </c>
      <c r="E46" s="9" t="s">
        <v>1391</v>
      </c>
      <c r="U46" s="15" t="str">
        <f>TEXT(EDATE(X_Cell_Site_StartDate,10), "mmmm")</f>
        <v>November</v>
      </c>
      <c r="V46" s="15">
        <f ca="1">(V30 / D$28)</f>
        <v>0.44155844155844154</v>
      </c>
      <c r="W46" s="15">
        <f ca="1">(W30 / E$28)</f>
        <v>1.0389610389610389</v>
      </c>
      <c r="X46" s="15">
        <f ca="1">(X30 / F$28)</f>
        <v>0.47272727272727272</v>
      </c>
      <c r="Y46" s="15">
        <f ca="1">(Y30 / G$28)</f>
        <v>0.76363636363636367</v>
      </c>
      <c r="Z46" s="15">
        <f ca="1">(Z30 / H$28)</f>
        <v>1</v>
      </c>
      <c r="AA46" s="15">
        <f ca="1">(AA30 / I$28)</f>
        <v>1</v>
      </c>
      <c r="AB46" s="15">
        <f ca="1">(AB30 / J$28)</f>
        <v>0.45454545454545453</v>
      </c>
      <c r="AC46" s="15">
        <f ca="1">(AC30 / K$28)</f>
        <v>0.72727272727272729</v>
      </c>
      <c r="AD46" s="15">
        <f ca="1">(AD30 / L$28)</f>
        <v>0.72727272727272729</v>
      </c>
      <c r="AE46" s="15">
        <f ca="1">(AE30 / M$28)</f>
        <v>0.72727272727272729</v>
      </c>
      <c r="AF46" s="16" t="str">
        <f t="shared" si="1"/>
        <v>ratio</v>
      </c>
      <c r="AG46" s="16"/>
      <c r="AH46" s="16"/>
    </row>
    <row r="47" spans="1:34" ht="20.100000000000001" customHeight="1" x14ac:dyDescent="0.2">
      <c r="A47" s="5" t="str">
        <f>HYPERLINK("#'Calcs - Manure sent off-site'!A1", "Calcs - Manure sent off-site")</f>
        <v>Calcs - Manure sent off-site</v>
      </c>
      <c r="U47" s="15" t="str">
        <f>TEXT(EDATE(X_Cell_Site_StartDate,11), "mmmm")</f>
        <v>December</v>
      </c>
      <c r="V47" s="15">
        <f ca="1">(V31 / D$28)</f>
        <v>0.4935064935064935</v>
      </c>
      <c r="W47" s="15">
        <f ca="1">(W31 / E$28)</f>
        <v>1.0129870129870129</v>
      </c>
      <c r="X47" s="15">
        <f ca="1">(X31 / F$28)</f>
        <v>0.54545454545454541</v>
      </c>
      <c r="Y47" s="15">
        <f ca="1">(Y31 / G$28)</f>
        <v>0.81818181818181823</v>
      </c>
      <c r="Z47" s="15">
        <f ca="1">(Z31 / H$28)</f>
        <v>0.96363636363636362</v>
      </c>
      <c r="AA47" s="15">
        <f ca="1">(AA31 / I$28)</f>
        <v>0.96363636363636362</v>
      </c>
      <c r="AB47" s="15">
        <f ca="1">(AB31 / J$28)</f>
        <v>0.51515151515151514</v>
      </c>
      <c r="AC47" s="15">
        <f ca="1">(AC31 / K$28)</f>
        <v>0.71212121212121215</v>
      </c>
      <c r="AD47" s="15">
        <f ca="1">(AD31 / L$28)</f>
        <v>0.71212121212121215</v>
      </c>
      <c r="AE47" s="15">
        <f ca="1">(AE31 / M$28)</f>
        <v>0.71212121212121215</v>
      </c>
      <c r="AF47" s="16" t="str">
        <f t="shared" si="1"/>
        <v>ratio</v>
      </c>
      <c r="AG47" s="16"/>
      <c r="AH47" s="16"/>
    </row>
    <row r="48" spans="1:34" ht="20.100000000000001" customHeight="1" x14ac:dyDescent="0.2">
      <c r="D48" s="106" t="s">
        <v>1330</v>
      </c>
      <c r="E48" s="107" t="s">
        <v>1397</v>
      </c>
      <c r="F48" s="109"/>
      <c r="G48" s="106" t="s">
        <v>1331</v>
      </c>
      <c r="H48" s="111" t="s">
        <v>1399</v>
      </c>
      <c r="I48" s="112" t="str" cm="1">
        <f t="array" aca="1" ref="I48" ca="1">HYPERLINK(Common_InputFunctions.Utility_SourceHyperlink($D$51), $D$51)</f>
        <v>M1_Table_I_j_k_l</v>
      </c>
    </row>
    <row r="49" spans="1:35" ht="20.100000000000001" customHeight="1" x14ac:dyDescent="0.2">
      <c r="D49" s="106" t="s">
        <v>1332</v>
      </c>
      <c r="E49" s="107" t="s">
        <v>1398</v>
      </c>
      <c r="F49" s="109"/>
      <c r="G49" s="106" t="s">
        <v>343</v>
      </c>
      <c r="H49" s="110" t="s">
        <v>1325</v>
      </c>
      <c r="I49" s="112" t="str" cm="1">
        <f t="array" aca="1" ref="I49" ca="1">HYPERLINK(Common_InputFunctions.Utility_SourceHyperlink($D$17), $D$17)</f>
        <v>M1_Table_W_j_k_l</v>
      </c>
    </row>
    <row r="50" spans="1:35" ht="20.100000000000001" customHeight="1" x14ac:dyDescent="0.2">
      <c r="A50" s="86" t="s">
        <v>1</v>
      </c>
      <c r="T50" s="88"/>
      <c r="U50" s="88"/>
      <c r="V50" s="88"/>
      <c r="W50" s="88"/>
      <c r="X50" s="88"/>
      <c r="Y50" s="88"/>
      <c r="Z50" s="88"/>
      <c r="AA50" s="88"/>
      <c r="AB50" s="88"/>
      <c r="AC50" s="88"/>
      <c r="AD50" s="88"/>
      <c r="AE50" s="88"/>
      <c r="AF50" s="88"/>
      <c r="AG50" s="88"/>
      <c r="AH50" s="88"/>
      <c r="AI50" s="88"/>
    </row>
    <row r="51" spans="1:35" ht="20.100000000000001" customHeight="1" x14ac:dyDescent="0.2">
      <c r="A51" s="5" t="str">
        <f>HYPERLINK("#'Constants - Pasture Beef'!A1", "Constants - Pasture Beef")</f>
        <v>Constants - Pasture Beef</v>
      </c>
      <c r="D51" s="113" t="s">
        <v>399</v>
      </c>
      <c r="U51" s="2" t="s">
        <v>1394</v>
      </c>
    </row>
    <row r="52" spans="1:35" ht="20.100000000000001" customHeight="1" x14ac:dyDescent="0.2">
      <c r="A52" s="5" t="str">
        <f>HYPERLINK("#'Constants - Ag Residue'!A1", "Constants - Ag residue")</f>
        <v>Constants - Ag residue</v>
      </c>
      <c r="D52" s="114" t="s">
        <v>400</v>
      </c>
    </row>
    <row r="53" spans="1:35" ht="20.100000000000001" customHeight="1" x14ac:dyDescent="0.2">
      <c r="A53" s="5" t="str">
        <f>HYPERLINK("#'Constants - Common Livestock'!A1", "Constants - Common Livestock")</f>
        <v>Constants - Common Livestock</v>
      </c>
      <c r="D53" s="115" t="s">
        <v>76</v>
      </c>
      <c r="E53" s="115" t="s">
        <v>325</v>
      </c>
      <c r="F53" s="115" t="s">
        <v>189</v>
      </c>
      <c r="G53" s="115" t="s">
        <v>326</v>
      </c>
      <c r="H53" s="115" t="s">
        <v>327</v>
      </c>
      <c r="I53" s="115" t="s">
        <v>328</v>
      </c>
      <c r="J53" s="115" t="s">
        <v>329</v>
      </c>
      <c r="K53" s="115" t="s">
        <v>330</v>
      </c>
      <c r="L53" s="115" t="s">
        <v>331</v>
      </c>
      <c r="M53" s="115" t="s">
        <v>332</v>
      </c>
      <c r="N53" s="115" t="s">
        <v>333</v>
      </c>
      <c r="U53" s="113" t="s">
        <v>397</v>
      </c>
    </row>
    <row r="54" spans="1:35" ht="20.100000000000001" customHeight="1" x14ac:dyDescent="0.2">
      <c r="A54" s="5" t="str">
        <f>HYPERLINK("#'Constants - Electricity'!A1", "Constants - Electricity")</f>
        <v>Constants - Electricity</v>
      </c>
      <c r="D54" s="15" t="s">
        <v>334</v>
      </c>
      <c r="E54" s="15">
        <f ca="1">INDEX(M1_Table_I_j_k_l,2,2)</f>
        <v>8.6709047296000001</v>
      </c>
      <c r="F54" s="15">
        <f ca="1">INDEX(M1_Table_I_j_k_l,2,3)</f>
        <v>12.246500250000002</v>
      </c>
      <c r="G54" s="15">
        <f ca="1">INDEX(M1_Table_I_j_k_l,2,4)</f>
        <v>6.6089612241000006</v>
      </c>
      <c r="H54" s="15">
        <f ca="1">INDEX(M1_Table_I_j_k_l,2,5)</f>
        <v>9.5403922901100024</v>
      </c>
      <c r="I54" s="15">
        <f ca="1">INDEX(M1_Table_I_j_k_l,2,6)</f>
        <v>11.268377125200001</v>
      </c>
      <c r="J54" s="15">
        <f ca="1">INDEX(M1_Table_I_j_k_l,2,7)</f>
        <v>11.268377125200001</v>
      </c>
      <c r="K54" s="15">
        <f ca="1">INDEX(M1_Table_I_j_k_l,2,8)</f>
        <v>7.6192560899999977</v>
      </c>
      <c r="L54" s="15">
        <f ca="1">INDEX(M1_Table_I_j_k_l,2,9)</f>
        <v>9.6824279555999979</v>
      </c>
      <c r="M54" s="15">
        <f ca="1">INDEX(M1_Table_I_j_k_l,2,10)</f>
        <v>9.6824279555999979</v>
      </c>
      <c r="N54" s="15">
        <f ca="1">INDEX(M1_Table_I_j_k_l,2,11)</f>
        <v>9.6824279555999979</v>
      </c>
      <c r="O54" s="16" t="str">
        <f>'4.2.1.1-2 Methane'!O84</f>
        <v>kg DM/head/day</v>
      </c>
      <c r="U54" s="114" t="s">
        <v>398</v>
      </c>
    </row>
    <row r="55" spans="1:35" ht="20.100000000000001" customHeight="1" x14ac:dyDescent="0.2">
      <c r="A55" s="5" t="str">
        <f>HYPERLINK("#'Constants - Fertiliser'!A1", "Constants - Fertiliser")</f>
        <v>Constants - Fertiliser</v>
      </c>
      <c r="D55" s="15" t="s">
        <v>335</v>
      </c>
      <c r="E55" s="15">
        <f ca="1">INDEX(M1_Table_I_j_k_l,3,2)</f>
        <v>7.1468536895999959</v>
      </c>
      <c r="F55" s="15">
        <f ca="1">INDEX(M1_Table_I_j_k_l,3,3)</f>
        <v>9.4559940036000008</v>
      </c>
      <c r="G55" s="15">
        <f ca="1">INDEX(M1_Table_I_j_k_l,3,4)</f>
        <v>6.010342559999998</v>
      </c>
      <c r="H55" s="15">
        <f ca="1">INDEX(M1_Table_I_j_k_l,3,5)</f>
        <v>8.1853716906000002</v>
      </c>
      <c r="I55" s="15">
        <f ca="1">INDEX(M1_Table_I_j_k_l,3,6)</f>
        <v>8.1045195229439972</v>
      </c>
      <c r="J55" s="15">
        <f ca="1">INDEX(M1_Table_I_j_k_l,3,7)</f>
        <v>8.1045195229439972</v>
      </c>
      <c r="K55" s="15">
        <f ca="1">INDEX(M1_Table_I_j_k_l,3,8)</f>
        <v>6.5876408896000003</v>
      </c>
      <c r="L55" s="15">
        <f ca="1">INDEX(M1_Table_I_j_k_l,3,9)</f>
        <v>7.3430702361</v>
      </c>
      <c r="M55" s="15">
        <f ca="1">INDEX(M1_Table_I_j_k_l,3,10)</f>
        <v>7.3430702361</v>
      </c>
      <c r="N55" s="15">
        <f ca="1">INDEX(M1_Table_I_j_k_l,3,11)</f>
        <v>7.3430702361</v>
      </c>
      <c r="O55" s="16" t="str">
        <f>'4.2.1.1-2 Methane'!O85</f>
        <v>kg DM/head/day</v>
      </c>
      <c r="U55" s="115" t="s">
        <v>75</v>
      </c>
      <c r="V55" s="115" t="s">
        <v>325</v>
      </c>
      <c r="W55" s="115" t="s">
        <v>189</v>
      </c>
      <c r="X55" s="115" t="s">
        <v>326</v>
      </c>
      <c r="Y55" s="115" t="s">
        <v>327</v>
      </c>
      <c r="Z55" s="115" t="s">
        <v>328</v>
      </c>
      <c r="AA55" s="115" t="s">
        <v>329</v>
      </c>
      <c r="AB55" s="115" t="s">
        <v>330</v>
      </c>
      <c r="AC55" s="115" t="s">
        <v>331</v>
      </c>
      <c r="AD55" s="115" t="s">
        <v>332</v>
      </c>
      <c r="AE55" s="115" t="s">
        <v>333</v>
      </c>
    </row>
    <row r="56" spans="1:35" ht="20.100000000000001" customHeight="1" x14ac:dyDescent="0.2">
      <c r="A56" s="5" t="str">
        <f>HYPERLINK("#'Constants - Fuel'!A1", "Constants - Fuel")</f>
        <v>Constants - Fuel</v>
      </c>
      <c r="D56" s="15" t="s">
        <v>336</v>
      </c>
      <c r="E56" s="15">
        <f ca="1">INDEX(M1_Table_I_j_k_l,4,2)</f>
        <v>3.247204</v>
      </c>
      <c r="F56" s="15">
        <f ca="1">INDEX(M1_Table_I_j_k_l,4,3)</f>
        <v>9.4246544015999998</v>
      </c>
      <c r="G56" s="15">
        <f ca="1">INDEX(M1_Table_I_j_k_l,4,4)</f>
        <v>2.9603267136000002</v>
      </c>
      <c r="H56" s="15">
        <f ca="1">INDEX(M1_Table_I_j_k_l,4,5)</f>
        <v>6.0173755149959991</v>
      </c>
      <c r="I56" s="15">
        <f ca="1">INDEX(M1_Table_I_j_k_l,4,6)</f>
        <v>6.7179974480999993</v>
      </c>
      <c r="J56" s="15">
        <f ca="1">INDEX(M1_Table_I_j_k_l,4,7)</f>
        <v>6.7179974480999993</v>
      </c>
      <c r="K56" s="15">
        <f ca="1">INDEX(M1_Table_I_j_k_l,4,8)</f>
        <v>3.247204</v>
      </c>
      <c r="L56" s="15">
        <f ca="1">INDEX(M1_Table_I_j_k_l,4,9)</f>
        <v>5.8953782416000013</v>
      </c>
      <c r="M56" s="15">
        <f ca="1">INDEX(M1_Table_I_j_k_l,4,10)</f>
        <v>5.8953782416000013</v>
      </c>
      <c r="N56" s="15">
        <f ca="1">INDEX(M1_Table_I_j_k_l,4,11)</f>
        <v>5.8953782416000013</v>
      </c>
      <c r="O56" s="16" t="str">
        <f>'4.2.1.1-2 Methane'!O86</f>
        <v>kg DM/head/day</v>
      </c>
      <c r="U56" s="15" t="str">
        <f>TEXT(X_Cell_Site_StartDate,"mmmm")</f>
        <v>January</v>
      </c>
      <c r="V56" s="15">
        <f ca="1">INDEX(M2_Table_I_j_k_l,2,2)</f>
        <v>7.1468536895999959</v>
      </c>
      <c r="W56" s="15">
        <f ca="1">INDEX(M2_Table_I_j_k_l,2,3)</f>
        <v>9.4559940036000008</v>
      </c>
      <c r="X56" s="15">
        <f ca="1">INDEX(M2_Table_I_j_k_l,2,4)</f>
        <v>6.010342559999998</v>
      </c>
      <c r="Y56" s="15">
        <f ca="1">INDEX(M2_Table_I_j_k_l,2,5)</f>
        <v>8.4608409301875014</v>
      </c>
      <c r="Z56" s="15">
        <f ca="1">INDEX(M2_Table_I_j_k_l,2,6)</f>
        <v>8.3772677761199983</v>
      </c>
      <c r="AA56" s="15">
        <f ca="1">INDEX(M2_Table_I_j_k_l,2,7)</f>
        <v>8.3772677761199983</v>
      </c>
      <c r="AB56" s="15">
        <f ca="1">INDEX(M2_Table_I_j_k_l,2,8)</f>
        <v>6.5876408896000003</v>
      </c>
      <c r="AC56" s="15">
        <f ca="1">INDEX(M2_Table_I_j_k_l,2,9)</f>
        <v>7.3430702361</v>
      </c>
      <c r="AD56" s="15">
        <f ca="1">INDEX(M2_Table_I_j_k_l,2,10)</f>
        <v>7.3430702361</v>
      </c>
      <c r="AE56" s="15">
        <f ca="1">INDEX(M2_Table_I_j_k_l,2,11)</f>
        <v>7.3430702361</v>
      </c>
      <c r="AF56" s="16" t="str">
        <f>'4.2.1.1-2 Methane'!AH76</f>
        <v>kg DM/head/day</v>
      </c>
      <c r="AG56" s="16"/>
      <c r="AH56" s="16"/>
    </row>
    <row r="57" spans="1:35" ht="20.100000000000001" customHeight="1" x14ac:dyDescent="0.2">
      <c r="A57" s="5" t="str">
        <f>HYPERLINK("#'Constants - Scope 3'!A1", "Constants - Scope 3")</f>
        <v>Constants - Scope 3</v>
      </c>
      <c r="D57" s="15" t="s">
        <v>337</v>
      </c>
      <c r="E57" s="15">
        <f ca="1">INDEX(M1_Table_I_j_k_l,5,2)</f>
        <v>5.1328980481000004</v>
      </c>
      <c r="F57" s="15">
        <f ca="1">INDEX(M1_Table_I_j_k_l,5,3)</f>
        <v>9.9748588899999984</v>
      </c>
      <c r="G57" s="15">
        <f ca="1">INDEX(M1_Table_I_j_k_l,5,4)</f>
        <v>4.202705002500001</v>
      </c>
      <c r="H57" s="15">
        <f ca="1">INDEX(M1_Table_I_j_k_l,5,5)</f>
        <v>7.172653468761002</v>
      </c>
      <c r="I57" s="15">
        <f ca="1">INDEX(M1_Table_I_j_k_l,5,6)</f>
        <v>9.145195140114998</v>
      </c>
      <c r="J57" s="15">
        <f ca="1">INDEX(M1_Table_I_j_k_l,5,7)</f>
        <v>9.145195140114998</v>
      </c>
      <c r="K57" s="15">
        <f ca="1">INDEX(M1_Table_I_j_k_l,5,8)</f>
        <v>4.5122681240999984</v>
      </c>
      <c r="L57" s="15">
        <f ca="1">INDEX(M1_Table_I_j_k_l,5,9)</f>
        <v>6.8698506815999991</v>
      </c>
      <c r="M57" s="15">
        <f ca="1">INDEX(M1_Table_I_j_k_l,5,10)</f>
        <v>6.8698506815999991</v>
      </c>
      <c r="N57" s="15">
        <f ca="1">INDEX(M1_Table_I_j_k_l,5,11)</f>
        <v>6.8698506815999991</v>
      </c>
      <c r="O57" s="16" t="str">
        <f>'4.2.1.1-2 Methane'!O87</f>
        <v>kg DM/head/day</v>
      </c>
      <c r="U57" s="15" t="str">
        <f>TEXT(EDATE(X_Cell_Site_StartDate,1), "mmmm")</f>
        <v>February</v>
      </c>
      <c r="V57" s="15">
        <f ca="1">INDEX(M2_Table_I_j_k_l,3,2)</f>
        <v>7.1468536895999959</v>
      </c>
      <c r="W57" s="15">
        <f ca="1">INDEX(M2_Table_I_j_k_l,3,3)</f>
        <v>9.4559940036000008</v>
      </c>
      <c r="X57" s="15">
        <f ca="1">INDEX(M2_Table_I_j_k_l,3,4)</f>
        <v>6.010342559999998</v>
      </c>
      <c r="Y57" s="15">
        <f ca="1">INDEX(M2_Table_I_j_k_l,3,5)</f>
        <v>7.8705497025</v>
      </c>
      <c r="Z57" s="15">
        <f ca="1">INDEX(M2_Table_I_j_k_l,3,6)</f>
        <v>7.7928072335999978</v>
      </c>
      <c r="AA57" s="15">
        <f ca="1">INDEX(M2_Table_I_j_k_l,3,7)</f>
        <v>7.7928072335999978</v>
      </c>
      <c r="AB57" s="15">
        <f ca="1">INDEX(M2_Table_I_j_k_l,3,8)</f>
        <v>6.5876408896000003</v>
      </c>
      <c r="AC57" s="15">
        <f ca="1">INDEX(M2_Table_I_j_k_l,3,9)</f>
        <v>7.3430702361</v>
      </c>
      <c r="AD57" s="15">
        <f ca="1">INDEX(M2_Table_I_j_k_l,3,10)</f>
        <v>7.3430702361</v>
      </c>
      <c r="AE57" s="15">
        <f ca="1">INDEX(M2_Table_I_j_k_l,3,11)</f>
        <v>7.3430702361</v>
      </c>
      <c r="AF57" s="16" t="str">
        <f>'4.2.1.1-2 Methane'!AH77</f>
        <v>kg DM/head/day</v>
      </c>
      <c r="AG57" s="16"/>
      <c r="AH57" s="16"/>
    </row>
    <row r="58" spans="1:35" ht="20.100000000000001" customHeight="1" x14ac:dyDescent="0.2">
      <c r="A58" s="5" t="str">
        <f>HYPERLINK("#'Constants - Solid Waste'!A1", "Constants - Solid Waste")</f>
        <v>Constants - Solid Waste</v>
      </c>
      <c r="U58" s="15" t="str">
        <f>TEXT(EDATE(X_Cell_Site_StartDate,2), "mmmm")</f>
        <v>March</v>
      </c>
      <c r="V58" s="15">
        <f ca="1">INDEX(M2_Table_I_j_k_l,4,2)</f>
        <v>3.247204</v>
      </c>
      <c r="W58" s="15">
        <f ca="1">INDEX(M2_Table_I_j_k_l,4,3)</f>
        <v>9.4246544015999998</v>
      </c>
      <c r="X58" s="15">
        <f ca="1">INDEX(M2_Table_I_j_k_l,4,4)</f>
        <v>2.9603267136000002</v>
      </c>
      <c r="Y58" s="15">
        <f ca="1">INDEX(M2_Table_I_j_k_l,4,5)</f>
        <v>5.9577975395999987</v>
      </c>
      <c r="Z58" s="15">
        <f ca="1">INDEX(M2_Table_I_j_k_l,4,6)</f>
        <v>6.7179974480999993</v>
      </c>
      <c r="AA58" s="15">
        <f ca="1">INDEX(M2_Table_I_j_k_l,4,7)</f>
        <v>6.7179974480999993</v>
      </c>
      <c r="AB58" s="15">
        <f ca="1">INDEX(M2_Table_I_j_k_l,4,8)</f>
        <v>3.247204</v>
      </c>
      <c r="AC58" s="15">
        <f ca="1">INDEX(M2_Table_I_j_k_l,4,9)</f>
        <v>5.8953782416000013</v>
      </c>
      <c r="AD58" s="15">
        <f ca="1">INDEX(M2_Table_I_j_k_l,4,10)</f>
        <v>5.8953782416000013</v>
      </c>
      <c r="AE58" s="15">
        <f ca="1">INDEX(M2_Table_I_j_k_l,4,11)</f>
        <v>5.8953782416000013</v>
      </c>
      <c r="AF58" s="16" t="str">
        <f>'4.2.1.1-2 Methane'!AH78</f>
        <v>kg DM/head/day</v>
      </c>
      <c r="AG58" s="16"/>
      <c r="AH58" s="16"/>
    </row>
    <row r="59" spans="1:35" ht="20.100000000000001" customHeight="1" x14ac:dyDescent="0.2">
      <c r="A59" s="5" t="str">
        <f>HYPERLINK("#'Constants - Common'!A1", "Constants - Common")</f>
        <v>Constants - Common</v>
      </c>
      <c r="D59" s="113" t="s">
        <v>446</v>
      </c>
      <c r="U59" s="15" t="str">
        <f>TEXT(EDATE(X_Cell_Site_StartDate,3), "mmmm")</f>
        <v>April</v>
      </c>
      <c r="V59" s="15">
        <f ca="1">INDEX(M2_Table_I_j_k_l,5,2)</f>
        <v>3.247204</v>
      </c>
      <c r="W59" s="15">
        <f ca="1">INDEX(M2_Table_I_j_k_l,5,3)</f>
        <v>9.4246544015999998</v>
      </c>
      <c r="X59" s="15">
        <f ca="1">INDEX(M2_Table_I_j_k_l,5,4)</f>
        <v>2.9603267136000002</v>
      </c>
      <c r="Y59" s="15">
        <f ca="1">INDEX(M2_Table_I_j_k_l,5,5)</f>
        <v>5.9577975395999987</v>
      </c>
      <c r="Z59" s="15">
        <f ca="1">INDEX(M2_Table_I_j_k_l,5,6)</f>
        <v>6.7179974480999993</v>
      </c>
      <c r="AA59" s="15">
        <f ca="1">INDEX(M2_Table_I_j_k_l,5,7)</f>
        <v>6.7179974480999993</v>
      </c>
      <c r="AB59" s="15">
        <f ca="1">INDEX(M2_Table_I_j_k_l,5,8)</f>
        <v>3.247204</v>
      </c>
      <c r="AC59" s="15">
        <f ca="1">INDEX(M2_Table_I_j_k_l,5,9)</f>
        <v>5.8953782416000013</v>
      </c>
      <c r="AD59" s="15">
        <f ca="1">INDEX(M2_Table_I_j_k_l,5,10)</f>
        <v>5.8953782416000013</v>
      </c>
      <c r="AE59" s="15">
        <f ca="1">INDEX(M2_Table_I_j_k_l,5,11)</f>
        <v>5.8953782416000013</v>
      </c>
      <c r="AF59" s="16" t="str">
        <f>'4.2.1.1-2 Methane'!AH79</f>
        <v>kg DM/head/day</v>
      </c>
      <c r="AG59" s="16"/>
      <c r="AH59" s="16"/>
    </row>
    <row r="60" spans="1:35" ht="20.100000000000001" customHeight="1" x14ac:dyDescent="0.2">
      <c r="A60" s="5" t="str">
        <f>HYPERLINK("#'Acknowledgements'!A1", "Acknowledgements")</f>
        <v>Acknowledgements</v>
      </c>
      <c r="D60" s="114" t="s">
        <v>447</v>
      </c>
      <c r="U60" s="15" t="str">
        <f>TEXT(EDATE(X_Cell_Site_StartDate,4), "mmmm")</f>
        <v>May</v>
      </c>
      <c r="V60" s="15">
        <f ca="1">INDEX(M2_Table_I_j_k_l,6,2)</f>
        <v>3.247204</v>
      </c>
      <c r="W60" s="15">
        <f ca="1">INDEX(M2_Table_I_j_k_l,6,3)</f>
        <v>9.4246544015999998</v>
      </c>
      <c r="X60" s="15">
        <f ca="1">INDEX(M2_Table_I_j_k_l,6,4)</f>
        <v>2.9603267136000002</v>
      </c>
      <c r="Y60" s="15">
        <f ca="1">INDEX(M2_Table_I_j_k_l,6,5)</f>
        <v>5.9577975395999987</v>
      </c>
      <c r="Z60" s="15">
        <f ca="1">INDEX(M2_Table_I_j_k_l,6,6)</f>
        <v>6.7179974480999993</v>
      </c>
      <c r="AA60" s="15">
        <f ca="1">INDEX(M2_Table_I_j_k_l,6,7)</f>
        <v>6.7179974480999993</v>
      </c>
      <c r="AB60" s="15">
        <f ca="1">INDEX(M2_Table_I_j_k_l,6,8)</f>
        <v>3.247204</v>
      </c>
      <c r="AC60" s="15">
        <f ca="1">INDEX(M2_Table_I_j_k_l,6,9)</f>
        <v>5.8953782416000013</v>
      </c>
      <c r="AD60" s="15">
        <f ca="1">INDEX(M2_Table_I_j_k_l,6,10)</f>
        <v>5.8953782416000013</v>
      </c>
      <c r="AE60" s="15">
        <f ca="1">INDEX(M2_Table_I_j_k_l,6,11)</f>
        <v>5.8953782416000013</v>
      </c>
      <c r="AF60" s="16" t="str">
        <f>'4.2.1.1-2 Methane'!AH80</f>
        <v>kg DM/head/day</v>
      </c>
      <c r="AG60" s="16"/>
      <c r="AH60" s="16"/>
    </row>
    <row r="61" spans="1:35" ht="20.100000000000001" customHeight="1" x14ac:dyDescent="0.2">
      <c r="D61" s="115" t="s">
        <v>76</v>
      </c>
      <c r="E61" s="115" t="s">
        <v>325</v>
      </c>
      <c r="F61" s="115" t="s">
        <v>189</v>
      </c>
      <c r="G61" s="115" t="s">
        <v>326</v>
      </c>
      <c r="H61" s="115" t="s">
        <v>327</v>
      </c>
      <c r="I61" s="115" t="s">
        <v>328</v>
      </c>
      <c r="J61" s="115" t="s">
        <v>329</v>
      </c>
      <c r="K61" s="115" t="s">
        <v>330</v>
      </c>
      <c r="L61" s="115" t="s">
        <v>331</v>
      </c>
      <c r="M61" s="115" t="s">
        <v>332</v>
      </c>
      <c r="N61" s="115" t="s">
        <v>333</v>
      </c>
      <c r="U61" s="15" t="str">
        <f>TEXT(EDATE(X_Cell_Site_StartDate,5), "mmmm")</f>
        <v>June</v>
      </c>
      <c r="V61" s="15">
        <f ca="1">INDEX(M2_Table_I_j_k_l,7,2)</f>
        <v>5.1328980481000004</v>
      </c>
      <c r="W61" s="15">
        <f ca="1">INDEX(M2_Table_I_j_k_l,7,3)</f>
        <v>9.9748588899999984</v>
      </c>
      <c r="X61" s="15">
        <f ca="1">INDEX(M2_Table_I_j_k_l,7,4)</f>
        <v>4.202705002500001</v>
      </c>
      <c r="Y61" s="15">
        <f ca="1">INDEX(M2_Table_I_j_k_l,7,5)</f>
        <v>5.9278127841000021</v>
      </c>
      <c r="Z61" s="15">
        <f ca="1">INDEX(M2_Table_I_j_k_l,7,6)</f>
        <v>7.952343600099999</v>
      </c>
      <c r="AA61" s="15">
        <f ca="1">INDEX(M2_Table_I_j_k_l,7,7)</f>
        <v>7.952343600099999</v>
      </c>
      <c r="AB61" s="15">
        <f ca="1">INDEX(M2_Table_I_j_k_l,7,8)</f>
        <v>4.5122681240999984</v>
      </c>
      <c r="AC61" s="15">
        <f ca="1">INDEX(M2_Table_I_j_k_l,7,9)</f>
        <v>6.8698506815999991</v>
      </c>
      <c r="AD61" s="15">
        <f ca="1">INDEX(M2_Table_I_j_k_l,7,10)</f>
        <v>6.8698506815999991</v>
      </c>
      <c r="AE61" s="15">
        <f ca="1">INDEX(M2_Table_I_j_k_l,7,11)</f>
        <v>6.8698506815999991</v>
      </c>
      <c r="AF61" s="16" t="str">
        <f>'4.2.1.1-2 Methane'!AH81</f>
        <v>kg DM/head/day</v>
      </c>
      <c r="AG61" s="16"/>
      <c r="AH61" s="16"/>
    </row>
    <row r="62" spans="1:35" ht="20.100000000000001" customHeight="1" x14ac:dyDescent="0.2">
      <c r="D62" s="15" t="s">
        <v>334</v>
      </c>
      <c r="E62" s="15">
        <f ca="1">(E54 / ((1.185 + 0.00454 * E20 - 0.0000026 * E20 ^ 2) ^ 2))</f>
        <v>1.4707970166214006</v>
      </c>
      <c r="F62" s="15">
        <f ca="1">(F54 / ((1.185 + 0.00454 * F20 - 0.0000026 * F20 ^ 2) ^ 2))</f>
        <v>1.2318676608114607</v>
      </c>
      <c r="G62" s="15">
        <f ca="1">(G54 / ((1.185 + 0.00454 * G20 - 0.0000026 * G20 ^ 2) ^ 2))</f>
        <v>1.3784396841492426</v>
      </c>
      <c r="H62" s="15">
        <f ca="1">(H54 / ((1.185 + 0.00454 * H20 - 0.0000026 * H20 ^ 2) ^ 2))</f>
        <v>1.3759787739229594</v>
      </c>
      <c r="I62" s="15">
        <f ca="1">(I54 / ((1.185 + 0.00454 * I20 - 0.0000026 * I20 ^ 2) ^ 2))</f>
        <v>1.3440463159462901</v>
      </c>
      <c r="J62" s="15">
        <f ca="1">(J54 / ((1.185 + 0.00454 * J20 - 0.0000026 * J20 ^ 2) ^ 2))</f>
        <v>1.3440463159462901</v>
      </c>
      <c r="K62" s="15">
        <f ca="1">(K54 / ((1.185 + 0.00454 * K20 - 0.0000026 * K20 ^ 2) ^ 2))</f>
        <v>1.4241682690123998</v>
      </c>
      <c r="L62" s="15">
        <f ca="1">(L54 / ((1.185 + 0.00454 * L20 - 0.0000026 * L20 ^ 2) ^ 2))</f>
        <v>1.2663208058014268</v>
      </c>
      <c r="M62" s="15">
        <f ca="1">(M54 / ((1.185 + 0.00454 * M20 - 0.0000026 * M20 ^ 2) ^ 2))</f>
        <v>1.2663208058014268</v>
      </c>
      <c r="N62" s="15">
        <f ca="1">(N54 / ((1.185 + 0.00454 * N20 - 0.0000026 * N20 ^ 2) ^ 2))</f>
        <v>1.2663208058014268</v>
      </c>
      <c r="O62" s="16" t="str">
        <f>$E$46</f>
        <v>ratio</v>
      </c>
      <c r="U62" s="15" t="str">
        <f>TEXT(EDATE(X_Cell_Site_StartDate,6), "mmmm")</f>
        <v>July</v>
      </c>
      <c r="V62" s="15">
        <f ca="1">INDEX(M2_Table_I_j_k_l,8,2)</f>
        <v>5.1328980481000004</v>
      </c>
      <c r="W62" s="15">
        <f ca="1">INDEX(M2_Table_I_j_k_l,8,3)</f>
        <v>9.9748588899999984</v>
      </c>
      <c r="X62" s="15">
        <f ca="1">INDEX(M2_Table_I_j_k_l,8,4)</f>
        <v>4.202705002500001</v>
      </c>
      <c r="Y62" s="15">
        <f ca="1">INDEX(M2_Table_I_j_k_l,8,5)</f>
        <v>5.9278127841000021</v>
      </c>
      <c r="Z62" s="15">
        <f ca="1">INDEX(M2_Table_I_j_k_l,8,6)</f>
        <v>7.952343600099999</v>
      </c>
      <c r="AA62" s="15">
        <f ca="1">INDEX(M2_Table_I_j_k_l,8,7)</f>
        <v>7.952343600099999</v>
      </c>
      <c r="AB62" s="15">
        <f ca="1">INDEX(M2_Table_I_j_k_l,8,8)</f>
        <v>4.5122681240999984</v>
      </c>
      <c r="AC62" s="15">
        <f ca="1">INDEX(M2_Table_I_j_k_l,8,9)</f>
        <v>6.8698506815999991</v>
      </c>
      <c r="AD62" s="15">
        <f ca="1">INDEX(M2_Table_I_j_k_l,8,10)</f>
        <v>6.8698506815999991</v>
      </c>
      <c r="AE62" s="15">
        <f ca="1">INDEX(M2_Table_I_j_k_l,8,11)</f>
        <v>6.8698506815999991</v>
      </c>
      <c r="AF62" s="16" t="str">
        <f>'4.2.1.1-2 Methane'!AH82</f>
        <v>kg DM/head/day</v>
      </c>
      <c r="AG62" s="16"/>
      <c r="AH62" s="16"/>
    </row>
    <row r="63" spans="1:35" ht="20.100000000000001" customHeight="1" x14ac:dyDescent="0.2">
      <c r="D63" s="15" t="s">
        <v>335</v>
      </c>
      <c r="E63" s="15">
        <f ca="1">(E55 / ((1.185 + 0.00454 * E21 - 0.0000026 * E21 ^ 2) ^ 2))</f>
        <v>1.1123493391850732</v>
      </c>
      <c r="F63" s="15">
        <f ca="1">(F55 / ((1.185 + 0.00454 * F21 - 0.0000026 * F21 ^ 2) ^ 2))</f>
        <v>0.95640681558610863</v>
      </c>
      <c r="G63" s="15">
        <f ca="1">(G55 / ((1.185 + 0.00454 * G21 - 0.0000026 * G21 ^ 2) ^ 2))</f>
        <v>1.1234350255113625</v>
      </c>
      <c r="H63" s="15">
        <f ca="1">(H55 / ((1.185 + 0.00454 * H21 - 0.0000026 * H21 ^ 2) ^ 2))</f>
        <v>1.1215753644175104</v>
      </c>
      <c r="I63" s="15">
        <f ca="1">(I55 / ((1.185 + 0.00454 * I21 - 0.0000026 * I21 ^ 2) ^ 2))</f>
        <v>0.99022539901590001</v>
      </c>
      <c r="J63" s="15">
        <f ca="1">(J55 / ((1.185 + 0.00454 * J21 - 0.0000026 * J21 ^ 2) ^ 2))</f>
        <v>0.99022539901590001</v>
      </c>
      <c r="K63" s="15">
        <f ca="1">(K55 / ((1.185 + 0.00454 * K21 - 0.0000026 * K21 ^ 2) ^ 2))</f>
        <v>1.1174246366611618</v>
      </c>
      <c r="L63" s="15">
        <f ca="1">(L55 / ((1.185 + 0.00454 * L21 - 0.0000026 * L21 ^ 2) ^ 2))</f>
        <v>0.97490853257319487</v>
      </c>
      <c r="M63" s="15">
        <f ca="1">(M55 / ((1.185 + 0.00454 * M21 - 0.0000026 * M21 ^ 2) ^ 2))</f>
        <v>0.97490853257319487</v>
      </c>
      <c r="N63" s="15">
        <f ca="1">(N55 / ((1.185 + 0.00454 * N21 - 0.0000026 * N21 ^ 2) ^ 2))</f>
        <v>0.97490853257319487</v>
      </c>
      <c r="O63" s="16" t="str">
        <f t="shared" ref="O63:O65" si="2">$E$46</f>
        <v>ratio</v>
      </c>
      <c r="U63" s="15" t="str">
        <f>TEXT(EDATE(X_Cell_Site_StartDate,7), "mmmm")</f>
        <v>August</v>
      </c>
      <c r="V63" s="15">
        <f ca="1">INDEX(M2_Table_I_j_k_l,9,2)</f>
        <v>5.1328980481000004</v>
      </c>
      <c r="W63" s="15">
        <f ca="1">INDEX(M2_Table_I_j_k_l,9,3)</f>
        <v>9.9748588899999984</v>
      </c>
      <c r="X63" s="15">
        <f ca="1">INDEX(M2_Table_I_j_k_l,9,4)</f>
        <v>4.202705002500001</v>
      </c>
      <c r="Y63" s="15">
        <f ca="1">INDEX(M2_Table_I_j_k_l,9,5)</f>
        <v>7.2615706605225032</v>
      </c>
      <c r="Z63" s="15">
        <f ca="1">INDEX(M2_Table_I_j_k_l,9,6)</f>
        <v>9.7416209101224993</v>
      </c>
      <c r="AA63" s="15">
        <f ca="1">INDEX(M2_Table_I_j_k_l,9,7)</f>
        <v>9.7416209101224993</v>
      </c>
      <c r="AB63" s="15">
        <f ca="1">INDEX(M2_Table_I_j_k_l,9,8)</f>
        <v>4.5122681240999984</v>
      </c>
      <c r="AC63" s="15">
        <f ca="1">INDEX(M2_Table_I_j_k_l,9,9)</f>
        <v>6.8698506815999991</v>
      </c>
      <c r="AD63" s="15">
        <f ca="1">INDEX(M2_Table_I_j_k_l,9,10)</f>
        <v>6.8698506815999991</v>
      </c>
      <c r="AE63" s="15">
        <f ca="1">INDEX(M2_Table_I_j_k_l,9,11)</f>
        <v>6.8698506815999991</v>
      </c>
      <c r="AF63" s="16" t="str">
        <f>'4.2.1.1-2 Methane'!AH83</f>
        <v>kg DM/head/day</v>
      </c>
      <c r="AG63" s="16"/>
      <c r="AH63" s="16"/>
    </row>
    <row r="64" spans="1:35" ht="20.100000000000001" customHeight="1" x14ac:dyDescent="0.2">
      <c r="D64" s="15" t="s">
        <v>336</v>
      </c>
      <c r="E64" s="15">
        <f ca="1">(E56 / ((1.185 + 0.00454 * E22 - 0.0000026 * E22 ^ 2) ^ 2))</f>
        <v>1.2480754440536419</v>
      </c>
      <c r="F64" s="15">
        <f ca="1">(F56 / ((1.185 + 0.00454 * F22 - 0.0000026 * F22 ^ 2) ^ 2))</f>
        <v>1</v>
      </c>
      <c r="G64" s="15">
        <f ca="1">(G56 / ((1.185 + 0.00454 * G22 - 0.0000026 * G22 ^ 2) ^ 2))</f>
        <v>1.2620356226501883</v>
      </c>
      <c r="H64" s="15">
        <f ca="1">(H56 / ((1.185 + 0.00454 * H22 - 0.0000026 * H22 ^ 2) ^ 2))</f>
        <v>1.0698893911586809</v>
      </c>
      <c r="I64" s="15">
        <f ca="1">(I56 / ((1.185 + 0.00454 * I22 - 0.0000026 * I22 ^ 2) ^ 2))</f>
        <v>0.87861639465436669</v>
      </c>
      <c r="J64" s="15">
        <f ca="1">(J56 / ((1.185 + 0.00454 * J22 - 0.0000026 * J22 ^ 2) ^ 2))</f>
        <v>0.87861639465436669</v>
      </c>
      <c r="K64" s="15">
        <f ca="1">(K56 / ((1.185 + 0.00454 * K22 - 0.0000026 * K22 ^ 2) ^ 2))</f>
        <v>1.2480754440536419</v>
      </c>
      <c r="L64" s="15">
        <f ca="1">(L56 / ((1.185 + 0.00454 * L22 - 0.0000026 * L22 ^ 2) ^ 2))</f>
        <v>1</v>
      </c>
      <c r="M64" s="15">
        <f ca="1">(M56 / ((1.185 + 0.00454 * M22 - 0.0000026 * M22 ^ 2) ^ 2))</f>
        <v>1</v>
      </c>
      <c r="N64" s="15">
        <f ca="1">(N56 / ((1.185 + 0.00454 * N22 - 0.0000026 * N22 ^ 2) ^ 2))</f>
        <v>1</v>
      </c>
      <c r="O64" s="16" t="str">
        <f t="shared" si="2"/>
        <v>ratio</v>
      </c>
      <c r="U64" s="15" t="str">
        <f>TEXT(EDATE(X_Cell_Site_StartDate,8), "mmmm")</f>
        <v>September</v>
      </c>
      <c r="V64" s="15">
        <f ca="1">INDEX(M2_Table_I_j_k_l,10,2)</f>
        <v>8.6709047296000001</v>
      </c>
      <c r="W64" s="15">
        <f ca="1">INDEX(M2_Table_I_j_k_l,10,3)</f>
        <v>12.246500250000002</v>
      </c>
      <c r="X64" s="15">
        <f ca="1">INDEX(M2_Table_I_j_k_l,10,4)</f>
        <v>6.6089612241000006</v>
      </c>
      <c r="Y64" s="15">
        <f ca="1">INDEX(M2_Table_I_j_k_l,10,5)</f>
        <v>10.624527777622504</v>
      </c>
      <c r="Z64" s="15">
        <f ca="1">INDEX(M2_Table_I_j_k_l,10,6)</f>
        <v>11.798087161000003</v>
      </c>
      <c r="AA64" s="15">
        <f ca="1">INDEX(M2_Table_I_j_k_l,10,7)</f>
        <v>11.798087161000003</v>
      </c>
      <c r="AB64" s="15">
        <f ca="1">INDEX(M2_Table_I_j_k_l,10,8)</f>
        <v>7.6192560899999977</v>
      </c>
      <c r="AC64" s="15">
        <f ca="1">INDEX(M2_Table_I_j_k_l,10,9)</f>
        <v>9.6824279555999979</v>
      </c>
      <c r="AD64" s="15">
        <f ca="1">INDEX(M2_Table_I_j_k_l,10,10)</f>
        <v>9.6824279555999979</v>
      </c>
      <c r="AE64" s="15">
        <f ca="1">INDEX(M2_Table_I_j_k_l,10,11)</f>
        <v>9.6824279555999979</v>
      </c>
      <c r="AF64" s="16" t="str">
        <f>'4.2.1.1-2 Methane'!AH84</f>
        <v>kg DM/head/day</v>
      </c>
      <c r="AG64" s="16"/>
      <c r="AH64" s="16"/>
    </row>
    <row r="65" spans="1:34" ht="20.100000000000001" customHeight="1" x14ac:dyDescent="0.2">
      <c r="D65" s="15" t="s">
        <v>337</v>
      </c>
      <c r="E65" s="15">
        <f ca="1">(E57 / ((1.185 + 0.00454 * E23 - 0.0000026 * E23 ^ 2) ^ 2))</f>
        <v>1.3447114471128401</v>
      </c>
      <c r="F65" s="15">
        <f ca="1">(F57 / ((1.185 + 0.00454 * F23 - 0.0000026 * F23 ^ 2) ^ 2))</f>
        <v>1.0453721939219578</v>
      </c>
      <c r="G65" s="15">
        <f ca="1">(G57 / ((1.185 + 0.00454 * G23 - 0.0000026 * G23 ^ 2) ^ 2))</f>
        <v>1.2863889326974398</v>
      </c>
      <c r="H65" s="15">
        <f ca="1">(H57 / ((1.185 + 0.00454 * H23 - 0.0000026 * H23 ^ 2) ^ 2))</f>
        <v>1.2451900780444165</v>
      </c>
      <c r="I65" s="15">
        <f ca="1">(I57 / ((1.185 + 0.00454 * I23 - 0.0000026 * I23 ^ 2) ^ 2))</f>
        <v>1.1787902763034313</v>
      </c>
      <c r="J65" s="15">
        <f ca="1">(J57 / ((1.185 + 0.00454 * J23 - 0.0000026 * J23 ^ 2) ^ 2))</f>
        <v>1.1787902763034313</v>
      </c>
      <c r="K65" s="15">
        <f ca="1">(K57 / ((1.185 + 0.00454 * K23 - 0.0000026 * K23 ^ 2) ^ 2))</f>
        <v>1.2744200407937745</v>
      </c>
      <c r="L65" s="15">
        <f ca="1">(L57 / ((1.185 + 0.00454 * L23 - 0.0000026 * L23 ^ 2) ^ 2))</f>
        <v>1.1147815609185805</v>
      </c>
      <c r="M65" s="15">
        <f ca="1">(M57 / ((1.185 + 0.00454 * M23 - 0.0000026 * M23 ^ 2) ^ 2))</f>
        <v>1.1147815609185805</v>
      </c>
      <c r="N65" s="15">
        <f ca="1">(N57 / ((1.185 + 0.00454 * N23 - 0.0000026 * N23 ^ 2) ^ 2))</f>
        <v>1.1147815609185805</v>
      </c>
      <c r="O65" s="16" t="str">
        <f t="shared" si="2"/>
        <v>ratio</v>
      </c>
      <c r="U65" s="15" t="str">
        <f>TEXT(EDATE(X_Cell_Site_StartDate,9), "mmmm")</f>
        <v>October</v>
      </c>
      <c r="V65" s="15">
        <f ca="1">INDEX(M2_Table_I_j_k_l,11,2)</f>
        <v>8.6709047296000001</v>
      </c>
      <c r="W65" s="15">
        <f ca="1">INDEX(M2_Table_I_j_k_l,11,3)</f>
        <v>12.246500250000002</v>
      </c>
      <c r="X65" s="15">
        <f ca="1">INDEX(M2_Table_I_j_k_l,11,4)</f>
        <v>6.6089612241000006</v>
      </c>
      <c r="Y65" s="15">
        <f ca="1">INDEX(M2_Table_I_j_k_l,11,5)</f>
        <v>10.624527777622504</v>
      </c>
      <c r="Z65" s="15">
        <f ca="1">INDEX(M2_Table_I_j_k_l,11,6)</f>
        <v>11.798087161000003</v>
      </c>
      <c r="AA65" s="15">
        <f ca="1">INDEX(M2_Table_I_j_k_l,11,7)</f>
        <v>11.798087161000003</v>
      </c>
      <c r="AB65" s="15">
        <f ca="1">INDEX(M2_Table_I_j_k_l,11,8)</f>
        <v>7.6192560899999977</v>
      </c>
      <c r="AC65" s="15">
        <f ca="1">INDEX(M2_Table_I_j_k_l,11,9)</f>
        <v>9.6824279555999979</v>
      </c>
      <c r="AD65" s="15">
        <f ca="1">INDEX(M2_Table_I_j_k_l,11,10)</f>
        <v>9.6824279555999979</v>
      </c>
      <c r="AE65" s="15">
        <f ca="1">INDEX(M2_Table_I_j_k_l,11,11)</f>
        <v>9.6824279555999979</v>
      </c>
      <c r="AF65" s="16" t="str">
        <f>'4.2.1.1-2 Methane'!AH85</f>
        <v>kg DM/head/day</v>
      </c>
      <c r="AG65" s="16"/>
      <c r="AH65" s="16"/>
    </row>
    <row r="66" spans="1:34" ht="20.100000000000001" customHeight="1" x14ac:dyDescent="0.2">
      <c r="U66" s="15" t="str">
        <f>TEXT(EDATE(X_Cell_Site_StartDate,10), "mmmm")</f>
        <v>November</v>
      </c>
      <c r="V66" s="15">
        <f ca="1">INDEX(M2_Table_I_j_k_l,12,2)</f>
        <v>8.6709047296000001</v>
      </c>
      <c r="W66" s="15">
        <f ca="1">INDEX(M2_Table_I_j_k_l,12,3)</f>
        <v>12.246500250000002</v>
      </c>
      <c r="X66" s="15">
        <f ca="1">INDEX(M2_Table_I_j_k_l,12,4)</f>
        <v>6.6089612241000006</v>
      </c>
      <c r="Y66" s="15">
        <f ca="1">INDEX(M2_Table_I_j_k_l,12,5)</f>
        <v>9.3235651926075036</v>
      </c>
      <c r="Z66" s="15">
        <f ca="1">INDEX(M2_Table_I_j_k_l,12,6)</f>
        <v>10.353423427000003</v>
      </c>
      <c r="AA66" s="15">
        <f ca="1">INDEX(M2_Table_I_j_k_l,12,7)</f>
        <v>10.353423427000003</v>
      </c>
      <c r="AB66" s="15">
        <f ca="1">INDEX(M2_Table_I_j_k_l,12,8)</f>
        <v>7.6192560899999977</v>
      </c>
      <c r="AC66" s="15">
        <f ca="1">INDEX(M2_Table_I_j_k_l,12,9)</f>
        <v>9.6824279555999979</v>
      </c>
      <c r="AD66" s="15">
        <f ca="1">INDEX(M2_Table_I_j_k_l,12,10)</f>
        <v>9.6824279555999979</v>
      </c>
      <c r="AE66" s="15">
        <f ca="1">INDEX(M2_Table_I_j_k_l,12,11)</f>
        <v>9.6824279555999979</v>
      </c>
      <c r="AF66" s="16" t="str">
        <f>'4.2.1.1-2 Methane'!AH86</f>
        <v>kg DM/head/day</v>
      </c>
      <c r="AG66" s="16"/>
      <c r="AH66" s="16"/>
    </row>
    <row r="67" spans="1:34" ht="20.100000000000001" customHeight="1" x14ac:dyDescent="0.2">
      <c r="U67" s="15" t="str">
        <f>TEXT(EDATE(X_Cell_Site_StartDate,11), "mmmm")</f>
        <v>December</v>
      </c>
      <c r="V67" s="15">
        <f ca="1">INDEX(M2_Table_I_j_k_l,13,2)</f>
        <v>7.1468536895999959</v>
      </c>
      <c r="W67" s="15">
        <f ca="1">INDEX(M2_Table_I_j_k_l,13,3)</f>
        <v>9.4559940036000008</v>
      </c>
      <c r="X67" s="15">
        <f ca="1">INDEX(M2_Table_I_j_k_l,13,4)</f>
        <v>6.010342559999998</v>
      </c>
      <c r="Y67" s="15">
        <f ca="1">INDEX(M2_Table_I_j_k_l,13,5)</f>
        <v>8.4608409301875014</v>
      </c>
      <c r="Z67" s="15">
        <f ca="1">INDEX(M2_Table_I_j_k_l,13,6)</f>
        <v>8.3772677761199983</v>
      </c>
      <c r="AA67" s="15">
        <f ca="1">INDEX(M2_Table_I_j_k_l,13,7)</f>
        <v>8.3772677761199983</v>
      </c>
      <c r="AB67" s="15">
        <f ca="1">INDEX(M2_Table_I_j_k_l,13,8)</f>
        <v>6.5876408896000003</v>
      </c>
      <c r="AC67" s="15">
        <f ca="1">INDEX(M2_Table_I_j_k_l,13,9)</f>
        <v>7.3430702361</v>
      </c>
      <c r="AD67" s="15">
        <f ca="1">INDEX(M2_Table_I_j_k_l,13,10)</f>
        <v>7.3430702361</v>
      </c>
      <c r="AE67" s="15">
        <f ca="1">INDEX(M2_Table_I_j_k_l,13,11)</f>
        <v>7.3430702361</v>
      </c>
      <c r="AF67" s="16" t="str">
        <f>'4.2.1.1-2 Methane'!AH87</f>
        <v>kg DM/head/day</v>
      </c>
      <c r="AG67" s="16"/>
      <c r="AH67" s="16"/>
    </row>
    <row r="68" spans="1:34" ht="20.100000000000001" customHeight="1" x14ac:dyDescent="0.2">
      <c r="C68" s="88"/>
      <c r="D68" s="88"/>
      <c r="E68" s="88"/>
      <c r="F68" s="88"/>
      <c r="G68" s="88"/>
      <c r="H68" s="88"/>
      <c r="I68" s="88"/>
      <c r="J68" s="88"/>
      <c r="K68" s="88"/>
      <c r="L68" s="88"/>
      <c r="M68" s="88"/>
      <c r="N68" s="88"/>
      <c r="O68" s="88"/>
      <c r="P68" s="88"/>
      <c r="Q68" s="88"/>
      <c r="R68" s="88"/>
    </row>
    <row r="69" spans="1:34" ht="20.100000000000001" customHeight="1" x14ac:dyDescent="0.2">
      <c r="D69" s="2" t="s">
        <v>1400</v>
      </c>
      <c r="U69" s="113" t="s">
        <v>448</v>
      </c>
    </row>
    <row r="70" spans="1:34" ht="20.100000000000001" customHeight="1" x14ac:dyDescent="0.2">
      <c r="D70" s="17" t="s">
        <v>1401</v>
      </c>
      <c r="U70" s="114" t="s">
        <v>449</v>
      </c>
    </row>
    <row r="71" spans="1:34" ht="20.100000000000001" customHeight="1" x14ac:dyDescent="0.2">
      <c r="A71" s="85" t="str">
        <f>HYPERLINK("#A1", "▲ Back to top")</f>
        <v>▲ Back to top</v>
      </c>
      <c r="D71" s="26"/>
      <c r="U71" s="115" t="s">
        <v>75</v>
      </c>
      <c r="V71" s="115" t="s">
        <v>325</v>
      </c>
      <c r="W71" s="115" t="s">
        <v>189</v>
      </c>
      <c r="X71" s="115" t="s">
        <v>326</v>
      </c>
      <c r="Y71" s="115" t="s">
        <v>327</v>
      </c>
      <c r="Z71" s="115" t="s">
        <v>328</v>
      </c>
      <c r="AA71" s="115" t="s">
        <v>329</v>
      </c>
      <c r="AB71" s="115" t="s">
        <v>330</v>
      </c>
      <c r="AC71" s="115" t="s">
        <v>331</v>
      </c>
      <c r="AD71" s="115" t="s">
        <v>332</v>
      </c>
      <c r="AE71" s="115" t="s">
        <v>333</v>
      </c>
    </row>
    <row r="72" spans="1:34" ht="20.100000000000001" customHeight="1" x14ac:dyDescent="0.2">
      <c r="D72" s="104"/>
      <c r="E72" s="104" t="s">
        <v>450</v>
      </c>
      <c r="U72" s="15" t="str">
        <f>TEXT(X_Cell_Site_StartDate,"mmmm")</f>
        <v>January</v>
      </c>
      <c r="V72" s="15">
        <f ca="1">(V56 / ((1.185 + 0.00454 * V20 - 0.0000026 * V20 ^ 2) ^ 2))</f>
        <v>1.1123493391850732</v>
      </c>
      <c r="W72" s="15">
        <f ca="1">(W56 / ((1.185 + 0.00454 * W20 - 0.0000026 * W20 ^ 2) ^ 2))</f>
        <v>0.95640681558610863</v>
      </c>
      <c r="X72" s="15">
        <f ca="1">(X56 / ((1.185 + 0.00454 * X20 - 0.0000026 * X20 ^ 2) ^ 2))</f>
        <v>1.1234350255113625</v>
      </c>
      <c r="Y72" s="15">
        <f ca="1">(Y56 / ((1.185 + 0.00454 * Y20 - 0.0000026 * Y20 ^ 2) ^ 2))</f>
        <v>1.1593206891815613</v>
      </c>
      <c r="Z72" s="15">
        <f ca="1">(Z56 / ((1.185 + 0.00454 * Z20 - 0.0000026 * Z20 ^ 2) ^ 2))</f>
        <v>1.0235502922520121</v>
      </c>
      <c r="AA72" s="15">
        <f ca="1">(AA56 / ((1.185 + 0.00454 * AA20 - 0.0000026 * AA20 ^ 2) ^ 2))</f>
        <v>1.0235502922520121</v>
      </c>
      <c r="AB72" s="15">
        <f ca="1">(AB56 / ((1.185 + 0.00454 * AB20 - 0.0000026 * AB20 ^ 2) ^ 2))</f>
        <v>1.1174246366611618</v>
      </c>
      <c r="AC72" s="15">
        <f ca="1">(AC56 / ((1.185 + 0.00454 * AC20 - 0.0000026 * AC20 ^ 2) ^ 2))</f>
        <v>0.97490853257319487</v>
      </c>
      <c r="AD72" s="15">
        <f ca="1">(AD56 / ((1.185 + 0.00454 * AD20 - 0.0000026 * AD20 ^ 2) ^ 2))</f>
        <v>0.97490853257319487</v>
      </c>
      <c r="AE72" s="15">
        <f ca="1">(AE56 / ((1.185 + 0.00454 * AE20 - 0.0000026 * AE20 ^ 2) ^ 2))</f>
        <v>0.97490853257319487</v>
      </c>
      <c r="AF72" s="16" t="str">
        <f t="shared" ref="AF72:AF83" si="3">$E$46</f>
        <v>ratio</v>
      </c>
      <c r="AG72" s="16"/>
      <c r="AH72" s="16"/>
    </row>
    <row r="73" spans="1:34" ht="20.100000000000001" customHeight="1" x14ac:dyDescent="0.2">
      <c r="U73" s="15" t="str">
        <f>TEXT(EDATE(X_Cell_Site_StartDate,1), "mmmm")</f>
        <v>February</v>
      </c>
      <c r="V73" s="15">
        <f ca="1">(V57 / ((1.185 + 0.00454 * V21 - 0.0000026 * V21 ^ 2) ^ 2))</f>
        <v>1.1123493391850732</v>
      </c>
      <c r="W73" s="15">
        <f ca="1">(W57 / ((1.185 + 0.00454 * W21 - 0.0000026 * W21 ^ 2) ^ 2))</f>
        <v>0.95640681558610863</v>
      </c>
      <c r="X73" s="15">
        <f ca="1">(X57 / ((1.185 + 0.00454 * X21 - 0.0000026 * X21 ^ 2) ^ 2))</f>
        <v>1.1234350255113625</v>
      </c>
      <c r="Y73" s="15">
        <f ca="1">(Y57 / ((1.185 + 0.00454 * Y21 - 0.0000026 * Y21 ^ 2) ^ 2))</f>
        <v>1.0784378504014522</v>
      </c>
      <c r="Z73" s="15">
        <f ca="1">(Z57 / ((1.185 + 0.00454 * Z21 - 0.0000026 * Z21 ^ 2) ^ 2))</f>
        <v>0.95213980674605769</v>
      </c>
      <c r="AA73" s="15">
        <f ca="1">(AA57 / ((1.185 + 0.00454 * AA21 - 0.0000026 * AA21 ^ 2) ^ 2))</f>
        <v>0.95213980674605769</v>
      </c>
      <c r="AB73" s="15">
        <f ca="1">(AB57 / ((1.185 + 0.00454 * AB21 - 0.0000026 * AB21 ^ 2) ^ 2))</f>
        <v>1.1174246366611618</v>
      </c>
      <c r="AC73" s="15">
        <f ca="1">(AC57 / ((1.185 + 0.00454 * AC21 - 0.0000026 * AC21 ^ 2) ^ 2))</f>
        <v>0.97490853257319487</v>
      </c>
      <c r="AD73" s="15">
        <f ca="1">(AD57 / ((1.185 + 0.00454 * AD21 - 0.0000026 * AD21 ^ 2) ^ 2))</f>
        <v>0.97490853257319487</v>
      </c>
      <c r="AE73" s="15">
        <f ca="1">(AE57 / ((1.185 + 0.00454 * AE21 - 0.0000026 * AE21 ^ 2) ^ 2))</f>
        <v>0.97490853257319487</v>
      </c>
      <c r="AF73" s="16" t="str">
        <f t="shared" si="3"/>
        <v>ratio</v>
      </c>
      <c r="AG73" s="16"/>
      <c r="AH73" s="16"/>
    </row>
    <row r="74" spans="1:34" ht="20.100000000000001" customHeight="1" x14ac:dyDescent="0.2">
      <c r="U74" s="15" t="str">
        <f>TEXT(EDATE(X_Cell_Site_StartDate,2), "mmmm")</f>
        <v>March</v>
      </c>
      <c r="V74" s="15">
        <f ca="1">(V58 / ((1.185 + 0.00454 * V22 - 0.0000026 * V22 ^ 2) ^ 2))</f>
        <v>1.2480754440536419</v>
      </c>
      <c r="W74" s="15">
        <f ca="1">(W58 / ((1.185 + 0.00454 * W22 - 0.0000026 * W22 ^ 2) ^ 2))</f>
        <v>1</v>
      </c>
      <c r="X74" s="15">
        <f ca="1">(X58 / ((1.185 + 0.00454 * X22 - 0.0000026 * X22 ^ 2) ^ 2))</f>
        <v>1.2620356226501883</v>
      </c>
      <c r="Y74" s="15">
        <f ca="1">(Y58 / ((1.185 + 0.00454 * Y22 - 0.0000026 * Y22 ^ 2) ^ 2))</f>
        <v>1.0592964268897831</v>
      </c>
      <c r="Z74" s="15">
        <f ca="1">(Z58 / ((1.185 + 0.00454 * Z22 - 0.0000026 * Z22 ^ 2) ^ 2))</f>
        <v>0.87861639465436669</v>
      </c>
      <c r="AA74" s="15">
        <f ca="1">(AA58 / ((1.185 + 0.00454 * AA22 - 0.0000026 * AA22 ^ 2) ^ 2))</f>
        <v>0.87861639465436669</v>
      </c>
      <c r="AB74" s="15">
        <f ca="1">(AB58 / ((1.185 + 0.00454 * AB22 - 0.0000026 * AB22 ^ 2) ^ 2))</f>
        <v>1.2480754440536419</v>
      </c>
      <c r="AC74" s="15">
        <f ca="1">(AC58 / ((1.185 + 0.00454 * AC22 - 0.0000026 * AC22 ^ 2) ^ 2))</f>
        <v>1</v>
      </c>
      <c r="AD74" s="15">
        <f ca="1">(AD58 / ((1.185 + 0.00454 * AD22 - 0.0000026 * AD22 ^ 2) ^ 2))</f>
        <v>1</v>
      </c>
      <c r="AE74" s="15">
        <f ca="1">(AE58 / ((1.185 + 0.00454 * AE22 - 0.0000026 * AE22 ^ 2) ^ 2))</f>
        <v>1</v>
      </c>
      <c r="AF74" s="16" t="str">
        <f t="shared" si="3"/>
        <v>ratio</v>
      </c>
      <c r="AG74" s="16"/>
      <c r="AH74" s="16"/>
    </row>
    <row r="75" spans="1:34" ht="20.100000000000001" customHeight="1" x14ac:dyDescent="0.2">
      <c r="D75" s="77" t="s">
        <v>374</v>
      </c>
      <c r="E75" s="1" t="s">
        <v>1402</v>
      </c>
      <c r="U75" s="15" t="str">
        <f>TEXT(EDATE(X_Cell_Site_StartDate,3), "mmmm")</f>
        <v>April</v>
      </c>
      <c r="V75" s="15">
        <f ca="1">(V59 / ((1.185 + 0.00454 * V23 - 0.0000026 * V23 ^ 2) ^ 2))</f>
        <v>1.2480754440536419</v>
      </c>
      <c r="W75" s="15">
        <f ca="1">(W59 / ((1.185 + 0.00454 * W23 - 0.0000026 * W23 ^ 2) ^ 2))</f>
        <v>1</v>
      </c>
      <c r="X75" s="15">
        <f ca="1">(X59 / ((1.185 + 0.00454 * X23 - 0.0000026 * X23 ^ 2) ^ 2))</f>
        <v>1.2620356226501883</v>
      </c>
      <c r="Y75" s="15">
        <f ca="1">(Y59 / ((1.185 + 0.00454 * Y23 - 0.0000026 * Y23 ^ 2) ^ 2))</f>
        <v>1.0592964268897831</v>
      </c>
      <c r="Z75" s="15">
        <f ca="1">(Z59 / ((1.185 + 0.00454 * Z23 - 0.0000026 * Z23 ^ 2) ^ 2))</f>
        <v>0.87861639465436669</v>
      </c>
      <c r="AA75" s="15">
        <f ca="1">(AA59 / ((1.185 + 0.00454 * AA23 - 0.0000026 * AA23 ^ 2) ^ 2))</f>
        <v>0.87861639465436669</v>
      </c>
      <c r="AB75" s="15">
        <f ca="1">(AB59 / ((1.185 + 0.00454 * AB23 - 0.0000026 * AB23 ^ 2) ^ 2))</f>
        <v>1.2480754440536419</v>
      </c>
      <c r="AC75" s="15">
        <f ca="1">(AC59 / ((1.185 + 0.00454 * AC23 - 0.0000026 * AC23 ^ 2) ^ 2))</f>
        <v>1</v>
      </c>
      <c r="AD75" s="15">
        <f ca="1">(AD59 / ((1.185 + 0.00454 * AD23 - 0.0000026 * AD23 ^ 2) ^ 2))</f>
        <v>1</v>
      </c>
      <c r="AE75" s="15">
        <f ca="1">(AE59 / ((1.185 + 0.00454 * AE23 - 0.0000026 * AE23 ^ 2) ^ 2))</f>
        <v>1</v>
      </c>
      <c r="AF75" s="16" t="str">
        <f t="shared" si="3"/>
        <v>ratio</v>
      </c>
      <c r="AG75" s="16"/>
      <c r="AH75" s="16"/>
    </row>
    <row r="76" spans="1:34" ht="20.100000000000001" customHeight="1" x14ac:dyDescent="0.2">
      <c r="D76" s="77" t="s">
        <v>126</v>
      </c>
      <c r="E76" s="9" t="s">
        <v>345</v>
      </c>
      <c r="U76" s="15" t="str">
        <f>TEXT(EDATE(X_Cell_Site_StartDate,4), "mmmm")</f>
        <v>May</v>
      </c>
      <c r="V76" s="15">
        <f ca="1">(V60 / ((1.185 + 0.00454 * V24 - 0.0000026 * V24 ^ 2) ^ 2))</f>
        <v>1.2480754440536419</v>
      </c>
      <c r="W76" s="15">
        <f ca="1">(W60 / ((1.185 + 0.00454 * W24 - 0.0000026 * W24 ^ 2) ^ 2))</f>
        <v>1</v>
      </c>
      <c r="X76" s="15">
        <f ca="1">(X60 / ((1.185 + 0.00454 * X24 - 0.0000026 * X24 ^ 2) ^ 2))</f>
        <v>1.2620356226501883</v>
      </c>
      <c r="Y76" s="15">
        <f ca="1">(Y60 / ((1.185 + 0.00454 * Y24 - 0.0000026 * Y24 ^ 2) ^ 2))</f>
        <v>1.0592964268897831</v>
      </c>
      <c r="Z76" s="15">
        <f ca="1">(Z60 / ((1.185 + 0.00454 * Z24 - 0.0000026 * Z24 ^ 2) ^ 2))</f>
        <v>0.87861639465436669</v>
      </c>
      <c r="AA76" s="15">
        <f ca="1">(AA60 / ((1.185 + 0.00454 * AA24 - 0.0000026 * AA24 ^ 2) ^ 2))</f>
        <v>0.87861639465436669</v>
      </c>
      <c r="AB76" s="15">
        <f ca="1">(AB60 / ((1.185 + 0.00454 * AB24 - 0.0000026 * AB24 ^ 2) ^ 2))</f>
        <v>1.2480754440536419</v>
      </c>
      <c r="AC76" s="15">
        <f ca="1">(AC60 / ((1.185 + 0.00454 * AC24 - 0.0000026 * AC24 ^ 2) ^ 2))</f>
        <v>1</v>
      </c>
      <c r="AD76" s="15">
        <f ca="1">(AD60 / ((1.185 + 0.00454 * AD24 - 0.0000026 * AD24 ^ 2) ^ 2))</f>
        <v>1</v>
      </c>
      <c r="AE76" s="15">
        <f ca="1">(AE60 / ((1.185 + 0.00454 * AE24 - 0.0000026 * AE24 ^ 2) ^ 2))</f>
        <v>1</v>
      </c>
      <c r="AF76" s="16" t="str">
        <f t="shared" si="3"/>
        <v>ratio</v>
      </c>
      <c r="AG76" s="16"/>
      <c r="AH76" s="16"/>
    </row>
    <row r="77" spans="1:34" ht="20.100000000000001" customHeight="1" x14ac:dyDescent="0.2">
      <c r="U77" s="15" t="str">
        <f>TEXT(EDATE(X_Cell_Site_StartDate,5), "mmmm")</f>
        <v>June</v>
      </c>
      <c r="V77" s="15">
        <f ca="1">(V61 / ((1.185 + 0.00454 * V25 - 0.0000026 * V25 ^ 2) ^ 2))</f>
        <v>1.3447114471128401</v>
      </c>
      <c r="W77" s="15">
        <f ca="1">(W61 / ((1.185 + 0.00454 * W25 - 0.0000026 * W25 ^ 2) ^ 2))</f>
        <v>1.0453721939219578</v>
      </c>
      <c r="X77" s="15">
        <f ca="1">(X61 / ((1.185 + 0.00454 * X25 - 0.0000026 * X25 ^ 2) ^ 2))</f>
        <v>1.2863889326974398</v>
      </c>
      <c r="Y77" s="15">
        <f ca="1">(Y61 / ((1.185 + 0.00454 * Y25 - 0.0000026 * Y25 ^ 2) ^ 2))</f>
        <v>1.0290827091276171</v>
      </c>
      <c r="Z77" s="15">
        <f ca="1">(Z61 / ((1.185 + 0.00454 * Z25 - 0.0000026 * Z25 ^ 2) ^ 2))</f>
        <v>1.0250350228725489</v>
      </c>
      <c r="AA77" s="15">
        <f ca="1">(AA61 / ((1.185 + 0.00454 * AA25 - 0.0000026 * AA25 ^ 2) ^ 2))</f>
        <v>1.0250350228725489</v>
      </c>
      <c r="AB77" s="15">
        <f ca="1">(AB61 / ((1.185 + 0.00454 * AB25 - 0.0000026 * AB25 ^ 2) ^ 2))</f>
        <v>1.2744200407937745</v>
      </c>
      <c r="AC77" s="15">
        <f ca="1">(AC61 / ((1.185 + 0.00454 * AC25 - 0.0000026 * AC25 ^ 2) ^ 2))</f>
        <v>1.1147815609185805</v>
      </c>
      <c r="AD77" s="15">
        <f ca="1">(AD61 / ((1.185 + 0.00454 * AD25 - 0.0000026 * AD25 ^ 2) ^ 2))</f>
        <v>1.1147815609185805</v>
      </c>
      <c r="AE77" s="15">
        <f ca="1">(AE61 / ((1.185 + 0.00454 * AE25 - 0.0000026 * AE25 ^ 2) ^ 2))</f>
        <v>1.1147815609185805</v>
      </c>
      <c r="AF77" s="16" t="str">
        <f t="shared" si="3"/>
        <v>ratio</v>
      </c>
      <c r="AG77" s="16"/>
      <c r="AH77" s="16"/>
    </row>
    <row r="78" spans="1:34" ht="20.100000000000001" customHeight="1" x14ac:dyDescent="0.2">
      <c r="D78" s="106" t="s">
        <v>1403</v>
      </c>
      <c r="E78" s="107" t="s">
        <v>1404</v>
      </c>
      <c r="F78" s="109"/>
      <c r="G78" s="106" t="s">
        <v>347</v>
      </c>
      <c r="H78" s="110" t="s">
        <v>1325</v>
      </c>
      <c r="I78" s="112" t="str" cm="1">
        <f t="array" aca="1" ref="I78" ca="1">HYPERLINK(Common_InputFunctions.Utility_SourceHyperlink($D$84), $D$84)</f>
        <v>M1_Table_LC_j_k-4-5</v>
      </c>
      <c r="U78" s="15" t="str">
        <f>TEXT(EDATE(X_Cell_Site_StartDate,6), "mmmm")</f>
        <v>July</v>
      </c>
      <c r="V78" s="15">
        <f ca="1">(V62 / ((1.185 + 0.00454 * V26 - 0.0000026 * V26 ^ 2) ^ 2))</f>
        <v>1.3447114471128401</v>
      </c>
      <c r="W78" s="15">
        <f ca="1">(W62 / ((1.185 + 0.00454 * W26 - 0.0000026 * W26 ^ 2) ^ 2))</f>
        <v>1.0453721939219578</v>
      </c>
      <c r="X78" s="15">
        <f ca="1">(X62 / ((1.185 + 0.00454 * X26 - 0.0000026 * X26 ^ 2) ^ 2))</f>
        <v>1.2863889326974398</v>
      </c>
      <c r="Y78" s="15">
        <f ca="1">(Y62 / ((1.185 + 0.00454 * Y26 - 0.0000026 * Y26 ^ 2) ^ 2))</f>
        <v>1.0290827091276171</v>
      </c>
      <c r="Z78" s="15">
        <f ca="1">(Z62 / ((1.185 + 0.00454 * Z26 - 0.0000026 * Z26 ^ 2) ^ 2))</f>
        <v>1.0250350228725489</v>
      </c>
      <c r="AA78" s="15">
        <f ca="1">(AA62 / ((1.185 + 0.00454 * AA26 - 0.0000026 * AA26 ^ 2) ^ 2))</f>
        <v>1.0250350228725489</v>
      </c>
      <c r="AB78" s="15">
        <f ca="1">(AB62 / ((1.185 + 0.00454 * AB26 - 0.0000026 * AB26 ^ 2) ^ 2))</f>
        <v>1.2744200407937745</v>
      </c>
      <c r="AC78" s="15">
        <f ca="1">(AC62 / ((1.185 + 0.00454 * AC26 - 0.0000026 * AC26 ^ 2) ^ 2))</f>
        <v>1.1147815609185805</v>
      </c>
      <c r="AD78" s="15">
        <f ca="1">(AD62 / ((1.185 + 0.00454 * AD26 - 0.0000026 * AD26 ^ 2) ^ 2))</f>
        <v>1.1147815609185805</v>
      </c>
      <c r="AE78" s="15">
        <f ca="1">(AE62 / ((1.185 + 0.00454 * AE26 - 0.0000026 * AE26 ^ 2) ^ 2))</f>
        <v>1.1147815609185805</v>
      </c>
      <c r="AF78" s="16" t="str">
        <f t="shared" si="3"/>
        <v>ratio</v>
      </c>
      <c r="AG78" s="16"/>
      <c r="AH78" s="16"/>
    </row>
    <row r="79" spans="1:34" ht="20.100000000000001" customHeight="1" x14ac:dyDescent="0.2">
      <c r="D79" s="106" t="s">
        <v>1405</v>
      </c>
      <c r="E79" s="107" t="s">
        <v>1406</v>
      </c>
      <c r="F79" s="109"/>
      <c r="G79" s="106" t="s">
        <v>347</v>
      </c>
      <c r="H79" s="110" t="s">
        <v>1325</v>
      </c>
      <c r="I79" s="112" t="str" cm="1">
        <f t="array" aca="1" ref="I79" ca="1">HYPERLINK(Common_InputFunctions.Utility_SourceHyperlink($D$84), $D$84)</f>
        <v>M1_Table_LC_j_k-4-5</v>
      </c>
      <c r="U79" s="15" t="str">
        <f>TEXT(EDATE(X_Cell_Site_StartDate,7), "mmmm")</f>
        <v>August</v>
      </c>
      <c r="V79" s="15">
        <f ca="1">(V63 / ((1.185 + 0.00454 * V27 - 0.0000026 * V27 ^ 2) ^ 2))</f>
        <v>1.3447114471128401</v>
      </c>
      <c r="W79" s="15">
        <f ca="1">(W63 / ((1.185 + 0.00454 * W27 - 0.0000026 * W27 ^ 2) ^ 2))</f>
        <v>1.0453721939219578</v>
      </c>
      <c r="X79" s="15">
        <f ca="1">(X63 / ((1.185 + 0.00454 * X27 - 0.0000026 * X27 ^ 2) ^ 2))</f>
        <v>1.2863889326974398</v>
      </c>
      <c r="Y79" s="15">
        <f ca="1">(Y63 / ((1.185 + 0.00454 * Y27 - 0.0000026 * Y27 ^ 2) ^ 2))</f>
        <v>1.2606263186813311</v>
      </c>
      <c r="Z79" s="15">
        <f ca="1">(Z63 / ((1.185 + 0.00454 * Z27 - 0.0000026 * Z27 ^ 2) ^ 2))</f>
        <v>1.2556679030188727</v>
      </c>
      <c r="AA79" s="15">
        <f ca="1">(AA63 / ((1.185 + 0.00454 * AA27 - 0.0000026 * AA27 ^ 2) ^ 2))</f>
        <v>1.2556679030188727</v>
      </c>
      <c r="AB79" s="15">
        <f ca="1">(AB63 / ((1.185 + 0.00454 * AB27 - 0.0000026 * AB27 ^ 2) ^ 2))</f>
        <v>1.2744200407937745</v>
      </c>
      <c r="AC79" s="15">
        <f ca="1">(AC63 / ((1.185 + 0.00454 * AC27 - 0.0000026 * AC27 ^ 2) ^ 2))</f>
        <v>1.1147815609185805</v>
      </c>
      <c r="AD79" s="15">
        <f ca="1">(AD63 / ((1.185 + 0.00454 * AD27 - 0.0000026 * AD27 ^ 2) ^ 2))</f>
        <v>1.1147815609185805</v>
      </c>
      <c r="AE79" s="15">
        <f ca="1">(AE63 / ((1.185 + 0.00454 * AE27 - 0.0000026 * AE27 ^ 2) ^ 2))</f>
        <v>1.1147815609185805</v>
      </c>
      <c r="AF79" s="16" t="str">
        <f t="shared" si="3"/>
        <v>ratio</v>
      </c>
      <c r="AG79" s="16"/>
      <c r="AH79" s="16"/>
    </row>
    <row r="80" spans="1:34" ht="20.100000000000001" customHeight="1" x14ac:dyDescent="0.2">
      <c r="D80" s="106" t="s">
        <v>1407</v>
      </c>
      <c r="E80" s="107" t="s">
        <v>1408</v>
      </c>
      <c r="F80" s="109"/>
      <c r="G80" s="106" t="s">
        <v>345</v>
      </c>
      <c r="H80" s="111" t="s">
        <v>1326</v>
      </c>
      <c r="I80" s="117" cm="1">
        <f t="array" ref="I80">_xlfn.XLOOKUP(1, (Table_SourceData_PastureBeef_FeedIntakeAdjustment_Variation[Breed]=$I$82)*(Table_SourceData_PastureBeef_FeedIntakeAdjustment_Variation[Season]=+"Calving season"),Table_SourceData_PastureBeef_FeedIntakeAdjustment_Variation[Milk intake/production])</f>
        <v>6</v>
      </c>
      <c r="U80" s="15" t="str">
        <f>TEXT(EDATE(X_Cell_Site_StartDate,8), "mmmm")</f>
        <v>September</v>
      </c>
      <c r="V80" s="15">
        <f ca="1">(V64 / ((1.185 + 0.00454 * V28 - 0.0000026 * V28 ^ 2) ^ 2))</f>
        <v>1.4707970166214006</v>
      </c>
      <c r="W80" s="15">
        <f ca="1">(W64 / ((1.185 + 0.00454 * W28 - 0.0000026 * W28 ^ 2) ^ 2))</f>
        <v>1.2318676608114607</v>
      </c>
      <c r="X80" s="15">
        <f ca="1">(X64 / ((1.185 + 0.00454 * X28 - 0.0000026 * X28 ^ 2) ^ 2))</f>
        <v>1.3784396841492426</v>
      </c>
      <c r="Y80" s="15">
        <f ca="1">(Y64 / ((1.185 + 0.00454 * Y28 - 0.0000026 * Y28 ^ 2) ^ 2))</f>
        <v>1.5323399982323869</v>
      </c>
      <c r="Z80" s="15">
        <f ca="1">(Z64 / ((1.185 + 0.00454 * Z28 - 0.0000026 * Z28 ^ 2) ^ 2))</f>
        <v>1.4072279803711161</v>
      </c>
      <c r="AA80" s="15">
        <f ca="1">(AA64 / ((1.185 + 0.00454 * AA28 - 0.0000026 * AA28 ^ 2) ^ 2))</f>
        <v>1.4072279803711161</v>
      </c>
      <c r="AB80" s="15">
        <f ca="1">(AB64 / ((1.185 + 0.00454 * AB28 - 0.0000026 * AB28 ^ 2) ^ 2))</f>
        <v>1.4241682690123998</v>
      </c>
      <c r="AC80" s="15">
        <f ca="1">(AC64 / ((1.185 + 0.00454 * AC28 - 0.0000026 * AC28 ^ 2) ^ 2))</f>
        <v>1.2663208058014268</v>
      </c>
      <c r="AD80" s="15">
        <f ca="1">(AD64 / ((1.185 + 0.00454 * AD28 - 0.0000026 * AD28 ^ 2) ^ 2))</f>
        <v>1.2663208058014268</v>
      </c>
      <c r="AE80" s="15">
        <f ca="1">(AE64 / ((1.185 + 0.00454 * AE28 - 0.0000026 * AE28 ^ 2) ^ 2))</f>
        <v>1.2663208058014268</v>
      </c>
      <c r="AF80" s="16" t="str">
        <f t="shared" si="3"/>
        <v>ratio</v>
      </c>
      <c r="AG80" s="16"/>
      <c r="AH80" s="16"/>
    </row>
    <row r="81" spans="4:35" ht="20.100000000000001" customHeight="1" x14ac:dyDescent="0.2">
      <c r="D81" s="106" t="s">
        <v>1409</v>
      </c>
      <c r="E81" s="107" t="s">
        <v>1410</v>
      </c>
      <c r="F81" s="109"/>
      <c r="G81" s="106" t="s">
        <v>345</v>
      </c>
      <c r="H81" s="111" t="s">
        <v>1326</v>
      </c>
      <c r="I81" s="117"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15" t="str">
        <f>TEXT(EDATE(X_Cell_Site_StartDate,9), "mmmm")</f>
        <v>October</v>
      </c>
      <c r="V81" s="15">
        <f ca="1">(V65 / ((1.185 + 0.00454 * V29 - 0.0000026 * V29 ^ 2) ^ 2))</f>
        <v>1.4707970166214006</v>
      </c>
      <c r="W81" s="15">
        <f ca="1">(W65 / ((1.185 + 0.00454 * W29 - 0.0000026 * W29 ^ 2) ^ 2))</f>
        <v>1.2318676608114607</v>
      </c>
      <c r="X81" s="15">
        <f ca="1">(X65 / ((1.185 + 0.00454 * X29 - 0.0000026 * X29 ^ 2) ^ 2))</f>
        <v>1.3784396841492426</v>
      </c>
      <c r="Y81" s="15">
        <f ca="1">(Y65 / ((1.185 + 0.00454 * Y29 - 0.0000026 * Y29 ^ 2) ^ 2))</f>
        <v>1.5323399982323869</v>
      </c>
      <c r="Z81" s="15">
        <f ca="1">(Z65 / ((1.185 + 0.00454 * Z29 - 0.0000026 * Z29 ^ 2) ^ 2))</f>
        <v>1.4072279803711161</v>
      </c>
      <c r="AA81" s="15">
        <f ca="1">(AA65 / ((1.185 + 0.00454 * AA29 - 0.0000026 * AA29 ^ 2) ^ 2))</f>
        <v>1.4072279803711161</v>
      </c>
      <c r="AB81" s="15">
        <f ca="1">(AB65 / ((1.185 + 0.00454 * AB29 - 0.0000026 * AB29 ^ 2) ^ 2))</f>
        <v>1.4241682690123998</v>
      </c>
      <c r="AC81" s="15">
        <f ca="1">(AC65 / ((1.185 + 0.00454 * AC29 - 0.0000026 * AC29 ^ 2) ^ 2))</f>
        <v>1.2663208058014268</v>
      </c>
      <c r="AD81" s="15">
        <f ca="1">(AD65 / ((1.185 + 0.00454 * AD29 - 0.0000026 * AD29 ^ 2) ^ 2))</f>
        <v>1.2663208058014268</v>
      </c>
      <c r="AE81" s="15">
        <f ca="1">(AE65 / ((1.185 + 0.00454 * AE29 - 0.0000026 * AE29 ^ 2) ^ 2))</f>
        <v>1.2663208058014268</v>
      </c>
      <c r="AF81" s="16" t="str">
        <f t="shared" si="3"/>
        <v>ratio</v>
      </c>
      <c r="AG81" s="16"/>
      <c r="AH81" s="16"/>
    </row>
    <row r="82" spans="4:35" ht="20.100000000000001" customHeight="1" x14ac:dyDescent="0.2">
      <c r="D82" s="106" t="s">
        <v>1323</v>
      </c>
      <c r="E82" s="107" t="s">
        <v>1324</v>
      </c>
      <c r="F82" s="109"/>
      <c r="G82" s="106"/>
      <c r="H82" s="110" t="s">
        <v>1325</v>
      </c>
      <c r="I82" s="117" t="str">
        <f>X_Cell_PastureBeef_Breed</f>
        <v>Hereford or Shorthorn breeds</v>
      </c>
      <c r="U82" s="15" t="str">
        <f>TEXT(EDATE(X_Cell_Site_StartDate,10), "mmmm")</f>
        <v>November</v>
      </c>
      <c r="V82" s="15">
        <f ca="1">(V66 / ((1.185 + 0.00454 * V30 - 0.0000026 * V30 ^ 2) ^ 2))</f>
        <v>1.4707970166214006</v>
      </c>
      <c r="W82" s="15">
        <f ca="1">(W66 / ((1.185 + 0.00454 * W30 - 0.0000026 * W30 ^ 2) ^ 2))</f>
        <v>1.2318676608114607</v>
      </c>
      <c r="X82" s="15">
        <f ca="1">(X66 / ((1.185 + 0.00454 * X30 - 0.0000026 * X30 ^ 2) ^ 2))</f>
        <v>1.3784396841492426</v>
      </c>
      <c r="Y82" s="15">
        <f ca="1">(Y66 / ((1.185 + 0.00454 * Y30 - 0.0000026 * Y30 ^ 2) ^ 2))</f>
        <v>1.3447065290610742</v>
      </c>
      <c r="Z82" s="15">
        <f ca="1">(Z66 / ((1.185 + 0.00454 * Z30 - 0.0000026 * Z30 ^ 2) ^ 2))</f>
        <v>1.2349143501215916</v>
      </c>
      <c r="AA82" s="15">
        <f ca="1">(AA66 / ((1.185 + 0.00454 * AA30 - 0.0000026 * AA30 ^ 2) ^ 2))</f>
        <v>1.2349143501215916</v>
      </c>
      <c r="AB82" s="15">
        <f ca="1">(AB66 / ((1.185 + 0.00454 * AB30 - 0.0000026 * AB30 ^ 2) ^ 2))</f>
        <v>1.4241682690123998</v>
      </c>
      <c r="AC82" s="15">
        <f ca="1">(AC66 / ((1.185 + 0.00454 * AC30 - 0.0000026 * AC30 ^ 2) ^ 2))</f>
        <v>1.2663208058014268</v>
      </c>
      <c r="AD82" s="15">
        <f ca="1">(AD66 / ((1.185 + 0.00454 * AD30 - 0.0000026 * AD30 ^ 2) ^ 2))</f>
        <v>1.2663208058014268</v>
      </c>
      <c r="AE82" s="15">
        <f ca="1">(AE66 / ((1.185 + 0.00454 * AE30 - 0.0000026 * AE30 ^ 2) ^ 2))</f>
        <v>1.2663208058014268</v>
      </c>
      <c r="AF82" s="16" t="str">
        <f t="shared" si="3"/>
        <v>ratio</v>
      </c>
      <c r="AG82" s="16"/>
      <c r="AH82" s="16"/>
    </row>
    <row r="83" spans="4:35" ht="20.100000000000001" customHeight="1" x14ac:dyDescent="0.2">
      <c r="U83" s="15" t="str">
        <f>TEXT(EDATE(X_Cell_Site_StartDate,11), "mmmm")</f>
        <v>December</v>
      </c>
      <c r="V83" s="15">
        <f ca="1">(V67 / ((1.185 + 0.00454 * V31 - 0.0000026 * V31 ^ 2) ^ 2))</f>
        <v>1.1123493391850732</v>
      </c>
      <c r="W83" s="15">
        <f ca="1">(W67 / ((1.185 + 0.00454 * W31 - 0.0000026 * W31 ^ 2) ^ 2))</f>
        <v>0.95640681558610863</v>
      </c>
      <c r="X83" s="15">
        <f ca="1">(X67 / ((1.185 + 0.00454 * X31 - 0.0000026 * X31 ^ 2) ^ 2))</f>
        <v>1.1234350255113625</v>
      </c>
      <c r="Y83" s="15">
        <f ca="1">(Y67 / ((1.185 + 0.00454 * Y31 - 0.0000026 * Y31 ^ 2) ^ 2))</f>
        <v>1.1593206891815613</v>
      </c>
      <c r="Z83" s="15">
        <f ca="1">(Z67 / ((1.185 + 0.00454 * Z31 - 0.0000026 * Z31 ^ 2) ^ 2))</f>
        <v>1.0235502922520121</v>
      </c>
      <c r="AA83" s="15">
        <f ca="1">(AA67 / ((1.185 + 0.00454 * AA31 - 0.0000026 * AA31 ^ 2) ^ 2))</f>
        <v>1.0235502922520121</v>
      </c>
      <c r="AB83" s="15">
        <f ca="1">(AB67 / ((1.185 + 0.00454 * AB31 - 0.0000026 * AB31 ^ 2) ^ 2))</f>
        <v>1.1174246366611618</v>
      </c>
      <c r="AC83" s="15">
        <f ca="1">(AC67 / ((1.185 + 0.00454 * AC31 - 0.0000026 * AC31 ^ 2) ^ 2))</f>
        <v>0.97490853257319487</v>
      </c>
      <c r="AD83" s="15">
        <f ca="1">(AD67 / ((1.185 + 0.00454 * AD31 - 0.0000026 * AD31 ^ 2) ^ 2))</f>
        <v>0.97490853257319487</v>
      </c>
      <c r="AE83" s="15">
        <f ca="1">(AE67 / ((1.185 + 0.00454 * AE31 - 0.0000026 * AE31 ^ 2) ^ 2))</f>
        <v>0.97490853257319487</v>
      </c>
      <c r="AF83" s="16" t="str">
        <f t="shared" si="3"/>
        <v>ratio</v>
      </c>
      <c r="AG83" s="16"/>
      <c r="AH83" s="16"/>
    </row>
    <row r="84" spans="4:35" ht="20.100000000000001" customHeight="1" x14ac:dyDescent="0.2">
      <c r="D84" s="113" t="s">
        <v>375</v>
      </c>
    </row>
    <row r="85" spans="4:35" ht="20.100000000000001" customHeight="1" x14ac:dyDescent="0.2">
      <c r="D85" s="114" t="s">
        <v>377</v>
      </c>
    </row>
    <row r="86" spans="4:35" ht="20.100000000000001" customHeight="1" x14ac:dyDescent="0.2">
      <c r="D86" s="115" t="s">
        <v>76</v>
      </c>
      <c r="E86" s="82" t="s">
        <v>327</v>
      </c>
      <c r="F86" s="82" t="s">
        <v>328</v>
      </c>
      <c r="G86" s="82" t="s">
        <v>329</v>
      </c>
      <c r="T86" s="88"/>
      <c r="U86" s="88"/>
      <c r="V86" s="88"/>
      <c r="W86" s="88"/>
      <c r="X86" s="88"/>
      <c r="Y86" s="88"/>
      <c r="Z86" s="88"/>
      <c r="AA86" s="88"/>
      <c r="AB86" s="88"/>
      <c r="AC86" s="88"/>
      <c r="AD86" s="88"/>
      <c r="AE86" s="88"/>
      <c r="AF86" s="88"/>
      <c r="AG86" s="88"/>
      <c r="AH86" s="88"/>
      <c r="AI86" s="88"/>
    </row>
    <row r="87" spans="4:35" ht="20.100000000000001" customHeight="1" x14ac:dyDescent="0.2">
      <c r="D87" s="15" t="str">
        <f>'Input - Pasture Beef'!$E$162</f>
        <v>Winter</v>
      </c>
      <c r="E87" s="126">
        <f>'Input - Pasture Beef'!$F$168</f>
        <v>0.7</v>
      </c>
      <c r="F87" s="126">
        <f>'Input - Pasture Beef'!$G$168</f>
        <v>0.5</v>
      </c>
      <c r="G87" s="126">
        <f>'Input - Pasture Beef'!$H$168</f>
        <v>0.5</v>
      </c>
      <c r="H87" s="16" t="s">
        <v>379</v>
      </c>
      <c r="U87" s="2" t="s">
        <v>1400</v>
      </c>
    </row>
    <row r="89" spans="4:35" ht="20.100000000000001" customHeight="1" x14ac:dyDescent="0.2">
      <c r="U89" s="113" t="s">
        <v>376</v>
      </c>
    </row>
    <row r="90" spans="4:35" ht="20.100000000000001" customHeight="1" x14ac:dyDescent="0.2">
      <c r="U90" s="114" t="s">
        <v>378</v>
      </c>
    </row>
    <row r="91" spans="4:35" ht="20.100000000000001" customHeight="1" x14ac:dyDescent="0.2">
      <c r="U91" s="115" t="s">
        <v>75</v>
      </c>
      <c r="V91" s="82" t="s">
        <v>327</v>
      </c>
      <c r="W91" s="82" t="s">
        <v>328</v>
      </c>
      <c r="X91" s="82" t="s">
        <v>329</v>
      </c>
    </row>
    <row r="92" spans="4:35" ht="20.100000000000001" customHeight="1" x14ac:dyDescent="0.2">
      <c r="D92" s="113" t="s">
        <v>451</v>
      </c>
      <c r="U92" s="15" t="str">
        <f>TEXT(EDATE('Input - Pasture Beef'!$D$182,0), "mmmm") &amp; ", " &amp; TEXT(EDATE('Input - Pasture Beef'!$D$183,0), "mmmm") &amp; ", " &amp; TEXT(EDATE('Input - Pasture Beef'!$D$184,0), "mmmm")</f>
        <v>August, September, October</v>
      </c>
      <c r="V92" s="126">
        <f>'Input - Pasture Beef'!$E$185</f>
        <v>0.75</v>
      </c>
      <c r="W92" s="126">
        <f>'Input - Pasture Beef'!$F$185</f>
        <v>0.75</v>
      </c>
      <c r="X92" s="126">
        <f>'Input - Pasture Beef'!$G$185</f>
        <v>0.75</v>
      </c>
      <c r="Y92" s="16" t="s">
        <v>379</v>
      </c>
    </row>
    <row r="93" spans="4:35" ht="20.100000000000001" customHeight="1" x14ac:dyDescent="0.2">
      <c r="D93" s="114" t="s">
        <v>452</v>
      </c>
      <c r="U93" s="15" t="str">
        <f>TEXT(EDATE('Input - Pasture Beef'!$D$184,1), "mmmm") &amp; ", " &amp; TEXT(EDATE('Input - Pasture Beef'!$D$184,2), "mmmm") &amp; ", " &amp; TEXT(EDATE('Input - Pasture Beef'!$D$184,3), "mmmm")</f>
        <v>November, December, January</v>
      </c>
      <c r="Y93" s="16"/>
    </row>
    <row r="94" spans="4:35" ht="20.100000000000001" customHeight="1" x14ac:dyDescent="0.2">
      <c r="D94" s="115" t="s">
        <v>76</v>
      </c>
      <c r="E94" s="115" t="s">
        <v>358</v>
      </c>
      <c r="F94" s="115" t="s">
        <v>453</v>
      </c>
      <c r="G94" s="115" t="s">
        <v>325</v>
      </c>
      <c r="H94" s="115" t="s">
        <v>189</v>
      </c>
      <c r="I94" s="115" t="s">
        <v>326</v>
      </c>
      <c r="J94" s="115" t="s">
        <v>327</v>
      </c>
      <c r="K94" s="115" t="s">
        <v>328</v>
      </c>
      <c r="L94" s="115" t="s">
        <v>329</v>
      </c>
      <c r="M94" s="115" t="s">
        <v>330</v>
      </c>
      <c r="N94" s="115" t="s">
        <v>331</v>
      </c>
      <c r="O94" s="115" t="s">
        <v>332</v>
      </c>
      <c r="P94" s="115" t="s">
        <v>333</v>
      </c>
    </row>
    <row r="95" spans="4:35" ht="20.100000000000001" customHeight="1" x14ac:dyDescent="0.2">
      <c r="D95" s="15" t="str">
        <f>INDEX(M1_Table_MA_j_k45,2,1)</f>
        <v>Spring</v>
      </c>
      <c r="E95" s="15" t="str" cm="1">
        <f t="array" ref="E95">_xlfn.IFS(D87=D95, "Calving season", D87=D98, "Season after calving", D87=D96, "", D87=D97, "")</f>
        <v>Season after calving</v>
      </c>
      <c r="F95" s="15" cm="1">
        <f t="array" ref="F95">_xlfn.IFS(E95="Calving season", $I$80, E95="Season after calving", $I$81, E95="", "")</f>
        <v>4</v>
      </c>
      <c r="G95" s="15">
        <v>0</v>
      </c>
      <c r="H95" s="15">
        <v>0</v>
      </c>
      <c r="I95" s="15">
        <v>0</v>
      </c>
      <c r="J95" s="15">
        <f>IFERROR((E$87 * $F95), 0)</f>
        <v>2.8</v>
      </c>
      <c r="K95" s="15">
        <f>IFERROR((F$87 * $F95), 0)</f>
        <v>2</v>
      </c>
      <c r="L95" s="15">
        <f>IFERROR((G$87 * $F95), 0)</f>
        <v>2</v>
      </c>
      <c r="M95" s="15">
        <v>0</v>
      </c>
      <c r="N95" s="15">
        <v>0</v>
      </c>
      <c r="O95" s="15">
        <v>0</v>
      </c>
      <c r="P95" s="15">
        <v>0</v>
      </c>
      <c r="Q95" s="16" t="str">
        <f>$E$76</f>
        <v>kg/head/day</v>
      </c>
    </row>
    <row r="96" spans="4:35" ht="20.100000000000001" customHeight="1" x14ac:dyDescent="0.2">
      <c r="D96" s="15" t="str">
        <f>INDEX(M1_Table_MA_j_k45,3,1)</f>
        <v>Summer</v>
      </c>
      <c r="E96" s="15" t="str" cm="1">
        <f t="array" ref="E96">_xlfn.IFS(D87=D96, "Calving season", D87=D95, "Season after calving", D87=D97, "", D87=D98, "")</f>
        <v/>
      </c>
      <c r="F96" s="15" t="str" cm="1">
        <f t="array" ref="F96">_xlfn.IFS(E96="Calving season", $I$80, E96="Season after calving", $I$81, E96="", "")</f>
        <v/>
      </c>
      <c r="G96" s="15">
        <v>0</v>
      </c>
      <c r="H96" s="15">
        <v>0</v>
      </c>
      <c r="I96" s="15">
        <v>0</v>
      </c>
      <c r="J96" s="15">
        <f>IFERROR((E$87 * $F96), 0)</f>
        <v>0</v>
      </c>
      <c r="K96" s="15">
        <f>IFERROR((F$87 * $F96), 0)</f>
        <v>0</v>
      </c>
      <c r="L96" s="15">
        <f>IFERROR((G$87 * $F96), 0)</f>
        <v>0</v>
      </c>
      <c r="M96" s="15">
        <v>0</v>
      </c>
      <c r="N96" s="15">
        <v>0</v>
      </c>
      <c r="O96" s="15">
        <v>0</v>
      </c>
      <c r="P96" s="15">
        <v>0</v>
      </c>
      <c r="Q96" s="16" t="str">
        <f t="shared" ref="Q96:Q98" si="4">$E$76</f>
        <v>kg/head/day</v>
      </c>
    </row>
    <row r="97" spans="1:34" ht="20.100000000000001" customHeight="1" x14ac:dyDescent="0.2">
      <c r="D97" s="15" t="str">
        <f>INDEX(M1_Table_MA_j_k45,4,1)</f>
        <v>Autumn</v>
      </c>
      <c r="E97" s="15" t="str" cm="1">
        <f t="array" ref="E97">_xlfn.IFS(D87=D97, "Calving season", D87=D96, "Season after calving", D87=D98, "", D87=D95, "")</f>
        <v/>
      </c>
      <c r="F97" s="15" t="str" cm="1">
        <f t="array" ref="F97">_xlfn.IFS(E97="Calving season", $I$80, E97="Season after calving", $I$81, E97="", "")</f>
        <v/>
      </c>
      <c r="G97" s="15">
        <v>0</v>
      </c>
      <c r="H97" s="15">
        <v>0</v>
      </c>
      <c r="I97" s="15">
        <v>0</v>
      </c>
      <c r="J97" s="15">
        <f>IFERROR((E$87 * $F97), 0)</f>
        <v>0</v>
      </c>
      <c r="K97" s="15">
        <f>IFERROR((F$87 * $F97), 0)</f>
        <v>0</v>
      </c>
      <c r="L97" s="15">
        <f>IFERROR((G$87 * $F97), 0)</f>
        <v>0</v>
      </c>
      <c r="M97" s="15">
        <v>0</v>
      </c>
      <c r="N97" s="15">
        <v>0</v>
      </c>
      <c r="O97" s="15">
        <v>0</v>
      </c>
      <c r="P97" s="15">
        <v>0</v>
      </c>
      <c r="Q97" s="16" t="str">
        <f t="shared" si="4"/>
        <v>kg/head/day</v>
      </c>
      <c r="U97" s="113" t="s">
        <v>454</v>
      </c>
    </row>
    <row r="98" spans="1:34" ht="20.100000000000001" customHeight="1" x14ac:dyDescent="0.2">
      <c r="D98" s="15" t="str">
        <f>INDEX(M1_Table_MA_j_k45,5,1)</f>
        <v>Winter</v>
      </c>
      <c r="E98" s="15" t="str" cm="1">
        <f t="array" ref="E98">_xlfn.IFS(D87=D98, "Calving season", D87=D97, "Season after calving", D87=D95, "", D87=D96, "")</f>
        <v>Calving season</v>
      </c>
      <c r="F98" s="15" cm="1">
        <f t="array" ref="F98">_xlfn.IFS(E98="Calving season", $I$80, E98="Season after calving", $I$81, E98="", "")</f>
        <v>6</v>
      </c>
      <c r="G98" s="15">
        <v>0</v>
      </c>
      <c r="H98" s="15">
        <v>0</v>
      </c>
      <c r="I98" s="15">
        <v>0</v>
      </c>
      <c r="J98" s="15">
        <f>IFERROR((E$87 * $F98), 0)</f>
        <v>4.1999999999999993</v>
      </c>
      <c r="K98" s="15">
        <f>IFERROR((F$87 * $F98), 0)</f>
        <v>3</v>
      </c>
      <c r="L98" s="15">
        <f>IFERROR((G$87 * $F98), 0)</f>
        <v>3</v>
      </c>
      <c r="M98" s="15">
        <v>0</v>
      </c>
      <c r="N98" s="15">
        <v>0</v>
      </c>
      <c r="O98" s="15">
        <v>0</v>
      </c>
      <c r="P98" s="15">
        <v>0</v>
      </c>
      <c r="Q98" s="16" t="str">
        <f t="shared" si="4"/>
        <v>kg/head/day</v>
      </c>
      <c r="U98" s="114" t="s">
        <v>452</v>
      </c>
    </row>
    <row r="99" spans="1:34" ht="20.100000000000001" customHeight="1" x14ac:dyDescent="0.2">
      <c r="U99" s="115" t="s">
        <v>75</v>
      </c>
      <c r="V99" s="115" t="s">
        <v>358</v>
      </c>
      <c r="W99" s="115" t="s">
        <v>453</v>
      </c>
      <c r="X99" s="115" t="s">
        <v>325</v>
      </c>
      <c r="Y99" s="115" t="s">
        <v>189</v>
      </c>
      <c r="Z99" s="115" t="s">
        <v>326</v>
      </c>
      <c r="AA99" s="115" t="s">
        <v>327</v>
      </c>
      <c r="AB99" s="115" t="s">
        <v>328</v>
      </c>
      <c r="AC99" s="115" t="s">
        <v>329</v>
      </c>
      <c r="AD99" s="115" t="s">
        <v>330</v>
      </c>
      <c r="AE99" s="115" t="s">
        <v>331</v>
      </c>
      <c r="AF99" s="115" t="s">
        <v>332</v>
      </c>
      <c r="AG99" s="115" t="s">
        <v>333</v>
      </c>
    </row>
    <row r="100" spans="1:34" ht="20.100000000000001" customHeight="1" x14ac:dyDescent="0.2">
      <c r="U100" s="15" t="str">
        <f>TEXT(X_Cell_Site_StartDate,"mmmm")</f>
        <v>January</v>
      </c>
      <c r="V100" s="15" t="str" cm="1">
        <f t="array" ref="V100">IFERROR(_xlfn.IFS(SUMPRODUCT(ISNUMBER(SEARCH(TRIM(_xlfn.TEXTSPLIT($U$92,",")),U100))*1)&gt;0,"Calving season",SUMPRODUCT(ISNUMBER(SEARCH(TRIM(_xlfn.TEXTSPLIT($U$93,",")),U100))*1)&gt;0,"Season after calving"), "")</f>
        <v>Season after calving</v>
      </c>
      <c r="W100" s="15" cm="1">
        <f t="array" ref="W100">_xlfn.IFS(V100="Calving season", $I$80, V100="Season after calving", $I$81, V100="", "")</f>
        <v>4</v>
      </c>
      <c r="X100" s="15">
        <v>0</v>
      </c>
      <c r="Y100" s="15">
        <v>0</v>
      </c>
      <c r="Z100" s="15">
        <v>0</v>
      </c>
      <c r="AA100" s="15">
        <f>IFERROR((V$92 * $W100), 0)</f>
        <v>3</v>
      </c>
      <c r="AB100" s="15">
        <f>IFERROR((W$92 * $W100), 0)</f>
        <v>3</v>
      </c>
      <c r="AC100" s="15">
        <f>IFERROR((X$92 * $W100), 0)</f>
        <v>3</v>
      </c>
      <c r="AD100" s="15">
        <v>0</v>
      </c>
      <c r="AE100" s="15">
        <v>0</v>
      </c>
      <c r="AF100" s="15">
        <v>0</v>
      </c>
      <c r="AG100" s="15">
        <v>0</v>
      </c>
      <c r="AH100" s="16" t="str">
        <f t="shared" ref="AH100:AH111" si="5">$E$76</f>
        <v>kg/head/day</v>
      </c>
    </row>
    <row r="101" spans="1:34" ht="20.100000000000001" customHeight="1" x14ac:dyDescent="0.2">
      <c r="A101" s="85" t="str">
        <f>HYPERLINK("#A1", "▲ Back to top")</f>
        <v>▲ Back to top</v>
      </c>
      <c r="C101" s="88"/>
      <c r="D101" s="88"/>
      <c r="E101" s="88"/>
      <c r="F101" s="88"/>
      <c r="G101" s="88"/>
      <c r="H101" s="88"/>
      <c r="I101" s="88"/>
      <c r="J101" s="88"/>
      <c r="K101" s="88"/>
      <c r="L101" s="88"/>
      <c r="M101" s="88"/>
      <c r="N101" s="88"/>
      <c r="O101" s="88"/>
      <c r="P101" s="88"/>
      <c r="Q101" s="88"/>
      <c r="R101" s="88"/>
      <c r="U101" s="15" t="str">
        <f>TEXT(EDATE(X_Cell_Site_StartDate,1), "mmmm")</f>
        <v>February</v>
      </c>
      <c r="V101" s="15" t="str" cm="1">
        <f t="array" ref="V101">IFERROR(_xlfn.IFS(SUMPRODUCT(ISNUMBER(SEARCH(TRIM(_xlfn.TEXTSPLIT($U$92,",")),U101))*1)&gt;0,"Calving season",SUMPRODUCT(ISNUMBER(SEARCH(TRIM(_xlfn.TEXTSPLIT($U$93,",")),U101))*1)&gt;0,"Season after calving"), "")</f>
        <v/>
      </c>
      <c r="W101" s="15" t="str" cm="1">
        <f t="array" ref="W101">_xlfn.IFS(V101="Calving season", $I$80, V101="Season after calving", $I$81, V101="", "")</f>
        <v/>
      </c>
      <c r="X101" s="15">
        <v>0</v>
      </c>
      <c r="Y101" s="15">
        <v>0</v>
      </c>
      <c r="Z101" s="15">
        <v>0</v>
      </c>
      <c r="AA101" s="15">
        <f>IFERROR((V$92 * $W101), 0)</f>
        <v>0</v>
      </c>
      <c r="AB101" s="15">
        <f>IFERROR((W$92 * $W101), 0)</f>
        <v>0</v>
      </c>
      <c r="AC101" s="15">
        <f>IFERROR((X$92 * $W101), 0)</f>
        <v>0</v>
      </c>
      <c r="AD101" s="15">
        <v>0</v>
      </c>
      <c r="AE101" s="15">
        <v>0</v>
      </c>
      <c r="AF101" s="15">
        <v>0</v>
      </c>
      <c r="AG101" s="15">
        <v>0</v>
      </c>
      <c r="AH101" s="16" t="str">
        <f t="shared" si="5"/>
        <v>kg/head/day</v>
      </c>
    </row>
    <row r="102" spans="1:34" ht="20.100000000000001" customHeight="1" x14ac:dyDescent="0.2">
      <c r="D102" s="2" t="s">
        <v>1411</v>
      </c>
      <c r="U102" s="15" t="str">
        <f>TEXT(EDATE(X_Cell_Site_StartDate,2), "mmmm")</f>
        <v>March</v>
      </c>
      <c r="V102" s="15" t="str" cm="1">
        <f t="array" ref="V102">IFERROR(_xlfn.IFS(SUMPRODUCT(ISNUMBER(SEARCH(TRIM(_xlfn.TEXTSPLIT($U$92,",")),U102))*1)&gt;0,"Calving season",SUMPRODUCT(ISNUMBER(SEARCH(TRIM(_xlfn.TEXTSPLIT($U$93,",")),U102))*1)&gt;0,"Season after calving"), "")</f>
        <v/>
      </c>
      <c r="W102" s="15" t="str" cm="1">
        <f t="array" ref="W102">_xlfn.IFS(V102="Calving season", $I$80, V102="Season after calving", $I$81, V102="", "")</f>
        <v/>
      </c>
      <c r="X102" s="15">
        <v>0</v>
      </c>
      <c r="Y102" s="15">
        <v>0</v>
      </c>
      <c r="Z102" s="15">
        <v>0</v>
      </c>
      <c r="AA102" s="15">
        <f>IFERROR((V$92 * $W102), 0)</f>
        <v>0</v>
      </c>
      <c r="AB102" s="15">
        <f>IFERROR((W$92 * $W102), 0)</f>
        <v>0</v>
      </c>
      <c r="AC102" s="15">
        <f>IFERROR((X$92 * $W102), 0)</f>
        <v>0</v>
      </c>
      <c r="AD102" s="15">
        <v>0</v>
      </c>
      <c r="AE102" s="15">
        <v>0</v>
      </c>
      <c r="AF102" s="15">
        <v>0</v>
      </c>
      <c r="AG102" s="15">
        <v>0</v>
      </c>
      <c r="AH102" s="16" t="str">
        <f t="shared" si="5"/>
        <v>kg/head/day</v>
      </c>
    </row>
    <row r="103" spans="1:34" ht="20.100000000000001" customHeight="1" x14ac:dyDescent="0.2">
      <c r="D103" s="17" t="s">
        <v>1412</v>
      </c>
      <c r="U103" s="15" t="str">
        <f>TEXT(EDATE(X_Cell_Site_StartDate,3), "mmmm")</f>
        <v>April</v>
      </c>
      <c r="V103" s="15" t="str" cm="1">
        <f t="array" ref="V103">IFERROR(_xlfn.IFS(SUMPRODUCT(ISNUMBER(SEARCH(TRIM(_xlfn.TEXTSPLIT($U$92,",")),U103))*1)&gt;0,"Calving season",SUMPRODUCT(ISNUMBER(SEARCH(TRIM(_xlfn.TEXTSPLIT($U$93,",")),U103))*1)&gt;0,"Season after calving"), "")</f>
        <v/>
      </c>
      <c r="W103" s="15" t="str" cm="1">
        <f t="array" ref="W103">_xlfn.IFS(V103="Calving season", $I$80, V103="Season after calving", $I$81, V103="", "")</f>
        <v/>
      </c>
      <c r="X103" s="15">
        <v>0</v>
      </c>
      <c r="Y103" s="15">
        <v>0</v>
      </c>
      <c r="Z103" s="15">
        <v>0</v>
      </c>
      <c r="AA103" s="15">
        <f>IFERROR((V$92 * $W103), 0)</f>
        <v>0</v>
      </c>
      <c r="AB103" s="15">
        <f>IFERROR((W$92 * $W103), 0)</f>
        <v>0</v>
      </c>
      <c r="AC103" s="15">
        <f>IFERROR((X$92 * $W103), 0)</f>
        <v>0</v>
      </c>
      <c r="AD103" s="15">
        <v>0</v>
      </c>
      <c r="AE103" s="15">
        <v>0</v>
      </c>
      <c r="AF103" s="15">
        <v>0</v>
      </c>
      <c r="AG103" s="15">
        <v>0</v>
      </c>
      <c r="AH103" s="16" t="str">
        <f t="shared" si="5"/>
        <v>kg/head/day</v>
      </c>
    </row>
    <row r="104" spans="1:34" ht="20.100000000000001" customHeight="1" x14ac:dyDescent="0.2">
      <c r="D104" s="104"/>
      <c r="E104" s="104"/>
      <c r="U104" s="15" t="str">
        <f>TEXT(EDATE(X_Cell_Site_StartDate,4), "mmmm")</f>
        <v>May</v>
      </c>
      <c r="V104" s="15" t="str" cm="1">
        <f t="array" ref="V104">IFERROR(_xlfn.IFS(SUMPRODUCT(ISNUMBER(SEARCH(TRIM(_xlfn.TEXTSPLIT($U$92,",")),U104))*1)&gt;0,"Calving season",SUMPRODUCT(ISNUMBER(SEARCH(TRIM(_xlfn.TEXTSPLIT($U$93,",")),U104))*1)&gt;0,"Season after calving"), "")</f>
        <v/>
      </c>
      <c r="W104" s="15" t="str" cm="1">
        <f t="array" ref="W104">_xlfn.IFS(V104="Calving season", $I$80, V104="Season after calving", $I$81, V104="", "")</f>
        <v/>
      </c>
      <c r="X104" s="15">
        <v>0</v>
      </c>
      <c r="Y104" s="15">
        <v>0</v>
      </c>
      <c r="Z104" s="15">
        <v>0</v>
      </c>
      <c r="AA104" s="15">
        <f>IFERROR((V$92 * $W104), 0)</f>
        <v>0</v>
      </c>
      <c r="AB104" s="15">
        <f>IFERROR((W$92 * $W104), 0)</f>
        <v>0</v>
      </c>
      <c r="AC104" s="15">
        <f>IFERROR((X$92 * $W104), 0)</f>
        <v>0</v>
      </c>
      <c r="AD104" s="15">
        <v>0</v>
      </c>
      <c r="AE104" s="15">
        <v>0</v>
      </c>
      <c r="AF104" s="15">
        <v>0</v>
      </c>
      <c r="AG104" s="15">
        <v>0</v>
      </c>
      <c r="AH104" s="16" t="str">
        <f t="shared" si="5"/>
        <v>kg/head/day</v>
      </c>
    </row>
    <row r="105" spans="1:34" ht="20.100000000000001" customHeight="1" x14ac:dyDescent="0.2">
      <c r="U105" s="15" t="str">
        <f>TEXT(EDATE(X_Cell_Site_StartDate,5), "mmmm")</f>
        <v>June</v>
      </c>
      <c r="V105" s="15" t="str" cm="1">
        <f t="array" ref="V105">IFERROR(_xlfn.IFS(SUMPRODUCT(ISNUMBER(SEARCH(TRIM(_xlfn.TEXTSPLIT($U$92,",")),U105))*1)&gt;0,"Calving season",SUMPRODUCT(ISNUMBER(SEARCH(TRIM(_xlfn.TEXTSPLIT($U$93,",")),U105))*1)&gt;0,"Season after calving"), "")</f>
        <v/>
      </c>
      <c r="W105" s="15" t="str" cm="1">
        <f t="array" ref="W105">_xlfn.IFS(V105="Calving season", $I$80, V105="Season after calving", $I$81, V105="", "")</f>
        <v/>
      </c>
      <c r="X105" s="15">
        <v>0</v>
      </c>
      <c r="Y105" s="15">
        <v>0</v>
      </c>
      <c r="Z105" s="15">
        <v>0</v>
      </c>
      <c r="AA105" s="15">
        <f>IFERROR((V$92 * $W105), 0)</f>
        <v>0</v>
      </c>
      <c r="AB105" s="15">
        <f>IFERROR((W$92 * $W105), 0)</f>
        <v>0</v>
      </c>
      <c r="AC105" s="15">
        <f>IFERROR((X$92 * $W105), 0)</f>
        <v>0</v>
      </c>
      <c r="AD105" s="15">
        <v>0</v>
      </c>
      <c r="AE105" s="15">
        <v>0</v>
      </c>
      <c r="AF105" s="15">
        <v>0</v>
      </c>
      <c r="AG105" s="15">
        <v>0</v>
      </c>
      <c r="AH105" s="16" t="str">
        <f t="shared" si="5"/>
        <v>kg/head/day</v>
      </c>
    </row>
    <row r="106" spans="1:34" ht="20.100000000000001" customHeight="1" x14ac:dyDescent="0.2">
      <c r="U106" s="15" t="str">
        <f>TEXT(EDATE(X_Cell_Site_StartDate,6), "mmmm")</f>
        <v>July</v>
      </c>
      <c r="V106" s="15" t="str" cm="1">
        <f t="array" ref="V106">IFERROR(_xlfn.IFS(SUMPRODUCT(ISNUMBER(SEARCH(TRIM(_xlfn.TEXTSPLIT($U$92,",")),U106))*1)&gt;0,"Calving season",SUMPRODUCT(ISNUMBER(SEARCH(TRIM(_xlfn.TEXTSPLIT($U$93,",")),U106))*1)&gt;0,"Season after calving"), "")</f>
        <v/>
      </c>
      <c r="W106" s="15" t="str" cm="1">
        <f t="array" ref="W106">_xlfn.IFS(V106="Calving season", $I$80, V106="Season after calving", $I$81, V106="", "")</f>
        <v/>
      </c>
      <c r="X106" s="15">
        <v>0</v>
      </c>
      <c r="Y106" s="15">
        <v>0</v>
      </c>
      <c r="Z106" s="15">
        <v>0</v>
      </c>
      <c r="AA106" s="15">
        <f>IFERROR((V$92 * $W106), 0)</f>
        <v>0</v>
      </c>
      <c r="AB106" s="15">
        <f>IFERROR((W$92 * $W106), 0)</f>
        <v>0</v>
      </c>
      <c r="AC106" s="15">
        <f>IFERROR((X$92 * $W106), 0)</f>
        <v>0</v>
      </c>
      <c r="AD106" s="15">
        <v>0</v>
      </c>
      <c r="AE106" s="15">
        <v>0</v>
      </c>
      <c r="AF106" s="15">
        <v>0</v>
      </c>
      <c r="AG106" s="15">
        <v>0</v>
      </c>
      <c r="AH106" s="16" t="str">
        <f t="shared" si="5"/>
        <v>kg/head/day</v>
      </c>
    </row>
    <row r="107" spans="1:34" ht="20.100000000000001" customHeight="1" x14ac:dyDescent="0.2">
      <c r="U107" s="15" t="str">
        <f>TEXT(EDATE(X_Cell_Site_StartDate,7), "mmmm")</f>
        <v>August</v>
      </c>
      <c r="V107" s="15" t="str" cm="1">
        <f t="array" ref="V107">IFERROR(_xlfn.IFS(SUMPRODUCT(ISNUMBER(SEARCH(TRIM(_xlfn.TEXTSPLIT($U$92,",")),U107))*1)&gt;0,"Calving season",SUMPRODUCT(ISNUMBER(SEARCH(TRIM(_xlfn.TEXTSPLIT($U$93,",")),U107))*1)&gt;0,"Season after calving"), "")</f>
        <v>Calving season</v>
      </c>
      <c r="W107" s="15" cm="1">
        <f t="array" ref="W107">_xlfn.IFS(V107="Calving season", $I$80, V107="Season after calving", $I$81, V107="", "")</f>
        <v>6</v>
      </c>
      <c r="X107" s="15">
        <v>0</v>
      </c>
      <c r="Y107" s="15">
        <v>0</v>
      </c>
      <c r="Z107" s="15">
        <v>0</v>
      </c>
      <c r="AA107" s="15">
        <f>IFERROR((V$92 * $W107), 0)</f>
        <v>4.5</v>
      </c>
      <c r="AB107" s="15">
        <f>IFERROR((W$92 * $W107), 0)</f>
        <v>4.5</v>
      </c>
      <c r="AC107" s="15">
        <f>IFERROR((X$92 * $W107), 0)</f>
        <v>4.5</v>
      </c>
      <c r="AD107" s="15">
        <v>0</v>
      </c>
      <c r="AE107" s="15">
        <v>0</v>
      </c>
      <c r="AF107" s="15">
        <v>0</v>
      </c>
      <c r="AG107" s="15">
        <v>0</v>
      </c>
      <c r="AH107" s="16" t="str">
        <f t="shared" si="5"/>
        <v>kg/head/day</v>
      </c>
    </row>
    <row r="108" spans="1:34" ht="20.100000000000001" customHeight="1" x14ac:dyDescent="0.2">
      <c r="D108" s="77" t="s">
        <v>374</v>
      </c>
      <c r="E108" s="1" t="s">
        <v>1413</v>
      </c>
      <c r="U108" s="15" t="str">
        <f>TEXT(EDATE(X_Cell_Site_StartDate,8), "mmmm")</f>
        <v>September</v>
      </c>
      <c r="V108" s="15" t="str" cm="1">
        <f t="array" ref="V108">IFERROR(_xlfn.IFS(SUMPRODUCT(ISNUMBER(SEARCH(TRIM(_xlfn.TEXTSPLIT($U$92,",")),U108))*1)&gt;0,"Calving season",SUMPRODUCT(ISNUMBER(SEARCH(TRIM(_xlfn.TEXTSPLIT($U$93,",")),U108))*1)&gt;0,"Season after calving"), "")</f>
        <v>Calving season</v>
      </c>
      <c r="W108" s="15" cm="1">
        <f t="array" ref="W108">_xlfn.IFS(V108="Calving season", $I$80, V108="Season after calving", $I$81, V108="", "")</f>
        <v>6</v>
      </c>
      <c r="X108" s="15">
        <v>0</v>
      </c>
      <c r="Y108" s="15">
        <v>0</v>
      </c>
      <c r="Z108" s="15">
        <v>0</v>
      </c>
      <c r="AA108" s="15">
        <f>IFERROR((V$92 * $W108), 0)</f>
        <v>4.5</v>
      </c>
      <c r="AB108" s="15">
        <f>IFERROR((W$92 * $W108), 0)</f>
        <v>4.5</v>
      </c>
      <c r="AC108" s="15">
        <f>IFERROR((X$92 * $W108), 0)</f>
        <v>4.5</v>
      </c>
      <c r="AD108" s="15">
        <v>0</v>
      </c>
      <c r="AE108" s="15">
        <v>0</v>
      </c>
      <c r="AF108" s="15">
        <v>0</v>
      </c>
      <c r="AG108" s="15">
        <v>0</v>
      </c>
      <c r="AH108" s="16" t="str">
        <f t="shared" si="5"/>
        <v>kg/head/day</v>
      </c>
    </row>
    <row r="109" spans="1:34" ht="20.100000000000001" customHeight="1" x14ac:dyDescent="0.2">
      <c r="D109" s="77" t="s">
        <v>126</v>
      </c>
      <c r="E109" s="9" t="s">
        <v>1414</v>
      </c>
      <c r="U109" s="15" t="str">
        <f>TEXT(EDATE(X_Cell_Site_StartDate,9), "mmmm")</f>
        <v>October</v>
      </c>
      <c r="V109" s="15" t="str" cm="1">
        <f t="array" ref="V109">IFERROR(_xlfn.IFS(SUMPRODUCT(ISNUMBER(SEARCH(TRIM(_xlfn.TEXTSPLIT($U$92,",")),U109))*1)&gt;0,"Calving season",SUMPRODUCT(ISNUMBER(SEARCH(TRIM(_xlfn.TEXTSPLIT($U$93,",")),U109))*1)&gt;0,"Season after calving"), "")</f>
        <v>Calving season</v>
      </c>
      <c r="W109" s="15" cm="1">
        <f t="array" ref="W109">_xlfn.IFS(V109="Calving season", $I$80, V109="Season after calving", $I$81, V109="", "")</f>
        <v>6</v>
      </c>
      <c r="X109" s="15">
        <v>0</v>
      </c>
      <c r="Y109" s="15">
        <v>0</v>
      </c>
      <c r="Z109" s="15">
        <v>0</v>
      </c>
      <c r="AA109" s="15">
        <f>IFERROR((V$92 * $W109), 0)</f>
        <v>4.5</v>
      </c>
      <c r="AB109" s="15">
        <f>IFERROR((W$92 * $W109), 0)</f>
        <v>4.5</v>
      </c>
      <c r="AC109" s="15">
        <f>IFERROR((X$92 * $W109), 0)</f>
        <v>4.5</v>
      </c>
      <c r="AD109" s="15">
        <v>0</v>
      </c>
      <c r="AE109" s="15">
        <v>0</v>
      </c>
      <c r="AF109" s="15">
        <v>0</v>
      </c>
      <c r="AG109" s="15">
        <v>0</v>
      </c>
      <c r="AH109" s="16" t="str">
        <f t="shared" si="5"/>
        <v>kg/head/day</v>
      </c>
    </row>
    <row r="110" spans="1:34" ht="20.100000000000001" customHeight="1" x14ac:dyDescent="0.2">
      <c r="U110" s="15" t="str">
        <f>TEXT(EDATE(X_Cell_Site_StartDate,10), "mmmm")</f>
        <v>November</v>
      </c>
      <c r="V110" s="15" t="str" cm="1">
        <f t="array" ref="V110">IFERROR(_xlfn.IFS(SUMPRODUCT(ISNUMBER(SEARCH(TRIM(_xlfn.TEXTSPLIT($U$92,",")),U110))*1)&gt;0,"Calving season",SUMPRODUCT(ISNUMBER(SEARCH(TRIM(_xlfn.TEXTSPLIT($U$93,",")),U110))*1)&gt;0,"Season after calving"), "")</f>
        <v>Season after calving</v>
      </c>
      <c r="W110" s="15" cm="1">
        <f t="array" ref="W110">_xlfn.IFS(V110="Calving season", $I$80, V110="Season after calving", $I$81, V110="", "")</f>
        <v>4</v>
      </c>
      <c r="X110" s="15">
        <v>0</v>
      </c>
      <c r="Y110" s="15">
        <v>0</v>
      </c>
      <c r="Z110" s="15">
        <v>0</v>
      </c>
      <c r="AA110" s="15">
        <f>IFERROR((V$92 * $W110), 0)</f>
        <v>3</v>
      </c>
      <c r="AB110" s="15">
        <f>IFERROR((W$92 * $W110), 0)</f>
        <v>3</v>
      </c>
      <c r="AC110" s="15">
        <f>IFERROR((X$92 * $W110), 0)</f>
        <v>3</v>
      </c>
      <c r="AD110" s="15">
        <v>0</v>
      </c>
      <c r="AE110" s="15">
        <v>0</v>
      </c>
      <c r="AF110" s="15">
        <v>0</v>
      </c>
      <c r="AG110" s="15">
        <v>0</v>
      </c>
      <c r="AH110" s="16" t="str">
        <f t="shared" si="5"/>
        <v>kg/head/day</v>
      </c>
    </row>
    <row r="111" spans="1:34" ht="20.100000000000001" customHeight="1" x14ac:dyDescent="0.2">
      <c r="D111" s="106" t="s">
        <v>1402</v>
      </c>
      <c r="E111" s="107" t="s">
        <v>1415</v>
      </c>
      <c r="F111" s="109"/>
      <c r="G111" s="106" t="s">
        <v>345</v>
      </c>
      <c r="H111" s="111" t="s">
        <v>1419</v>
      </c>
      <c r="I111" s="112" t="str" cm="1">
        <f t="array" aca="1" ref="I111" ca="1">HYPERLINK(Common_InputFunctions.Utility_SourceHyperlinkDifferentSheet($D$92), $D$92)</f>
        <v>M1_Table_MP_j_k-4-5</v>
      </c>
      <c r="U111" s="15" t="str">
        <f>TEXT(EDATE(X_Cell_Site_StartDate,11), "mmmm")</f>
        <v>December</v>
      </c>
      <c r="V111" s="15" t="str" cm="1">
        <f t="array" ref="V111">IFERROR(_xlfn.IFS(SUMPRODUCT(ISNUMBER(SEARCH(TRIM(_xlfn.TEXTSPLIT($U$92,",")),U111))*1)&gt;0,"Calving season",SUMPRODUCT(ISNUMBER(SEARCH(TRIM(_xlfn.TEXTSPLIT($U$93,",")),U111))*1)&gt;0,"Season after calving"), "")</f>
        <v>Season after calving</v>
      </c>
      <c r="W111" s="15" cm="1">
        <f t="array" ref="W111">_xlfn.IFS(V111="Calving season", $I$80, V111="Season after calving", $I$81, V111="", "")</f>
        <v>4</v>
      </c>
      <c r="X111" s="15">
        <v>0</v>
      </c>
      <c r="Y111" s="15">
        <v>0</v>
      </c>
      <c r="Z111" s="15">
        <v>0</v>
      </c>
      <c r="AA111" s="15">
        <f>IFERROR((V$92 * $W111), 0)</f>
        <v>3</v>
      </c>
      <c r="AB111" s="15">
        <f>IFERROR((W$92 * $W111), 0)</f>
        <v>3</v>
      </c>
      <c r="AC111" s="15">
        <f>IFERROR((X$92 * $W111), 0)</f>
        <v>3</v>
      </c>
      <c r="AD111" s="15">
        <v>0</v>
      </c>
      <c r="AE111" s="15">
        <v>0</v>
      </c>
      <c r="AF111" s="15">
        <v>0</v>
      </c>
      <c r="AG111" s="15">
        <v>0</v>
      </c>
      <c r="AH111" s="16" t="str">
        <f t="shared" si="5"/>
        <v>kg/head/day</v>
      </c>
    </row>
    <row r="112" spans="1:34" ht="20.100000000000001" customHeight="1" x14ac:dyDescent="0.2">
      <c r="D112" s="106" t="s">
        <v>1396</v>
      </c>
      <c r="E112" s="107" t="s">
        <v>1416</v>
      </c>
      <c r="F112" s="109"/>
      <c r="G112" s="106"/>
      <c r="H112" s="111" t="s">
        <v>1420</v>
      </c>
      <c r="I112" s="112" t="str" cm="1">
        <f t="array" aca="1" ref="I112" ca="1">HYPERLINK(Common_InputFunctions.Utility_SourceHyperlink($D$59), $D$59)</f>
        <v>M1_Table_L_j_k_l</v>
      </c>
    </row>
    <row r="113" spans="4:35" ht="20.100000000000001" customHeight="1" x14ac:dyDescent="0.2">
      <c r="D113" s="106" t="s">
        <v>1390</v>
      </c>
      <c r="E113" s="107" t="s">
        <v>1417</v>
      </c>
      <c r="F113" s="109"/>
      <c r="G113" s="106"/>
      <c r="H113" s="111" t="s">
        <v>1421</v>
      </c>
      <c r="I113" s="112" t="str" cm="1">
        <f t="array" aca="1" ref="I113" ca="1">HYPERLINK(Common_InputFunctions.Utility_SourceHyperlink($D$30), $D$30)</f>
        <v>M1_Table_Z_j_k_l</v>
      </c>
    </row>
    <row r="114" spans="4:35" ht="20.100000000000001" customHeight="1" x14ac:dyDescent="0.2">
      <c r="D114" s="106" t="s">
        <v>1334</v>
      </c>
      <c r="E114" s="107" t="s">
        <v>1418</v>
      </c>
      <c r="F114" s="109"/>
      <c r="G114" s="106" t="s">
        <v>345</v>
      </c>
      <c r="H114" s="110" t="s">
        <v>1325</v>
      </c>
      <c r="I114" s="112" t="str" cm="1">
        <f t="array" aca="1" ref="I114" ca="1">HYPERLINK(Common_InputFunctions.Utility_SourceHyperlink($D$116), $D$116)</f>
        <v>M1_Table_LWG_j_k_l</v>
      </c>
      <c r="T114" s="88"/>
      <c r="U114" s="88"/>
      <c r="V114" s="88"/>
      <c r="W114" s="88"/>
      <c r="X114" s="88"/>
      <c r="Y114" s="88"/>
      <c r="Z114" s="88"/>
      <c r="AA114" s="88"/>
      <c r="AB114" s="88"/>
      <c r="AC114" s="88"/>
      <c r="AD114" s="88"/>
      <c r="AE114" s="88"/>
      <c r="AF114" s="88"/>
      <c r="AG114" s="88"/>
      <c r="AH114" s="88"/>
      <c r="AI114" s="88"/>
    </row>
    <row r="115" spans="4:35" ht="20.100000000000001" customHeight="1" x14ac:dyDescent="0.2">
      <c r="U115" s="2" t="s">
        <v>1411</v>
      </c>
    </row>
    <row r="116" spans="4:35" ht="20.100000000000001" customHeight="1" x14ac:dyDescent="0.2">
      <c r="D116" s="113" t="s">
        <v>395</v>
      </c>
    </row>
    <row r="117" spans="4:35" ht="20.100000000000001" customHeight="1" x14ac:dyDescent="0.2">
      <c r="D117" s="114" t="s">
        <v>396</v>
      </c>
      <c r="U117" s="113" t="s">
        <v>393</v>
      </c>
    </row>
    <row r="118" spans="4:35" ht="20.100000000000001" customHeight="1" x14ac:dyDescent="0.2">
      <c r="D118" s="115" t="s">
        <v>76</v>
      </c>
      <c r="E118" s="82" t="s">
        <v>325</v>
      </c>
      <c r="F118" s="82" t="s">
        <v>189</v>
      </c>
      <c r="G118" s="82" t="s">
        <v>326</v>
      </c>
      <c r="H118" s="82" t="s">
        <v>327</v>
      </c>
      <c r="I118" s="82" t="s">
        <v>328</v>
      </c>
      <c r="J118" s="82" t="s">
        <v>329</v>
      </c>
      <c r="K118" s="82" t="s">
        <v>330</v>
      </c>
      <c r="L118" s="82" t="s">
        <v>331</v>
      </c>
      <c r="M118" s="82" t="s">
        <v>332</v>
      </c>
      <c r="N118" s="82" t="s">
        <v>333</v>
      </c>
      <c r="U118" s="114" t="s">
        <v>394</v>
      </c>
    </row>
    <row r="119" spans="4:35" ht="20.100000000000001" customHeight="1" x14ac:dyDescent="0.2">
      <c r="D119" s="15" t="str">
        <f>INDEX(X_Table_PastureBeef_LiveweightGain_Method1,2,1)</f>
        <v>Spring</v>
      </c>
      <c r="E119" s="15" cm="1">
        <f t="array" aca="1" ref="E119:N122" ca="1">OFFSET(X_Table_PastureBeef_LiveweightGain_Method1, 1,1, 4,10)</f>
        <v>1.64</v>
      </c>
      <c r="F119" s="15">
        <f ca="1"/>
        <v>1.1000000000000001</v>
      </c>
      <c r="G119" s="15">
        <f ca="1"/>
        <v>1.21</v>
      </c>
      <c r="H119" s="15">
        <f ca="1"/>
        <v>0.99</v>
      </c>
      <c r="I119" s="15">
        <f ca="1"/>
        <v>0.66</v>
      </c>
      <c r="J119" s="15">
        <f ca="1"/>
        <v>0.66</v>
      </c>
      <c r="K119" s="15">
        <f ca="1"/>
        <v>1.42</v>
      </c>
      <c r="L119" s="15">
        <f ca="1"/>
        <v>1.1000000000000001</v>
      </c>
      <c r="M119" s="15">
        <f ca="1"/>
        <v>1.1000000000000001</v>
      </c>
      <c r="N119" s="15">
        <f ca="1"/>
        <v>1.1000000000000001</v>
      </c>
      <c r="O119" s="16" t="s">
        <v>343</v>
      </c>
      <c r="U119" s="115" t="s">
        <v>75</v>
      </c>
      <c r="V119" s="82" t="s">
        <v>325</v>
      </c>
      <c r="W119" s="82" t="s">
        <v>189</v>
      </c>
      <c r="X119" s="82" t="s">
        <v>326</v>
      </c>
      <c r="Y119" s="82" t="s">
        <v>327</v>
      </c>
      <c r="Z119" s="82" t="s">
        <v>328</v>
      </c>
      <c r="AA119" s="82" t="s">
        <v>329</v>
      </c>
      <c r="AB119" s="82" t="s">
        <v>330</v>
      </c>
      <c r="AC119" s="82" t="s">
        <v>331</v>
      </c>
      <c r="AD119" s="82" t="s">
        <v>332</v>
      </c>
      <c r="AE119" s="82" t="s">
        <v>333</v>
      </c>
    </row>
    <row r="120" spans="4:35" ht="20.100000000000001" customHeight="1" x14ac:dyDescent="0.2">
      <c r="D120" s="15" t="str">
        <f>INDEX(X_Table_PastureBeef_LiveweightGain_Method1,3,1)</f>
        <v>Summer</v>
      </c>
      <c r="E120" s="15">
        <f ca="1"/>
        <v>0.44</v>
      </c>
      <c r="F120" s="15">
        <f ca="1"/>
        <v>-0.22</v>
      </c>
      <c r="G120" s="15">
        <f ca="1"/>
        <v>0.44</v>
      </c>
      <c r="H120" s="15">
        <f ca="1"/>
        <v>0.33</v>
      </c>
      <c r="I120" s="15">
        <f ca="1"/>
        <v>-0.22</v>
      </c>
      <c r="J120" s="15">
        <f ca="1"/>
        <v>-0.22</v>
      </c>
      <c r="K120" s="15">
        <f ca="1"/>
        <v>0.44</v>
      </c>
      <c r="L120" s="15">
        <f ca="1"/>
        <v>-0.11</v>
      </c>
      <c r="M120" s="15">
        <f ca="1"/>
        <v>-0.11</v>
      </c>
      <c r="N120" s="15">
        <f ca="1"/>
        <v>-0.11</v>
      </c>
      <c r="O120" s="16" t="s">
        <v>343</v>
      </c>
      <c r="U120" s="15" t="str">
        <f>TEXT(X_Cell_Site_StartDate,"mmmm")</f>
        <v>January</v>
      </c>
      <c r="V120" s="15" cm="1">
        <f t="array" aca="1" ref="V120:AE131" ca="1">OFFSET(X_Table_PastureBeef_LiveweightGain_Method2, 1,1, 12,10)</f>
        <v>0.44</v>
      </c>
      <c r="W120" s="15">
        <f ca="1"/>
        <v>-0.22</v>
      </c>
      <c r="X120" s="15">
        <f ca="1"/>
        <v>0.44</v>
      </c>
      <c r="Y120" s="15">
        <f ca="1"/>
        <v>0.33</v>
      </c>
      <c r="Z120" s="15">
        <f ca="1"/>
        <v>-0.22</v>
      </c>
      <c r="AA120" s="15">
        <f ca="1"/>
        <v>-0.22</v>
      </c>
      <c r="AB120" s="15">
        <f ca="1"/>
        <v>0.44</v>
      </c>
      <c r="AC120" s="15">
        <f ca="1"/>
        <v>-0.11</v>
      </c>
      <c r="AD120" s="15">
        <f ca="1"/>
        <v>-0.11</v>
      </c>
      <c r="AE120" s="15">
        <f ca="1"/>
        <v>-0.11</v>
      </c>
      <c r="AF120" s="16" t="s">
        <v>345</v>
      </c>
      <c r="AG120" s="16"/>
      <c r="AH120" s="16"/>
    </row>
    <row r="121" spans="4:35" ht="20.100000000000001" customHeight="1" x14ac:dyDescent="0.2">
      <c r="D121" s="15" t="str">
        <f>INDEX(X_Table_PastureBeef_LiveweightGain_Method1,4,1)</f>
        <v>Autumn</v>
      </c>
      <c r="E121" s="15">
        <f ca="1"/>
        <v>0.6</v>
      </c>
      <c r="F121" s="15">
        <f ca="1"/>
        <v>0</v>
      </c>
      <c r="G121" s="15">
        <f ca="1"/>
        <v>0.6</v>
      </c>
      <c r="H121" s="15">
        <f ca="1"/>
        <v>0.22</v>
      </c>
      <c r="I121" s="15">
        <f ca="1"/>
        <v>-0.55000000000000004</v>
      </c>
      <c r="J121" s="15">
        <f ca="1"/>
        <v>-0.55000000000000004</v>
      </c>
      <c r="K121" s="15">
        <f ca="1"/>
        <v>0.6</v>
      </c>
      <c r="L121" s="15">
        <f ca="1"/>
        <v>0</v>
      </c>
      <c r="M121" s="15">
        <f ca="1"/>
        <v>0</v>
      </c>
      <c r="N121" s="15">
        <f ca="1"/>
        <v>0</v>
      </c>
      <c r="O121" s="16" t="s">
        <v>343</v>
      </c>
      <c r="U121" s="15" t="str">
        <f>TEXT(EDATE(X_Cell_Site_StartDate,1), "mmmm")</f>
        <v>February</v>
      </c>
      <c r="V121" s="15">
        <f ca="1"/>
        <v>0.44</v>
      </c>
      <c r="W121" s="15">
        <f ca="1"/>
        <v>-0.22</v>
      </c>
      <c r="X121" s="15">
        <f ca="1"/>
        <v>0.44</v>
      </c>
      <c r="Y121" s="15">
        <f ca="1"/>
        <v>0.33</v>
      </c>
      <c r="Z121" s="15">
        <f ca="1"/>
        <v>-0.22</v>
      </c>
      <c r="AA121" s="15">
        <f ca="1"/>
        <v>-0.22</v>
      </c>
      <c r="AB121" s="15">
        <f ca="1"/>
        <v>0.44</v>
      </c>
      <c r="AC121" s="15">
        <f ca="1"/>
        <v>-0.11</v>
      </c>
      <c r="AD121" s="15">
        <f ca="1"/>
        <v>-0.11</v>
      </c>
      <c r="AE121" s="15">
        <f ca="1"/>
        <v>-0.11</v>
      </c>
      <c r="AF121" s="16" t="s">
        <v>345</v>
      </c>
      <c r="AG121" s="16"/>
      <c r="AH121" s="16"/>
    </row>
    <row r="122" spans="4:35" ht="20.100000000000001" customHeight="1" x14ac:dyDescent="0.2">
      <c r="D122" s="15" t="str">
        <f>INDEX(X_Table_PastureBeef_LiveweightGain_Method1,5,1)</f>
        <v>Winter</v>
      </c>
      <c r="E122" s="15">
        <f ca="1"/>
        <v>0.99</v>
      </c>
      <c r="F122" s="15">
        <f ca="1"/>
        <v>0.22</v>
      </c>
      <c r="G122" s="15">
        <f ca="1"/>
        <v>0.77</v>
      </c>
      <c r="H122" s="15">
        <f ca="1"/>
        <v>0.11</v>
      </c>
      <c r="I122" s="15">
        <f ca="1"/>
        <v>0.11</v>
      </c>
      <c r="J122" s="15">
        <f ca="1"/>
        <v>0.11</v>
      </c>
      <c r="K122" s="15">
        <f ca="1"/>
        <v>0.77</v>
      </c>
      <c r="L122" s="15">
        <f ca="1"/>
        <v>0.44</v>
      </c>
      <c r="M122" s="15">
        <f ca="1"/>
        <v>0.44</v>
      </c>
      <c r="N122" s="15">
        <f ca="1"/>
        <v>0.44</v>
      </c>
      <c r="O122" s="16" t="s">
        <v>343</v>
      </c>
      <c r="U122" s="15" t="str">
        <f>TEXT(EDATE(X_Cell_Site_StartDate,2), "mmmm")</f>
        <v>March</v>
      </c>
      <c r="V122" s="15">
        <f ca="1"/>
        <v>0.6</v>
      </c>
      <c r="W122" s="15">
        <f ca="1"/>
        <v>0</v>
      </c>
      <c r="X122" s="15">
        <f ca="1"/>
        <v>0.6</v>
      </c>
      <c r="Y122" s="15">
        <f ca="1"/>
        <v>0.22</v>
      </c>
      <c r="Z122" s="15">
        <f ca="1"/>
        <v>-0.55000000000000004</v>
      </c>
      <c r="AA122" s="15">
        <f ca="1"/>
        <v>-0.55000000000000004</v>
      </c>
      <c r="AB122" s="15">
        <f ca="1"/>
        <v>0.6</v>
      </c>
      <c r="AC122" s="15">
        <f ca="1"/>
        <v>0</v>
      </c>
      <c r="AD122" s="15">
        <f ca="1"/>
        <v>0</v>
      </c>
      <c r="AE122" s="15">
        <f ca="1"/>
        <v>0</v>
      </c>
      <c r="AF122" s="16" t="s">
        <v>345</v>
      </c>
      <c r="AG122" s="16"/>
      <c r="AH122" s="16"/>
    </row>
    <row r="123" spans="4:35" ht="20.100000000000001" customHeight="1" x14ac:dyDescent="0.2">
      <c r="U123" s="15" t="str">
        <f>TEXT(EDATE(X_Cell_Site_StartDate,3), "mmmm")</f>
        <v>April</v>
      </c>
      <c r="V123" s="15">
        <f ca="1"/>
        <v>0.6</v>
      </c>
      <c r="W123" s="15">
        <f ca="1"/>
        <v>0</v>
      </c>
      <c r="X123" s="15">
        <f ca="1"/>
        <v>0.6</v>
      </c>
      <c r="Y123" s="15">
        <f ca="1"/>
        <v>0.22</v>
      </c>
      <c r="Z123" s="15">
        <f ca="1"/>
        <v>-0.55000000000000004</v>
      </c>
      <c r="AA123" s="15">
        <f ca="1"/>
        <v>-0.55000000000000004</v>
      </c>
      <c r="AB123" s="15">
        <f ca="1"/>
        <v>0.6</v>
      </c>
      <c r="AC123" s="15">
        <f ca="1"/>
        <v>0</v>
      </c>
      <c r="AD123" s="15">
        <f ca="1"/>
        <v>0</v>
      </c>
      <c r="AE123" s="15">
        <f ca="1"/>
        <v>0</v>
      </c>
      <c r="AF123" s="16" t="s">
        <v>345</v>
      </c>
      <c r="AG123" s="16"/>
      <c r="AH123" s="16"/>
    </row>
    <row r="124" spans="4:35" ht="20.100000000000001" customHeight="1" x14ac:dyDescent="0.2">
      <c r="D124" s="113" t="s">
        <v>455</v>
      </c>
      <c r="U124" s="15" t="str">
        <f>TEXT(EDATE(X_Cell_Site_StartDate,4), "mmmm")</f>
        <v>May</v>
      </c>
      <c r="V124" s="15">
        <f ca="1"/>
        <v>0.6</v>
      </c>
      <c r="W124" s="15">
        <f ca="1"/>
        <v>0</v>
      </c>
      <c r="X124" s="15">
        <f ca="1"/>
        <v>0.6</v>
      </c>
      <c r="Y124" s="15">
        <f ca="1"/>
        <v>0.22</v>
      </c>
      <c r="Z124" s="15">
        <f ca="1"/>
        <v>-0.55000000000000004</v>
      </c>
      <c r="AA124" s="15">
        <f ca="1"/>
        <v>-0.55000000000000004</v>
      </c>
      <c r="AB124" s="15">
        <f ca="1"/>
        <v>0.6</v>
      </c>
      <c r="AC124" s="15">
        <f ca="1"/>
        <v>0</v>
      </c>
      <c r="AD124" s="15">
        <f ca="1"/>
        <v>0</v>
      </c>
      <c r="AE124" s="15">
        <f ca="1"/>
        <v>0</v>
      </c>
      <c r="AF124" s="16" t="s">
        <v>345</v>
      </c>
      <c r="AG124" s="16"/>
      <c r="AH124" s="16"/>
    </row>
    <row r="125" spans="4:35" ht="20.100000000000001" customHeight="1" x14ac:dyDescent="0.2">
      <c r="D125" s="114" t="s">
        <v>456</v>
      </c>
      <c r="U125" s="15" t="str">
        <f>TEXT(EDATE(X_Cell_Site_StartDate,5), "mmmm")</f>
        <v>June</v>
      </c>
      <c r="V125" s="15">
        <f ca="1"/>
        <v>0.99</v>
      </c>
      <c r="W125" s="15">
        <f ca="1"/>
        <v>0.22</v>
      </c>
      <c r="X125" s="15">
        <f ca="1"/>
        <v>0.77</v>
      </c>
      <c r="Y125" s="15">
        <f ca="1"/>
        <v>0.11</v>
      </c>
      <c r="Z125" s="15">
        <f ca="1"/>
        <v>0.11</v>
      </c>
      <c r="AA125" s="15">
        <f ca="1"/>
        <v>0.11</v>
      </c>
      <c r="AB125" s="15">
        <f ca="1"/>
        <v>0.77</v>
      </c>
      <c r="AC125" s="15">
        <f ca="1"/>
        <v>0.44</v>
      </c>
      <c r="AD125" s="15">
        <f ca="1"/>
        <v>0.44</v>
      </c>
      <c r="AE125" s="15">
        <f ca="1"/>
        <v>0.44</v>
      </c>
      <c r="AF125" s="16" t="s">
        <v>345</v>
      </c>
      <c r="AG125" s="16"/>
      <c r="AH125" s="16"/>
    </row>
    <row r="126" spans="4:35" ht="20.100000000000001" customHeight="1" x14ac:dyDescent="0.2">
      <c r="D126" s="115" t="s">
        <v>76</v>
      </c>
      <c r="E126" s="115" t="s">
        <v>325</v>
      </c>
      <c r="F126" s="115" t="s">
        <v>189</v>
      </c>
      <c r="G126" s="115" t="s">
        <v>326</v>
      </c>
      <c r="H126" s="115" t="s">
        <v>327</v>
      </c>
      <c r="I126" s="115" t="s">
        <v>328</v>
      </c>
      <c r="J126" s="115" t="s">
        <v>329</v>
      </c>
      <c r="K126" s="115" t="s">
        <v>330</v>
      </c>
      <c r="L126" s="115" t="s">
        <v>331</v>
      </c>
      <c r="M126" s="115" t="s">
        <v>332</v>
      </c>
      <c r="N126" s="115" t="s">
        <v>333</v>
      </c>
      <c r="U126" s="15" t="str">
        <f>TEXT(EDATE(X_Cell_Site_StartDate,6), "mmmm")</f>
        <v>July</v>
      </c>
      <c r="V126" s="15">
        <f ca="1"/>
        <v>0.99</v>
      </c>
      <c r="W126" s="15">
        <f ca="1"/>
        <v>0.22</v>
      </c>
      <c r="X126" s="15">
        <f ca="1"/>
        <v>0.77</v>
      </c>
      <c r="Y126" s="15">
        <f ca="1"/>
        <v>0.11</v>
      </c>
      <c r="Z126" s="15">
        <f ca="1"/>
        <v>0.11</v>
      </c>
      <c r="AA126" s="15">
        <f ca="1"/>
        <v>0.11</v>
      </c>
      <c r="AB126" s="15">
        <f ca="1"/>
        <v>0.77</v>
      </c>
      <c r="AC126" s="15">
        <f ca="1"/>
        <v>0.44</v>
      </c>
      <c r="AD126" s="15">
        <f ca="1"/>
        <v>0.44</v>
      </c>
      <c r="AE126" s="15">
        <f ca="1"/>
        <v>0.44</v>
      </c>
      <c r="AF126" s="16" t="s">
        <v>345</v>
      </c>
      <c r="AG126" s="16"/>
      <c r="AH126" s="16"/>
    </row>
    <row r="127" spans="4:35" ht="20.100000000000001" customHeight="1" x14ac:dyDescent="0.2">
      <c r="D127" s="15" t="s">
        <v>334</v>
      </c>
      <c r="E127" s="15">
        <f ca="1">(((0.032 * G95) / 6.38) + (((0.212 - 0.008 * (E62 - 2) - ((0.14 - 0.008 * (E62 - 2)) / (1 + EXP(-6 * (E33 - 0.4))))) * (E119 * 0.92)) / 6.25))</f>
        <v>3.2631583658999173E-2</v>
      </c>
      <c r="F127" s="15">
        <f ca="1">(((0.032 * H95) / 6.38) + (((0.212 - 0.008 * (F62 - 2) - ((0.14 - 0.008 * (F62 - 2)) / (1 + EXP(-6 * (F33 - 0.4))))) * (F119 * 0.92)) / 6.25))</f>
        <v>1.2159206080141413E-2</v>
      </c>
      <c r="G127" s="15">
        <f ca="1">(((0.032 * I95) / 6.38) + (((0.212 - 0.008 * (G62 - 2) - ((0.14 - 0.008 * (G62 - 2)) / (1 + EXP(-6 * (G33 - 0.4))))) * (G119 * 0.92)) / 6.25))</f>
        <v>2.2961722562736007E-2</v>
      </c>
      <c r="H127" s="15">
        <f ca="1">(((0.032 * J95) / 6.38) + (((0.212 - 0.008 * (H62 - 2) - ((0.14 - 0.008 * (H62 - 2)) / (1 + EXP(-6 * (H33 - 0.4))))) * (H119 * 0.92)) / 6.25))</f>
        <v>2.6678723656787657E-2</v>
      </c>
      <c r="I127" s="15">
        <f ca="1">(((0.032 * K95) / 6.38) + (((0.212 - 0.008 * (I62 - 2) - ((0.14 - 0.008 * (I62 - 2)) / (1 + EXP(-6 * (I33 - 0.4))))) * (I119 * 0.92)) / 6.25))</f>
        <v>1.7401604737232124E-2</v>
      </c>
      <c r="J127" s="15">
        <f ca="1">(((0.032 * L95) / 6.38) + (((0.212 - 0.008 * (J62 - 2) - ((0.14 - 0.008 * (J62 - 2)) / (1 + EXP(-6 * (J33 - 0.4))))) * (J119 * 0.92)) / 6.25))</f>
        <v>1.7401604737232124E-2</v>
      </c>
      <c r="K127" s="15">
        <f ca="1">(((0.032 * M95) / 6.38) + (((0.212 - 0.008 * (K62 - 2) - ((0.14 - 0.008 * (K62 - 2)) / (1 + EXP(-6 * (K33 - 0.4))))) * (K119 * 0.92)) / 6.25))</f>
        <v>2.7711640554981157E-2</v>
      </c>
      <c r="L127" s="15">
        <f ca="1">(((0.032 * N95) / 6.38) + (((0.212 - 0.008 * (L62 - 2) - ((0.14 - 0.008 * (L62 - 2)) / (1 + EXP(-6 * (L33 - 0.4))))) * (L119 * 0.92)) / 6.25))</f>
        <v>1.4565147934229335E-2</v>
      </c>
      <c r="M127" s="15">
        <f ca="1">(((0.032 * O95) / 6.38) + (((0.212 - 0.008 * (M62 - 2) - ((0.14 - 0.008 * (M62 - 2)) / (1 + EXP(-6 * (M33 - 0.4))))) * (M119 * 0.92)) / 6.25))</f>
        <v>1.4565147934229335E-2</v>
      </c>
      <c r="N127" s="15">
        <f ca="1">(((0.032 * P95) / 6.38) + (((0.212 - 0.008 * (N62 - 2) - ((0.14 - 0.008 * (N62 - 2)) / (1 + EXP(-6 * (N33 - 0.4))))) * (N119 * 0.92)) / 6.25))</f>
        <v>1.4565147934229335E-2</v>
      </c>
      <c r="O127" s="16" t="str">
        <f>$E$109</f>
        <v>kg N/head/day</v>
      </c>
      <c r="U127" s="15" t="str">
        <f>TEXT(EDATE(X_Cell_Site_StartDate,7), "mmmm")</f>
        <v>August</v>
      </c>
      <c r="V127" s="15">
        <f ca="1"/>
        <v>0.99</v>
      </c>
      <c r="W127" s="15">
        <f ca="1"/>
        <v>0.22</v>
      </c>
      <c r="X127" s="15">
        <f ca="1"/>
        <v>0.77</v>
      </c>
      <c r="Y127" s="15">
        <f ca="1"/>
        <v>0.11</v>
      </c>
      <c r="Z127" s="15">
        <f ca="1"/>
        <v>0.11</v>
      </c>
      <c r="AA127" s="15">
        <f ca="1"/>
        <v>0.11</v>
      </c>
      <c r="AB127" s="15">
        <f ca="1"/>
        <v>0.77</v>
      </c>
      <c r="AC127" s="15">
        <f ca="1"/>
        <v>0.44</v>
      </c>
      <c r="AD127" s="15">
        <f ca="1"/>
        <v>0.44</v>
      </c>
      <c r="AE127" s="15">
        <f ca="1"/>
        <v>0.44</v>
      </c>
      <c r="AF127" s="16" t="s">
        <v>345</v>
      </c>
      <c r="AG127" s="16"/>
      <c r="AH127" s="16"/>
    </row>
    <row r="128" spans="4:35" ht="20.100000000000001" customHeight="1" x14ac:dyDescent="0.2">
      <c r="D128" s="15" t="s">
        <v>335</v>
      </c>
      <c r="E128" s="15">
        <f ca="1">(((0.032 * G96) / 6.38) + (((0.212 - 0.008 * (E63 - 2) - ((0.14 - 0.008 * (E63 - 2)) / (1 + EXP(-6 * (E34 - 0.4))))) * (E120 * 0.92)) / 6.25))</f>
        <v>8.1246865273940476E-3</v>
      </c>
      <c r="F128" s="15">
        <f ca="1">(((0.032 * H96) / 6.38) + (((0.212 - 0.008 * (F63 - 2) - ((0.14 - 0.008 * (F63 - 2)) / (1 + EXP(-6 * (F34 - 0.4))))) * (F120 * 0.92)) / 6.25))</f>
        <v>-2.4500809510830074E-3</v>
      </c>
      <c r="G128" s="15">
        <f ca="1">(((0.032 * I96) / 6.38) + (((0.212 - 0.008 * (G63 - 2) - ((0.14 - 0.008 * (G63 - 2)) / (1 + EXP(-6 * (G34 - 0.4))))) * (G120 * 0.92)) / 6.25))</f>
        <v>7.4692204769955996E-3</v>
      </c>
      <c r="H128" s="15">
        <f ca="1">(((0.032 * J96) / 6.38) + (((0.212 - 0.008 * (H63 - 2) - ((0.14 - 0.008 * (H63 - 2)) / (1 + EXP(-6 * (H34 - 0.4))))) * (H120 * 0.92)) / 6.25))</f>
        <v>4.0347172063606223E-3</v>
      </c>
      <c r="I128" s="15">
        <f ca="1">(((0.032 * K96) / 6.38) + (((0.212 - 0.008 * (I63 - 2) - ((0.14 - 0.008 * (I63 - 2)) / (1 + EXP(-6 * (I34 - 0.4))))) * (I120 * 0.92)) / 6.25))</f>
        <v>-2.4892646670301153E-3</v>
      </c>
      <c r="J128" s="15">
        <f ca="1">(((0.032 * L96) / 6.38) + (((0.212 - 0.008 * (J63 - 2) - ((0.14 - 0.008 * (J63 - 2)) / (1 + EXP(-6 * (J34 - 0.4))))) * (J120 * 0.92)) / 6.25))</f>
        <v>-2.4892646670301153E-3</v>
      </c>
      <c r="K128" s="15">
        <f ca="1">(((0.032 * M96) / 6.38) + (((0.212 - 0.008 * (K63 - 2) - ((0.14 - 0.008 * (K63 - 2)) / (1 + EXP(-6 * (K34 - 0.4))))) * (K120 * 0.92)) / 6.25))</f>
        <v>7.842975342880058E-3</v>
      </c>
      <c r="L128" s="15">
        <f ca="1">(((0.032 * N96) / 6.38) + (((0.212 - 0.008 * (L63 - 2) - ((0.14 - 0.008 * (L63 - 2)) / (1 + EXP(-6 * (L34 - 0.4))))) * (L120 * 0.92)) / 6.25))</f>
        <v>-1.4855230625479237E-3</v>
      </c>
      <c r="M128" s="15">
        <f ca="1">(((0.032 * O96) / 6.38) + (((0.212 - 0.008 * (M63 - 2) - ((0.14 - 0.008 * (M63 - 2)) / (1 + EXP(-6 * (M34 - 0.4))))) * (M120 * 0.92)) / 6.25))</f>
        <v>-1.4855230625479237E-3</v>
      </c>
      <c r="N128" s="15">
        <f ca="1">(((0.032 * P96) / 6.38) + (((0.212 - 0.008 * (N63 - 2) - ((0.14 - 0.008 * (N63 - 2)) / (1 + EXP(-6 * (N34 - 0.4))))) * (N120 * 0.92)) / 6.25))</f>
        <v>-1.4855230625479237E-3</v>
      </c>
      <c r="O128" s="16" t="str">
        <f t="shared" ref="O128:O130" si="6">$E$109</f>
        <v>kg N/head/day</v>
      </c>
      <c r="U128" s="15" t="str">
        <f>TEXT(EDATE(X_Cell_Site_StartDate,8), "mmmm")</f>
        <v>September</v>
      </c>
      <c r="V128" s="15">
        <f ca="1"/>
        <v>1.64</v>
      </c>
      <c r="W128" s="15">
        <f ca="1"/>
        <v>1.1000000000000001</v>
      </c>
      <c r="X128" s="15">
        <f ca="1"/>
        <v>1.21</v>
      </c>
      <c r="Y128" s="15">
        <f ca="1"/>
        <v>0.99</v>
      </c>
      <c r="Z128" s="15">
        <f ca="1"/>
        <v>0.66</v>
      </c>
      <c r="AA128" s="15">
        <f ca="1"/>
        <v>0.66</v>
      </c>
      <c r="AB128" s="15">
        <f ca="1"/>
        <v>1.42</v>
      </c>
      <c r="AC128" s="15">
        <f ca="1"/>
        <v>1.1000000000000001</v>
      </c>
      <c r="AD128" s="15">
        <f ca="1"/>
        <v>1.1000000000000001</v>
      </c>
      <c r="AE128" s="15">
        <f ca="1"/>
        <v>1.1000000000000001</v>
      </c>
      <c r="AF128" s="16" t="s">
        <v>345</v>
      </c>
      <c r="AG128" s="16"/>
      <c r="AH128" s="16"/>
    </row>
    <row r="129" spans="1:34" ht="20.100000000000001" customHeight="1" x14ac:dyDescent="0.2">
      <c r="D129" s="15" t="s">
        <v>336</v>
      </c>
      <c r="E129" s="15">
        <f ca="1">(((0.032 * G97) / 6.38) + (((0.212 - 0.008 * (E64 - 2) - ((0.14 - 0.008 * (E64 - 2)) / (1 + EXP(-6 * (E35 - 0.4))))) * (E121 * 0.92)) / 6.25))</f>
        <v>1.7126010126251881E-2</v>
      </c>
      <c r="F129" s="15">
        <f ca="1">(((0.032 * H97) / 6.38) + (((0.212 - 0.008 * (F64 - 2) - ((0.14 - 0.008 * (F64 - 2)) / (1 + EXP(-6 * (F35 - 0.4))))) * (F121 * 0.92)) / 6.25))</f>
        <v>0</v>
      </c>
      <c r="G129" s="15">
        <f ca="1">(((0.032 * I97) / 6.38) + (((0.212 - 0.008 * (G64 - 2) - ((0.14 - 0.008 * (G64 - 2)) / (1 + EXP(-6 * (G35 - 0.4))))) * (G121 * 0.92)) / 6.25))</f>
        <v>1.6946444473002843E-2</v>
      </c>
      <c r="H129" s="15">
        <f ca="1">(((0.032 * J97) / 6.38) + (((0.212 - 0.008 * (H64 - 2) - ((0.14 - 0.008 * (H64 - 2)) / (1 + EXP(-6 * (H35 - 0.4))))) * (H121 * 0.92)) / 6.25))</f>
        <v>3.53223904927357E-3</v>
      </c>
      <c r="I129" s="15">
        <f ca="1">(((0.032 * K97) / 6.38) + (((0.212 - 0.008 * (I64 - 2) - ((0.14 - 0.008 * (I64 - 2)) / (1 + EXP(-6 * (I35 - 0.4))))) * (I121 * 0.92)) / 6.25))</f>
        <v>-6.4971680016475087E-3</v>
      </c>
      <c r="J129" s="15">
        <f ca="1">(((0.032 * L97) / 6.38) + (((0.212 - 0.008 * (J64 - 2) - ((0.14 - 0.008 * (J64 - 2)) / (1 + EXP(-6 * (J35 - 0.4))))) * (J121 * 0.92)) / 6.25))</f>
        <v>-6.4971680016475087E-3</v>
      </c>
      <c r="K129" s="15">
        <f ca="1">(((0.032 * M97) / 6.38) + (((0.212 - 0.008 * (K64 - 2) - ((0.14 - 0.008 * (K64 - 2)) / (1 + EXP(-6 * (K35 - 0.4))))) * (K121 * 0.92)) / 6.25))</f>
        <v>1.6885009696797144E-2</v>
      </c>
      <c r="L129" s="15">
        <f ca="1">(((0.032 * N97) / 6.38) + (((0.212 - 0.008 * (L64 - 2) - ((0.14 - 0.008 * (L64 - 2)) / (1 + EXP(-6 * (L35 - 0.4))))) * (L121 * 0.92)) / 6.25))</f>
        <v>0</v>
      </c>
      <c r="M129" s="15">
        <f ca="1">(((0.032 * O97) / 6.38) + (((0.212 - 0.008 * (M64 - 2) - ((0.14 - 0.008 * (M64 - 2)) / (1 + EXP(-6 * (M35 - 0.4))))) * (M121 * 0.92)) / 6.25))</f>
        <v>0</v>
      </c>
      <c r="N129" s="15">
        <f ca="1">(((0.032 * P97) / 6.38) + (((0.212 - 0.008 * (N64 - 2) - ((0.14 - 0.008 * (N64 - 2)) / (1 + EXP(-6 * (N35 - 0.4))))) * (N121 * 0.92)) / 6.25))</f>
        <v>0</v>
      </c>
      <c r="O129" s="16" t="str">
        <f t="shared" si="6"/>
        <v>kg N/head/day</v>
      </c>
      <c r="U129" s="15" t="str">
        <f>TEXT(EDATE(X_Cell_Site_StartDate,9), "mmmm")</f>
        <v>October</v>
      </c>
      <c r="V129" s="15">
        <f ca="1"/>
        <v>1.64</v>
      </c>
      <c r="W129" s="15">
        <f ca="1"/>
        <v>1.1000000000000001</v>
      </c>
      <c r="X129" s="15">
        <f ca="1"/>
        <v>1.21</v>
      </c>
      <c r="Y129" s="15">
        <f ca="1"/>
        <v>0.99</v>
      </c>
      <c r="Z129" s="15">
        <f ca="1"/>
        <v>0.66</v>
      </c>
      <c r="AA129" s="15">
        <f ca="1"/>
        <v>0.66</v>
      </c>
      <c r="AB129" s="15">
        <f ca="1"/>
        <v>1.42</v>
      </c>
      <c r="AC129" s="15">
        <f ca="1"/>
        <v>1.1000000000000001</v>
      </c>
      <c r="AD129" s="15">
        <f ca="1"/>
        <v>1.1000000000000001</v>
      </c>
      <c r="AE129" s="15">
        <f ca="1"/>
        <v>1.1000000000000001</v>
      </c>
      <c r="AF129" s="16" t="s">
        <v>345</v>
      </c>
      <c r="AG129" s="16"/>
      <c r="AH129" s="16"/>
    </row>
    <row r="130" spans="1:34" ht="20.100000000000001" customHeight="1" x14ac:dyDescent="0.2">
      <c r="D130" s="15" t="s">
        <v>337</v>
      </c>
      <c r="E130" s="15">
        <f ca="1">(((0.032 * G98) / 6.38) + (((0.212 - 0.008 * (E65 - 2) - ((0.14 - 0.008 * (E65 - 2)) / (1 + EXP(-6 * (E36 - 0.4))))) * (E122 * 0.92)) / 6.25))</f>
        <v>2.5624664446187655E-2</v>
      </c>
      <c r="F130" s="15">
        <f ca="1">(((0.032 * H98) / 6.38) + (((0.212 - 0.008 * (F65 - 2) - ((0.14 - 0.008 * (F65 - 2)) / (1 + EXP(-6 * (F36 - 0.4))))) * (F122 * 0.92)) / 6.25))</f>
        <v>2.5468999349659745E-3</v>
      </c>
      <c r="G130" s="15">
        <f ca="1">(((0.032 * I98) / 6.38) + (((0.212 - 0.008 * (G65 - 2) - ((0.14 - 0.008 * (G65 - 2)) / (1 + EXP(-6 * (G36 - 0.4))))) * (G122 * 0.92)) / 6.25))</f>
        <v>1.942651050577586E-2</v>
      </c>
      <c r="H130" s="15">
        <f ca="1">(((0.032 * J98) / 6.38) + (((0.212 - 0.008 * (H65 - 2) - ((0.14 - 0.008 * (H65 - 2)) / (1 + EXP(-6 * (H36 - 0.4))))) * (H122 * 0.92)) / 6.25))</f>
        <v>2.2779013762515499E-2</v>
      </c>
      <c r="I130" s="15">
        <f ca="1">(((0.032 * K98) / 6.38) + (((0.212 - 0.008 * (I65 - 2) - ((0.14 - 0.008 * (I65 - 2)) / (1 + EXP(-6 * (I36 - 0.4))))) * (I122 * 0.92)) / 6.25))</f>
        <v>1.6331394322564873E-2</v>
      </c>
      <c r="J130" s="15">
        <f ca="1">(((0.032 * L98) / 6.38) + (((0.212 - 0.008 * (J65 - 2) - ((0.14 - 0.008 * (J65 - 2)) / (1 + EXP(-6 * (J36 - 0.4))))) * (J122 * 0.92)) / 6.25))</f>
        <v>1.6331394322564873E-2</v>
      </c>
      <c r="K130" s="15">
        <f ca="1">(((0.032 * M98) / 6.38) + (((0.212 - 0.008 * (K65 - 2) - ((0.14 - 0.008 * (K65 - 2)) / (1 + EXP(-6 * (K36 - 0.4))))) * (K122 * 0.92)) / 6.25))</f>
        <v>1.9754140848253471E-2</v>
      </c>
      <c r="L130" s="15">
        <f ca="1">(((0.032 * N98) / 6.38) + (((0.212 - 0.008 * (L65 - 2) - ((0.14 - 0.008 * (L65 - 2)) / (1 + EXP(-6 * (L36 - 0.4))))) * (L122 * 0.92)) / 6.25))</f>
        <v>7.4705417776927329E-3</v>
      </c>
      <c r="M130" s="15">
        <f ca="1">(((0.032 * O98) / 6.38) + (((0.212 - 0.008 * (M65 - 2) - ((0.14 - 0.008 * (M65 - 2)) / (1 + EXP(-6 * (M36 - 0.4))))) * (M122 * 0.92)) / 6.25))</f>
        <v>7.4705417776927329E-3</v>
      </c>
      <c r="N130" s="15">
        <f ca="1">(((0.032 * P98) / 6.38) + (((0.212 - 0.008 * (N65 - 2) - ((0.14 - 0.008 * (N65 - 2)) / (1 + EXP(-6 * (N36 - 0.4))))) * (N122 * 0.92)) / 6.25))</f>
        <v>7.4705417776927329E-3</v>
      </c>
      <c r="O130" s="16" t="str">
        <f t="shared" si="6"/>
        <v>kg N/head/day</v>
      </c>
      <c r="U130" s="15" t="str">
        <f>TEXT(EDATE(X_Cell_Site_StartDate,10), "mmmm")</f>
        <v>November</v>
      </c>
      <c r="V130" s="15">
        <f ca="1"/>
        <v>1.64</v>
      </c>
      <c r="W130" s="15">
        <f ca="1"/>
        <v>1.1000000000000001</v>
      </c>
      <c r="X130" s="15">
        <f ca="1"/>
        <v>1.21</v>
      </c>
      <c r="Y130" s="15">
        <f ca="1"/>
        <v>0.99</v>
      </c>
      <c r="Z130" s="15">
        <f ca="1"/>
        <v>0.66</v>
      </c>
      <c r="AA130" s="15">
        <f ca="1"/>
        <v>0.66</v>
      </c>
      <c r="AB130" s="15">
        <f ca="1"/>
        <v>1.42</v>
      </c>
      <c r="AC130" s="15">
        <f ca="1"/>
        <v>1.1000000000000001</v>
      </c>
      <c r="AD130" s="15">
        <f ca="1"/>
        <v>1.1000000000000001</v>
      </c>
      <c r="AE130" s="15">
        <f ca="1"/>
        <v>1.1000000000000001</v>
      </c>
      <c r="AF130" s="16" t="s">
        <v>345</v>
      </c>
      <c r="AG130" s="16"/>
      <c r="AH130" s="16"/>
    </row>
    <row r="131" spans="1:34" ht="20.100000000000001" customHeight="1" x14ac:dyDescent="0.2">
      <c r="A131" s="85" t="str">
        <f>HYPERLINK("#A1", "▲ Back to top")</f>
        <v>▲ Back to top</v>
      </c>
      <c r="U131" s="15" t="str">
        <f>TEXT(EDATE(X_Cell_Site_StartDate,11), "mmmm")</f>
        <v>December</v>
      </c>
      <c r="V131" s="15">
        <f ca="1"/>
        <v>0.44</v>
      </c>
      <c r="W131" s="15">
        <f ca="1"/>
        <v>-0.22</v>
      </c>
      <c r="X131" s="15">
        <f ca="1"/>
        <v>0.44</v>
      </c>
      <c r="Y131" s="15">
        <f ca="1"/>
        <v>0.33</v>
      </c>
      <c r="Z131" s="15">
        <f ca="1"/>
        <v>-0.22</v>
      </c>
      <c r="AA131" s="15">
        <f ca="1"/>
        <v>-0.22</v>
      </c>
      <c r="AB131" s="15">
        <f ca="1"/>
        <v>0.44</v>
      </c>
      <c r="AC131" s="15">
        <f ca="1"/>
        <v>-0.11</v>
      </c>
      <c r="AD131" s="15">
        <f ca="1"/>
        <v>-0.11</v>
      </c>
      <c r="AE131" s="15">
        <f ca="1"/>
        <v>-0.11</v>
      </c>
      <c r="AF131" s="16" t="s">
        <v>345</v>
      </c>
      <c r="AG131" s="16"/>
      <c r="AH131" s="16"/>
    </row>
    <row r="133" spans="1:34" ht="20.100000000000001" customHeight="1" x14ac:dyDescent="0.2">
      <c r="C133" s="88"/>
      <c r="D133" s="88"/>
      <c r="E133" s="88"/>
      <c r="F133" s="88"/>
      <c r="G133" s="88"/>
      <c r="H133" s="88"/>
      <c r="I133" s="88"/>
      <c r="J133" s="88"/>
      <c r="K133" s="88"/>
      <c r="L133" s="88"/>
      <c r="M133" s="88"/>
      <c r="N133" s="88"/>
      <c r="O133" s="88"/>
      <c r="P133" s="88"/>
      <c r="Q133" s="88"/>
      <c r="R133" s="88"/>
      <c r="U133" s="113" t="s">
        <v>457</v>
      </c>
    </row>
    <row r="134" spans="1:34" ht="20.100000000000001" customHeight="1" x14ac:dyDescent="0.2">
      <c r="D134" s="2" t="s">
        <v>1422</v>
      </c>
      <c r="U134" s="114" t="s">
        <v>458</v>
      </c>
    </row>
    <row r="135" spans="1:34" ht="20.100000000000001" customHeight="1" x14ac:dyDescent="0.2">
      <c r="D135" s="17" t="s">
        <v>1423</v>
      </c>
      <c r="U135" s="115" t="s">
        <v>75</v>
      </c>
      <c r="V135" s="115" t="s">
        <v>325</v>
      </c>
      <c r="W135" s="115" t="s">
        <v>189</v>
      </c>
      <c r="X135" s="115" t="s">
        <v>326</v>
      </c>
      <c r="Y135" s="115" t="s">
        <v>327</v>
      </c>
      <c r="Z135" s="115" t="s">
        <v>328</v>
      </c>
      <c r="AA135" s="115" t="s">
        <v>329</v>
      </c>
      <c r="AB135" s="115" t="s">
        <v>330</v>
      </c>
      <c r="AC135" s="115" t="s">
        <v>331</v>
      </c>
      <c r="AD135" s="115" t="s">
        <v>332</v>
      </c>
      <c r="AE135" s="115" t="s">
        <v>333</v>
      </c>
    </row>
    <row r="136" spans="1:34" ht="20.100000000000001" customHeight="1" x14ac:dyDescent="0.2">
      <c r="D136" s="104"/>
      <c r="E136" s="104"/>
      <c r="U136" s="15" t="str">
        <f>TEXT(X_Cell_Site_StartDate,"mmmm")</f>
        <v>January</v>
      </c>
      <c r="V136" s="15">
        <f ca="1">(((0.032 * X100) / 6.38) + (((0.212 - 0.008 * (V72 - 2) - ((0.14 - 0.008 * (V72 - 2)) / (1 + EXP(-6 * (V36 - 0.4))))) * (V120 * 0.92)) / 6.25))</f>
        <v>8.1246865273940476E-3</v>
      </c>
      <c r="W136" s="15">
        <f ca="1">(((0.032 * Y100) / 6.38) + (((0.212 - 0.008 * (W72 - 2) - ((0.14 - 0.008 * (W72 - 2)) / (1 + EXP(-6 * (W36 - 0.4))))) * (W120 * 0.92)) / 6.25))</f>
        <v>-2.4500809510830074E-3</v>
      </c>
      <c r="X136" s="15">
        <f ca="1">(((0.032 * Z100) / 6.38) + (((0.212 - 0.008 * (X72 - 2) - ((0.14 - 0.008 * (X72 - 2)) / (1 + EXP(-6 * (X36 - 0.4))))) * (X120 * 0.92)) / 6.25))</f>
        <v>7.4692204769955996E-3</v>
      </c>
      <c r="Y136" s="15">
        <f ca="1">(((0.032 * AA100) / 6.38) + (((0.212 - 0.008 * (Y72 - 2) - ((0.14 - 0.008 * (Y72 - 2)) / (1 + EXP(-6 * (Y36 - 0.4))))) * (Y120 * 0.92)) / 6.25))</f>
        <v>1.9080635764024231E-2</v>
      </c>
      <c r="Z136" s="15">
        <f ca="1">(((0.032 * AB100) / 6.38) + (((0.212 - 0.008 * (Z72 - 2) - ((0.14 - 0.008 * (Z72 - 2)) / (1 + EXP(-6 * (Z36 - 0.4))))) * (Z120 * 0.92)) / 6.25))</f>
        <v>1.2558041048697144E-2</v>
      </c>
      <c r="AA136" s="15">
        <f ca="1">(((0.032 * AC100) / 6.38) + (((0.212 - 0.008 * (AA72 - 2) - ((0.14 - 0.008 * (AA72 - 2)) / (1 + EXP(-6 * (AA36 - 0.4))))) * (AA120 * 0.92)) / 6.25))</f>
        <v>1.2558041048697144E-2</v>
      </c>
      <c r="AB136" s="15">
        <f ca="1">(((0.032 * AD100) / 6.38) + (((0.212 - 0.008 * (AB72 - 2) - ((0.14 - 0.008 * (AB72 - 2)) / (1 + EXP(-6 * (AB36 - 0.4))))) * (AB120 * 0.92)) / 6.25))</f>
        <v>7.842975342880058E-3</v>
      </c>
      <c r="AC136" s="15">
        <f ca="1">(((0.032 * AE100) / 6.38) + (((0.212 - 0.008 * (AC72 - 2) - ((0.14 - 0.008 * (AC72 - 2)) / (1 + EXP(-6 * (AC36 - 0.4))))) * (AC120 * 0.92)) / 6.25))</f>
        <v>-1.4855230625479237E-3</v>
      </c>
      <c r="AD136" s="15">
        <f ca="1">(((0.032 * AF100) / 6.38) + (((0.212 - 0.008 * (AD72 - 2) - ((0.14 - 0.008 * (AD72 - 2)) / (1 + EXP(-6 * (AD36 - 0.4))))) * (AD120 * 0.92)) / 6.25))</f>
        <v>-1.4855230625479237E-3</v>
      </c>
      <c r="AE136" s="15">
        <f ca="1">(((0.032 * AG100) / 6.38) + (((0.212 - 0.008 * (AE72 - 2) - ((0.14 - 0.008 * (AE72 - 2)) / (1 + EXP(-6 * (AE36 - 0.4))))) * (AE120 * 0.92)) / 6.25))</f>
        <v>-1.4855230625479237E-3</v>
      </c>
      <c r="AF136" s="16" t="str">
        <f t="shared" ref="AF136:AF147" si="7">$E$109</f>
        <v>kg N/head/day</v>
      </c>
      <c r="AG136" s="16"/>
      <c r="AH136" s="16"/>
    </row>
    <row r="137" spans="1:34" ht="20.100000000000001" customHeight="1" x14ac:dyDescent="0.2">
      <c r="U137" s="15" t="str">
        <f>TEXT(EDATE(X_Cell_Site_StartDate,1), "mmmm")</f>
        <v>February</v>
      </c>
      <c r="V137" s="15">
        <f ca="1">(((0.032 * X101) / 6.38) + (((0.212 - 0.008 * (V73 - 2) - ((0.14 - 0.008 * (V73 - 2)) / (1 + EXP(-6 * (V37 - 0.4))))) * (V121 * 0.92)) / 6.25))</f>
        <v>8.1246865273940476E-3</v>
      </c>
      <c r="W137" s="15">
        <f ca="1">(((0.032 * Y101) / 6.38) + (((0.212 - 0.008 * (W73 - 2) - ((0.14 - 0.008 * (W73 - 2)) / (1 + EXP(-6 * (W37 - 0.4))))) * (W121 * 0.92)) / 6.25))</f>
        <v>-2.4500809510830074E-3</v>
      </c>
      <c r="X137" s="15">
        <f ca="1">(((0.032 * Z101) / 6.38) + (((0.212 - 0.008 * (X73 - 2) - ((0.14 - 0.008 * (X73 - 2)) / (1 + EXP(-6 * (X37 - 0.4))))) * (X121 * 0.92)) / 6.25))</f>
        <v>7.4692204769955996E-3</v>
      </c>
      <c r="Y137" s="15">
        <f ca="1">(((0.032 * AA101) / 6.38) + (((0.212 - 0.008 * (Y73 - 2) - ((0.14 - 0.008 * (Y73 - 2)) / (1 + EXP(-6 * (Y37 - 0.4))))) * (Y121 * 0.92)) / 6.25))</f>
        <v>4.0359782188292637E-3</v>
      </c>
      <c r="Z137" s="15">
        <f ca="1">(((0.032 * AB101) / 6.38) + (((0.212 - 0.008 * (Z73 - 2) - ((0.14 - 0.008 * (Z73 - 2)) / (1 + EXP(-6 * (Z37 - 0.4))))) * (Z121 * 0.92)) / 6.25))</f>
        <v>-2.4895889780627905E-3</v>
      </c>
      <c r="AA137" s="15">
        <f ca="1">(((0.032 * AC101) / 6.38) + (((0.212 - 0.008 * (AA73 - 2) - ((0.14 - 0.008 * (AA73 - 2)) / (1 + EXP(-6 * (AA37 - 0.4))))) * (AA121 * 0.92)) / 6.25))</f>
        <v>-2.4895889780627905E-3</v>
      </c>
      <c r="AB137" s="15">
        <f ca="1">(((0.032 * AD101) / 6.38) + (((0.212 - 0.008 * (AB73 - 2) - ((0.14 - 0.008 * (AB73 - 2)) / (1 + EXP(-6 * (AB37 - 0.4))))) * (AB121 * 0.92)) / 6.25))</f>
        <v>7.842975342880058E-3</v>
      </c>
      <c r="AC137" s="15">
        <f ca="1">(((0.032 * AE101) / 6.38) + (((0.212 - 0.008 * (AC73 - 2) - ((0.14 - 0.008 * (AC73 - 2)) / (1 + EXP(-6 * (AC37 - 0.4))))) * (AC121 * 0.92)) / 6.25))</f>
        <v>-1.4855230625479237E-3</v>
      </c>
      <c r="AD137" s="15">
        <f ca="1">(((0.032 * AF101) / 6.38) + (((0.212 - 0.008 * (AD73 - 2) - ((0.14 - 0.008 * (AD73 - 2)) / (1 + EXP(-6 * (AD37 - 0.4))))) * (AD121 * 0.92)) / 6.25))</f>
        <v>-1.4855230625479237E-3</v>
      </c>
      <c r="AE137" s="15">
        <f ca="1">(((0.032 * AG101) / 6.38) + (((0.212 - 0.008 * (AE73 - 2) - ((0.14 - 0.008 * (AE73 - 2)) / (1 + EXP(-6 * (AE37 - 0.4))))) * (AE121 * 0.92)) / 6.25))</f>
        <v>-1.4855230625479237E-3</v>
      </c>
      <c r="AF137" s="16" t="str">
        <f t="shared" si="7"/>
        <v>kg N/head/day</v>
      </c>
      <c r="AG137" s="16"/>
      <c r="AH137" s="16"/>
    </row>
    <row r="138" spans="1:34" ht="20.100000000000001" customHeight="1" x14ac:dyDescent="0.2">
      <c r="U138" s="15" t="str">
        <f>TEXT(EDATE(X_Cell_Site_StartDate,2), "mmmm")</f>
        <v>March</v>
      </c>
      <c r="V138" s="15">
        <f ca="1">(((0.032 * X102) / 6.38) + (((0.212 - 0.008 * (V74 - 2) - ((0.14 - 0.008 * (V74 - 2)) / (1 + EXP(-6 * (V38 - 0.4))))) * (V122 * 0.92)) / 6.25))</f>
        <v>1.7126010126251881E-2</v>
      </c>
      <c r="W138" s="15">
        <f ca="1">(((0.032 * Y102) / 6.38) + (((0.212 - 0.008 * (W74 - 2) - ((0.14 - 0.008 * (W74 - 2)) / (1 + EXP(-6 * (W38 - 0.4))))) * (W122 * 0.92)) / 6.25))</f>
        <v>0</v>
      </c>
      <c r="X138" s="15">
        <f ca="1">(((0.032 * Z102) / 6.38) + (((0.212 - 0.008 * (X74 - 2) - ((0.14 - 0.008 * (X74 - 2)) / (1 + EXP(-6 * (X38 - 0.4))))) * (X122 * 0.92)) / 6.25))</f>
        <v>1.6946444473002843E-2</v>
      </c>
      <c r="Y138" s="15">
        <f ca="1">(((0.032 * AA102) / 6.38) + (((0.212 - 0.008 * (Y74 - 2) - ((0.14 - 0.008 * (Y74 - 2)) / (1 + EXP(-6 * (Y38 - 0.4))))) * (Y122 * 0.92)) / 6.25))</f>
        <v>3.5329291057988096E-3</v>
      </c>
      <c r="Z138" s="15">
        <f ca="1">(((0.032 * AB102) / 6.38) + (((0.212 - 0.008 * (Z74 - 2) - ((0.14 - 0.008 * (Z74 - 2)) / (1 + EXP(-6 * (Z38 - 0.4))))) * (Z122 * 0.92)) / 6.25))</f>
        <v>-6.4971680016475087E-3</v>
      </c>
      <c r="AA138" s="15">
        <f ca="1">(((0.032 * AC102) / 6.38) + (((0.212 - 0.008 * (AA74 - 2) - ((0.14 - 0.008 * (AA74 - 2)) / (1 + EXP(-6 * (AA38 - 0.4))))) * (AA122 * 0.92)) / 6.25))</f>
        <v>-6.4971680016475087E-3</v>
      </c>
      <c r="AB138" s="15">
        <f ca="1">(((0.032 * AD102) / 6.38) + (((0.212 - 0.008 * (AB74 - 2) - ((0.14 - 0.008 * (AB74 - 2)) / (1 + EXP(-6 * (AB38 - 0.4))))) * (AB122 * 0.92)) / 6.25))</f>
        <v>1.6885009696797144E-2</v>
      </c>
      <c r="AC138" s="15">
        <f ca="1">(((0.032 * AE102) / 6.38) + (((0.212 - 0.008 * (AC74 - 2) - ((0.14 - 0.008 * (AC74 - 2)) / (1 + EXP(-6 * (AC38 - 0.4))))) * (AC122 * 0.92)) / 6.25))</f>
        <v>0</v>
      </c>
      <c r="AD138" s="15">
        <f ca="1">(((0.032 * AF102) / 6.38) + (((0.212 - 0.008 * (AD74 - 2) - ((0.14 - 0.008 * (AD74 - 2)) / (1 + EXP(-6 * (AD38 - 0.4))))) * (AD122 * 0.92)) / 6.25))</f>
        <v>0</v>
      </c>
      <c r="AE138" s="15">
        <f ca="1">(((0.032 * AG102) / 6.38) + (((0.212 - 0.008 * (AE74 - 2) - ((0.14 - 0.008 * (AE74 - 2)) / (1 + EXP(-6 * (AE38 - 0.4))))) * (AE122 * 0.92)) / 6.25))</f>
        <v>0</v>
      </c>
      <c r="AF138" s="16" t="str">
        <f t="shared" si="7"/>
        <v>kg N/head/day</v>
      </c>
      <c r="AG138" s="16"/>
      <c r="AH138" s="16"/>
    </row>
    <row r="139" spans="1:34" ht="20.100000000000001" customHeight="1" x14ac:dyDescent="0.2">
      <c r="D139" s="77" t="s">
        <v>374</v>
      </c>
      <c r="E139" s="1" t="s">
        <v>1424</v>
      </c>
      <c r="U139" s="15" t="str">
        <f>TEXT(EDATE(X_Cell_Site_StartDate,3), "mmmm")</f>
        <v>April</v>
      </c>
      <c r="V139" s="15">
        <f ca="1">(((0.032 * X103) / 6.38) + (((0.212 - 0.008 * (V75 - 2) - ((0.14 - 0.008 * (V75 - 2)) / (1 + EXP(-6 * (V39 - 0.4))))) * (V123 * 0.92)) / 6.25))</f>
        <v>1.7126010126251881E-2</v>
      </c>
      <c r="W139" s="15">
        <f ca="1">(((0.032 * Y103) / 6.38) + (((0.212 - 0.008 * (W75 - 2) - ((0.14 - 0.008 * (W75 - 2)) / (1 + EXP(-6 * (W39 - 0.4))))) * (W123 * 0.92)) / 6.25))</f>
        <v>0</v>
      </c>
      <c r="X139" s="15">
        <f ca="1">(((0.032 * Z103) / 6.38) + (((0.212 - 0.008 * (X75 - 2) - ((0.14 - 0.008 * (X75 - 2)) / (1 + EXP(-6 * (X39 - 0.4))))) * (X123 * 0.92)) / 6.25))</f>
        <v>1.6946444473002843E-2</v>
      </c>
      <c r="Y139" s="15">
        <f ca="1">(((0.032 * AA103) / 6.38) + (((0.212 - 0.008 * (Y75 - 2) - ((0.14 - 0.008 * (Y75 - 2)) / (1 + EXP(-6 * (Y39 - 0.4))))) * (Y123 * 0.92)) / 6.25))</f>
        <v>3.5329291057988096E-3</v>
      </c>
      <c r="Z139" s="15">
        <f ca="1">(((0.032 * AB103) / 6.38) + (((0.212 - 0.008 * (Z75 - 2) - ((0.14 - 0.008 * (Z75 - 2)) / (1 + EXP(-6 * (Z39 - 0.4))))) * (Z123 * 0.92)) / 6.25))</f>
        <v>-6.4971680016475087E-3</v>
      </c>
      <c r="AA139" s="15">
        <f ca="1">(((0.032 * AC103) / 6.38) + (((0.212 - 0.008 * (AA75 - 2) - ((0.14 - 0.008 * (AA75 - 2)) / (1 + EXP(-6 * (AA39 - 0.4))))) * (AA123 * 0.92)) / 6.25))</f>
        <v>-6.4971680016475087E-3</v>
      </c>
      <c r="AB139" s="15">
        <f ca="1">(((0.032 * AD103) / 6.38) + (((0.212 - 0.008 * (AB75 - 2) - ((0.14 - 0.008 * (AB75 - 2)) / (1 + EXP(-6 * (AB39 - 0.4))))) * (AB123 * 0.92)) / 6.25))</f>
        <v>1.6885009696797144E-2</v>
      </c>
      <c r="AC139" s="15">
        <f ca="1">(((0.032 * AE103) / 6.38) + (((0.212 - 0.008 * (AC75 - 2) - ((0.14 - 0.008 * (AC75 - 2)) / (1 + EXP(-6 * (AC39 - 0.4))))) * (AC123 * 0.92)) / 6.25))</f>
        <v>0</v>
      </c>
      <c r="AD139" s="15">
        <f ca="1">(((0.032 * AF103) / 6.38) + (((0.212 - 0.008 * (AD75 - 2) - ((0.14 - 0.008 * (AD75 - 2)) / (1 + EXP(-6 * (AD39 - 0.4))))) * (AD123 * 0.92)) / 6.25))</f>
        <v>0</v>
      </c>
      <c r="AE139" s="15">
        <f ca="1">(((0.032 * AG103) / 6.38) + (((0.212 - 0.008 * (AE75 - 2) - ((0.14 - 0.008 * (AE75 - 2)) / (1 + EXP(-6 * (AE39 - 0.4))))) * (AE123 * 0.92)) / 6.25))</f>
        <v>0</v>
      </c>
      <c r="AF139" s="16" t="str">
        <f t="shared" si="7"/>
        <v>kg N/head/day</v>
      </c>
      <c r="AG139" s="16"/>
      <c r="AH139" s="16"/>
    </row>
    <row r="140" spans="1:34" ht="20.100000000000001" customHeight="1" x14ac:dyDescent="0.2">
      <c r="D140" s="77" t="s">
        <v>126</v>
      </c>
      <c r="E140" s="9" t="s">
        <v>1414</v>
      </c>
      <c r="U140" s="15" t="str">
        <f>TEXT(EDATE(X_Cell_Site_StartDate,4), "mmmm")</f>
        <v>May</v>
      </c>
      <c r="V140" s="15">
        <f ca="1">(((0.032 * X104) / 6.38) + (((0.212 - 0.008 * (V76 - 2) - ((0.14 - 0.008 * (V76 - 2)) / (1 + EXP(-6 * (V40 - 0.4))))) * (V124 * 0.92)) / 6.25))</f>
        <v>1.7126010126251881E-2</v>
      </c>
      <c r="W140" s="15">
        <f ca="1">(((0.032 * Y104) / 6.38) + (((0.212 - 0.008 * (W76 - 2) - ((0.14 - 0.008 * (W76 - 2)) / (1 + EXP(-6 * (W40 - 0.4))))) * (W124 * 0.92)) / 6.25))</f>
        <v>0</v>
      </c>
      <c r="X140" s="15">
        <f ca="1">(((0.032 * Z104) / 6.38) + (((0.212 - 0.008 * (X76 - 2) - ((0.14 - 0.008 * (X76 - 2)) / (1 + EXP(-6 * (X40 - 0.4))))) * (X124 * 0.92)) / 6.25))</f>
        <v>1.6946444473002843E-2</v>
      </c>
      <c r="Y140" s="15">
        <f ca="1">(((0.032 * AA104) / 6.38) + (((0.212 - 0.008 * (Y76 - 2) - ((0.14 - 0.008 * (Y76 - 2)) / (1 + EXP(-6 * (Y40 - 0.4))))) * (Y124 * 0.92)) / 6.25))</f>
        <v>3.5329291057988096E-3</v>
      </c>
      <c r="Z140" s="15">
        <f ca="1">(((0.032 * AB104) / 6.38) + (((0.212 - 0.008 * (Z76 - 2) - ((0.14 - 0.008 * (Z76 - 2)) / (1 + EXP(-6 * (Z40 - 0.4))))) * (Z124 * 0.92)) / 6.25))</f>
        <v>-6.4971680016475087E-3</v>
      </c>
      <c r="AA140" s="15">
        <f ca="1">(((0.032 * AC104) / 6.38) + (((0.212 - 0.008 * (AA76 - 2) - ((0.14 - 0.008 * (AA76 - 2)) / (1 + EXP(-6 * (AA40 - 0.4))))) * (AA124 * 0.92)) / 6.25))</f>
        <v>-6.4971680016475087E-3</v>
      </c>
      <c r="AB140" s="15">
        <f ca="1">(((0.032 * AD104) / 6.38) + (((0.212 - 0.008 * (AB76 - 2) - ((0.14 - 0.008 * (AB76 - 2)) / (1 + EXP(-6 * (AB40 - 0.4))))) * (AB124 * 0.92)) / 6.25))</f>
        <v>1.6885009696797144E-2</v>
      </c>
      <c r="AC140" s="15">
        <f ca="1">(((0.032 * AE104) / 6.38) + (((0.212 - 0.008 * (AC76 - 2) - ((0.14 - 0.008 * (AC76 - 2)) / (1 + EXP(-6 * (AC40 - 0.4))))) * (AC124 * 0.92)) / 6.25))</f>
        <v>0</v>
      </c>
      <c r="AD140" s="15">
        <f ca="1">(((0.032 * AF104) / 6.38) + (((0.212 - 0.008 * (AD76 - 2) - ((0.14 - 0.008 * (AD76 - 2)) / (1 + EXP(-6 * (AD40 - 0.4))))) * (AD124 * 0.92)) / 6.25))</f>
        <v>0</v>
      </c>
      <c r="AE140" s="15">
        <f ca="1">(((0.032 * AG104) / 6.38) + (((0.212 - 0.008 * (AE76 - 2) - ((0.14 - 0.008 * (AE76 - 2)) / (1 + EXP(-6 * (AE40 - 0.4))))) * (AE124 * 0.92)) / 6.25))</f>
        <v>0</v>
      </c>
      <c r="AF140" s="16" t="str">
        <f t="shared" si="7"/>
        <v>kg N/head/day</v>
      </c>
      <c r="AG140" s="16"/>
      <c r="AH140" s="16"/>
    </row>
    <row r="141" spans="1:34" ht="20.100000000000001" customHeight="1" x14ac:dyDescent="0.2">
      <c r="U141" s="15" t="str">
        <f>TEXT(EDATE(X_Cell_Site_StartDate,5), "mmmm")</f>
        <v>June</v>
      </c>
      <c r="V141" s="15">
        <f ca="1">(((0.032 * X105) / 6.38) + (((0.212 - 0.008 * (V77 - 2) - ((0.14 - 0.008 * (V77 - 2)) / (1 + EXP(-6 * (V41 - 0.4))))) * (V125 * 0.92)) / 6.25))</f>
        <v>2.5624664446187655E-2</v>
      </c>
      <c r="W141" s="15">
        <f ca="1">(((0.032 * Y105) / 6.38) + (((0.212 - 0.008 * (W77 - 2) - ((0.14 - 0.008 * (W77 - 2)) / (1 + EXP(-6 * (W41 - 0.4))))) * (W125 * 0.92)) / 6.25))</f>
        <v>2.5468999349659745E-3</v>
      </c>
      <c r="X141" s="15">
        <f ca="1">(((0.032 * Z105) / 6.38) + (((0.212 - 0.008 * (X77 - 2) - ((0.14 - 0.008 * (X77 - 2)) / (1 + EXP(-6 * (X41 - 0.4))))) * (X125 * 0.92)) / 6.25))</f>
        <v>1.942651050577586E-2</v>
      </c>
      <c r="Y141" s="15">
        <f ca="1">(((0.032 * AA105) / 6.38) + (((0.212 - 0.008 * (Y77 - 2) - ((0.14 - 0.008 * (Y77 - 2)) / (1 + EXP(-6 * (Y41 - 0.4))))) * (Y125 * 0.92)) / 6.25))</f>
        <v>1.7196628856093364E-3</v>
      </c>
      <c r="Z141" s="15">
        <f ca="1">(((0.032 * AB105) / 6.38) + (((0.212 - 0.008 * (Z77 - 2) - ((0.14 - 0.008 * (Z77 - 2)) / (1 + EXP(-6 * (Z41 - 0.4))))) * (Z125 * 0.92)) / 6.25))</f>
        <v>1.2853672606791778E-3</v>
      </c>
      <c r="AA141" s="15">
        <f ca="1">(((0.032 * AC105) / 6.38) + (((0.212 - 0.008 * (AA77 - 2) - ((0.14 - 0.008 * (AA77 - 2)) / (1 + EXP(-6 * (AA41 - 0.4))))) * (AA125 * 0.92)) / 6.25))</f>
        <v>1.2853672606791778E-3</v>
      </c>
      <c r="AB141" s="15">
        <f ca="1">(((0.032 * AD105) / 6.38) + (((0.212 - 0.008 * (AB77 - 2) - ((0.14 - 0.008 * (AB77 - 2)) / (1 + EXP(-6 * (AB41 - 0.4))))) * (AB125 * 0.92)) / 6.25))</f>
        <v>1.9754140848253471E-2</v>
      </c>
      <c r="AC141" s="15">
        <f ca="1">(((0.032 * AE105) / 6.38) + (((0.212 - 0.008 * (AC77 - 2) - ((0.14 - 0.008 * (AC77 - 2)) / (1 + EXP(-6 * (AC41 - 0.4))))) * (AC125 * 0.92)) / 6.25))</f>
        <v>7.4705417776927329E-3</v>
      </c>
      <c r="AD141" s="15">
        <f ca="1">(((0.032 * AF105) / 6.38) + (((0.212 - 0.008 * (AD77 - 2) - ((0.14 - 0.008 * (AD77 - 2)) / (1 + EXP(-6 * (AD41 - 0.4))))) * (AD125 * 0.92)) / 6.25))</f>
        <v>7.4705417776927329E-3</v>
      </c>
      <c r="AE141" s="15">
        <f ca="1">(((0.032 * AG105) / 6.38) + (((0.212 - 0.008 * (AE77 - 2) - ((0.14 - 0.008 * (AE77 - 2)) / (1 + EXP(-6 * (AE41 - 0.4))))) * (AE125 * 0.92)) / 6.25))</f>
        <v>7.4705417776927329E-3</v>
      </c>
      <c r="AF141" s="16" t="str">
        <f t="shared" si="7"/>
        <v>kg N/head/day</v>
      </c>
      <c r="AG141" s="16"/>
      <c r="AH141" s="16"/>
    </row>
    <row r="142" spans="1:34" ht="20.100000000000001" customHeight="1" x14ac:dyDescent="0.2">
      <c r="D142" s="106" t="s">
        <v>1330</v>
      </c>
      <c r="E142" s="107" t="s">
        <v>1397</v>
      </c>
      <c r="F142" s="109"/>
      <c r="G142" s="106" t="s">
        <v>1331</v>
      </c>
      <c r="H142" s="111" t="s">
        <v>1399</v>
      </c>
      <c r="I142" s="112" t="str" cm="1">
        <f t="array" aca="1" ref="I142" ca="1">HYPERLINK(Common_InputFunctions.Utility_SourceHyperlink($D$51),$D$51)</f>
        <v>M1_Table_I_j_k_l</v>
      </c>
      <c r="U142" s="15" t="str">
        <f>TEXT(EDATE(X_Cell_Site_StartDate,6), "mmmm")</f>
        <v>July</v>
      </c>
      <c r="V142" s="15">
        <f ca="1">(((0.032 * X106) / 6.38) + (((0.212 - 0.008 * (V78 - 2) - ((0.14 - 0.008 * (V78 - 2)) / (1 + EXP(-6 * (V42 - 0.4))))) * (V126 * 0.92)) / 6.25))</f>
        <v>2.5624664446187655E-2</v>
      </c>
      <c r="W142" s="15">
        <f ca="1">(((0.032 * Y106) / 6.38) + (((0.212 - 0.008 * (W78 - 2) - ((0.14 - 0.008 * (W78 - 2)) / (1 + EXP(-6 * (W42 - 0.4))))) * (W126 * 0.92)) / 6.25))</f>
        <v>2.5468999349659745E-3</v>
      </c>
      <c r="X142" s="15">
        <f ca="1">(((0.032 * Z106) / 6.38) + (((0.212 - 0.008 * (X78 - 2) - ((0.14 - 0.008 * (X78 - 2)) / (1 + EXP(-6 * (X42 - 0.4))))) * (X126 * 0.92)) / 6.25))</f>
        <v>1.942651050577586E-2</v>
      </c>
      <c r="Y142" s="15">
        <f ca="1">(((0.032 * AA106) / 6.38) + (((0.212 - 0.008 * (Y78 - 2) - ((0.14 - 0.008 * (Y78 - 2)) / (1 + EXP(-6 * (Y42 - 0.4))))) * (Y126 * 0.92)) / 6.25))</f>
        <v>1.7196628856093364E-3</v>
      </c>
      <c r="Z142" s="15">
        <f ca="1">(((0.032 * AB106) / 6.38) + (((0.212 - 0.008 * (Z78 - 2) - ((0.14 - 0.008 * (Z78 - 2)) / (1 + EXP(-6 * (Z42 - 0.4))))) * (Z126 * 0.92)) / 6.25))</f>
        <v>1.2853672606791778E-3</v>
      </c>
      <c r="AA142" s="15">
        <f ca="1">(((0.032 * AC106) / 6.38) + (((0.212 - 0.008 * (AA78 - 2) - ((0.14 - 0.008 * (AA78 - 2)) / (1 + EXP(-6 * (AA42 - 0.4))))) * (AA126 * 0.92)) / 6.25))</f>
        <v>1.2853672606791778E-3</v>
      </c>
      <c r="AB142" s="15">
        <f ca="1">(((0.032 * AD106) / 6.38) + (((0.212 - 0.008 * (AB78 - 2) - ((0.14 - 0.008 * (AB78 - 2)) / (1 + EXP(-6 * (AB42 - 0.4))))) * (AB126 * 0.92)) / 6.25))</f>
        <v>1.9754140848253471E-2</v>
      </c>
      <c r="AC142" s="15">
        <f ca="1">(((0.032 * AE106) / 6.38) + (((0.212 - 0.008 * (AC78 - 2) - ((0.14 - 0.008 * (AC78 - 2)) / (1 + EXP(-6 * (AC42 - 0.4))))) * (AC126 * 0.92)) / 6.25))</f>
        <v>7.4705417776927329E-3</v>
      </c>
      <c r="AD142" s="15">
        <f ca="1">(((0.032 * AF106) / 6.38) + (((0.212 - 0.008 * (AD78 - 2) - ((0.14 - 0.008 * (AD78 - 2)) / (1 + EXP(-6 * (AD42 - 0.4))))) * (AD126 * 0.92)) / 6.25))</f>
        <v>7.4705417776927329E-3</v>
      </c>
      <c r="AE142" s="15">
        <f ca="1">(((0.032 * AG106) / 6.38) + (((0.212 - 0.008 * (AE78 - 2) - ((0.14 - 0.008 * (AE78 - 2)) / (1 + EXP(-6 * (AE42 - 0.4))))) * (AE126 * 0.92)) / 6.25))</f>
        <v>7.4705417776927329E-3</v>
      </c>
      <c r="AF142" s="16" t="str">
        <f t="shared" si="7"/>
        <v>kg N/head/day</v>
      </c>
      <c r="AG142" s="16"/>
      <c r="AH142" s="16"/>
    </row>
    <row r="143" spans="1:34" ht="20.100000000000001" customHeight="1" x14ac:dyDescent="0.2">
      <c r="D143" s="106" t="s">
        <v>1425</v>
      </c>
      <c r="E143" s="107" t="s">
        <v>1426</v>
      </c>
      <c r="F143" s="109"/>
      <c r="G143" s="106" t="s">
        <v>347</v>
      </c>
      <c r="H143" s="110" t="s">
        <v>1325</v>
      </c>
      <c r="I143" s="112" t="str" cm="1">
        <f t="array" aca="1" ref="I143" ca="1">HYPERLINK(Common_InputFunctions.Utility_SourceHyperlink($D$150), $D$150)</f>
        <v>M1_Table_CP_j</v>
      </c>
      <c r="U143" s="15" t="str">
        <f>TEXT(EDATE(X_Cell_Site_StartDate,7), "mmmm")</f>
        <v>August</v>
      </c>
      <c r="V143" s="15">
        <f ca="1">(((0.032 * X107) / 6.38) + (((0.212 - 0.008 * (V79 - 2) - ((0.14 - 0.008 * (V79 - 2)) / (1 + EXP(-6 * (V43 - 0.4))))) * (V127 * 0.92)) / 6.25))</f>
        <v>2.5624664446187655E-2</v>
      </c>
      <c r="W143" s="15">
        <f ca="1">(((0.032 * Y107) / 6.38) + (((0.212 - 0.008 * (W79 - 2) - ((0.14 - 0.008 * (W79 - 2)) / (1 + EXP(-6 * (W43 - 0.4))))) * (W127 * 0.92)) / 6.25))</f>
        <v>2.5468999349659745E-3</v>
      </c>
      <c r="X143" s="15">
        <f ca="1">(((0.032 * Z107) / 6.38) + (((0.212 - 0.008 * (X79 - 2) - ((0.14 - 0.008 * (X79 - 2)) / (1 + EXP(-6 * (X43 - 0.4))))) * (X127 * 0.92)) / 6.25))</f>
        <v>1.942651050577586E-2</v>
      </c>
      <c r="Y143" s="15">
        <f ca="1">(((0.032 * AA107) / 6.38) + (((0.212 - 0.008 * (Y79 - 2) - ((0.14 - 0.008 * (Y79 - 2)) / (1 + EXP(-6 * (Y43 - 0.4))))) * (Y127 * 0.92)) / 6.25))</f>
        <v>2.4283253110865946E-2</v>
      </c>
      <c r="Z143" s="15">
        <f ca="1">(((0.032 * AB107) / 6.38) + (((0.212 - 0.008 * (Z79 - 2) - ((0.14 - 0.008 * (Z79 - 2)) / (1 + EXP(-6 * (Z43 - 0.4))))) * (Z127 * 0.92)) / 6.25))</f>
        <v>2.3854407853507724E-2</v>
      </c>
      <c r="AA143" s="15">
        <f ca="1">(((0.032 * AC107) / 6.38) + (((0.212 - 0.008 * (AA79 - 2) - ((0.14 - 0.008 * (AA79 - 2)) / (1 + EXP(-6 * (AA43 - 0.4))))) * (AA127 * 0.92)) / 6.25))</f>
        <v>2.3854407853507724E-2</v>
      </c>
      <c r="AB143" s="15">
        <f ca="1">(((0.032 * AD107) / 6.38) + (((0.212 - 0.008 * (AB79 - 2) - ((0.14 - 0.008 * (AB79 - 2)) / (1 + EXP(-6 * (AB43 - 0.4))))) * (AB127 * 0.92)) / 6.25))</f>
        <v>1.9754140848253471E-2</v>
      </c>
      <c r="AC143" s="15">
        <f ca="1">(((0.032 * AE107) / 6.38) + (((0.212 - 0.008 * (AC79 - 2) - ((0.14 - 0.008 * (AC79 - 2)) / (1 + EXP(-6 * (AC43 - 0.4))))) * (AC127 * 0.92)) / 6.25))</f>
        <v>7.4705417776927329E-3</v>
      </c>
      <c r="AD143" s="15">
        <f ca="1">(((0.032 * AF107) / 6.38) + (((0.212 - 0.008 * (AD79 - 2) - ((0.14 - 0.008 * (AD79 - 2)) / (1 + EXP(-6 * (AD43 - 0.4))))) * (AD127 * 0.92)) / 6.25))</f>
        <v>7.4705417776927329E-3</v>
      </c>
      <c r="AE143" s="15">
        <f ca="1">(((0.032 * AG107) / 6.38) + (((0.212 - 0.008 * (AE79 - 2) - ((0.14 - 0.008 * (AE79 - 2)) / (1 + EXP(-6 * (AE43 - 0.4))))) * (AE127 * 0.92)) / 6.25))</f>
        <v>7.4705417776927329E-3</v>
      </c>
      <c r="AF143" s="16" t="str">
        <f t="shared" si="7"/>
        <v>kg N/head/day</v>
      </c>
      <c r="AG143" s="16"/>
      <c r="AH143" s="16"/>
    </row>
    <row r="144" spans="1:34" ht="20.100000000000001" customHeight="1" x14ac:dyDescent="0.2">
      <c r="D144" s="106" t="s">
        <v>1427</v>
      </c>
      <c r="E144" s="107" t="s">
        <v>1428</v>
      </c>
      <c r="F144" s="109"/>
      <c r="G144" s="106" t="s">
        <v>345</v>
      </c>
      <c r="H144" s="111" t="s">
        <v>1326</v>
      </c>
      <c r="I144" s="112" t="str" cm="1">
        <f t="array" aca="1" ref="I144" ca="1">HYPERLINK(Common_InputFunctions.Utility_SourceHyperlink($D$158), $D$158)</f>
        <v>M1_Table_MC_j_k_1-3-6</v>
      </c>
      <c r="U144" s="15" t="str">
        <f>TEXT(EDATE(X_Cell_Site_StartDate,8), "mmmm")</f>
        <v>September</v>
      </c>
      <c r="V144" s="15">
        <f ca="1">(((0.032 * X108) / 6.38) + (((0.212 - 0.008 * (V80 - 2) - ((0.14 - 0.008 * (V80 - 2)) / (1 + EXP(-6 * (V44 - 0.4))))) * (V128 * 0.92)) / 6.25))</f>
        <v>3.2631583658999173E-2</v>
      </c>
      <c r="W144" s="15">
        <f ca="1">(((0.032 * Y108) / 6.38) + (((0.212 - 0.008 * (W80 - 2) - ((0.14 - 0.008 * (W80 - 2)) / (1 + EXP(-6 * (W44 - 0.4))))) * (W128 * 0.92)) / 6.25))</f>
        <v>1.2159206080141413E-2</v>
      </c>
      <c r="X144" s="15">
        <f ca="1">(((0.032 * Z108) / 6.38) + (((0.212 - 0.008 * (X80 - 2) - ((0.14 - 0.008 * (X80 - 2)) / (1 + EXP(-6 * (X44 - 0.4))))) * (X128 * 0.92)) / 6.25))</f>
        <v>2.2961722562736007E-2</v>
      </c>
      <c r="Y144" s="15">
        <f ca="1">(((0.032 * AA108) / 6.38) + (((0.212 - 0.008 * (Y80 - 2) - ((0.14 - 0.008 * (Y80 - 2)) / (1 + EXP(-6 * (Y44 - 0.4))))) * (Y128 * 0.92)) / 6.25))</f>
        <v>3.5186886137375313E-2</v>
      </c>
      <c r="Z144" s="15">
        <f ca="1">(((0.032 * AB108) / 6.38) + (((0.212 - 0.008 * (Z80 - 2) - ((0.14 - 0.008 * (Z80 - 2)) / (1 + EXP(-6 * (Z44 - 0.4))))) * (Z128 * 0.92)) / 6.25))</f>
        <v>2.993948362354976E-2</v>
      </c>
      <c r="AA144" s="15">
        <f ca="1">(((0.032 * AC108) / 6.38) + (((0.212 - 0.008 * (AA80 - 2) - ((0.14 - 0.008 * (AA80 - 2)) / (1 + EXP(-6 * (AA44 - 0.4))))) * (AA128 * 0.92)) / 6.25))</f>
        <v>2.993948362354976E-2</v>
      </c>
      <c r="AB144" s="15">
        <f ca="1">(((0.032 * AD108) / 6.38) + (((0.212 - 0.008 * (AB80 - 2) - ((0.14 - 0.008 * (AB80 - 2)) / (1 + EXP(-6 * (AB44 - 0.4))))) * (AB128 * 0.92)) / 6.25))</f>
        <v>2.7711640554981157E-2</v>
      </c>
      <c r="AC144" s="15">
        <f ca="1">(((0.032 * AE108) / 6.38) + (((0.212 - 0.008 * (AC80 - 2) - ((0.14 - 0.008 * (AC80 - 2)) / (1 + EXP(-6 * (AC44 - 0.4))))) * (AC128 * 0.92)) / 6.25))</f>
        <v>1.4565147934229335E-2</v>
      </c>
      <c r="AD144" s="15">
        <f ca="1">(((0.032 * AF108) / 6.38) + (((0.212 - 0.008 * (AD80 - 2) - ((0.14 - 0.008 * (AD80 - 2)) / (1 + EXP(-6 * (AD44 - 0.4))))) * (AD128 * 0.92)) / 6.25))</f>
        <v>1.4565147934229335E-2</v>
      </c>
      <c r="AE144" s="15">
        <f ca="1">(((0.032 * AG108) / 6.38) + (((0.212 - 0.008 * (AE80 - 2) - ((0.14 - 0.008 * (AE80 - 2)) / (1 + EXP(-6 * (AE44 - 0.4))))) * (AE128 * 0.92)) / 6.25))</f>
        <v>1.4565147934229335E-2</v>
      </c>
      <c r="AF144" s="16" t="str">
        <f t="shared" si="7"/>
        <v>kg N/head/day</v>
      </c>
      <c r="AG144" s="16"/>
      <c r="AH144" s="16"/>
    </row>
    <row r="145" spans="4:35" ht="20.100000000000001" customHeight="1" x14ac:dyDescent="0.2">
      <c r="D145" s="106" t="s">
        <v>1413</v>
      </c>
      <c r="E145" s="107" t="s">
        <v>1429</v>
      </c>
      <c r="F145" s="109"/>
      <c r="G145" s="106" t="s">
        <v>1414</v>
      </c>
      <c r="H145" s="111" t="s">
        <v>1431</v>
      </c>
      <c r="I145" s="112" t="str" cm="1">
        <f t="array" aca="1" ref="I145" ca="1">HYPERLINK(Common_InputFunctions.Utility_SourceHyperlink($D$124), $D$124)</f>
        <v>M1_Table_NR_j_k_l</v>
      </c>
      <c r="U145" s="15" t="str">
        <f>TEXT(EDATE(X_Cell_Site_StartDate,9), "mmmm")</f>
        <v>October</v>
      </c>
      <c r="V145" s="15">
        <f ca="1">(((0.032 * X109) / 6.38) + (((0.212 - 0.008 * (V81 - 2) - ((0.14 - 0.008 * (V81 - 2)) / (1 + EXP(-6 * (V45 - 0.4))))) * (V129 * 0.92)) / 6.25))</f>
        <v>3.2631583658999173E-2</v>
      </c>
      <c r="W145" s="15">
        <f ca="1">(((0.032 * Y109) / 6.38) + (((0.212 - 0.008 * (W81 - 2) - ((0.14 - 0.008 * (W81 - 2)) / (1 + EXP(-6 * (W45 - 0.4))))) * (W129 * 0.92)) / 6.25))</f>
        <v>1.2159206080141413E-2</v>
      </c>
      <c r="X145" s="15">
        <f ca="1">(((0.032 * Z109) / 6.38) + (((0.212 - 0.008 * (X81 - 2) - ((0.14 - 0.008 * (X81 - 2)) / (1 + EXP(-6 * (X45 - 0.4))))) * (X129 * 0.92)) / 6.25))</f>
        <v>2.2961722562736007E-2</v>
      </c>
      <c r="Y145" s="15">
        <f ca="1">(((0.032 * AA109) / 6.38) + (((0.212 - 0.008 * (Y81 - 2) - ((0.14 - 0.008 * (Y81 - 2)) / (1 + EXP(-6 * (Y45 - 0.4))))) * (Y129 * 0.92)) / 6.25))</f>
        <v>3.5186886137375313E-2</v>
      </c>
      <c r="Z145" s="15">
        <f ca="1">(((0.032 * AB109) / 6.38) + (((0.212 - 0.008 * (Z81 - 2) - ((0.14 - 0.008 * (Z81 - 2)) / (1 + EXP(-6 * (Z45 - 0.4))))) * (Z129 * 0.92)) / 6.25))</f>
        <v>2.993948362354976E-2</v>
      </c>
      <c r="AA145" s="15">
        <f ca="1">(((0.032 * AC109) / 6.38) + (((0.212 - 0.008 * (AA81 - 2) - ((0.14 - 0.008 * (AA81 - 2)) / (1 + EXP(-6 * (AA45 - 0.4))))) * (AA129 * 0.92)) / 6.25))</f>
        <v>2.993948362354976E-2</v>
      </c>
      <c r="AB145" s="15">
        <f ca="1">(((0.032 * AD109) / 6.38) + (((0.212 - 0.008 * (AB81 - 2) - ((0.14 - 0.008 * (AB81 - 2)) / (1 + EXP(-6 * (AB45 - 0.4))))) * (AB129 * 0.92)) / 6.25))</f>
        <v>2.7711640554981157E-2</v>
      </c>
      <c r="AC145" s="15">
        <f ca="1">(((0.032 * AE109) / 6.38) + (((0.212 - 0.008 * (AC81 - 2) - ((0.14 - 0.008 * (AC81 - 2)) / (1 + EXP(-6 * (AC45 - 0.4))))) * (AC129 * 0.92)) / 6.25))</f>
        <v>1.4565147934229335E-2</v>
      </c>
      <c r="AD145" s="15">
        <f ca="1">(((0.032 * AF109) / 6.38) + (((0.212 - 0.008 * (AD81 - 2) - ((0.14 - 0.008 * (AD81 - 2)) / (1 + EXP(-6 * (AD45 - 0.4))))) * (AD129 * 0.92)) / 6.25))</f>
        <v>1.4565147934229335E-2</v>
      </c>
      <c r="AE145" s="15">
        <f ca="1">(((0.032 * AG109) / 6.38) + (((0.212 - 0.008 * (AE81 - 2) - ((0.14 - 0.008 * (AE81 - 2)) / (1 + EXP(-6 * (AE45 - 0.4))))) * (AE129 * 0.92)) / 6.25))</f>
        <v>1.4565147934229335E-2</v>
      </c>
      <c r="AF145" s="16" t="str">
        <f t="shared" si="7"/>
        <v>kg N/head/day</v>
      </c>
      <c r="AG145" s="16"/>
      <c r="AH145" s="16"/>
    </row>
    <row r="146" spans="4:35" ht="20.100000000000001" customHeight="1" x14ac:dyDescent="0.2">
      <c r="D146" s="106" t="s">
        <v>1332</v>
      </c>
      <c r="E146" s="107" t="s">
        <v>1398</v>
      </c>
      <c r="F146" s="109"/>
      <c r="G146" s="106" t="s">
        <v>343</v>
      </c>
      <c r="H146" s="110" t="s">
        <v>1325</v>
      </c>
      <c r="I146" s="112" t="str" cm="1">
        <f t="array" aca="1" ref="I146" ca="1">HYPERLINK(Common_InputFunctions.Utility_SourceHyperlink($D$17), $D$17)</f>
        <v>M1_Table_W_j_k_l</v>
      </c>
      <c r="U146" s="15" t="str">
        <f>TEXT(EDATE(X_Cell_Site_StartDate,10), "mmmm")</f>
        <v>November</v>
      </c>
      <c r="V146" s="15">
        <f ca="1">(((0.032 * X110) / 6.38) + (((0.212 - 0.008 * (V82 - 2) - ((0.14 - 0.008 * (V82 - 2)) / (1 + EXP(-6 * (V46 - 0.4))))) * (V130 * 0.92)) / 6.25))</f>
        <v>3.2631583658999173E-2</v>
      </c>
      <c r="W146" s="15">
        <f ca="1">(((0.032 * Y110) / 6.38) + (((0.212 - 0.008 * (W82 - 2) - ((0.14 - 0.008 * (W82 - 2)) / (1 + EXP(-6 * (W46 - 0.4))))) * (W130 * 0.92)) / 6.25))</f>
        <v>1.2159206080141413E-2</v>
      </c>
      <c r="X146" s="15">
        <f ca="1">(((0.032 * Z110) / 6.38) + (((0.212 - 0.008 * (X82 - 2) - ((0.14 - 0.008 * (X82 - 2)) / (1 + EXP(-6 * (X46 - 0.4))))) * (X130 * 0.92)) / 6.25))</f>
        <v>2.2961722562736007E-2</v>
      </c>
      <c r="Y146" s="15">
        <f ca="1">(((0.032 * AA110) / 6.38) + (((0.212 - 0.008 * (Y82 - 2) - ((0.14 - 0.008 * (Y82 - 2)) / (1 + EXP(-6 * (Y46 - 0.4))))) * (Y130 * 0.92)) / 6.25))</f>
        <v>2.7685555110513384E-2</v>
      </c>
      <c r="Z146" s="15">
        <f ca="1">(((0.032 * AB110) / 6.38) + (((0.212 - 0.008 * (Z82 - 2) - ((0.14 - 0.008 * (Z82 - 2)) / (1 + EXP(-6 * (Z46 - 0.4))))) * (Z130 * 0.92)) / 6.25))</f>
        <v>2.2419534651745895E-2</v>
      </c>
      <c r="AA146" s="15">
        <f ca="1">(((0.032 * AC110) / 6.38) + (((0.212 - 0.008 * (AA82 - 2) - ((0.14 - 0.008 * (AA82 - 2)) / (1 + EXP(-6 * (AA46 - 0.4))))) * (AA130 * 0.92)) / 6.25))</f>
        <v>2.2419534651745895E-2</v>
      </c>
      <c r="AB146" s="15">
        <f ca="1">(((0.032 * AD110) / 6.38) + (((0.212 - 0.008 * (AB82 - 2) - ((0.14 - 0.008 * (AB82 - 2)) / (1 + EXP(-6 * (AB46 - 0.4))))) * (AB130 * 0.92)) / 6.25))</f>
        <v>2.7711640554981157E-2</v>
      </c>
      <c r="AC146" s="15">
        <f ca="1">(((0.032 * AE110) / 6.38) + (((0.212 - 0.008 * (AC82 - 2) - ((0.14 - 0.008 * (AC82 - 2)) / (1 + EXP(-6 * (AC46 - 0.4))))) * (AC130 * 0.92)) / 6.25))</f>
        <v>1.4565147934229335E-2</v>
      </c>
      <c r="AD146" s="15">
        <f ca="1">(((0.032 * AF110) / 6.38) + (((0.212 - 0.008 * (AD82 - 2) - ((0.14 - 0.008 * (AD82 - 2)) / (1 + EXP(-6 * (AD46 - 0.4))))) * (AD130 * 0.92)) / 6.25))</f>
        <v>1.4565147934229335E-2</v>
      </c>
      <c r="AE146" s="15">
        <f ca="1">(((0.032 * AG110) / 6.38) + (((0.212 - 0.008 * (AE82 - 2) - ((0.14 - 0.008 * (AE82 - 2)) / (1 + EXP(-6 * (AE46 - 0.4))))) * (AE130 * 0.92)) / 6.25))</f>
        <v>1.4565147934229335E-2</v>
      </c>
      <c r="AF146" s="16" t="str">
        <f t="shared" si="7"/>
        <v>kg N/head/day</v>
      </c>
      <c r="AG146" s="16"/>
      <c r="AH146" s="16"/>
    </row>
    <row r="147" spans="4:35" ht="20.100000000000001" customHeight="1" x14ac:dyDescent="0.2">
      <c r="D147" s="106" t="s">
        <v>1323</v>
      </c>
      <c r="E147" s="107" t="s">
        <v>1324</v>
      </c>
      <c r="F147" s="109"/>
      <c r="G147" s="106"/>
      <c r="H147" s="110" t="s">
        <v>1325</v>
      </c>
      <c r="I147" s="117" t="str">
        <f>X_Cell_PastureBeef_Breed</f>
        <v>Hereford or Shorthorn breeds</v>
      </c>
      <c r="U147" s="15" t="str">
        <f>TEXT(EDATE(X_Cell_Site_StartDate,11), "mmmm")</f>
        <v>December</v>
      </c>
      <c r="V147" s="15">
        <f ca="1">(((0.032 * X111) / 6.38) + (((0.212 - 0.008 * (V83 - 2) - ((0.14 - 0.008 * (V83 - 2)) / (1 + EXP(-6 * (V47 - 0.4))))) * (V131 * 0.92)) / 6.25))</f>
        <v>8.1246865273940476E-3</v>
      </c>
      <c r="W147" s="15">
        <f ca="1">(((0.032 * Y111) / 6.38) + (((0.212 - 0.008 * (W83 - 2) - ((0.14 - 0.008 * (W83 - 2)) / (1 + EXP(-6 * (W47 - 0.4))))) * (W131 * 0.92)) / 6.25))</f>
        <v>-2.4500809510830074E-3</v>
      </c>
      <c r="X147" s="15">
        <f ca="1">(((0.032 * Z111) / 6.38) + (((0.212 - 0.008 * (X83 - 2) - ((0.14 - 0.008 * (X83 - 2)) / (1 + EXP(-6 * (X47 - 0.4))))) * (X131 * 0.92)) / 6.25))</f>
        <v>7.4692204769955996E-3</v>
      </c>
      <c r="Y147" s="15">
        <f ca="1">(((0.032 * AA111) / 6.38) + (((0.212 - 0.008 * (Y83 - 2) - ((0.14 - 0.008 * (Y83 - 2)) / (1 + EXP(-6 * (Y47 - 0.4))))) * (Y131 * 0.92)) / 6.25))</f>
        <v>1.9080635764024231E-2</v>
      </c>
      <c r="Z147" s="15">
        <f ca="1">(((0.032 * AB111) / 6.38) + (((0.212 - 0.008 * (Z83 - 2) - ((0.14 - 0.008 * (Z83 - 2)) / (1 + EXP(-6 * (Z47 - 0.4))))) * (Z131 * 0.92)) / 6.25))</f>
        <v>1.2558041048697144E-2</v>
      </c>
      <c r="AA147" s="15">
        <f ca="1">(((0.032 * AC111) / 6.38) + (((0.212 - 0.008 * (AA83 - 2) - ((0.14 - 0.008 * (AA83 - 2)) / (1 + EXP(-6 * (AA47 - 0.4))))) * (AA131 * 0.92)) / 6.25))</f>
        <v>1.2558041048697144E-2</v>
      </c>
      <c r="AB147" s="15">
        <f ca="1">(((0.032 * AD111) / 6.38) + (((0.212 - 0.008 * (AB83 - 2) - ((0.14 - 0.008 * (AB83 - 2)) / (1 + EXP(-6 * (AB47 - 0.4))))) * (AB131 * 0.92)) / 6.25))</f>
        <v>7.842975342880058E-3</v>
      </c>
      <c r="AC147" s="15">
        <f ca="1">(((0.032 * AE111) / 6.38) + (((0.212 - 0.008 * (AC83 - 2) - ((0.14 - 0.008 * (AC83 - 2)) / (1 + EXP(-6 * (AC47 - 0.4))))) * (AC131 * 0.92)) / 6.25))</f>
        <v>-1.4855230625479237E-3</v>
      </c>
      <c r="AD147" s="15">
        <f ca="1">(((0.032 * AF111) / 6.38) + (((0.212 - 0.008 * (AD83 - 2) - ((0.14 - 0.008 * (AD83 - 2)) / (1 + EXP(-6 * (AD47 - 0.4))))) * (AD131 * 0.92)) / 6.25))</f>
        <v>-1.4855230625479237E-3</v>
      </c>
      <c r="AE147" s="15">
        <f ca="1">(((0.032 * AG111) / 6.38) + (((0.212 - 0.008 * (AE83 - 2) - ((0.14 - 0.008 * (AE83 - 2)) / (1 + EXP(-6 * (AE47 - 0.4))))) * (AE131 * 0.92)) / 6.25))</f>
        <v>-1.4855230625479237E-3</v>
      </c>
      <c r="AF147" s="16" t="str">
        <f t="shared" si="7"/>
        <v>kg N/head/day</v>
      </c>
      <c r="AG147" s="16"/>
      <c r="AH147" s="16"/>
    </row>
    <row r="148" spans="4:35" ht="20.100000000000001" customHeight="1" x14ac:dyDescent="0.2">
      <c r="D148" s="106" t="s">
        <v>1430</v>
      </c>
      <c r="E148" s="107" t="s">
        <v>358</v>
      </c>
      <c r="F148" s="109"/>
      <c r="G148" s="106"/>
      <c r="H148" s="110" t="s">
        <v>1325</v>
      </c>
      <c r="I148" s="117" t="str">
        <f>'Input - Pasture Beef'!$E$162</f>
        <v>Winter</v>
      </c>
    </row>
    <row r="150" spans="4:35" ht="20.100000000000001" customHeight="1" x14ac:dyDescent="0.2">
      <c r="D150" s="113" t="s">
        <v>459</v>
      </c>
      <c r="T150" s="88"/>
      <c r="U150" s="88"/>
      <c r="V150" s="88"/>
      <c r="W150" s="88"/>
      <c r="X150" s="88"/>
      <c r="Y150" s="88"/>
      <c r="Z150" s="88"/>
      <c r="AA150" s="88"/>
      <c r="AB150" s="88"/>
      <c r="AC150" s="88"/>
      <c r="AD150" s="88"/>
      <c r="AE150" s="88"/>
      <c r="AF150" s="88"/>
      <c r="AG150" s="88"/>
      <c r="AH150" s="88"/>
      <c r="AI150" s="88"/>
    </row>
    <row r="151" spans="4:35" ht="20.100000000000001" customHeight="1" x14ac:dyDescent="0.2">
      <c r="D151" s="114" t="s">
        <v>460</v>
      </c>
      <c r="U151" s="2" t="s">
        <v>1422</v>
      </c>
    </row>
    <row r="152" spans="4:35" ht="20.100000000000001" customHeight="1" x14ac:dyDescent="0.2">
      <c r="D152" s="115" t="s">
        <v>76</v>
      </c>
      <c r="E152" s="82" t="s">
        <v>325</v>
      </c>
      <c r="F152" s="82" t="s">
        <v>189</v>
      </c>
      <c r="G152" s="82" t="s">
        <v>326</v>
      </c>
      <c r="H152" s="82" t="s">
        <v>327</v>
      </c>
      <c r="I152" s="82" t="s">
        <v>328</v>
      </c>
      <c r="J152" s="82" t="s">
        <v>329</v>
      </c>
      <c r="K152" s="82" t="s">
        <v>330</v>
      </c>
      <c r="L152" s="82" t="s">
        <v>331</v>
      </c>
      <c r="M152" s="82" t="s">
        <v>332</v>
      </c>
      <c r="N152" s="82" t="s">
        <v>333</v>
      </c>
    </row>
    <row r="153" spans="4:35" ht="20.100000000000001" customHeight="1" x14ac:dyDescent="0.2">
      <c r="D153" s="15" t="s">
        <v>334</v>
      </c>
      <c r="E153" s="15" cm="1">
        <f t="array" aca="1" ref="E153:N156" ca="1">OFFSET(X_Table_PastureBeef_CrudeProtein_Method1, 1,1, 4,10)</f>
        <v>0.2</v>
      </c>
      <c r="F153" s="15">
        <f ca="1"/>
        <v>0.2</v>
      </c>
      <c r="G153" s="15">
        <f ca="1"/>
        <v>0.2</v>
      </c>
      <c r="H153" s="15">
        <f ca="1"/>
        <v>0.2</v>
      </c>
      <c r="I153" s="15">
        <f ca="1"/>
        <v>0.2</v>
      </c>
      <c r="J153" s="15">
        <f ca="1"/>
        <v>0.2</v>
      </c>
      <c r="K153" s="15">
        <f ca="1"/>
        <v>0.2</v>
      </c>
      <c r="L153" s="15">
        <f ca="1"/>
        <v>0.2</v>
      </c>
      <c r="M153" s="15">
        <f ca="1"/>
        <v>0.2</v>
      </c>
      <c r="N153" s="15">
        <f ca="1"/>
        <v>0.2</v>
      </c>
      <c r="O153" s="16" t="s">
        <v>347</v>
      </c>
    </row>
    <row r="154" spans="4:35" ht="20.100000000000001" customHeight="1" x14ac:dyDescent="0.2">
      <c r="D154" s="15" t="s">
        <v>335</v>
      </c>
      <c r="E154" s="15">
        <f ca="1"/>
        <v>0.09</v>
      </c>
      <c r="F154" s="15">
        <f ca="1"/>
        <v>0.09</v>
      </c>
      <c r="G154" s="15">
        <f ca="1"/>
        <v>0.09</v>
      </c>
      <c r="H154" s="15">
        <f ca="1"/>
        <v>0.09</v>
      </c>
      <c r="I154" s="15">
        <f ca="1"/>
        <v>0.09</v>
      </c>
      <c r="J154" s="15">
        <f ca="1"/>
        <v>0.09</v>
      </c>
      <c r="K154" s="15">
        <f ca="1"/>
        <v>0.09</v>
      </c>
      <c r="L154" s="15">
        <f ca="1"/>
        <v>0.09</v>
      </c>
      <c r="M154" s="15">
        <f ca="1"/>
        <v>0.09</v>
      </c>
      <c r="N154" s="15">
        <f ca="1"/>
        <v>0.09</v>
      </c>
      <c r="O154" s="16" t="s">
        <v>347</v>
      </c>
    </row>
    <row r="155" spans="4:35" ht="20.100000000000001" customHeight="1" x14ac:dyDescent="0.2">
      <c r="D155" s="15" t="s">
        <v>336</v>
      </c>
      <c r="E155" s="15">
        <f ca="1"/>
        <v>0.06</v>
      </c>
      <c r="F155" s="15">
        <f ca="1"/>
        <v>0.06</v>
      </c>
      <c r="G155" s="15">
        <f ca="1"/>
        <v>0.06</v>
      </c>
      <c r="H155" s="15">
        <f ca="1"/>
        <v>0.06</v>
      </c>
      <c r="I155" s="15">
        <f ca="1"/>
        <v>0.06</v>
      </c>
      <c r="J155" s="15">
        <f ca="1"/>
        <v>0.06</v>
      </c>
      <c r="K155" s="15">
        <f ca="1"/>
        <v>0.06</v>
      </c>
      <c r="L155" s="15">
        <f ca="1"/>
        <v>0.06</v>
      </c>
      <c r="M155" s="15">
        <f ca="1"/>
        <v>0.06</v>
      </c>
      <c r="N155" s="15">
        <f ca="1"/>
        <v>0.06</v>
      </c>
      <c r="O155" s="16" t="s">
        <v>347</v>
      </c>
    </row>
    <row r="156" spans="4:35" ht="20.100000000000001" customHeight="1" x14ac:dyDescent="0.2">
      <c r="D156" s="15" t="s">
        <v>337</v>
      </c>
      <c r="E156" s="15">
        <f ca="1"/>
        <v>0.2</v>
      </c>
      <c r="F156" s="15">
        <f ca="1"/>
        <v>0.2</v>
      </c>
      <c r="G156" s="15">
        <f ca="1"/>
        <v>0.2</v>
      </c>
      <c r="H156" s="15">
        <f ca="1"/>
        <v>0.2</v>
      </c>
      <c r="I156" s="15">
        <f ca="1"/>
        <v>0.2</v>
      </c>
      <c r="J156" s="15">
        <f ca="1"/>
        <v>0.2</v>
      </c>
      <c r="K156" s="15">
        <f ca="1"/>
        <v>0.2</v>
      </c>
      <c r="L156" s="15">
        <f ca="1"/>
        <v>0.2</v>
      </c>
      <c r="M156" s="15">
        <f ca="1"/>
        <v>0.2</v>
      </c>
      <c r="N156" s="15">
        <f ca="1"/>
        <v>0.2</v>
      </c>
      <c r="O156" s="16" t="s">
        <v>347</v>
      </c>
    </row>
    <row r="158" spans="4:35" ht="20.100000000000001" customHeight="1" x14ac:dyDescent="0.2">
      <c r="D158" s="113" t="s">
        <v>461</v>
      </c>
    </row>
    <row r="159" spans="4:35" ht="20.100000000000001" customHeight="1" x14ac:dyDescent="0.2">
      <c r="D159" s="114" t="s">
        <v>462</v>
      </c>
    </row>
    <row r="160" spans="4:35" ht="20.100000000000001" customHeight="1" x14ac:dyDescent="0.2">
      <c r="D160" s="115" t="s">
        <v>76</v>
      </c>
      <c r="E160" s="115" t="s">
        <v>358</v>
      </c>
      <c r="F160" s="115" t="s">
        <v>325</v>
      </c>
      <c r="G160" s="115" t="s">
        <v>189</v>
      </c>
      <c r="H160" s="115" t="s">
        <v>326</v>
      </c>
      <c r="I160" s="115" t="s">
        <v>327</v>
      </c>
      <c r="J160" s="115" t="s">
        <v>328</v>
      </c>
      <c r="K160" s="115" t="s">
        <v>329</v>
      </c>
      <c r="L160" s="115" t="s">
        <v>330</v>
      </c>
      <c r="M160" s="115" t="s">
        <v>331</v>
      </c>
      <c r="N160" s="115" t="s">
        <v>332</v>
      </c>
      <c r="O160" s="115" t="s">
        <v>333</v>
      </c>
    </row>
    <row r="161" spans="1:34" ht="20.100000000000001" customHeight="1" x14ac:dyDescent="0.2">
      <c r="A161" s="85" t="str">
        <f>HYPERLINK("#A1", "▲ Back to top")</f>
        <v>▲ Back to top</v>
      </c>
      <c r="D161" s="15" t="s">
        <v>334</v>
      </c>
      <c r="E161" s="15" t="str" cm="1">
        <f t="array" ref="E161">_xlfn.IFS($D$161=$I$148,"Calving season",$D$164=$I$148,"Season after calving",TRUE, "")</f>
        <v>Season after calving</v>
      </c>
      <c r="F161" s="15" cm="1">
        <f t="array" ref="F161">_xlfn.XLOOKUP(1, (Table_SourceData_PastureBeef_FeedIntakeAdjustment_Variation[Breed]=$I$147)*(Table_SourceData_PastureBeef_FeedIntakeAdjustment_Variation[Season]=$E161), Table_SourceData_PastureBeef_FeedIntakeAdjustment_Variation[Milk intake/production], 0)</f>
        <v>4</v>
      </c>
      <c r="G161" s="15">
        <v>0</v>
      </c>
      <c r="H161" s="15" cm="1">
        <f t="array" ref="H161">_xlfn.XLOOKUP(1, (Table_SourceData_PastureBeef_FeedIntakeAdjustment_Variation[Breed]=$I$147)*(Table_SourceData_PastureBeef_FeedIntakeAdjustment_Variation[Season]=$E161), Table_SourceData_PastureBeef_FeedIntakeAdjustment_Variation[Milk intake/production], 0)</f>
        <v>4</v>
      </c>
      <c r="I161" s="15">
        <v>0</v>
      </c>
      <c r="J161" s="15">
        <v>0</v>
      </c>
      <c r="K161" s="15">
        <v>0</v>
      </c>
      <c r="L161" s="15" cm="1">
        <f t="array" ref="L161">_xlfn.XLOOKUP(1, (Table_SourceData_PastureBeef_FeedIntakeAdjustment_Variation[Breed]=$I$147)*(Table_SourceData_PastureBeef_FeedIntakeAdjustment_Variation[Season]=$E161), Table_SourceData_PastureBeef_FeedIntakeAdjustment_Variation[Milk intake/production], 0)</f>
        <v>4</v>
      </c>
      <c r="M161" s="15">
        <v>0</v>
      </c>
      <c r="N161" s="15">
        <v>0</v>
      </c>
      <c r="O161" s="15">
        <v>0</v>
      </c>
      <c r="P161" s="16" t="s">
        <v>345</v>
      </c>
      <c r="Q161" s="16"/>
      <c r="U161" s="113" t="s">
        <v>463</v>
      </c>
    </row>
    <row r="162" spans="1:34" ht="20.100000000000001" customHeight="1" x14ac:dyDescent="0.2">
      <c r="D162" s="15" t="s">
        <v>335</v>
      </c>
      <c r="E162" s="15" t="str" cm="1">
        <f t="array" ref="E162">_xlfn.IFS($D$162=$I$148,"Calving season",$D$161=$I$148,"Season after calving",TRUE, "")</f>
        <v/>
      </c>
      <c r="F162" s="15" cm="1">
        <f t="array" ref="F162">_xlfn.XLOOKUP(1, (Table_SourceData_PastureBeef_FeedIntakeAdjustment_Variation[Breed]=$I$147)*(Table_SourceData_PastureBeef_FeedIntakeAdjustment_Variation[Season]=$E162), Table_SourceData_PastureBeef_FeedIntakeAdjustment_Variation[Milk intake/production], 0)</f>
        <v>0</v>
      </c>
      <c r="G162" s="15">
        <v>0</v>
      </c>
      <c r="H162" s="15" cm="1">
        <f t="array" ref="H162">_xlfn.XLOOKUP(1, (Table_SourceData_PastureBeef_FeedIntakeAdjustment_Variation[Breed]=$I$147)*(Table_SourceData_PastureBeef_FeedIntakeAdjustment_Variation[Season]=$E162), Table_SourceData_PastureBeef_FeedIntakeAdjustment_Variation[Milk intake/production], 0)</f>
        <v>0</v>
      </c>
      <c r="I162" s="15">
        <v>0</v>
      </c>
      <c r="J162" s="15">
        <v>0</v>
      </c>
      <c r="K162" s="15">
        <v>0</v>
      </c>
      <c r="L162" s="15" cm="1">
        <f t="array" ref="L162">_xlfn.XLOOKUP(1, (Table_SourceData_PastureBeef_FeedIntakeAdjustment_Variation[Breed]=$I$147)*(Table_SourceData_PastureBeef_FeedIntakeAdjustment_Variation[Season]=$E162), Table_SourceData_PastureBeef_FeedIntakeAdjustment_Variation[Milk intake/production], 0)</f>
        <v>0</v>
      </c>
      <c r="M162" s="15">
        <v>0</v>
      </c>
      <c r="N162" s="15">
        <v>0</v>
      </c>
      <c r="O162" s="15">
        <v>0</v>
      </c>
      <c r="P162" s="16" t="s">
        <v>345</v>
      </c>
      <c r="Q162" s="16"/>
      <c r="U162" s="114" t="s">
        <v>464</v>
      </c>
    </row>
    <row r="163" spans="1:34" ht="20.100000000000001" customHeight="1" x14ac:dyDescent="0.2">
      <c r="D163" s="15" t="s">
        <v>336</v>
      </c>
      <c r="E163" s="15" t="str" cm="1">
        <f t="array" ref="E163">_xlfn.IFS($D$163=$I$148,"Calving season",$D$162=$I$148,"Season after calving",TRUE, "")</f>
        <v/>
      </c>
      <c r="F163" s="15" cm="1">
        <f t="array" ref="F163">_xlfn.XLOOKUP(1, (Table_SourceData_PastureBeef_FeedIntakeAdjustment_Variation[Breed]=$I$147)*(Table_SourceData_PastureBeef_FeedIntakeAdjustment_Variation[Season]=$E163), Table_SourceData_PastureBeef_FeedIntakeAdjustment_Variation[Milk intake/production], 0)</f>
        <v>0</v>
      </c>
      <c r="G163" s="15">
        <v>0</v>
      </c>
      <c r="H163" s="15" cm="1">
        <f t="array" ref="H163">_xlfn.XLOOKUP(1, (Table_SourceData_PastureBeef_FeedIntakeAdjustment_Variation[Breed]=$I$147)*(Table_SourceData_PastureBeef_FeedIntakeAdjustment_Variation[Season]=$E163), Table_SourceData_PastureBeef_FeedIntakeAdjustment_Variation[Milk intake/production], 0)</f>
        <v>0</v>
      </c>
      <c r="I163" s="15">
        <v>0</v>
      </c>
      <c r="J163" s="15">
        <v>0</v>
      </c>
      <c r="K163" s="15">
        <v>0</v>
      </c>
      <c r="L163" s="15" cm="1">
        <f t="array" ref="L163">_xlfn.XLOOKUP(1, (Table_SourceData_PastureBeef_FeedIntakeAdjustment_Variation[Breed]=$I$147)*(Table_SourceData_PastureBeef_FeedIntakeAdjustment_Variation[Season]=$E163), Table_SourceData_PastureBeef_FeedIntakeAdjustment_Variation[Milk intake/production], 0)</f>
        <v>0</v>
      </c>
      <c r="M163" s="15">
        <v>0</v>
      </c>
      <c r="N163" s="15">
        <v>0</v>
      </c>
      <c r="O163" s="15">
        <v>0</v>
      </c>
      <c r="P163" s="16" t="s">
        <v>345</v>
      </c>
      <c r="Q163" s="16"/>
      <c r="U163" s="115" t="s">
        <v>75</v>
      </c>
      <c r="V163" s="82" t="s">
        <v>325</v>
      </c>
      <c r="W163" s="82" t="s">
        <v>189</v>
      </c>
      <c r="X163" s="82" t="s">
        <v>326</v>
      </c>
      <c r="Y163" s="82" t="s">
        <v>327</v>
      </c>
      <c r="Z163" s="82" t="s">
        <v>328</v>
      </c>
      <c r="AA163" s="82" t="s">
        <v>329</v>
      </c>
      <c r="AB163" s="82" t="s">
        <v>330</v>
      </c>
      <c r="AC163" s="82" t="s">
        <v>331</v>
      </c>
      <c r="AD163" s="82" t="s">
        <v>332</v>
      </c>
      <c r="AE163" s="82" t="s">
        <v>333</v>
      </c>
    </row>
    <row r="164" spans="1:34" ht="20.100000000000001" customHeight="1" x14ac:dyDescent="0.2">
      <c r="D164" s="15" t="s">
        <v>337</v>
      </c>
      <c r="E164" s="15" t="str" cm="1">
        <f t="array" ref="E164">_xlfn.IFS($D$164=$I$148,"Calving season",$D$163=$I$148,"Season after calving",TRUE, "")</f>
        <v>Calving season</v>
      </c>
      <c r="F164" s="15" cm="1">
        <f t="array" ref="F164">_xlfn.XLOOKUP(1, (Table_SourceData_PastureBeef_FeedIntakeAdjustment_Variation[Breed]=$I$147)*(Table_SourceData_PastureBeef_FeedIntakeAdjustment_Variation[Season]=$E164), Table_SourceData_PastureBeef_FeedIntakeAdjustment_Variation[Milk intake/production], 0)</f>
        <v>6</v>
      </c>
      <c r="G164" s="15">
        <v>0</v>
      </c>
      <c r="H164" s="15" cm="1">
        <f t="array" ref="H164">_xlfn.XLOOKUP(1, (Table_SourceData_PastureBeef_FeedIntakeAdjustment_Variation[Breed]=$I$147)*(Table_SourceData_PastureBeef_FeedIntakeAdjustment_Variation[Season]=$E164), Table_SourceData_PastureBeef_FeedIntakeAdjustment_Variation[Milk intake/production], 0)</f>
        <v>6</v>
      </c>
      <c r="I164" s="15">
        <v>0</v>
      </c>
      <c r="J164" s="15">
        <v>0</v>
      </c>
      <c r="K164" s="15">
        <v>0</v>
      </c>
      <c r="L164" s="15" cm="1">
        <f t="array" ref="L164">_xlfn.XLOOKUP(1, (Table_SourceData_PastureBeef_FeedIntakeAdjustment_Variation[Breed]=$I$147)*(Table_SourceData_PastureBeef_FeedIntakeAdjustment_Variation[Season]=$E164), Table_SourceData_PastureBeef_FeedIntakeAdjustment_Variation[Milk intake/production], 0)</f>
        <v>6</v>
      </c>
      <c r="M164" s="15">
        <v>0</v>
      </c>
      <c r="N164" s="15">
        <v>0</v>
      </c>
      <c r="O164" s="15">
        <v>0</v>
      </c>
      <c r="P164" s="16" t="s">
        <v>345</v>
      </c>
      <c r="Q164" s="16"/>
      <c r="U164" s="15" t="str">
        <f>TEXT(X_Cell_Site_StartDate,"mmmm")</f>
        <v>January</v>
      </c>
      <c r="V164" s="15" cm="1">
        <f t="array" aca="1" ref="V164:AE175" ca="1">OFFSET(X_Table_PastureBeef_CrudeProtein_Method2, 1,1, 12,10)</f>
        <v>0.09</v>
      </c>
      <c r="W164" s="15">
        <f ca="1"/>
        <v>0.09</v>
      </c>
      <c r="X164" s="15">
        <f ca="1"/>
        <v>0.09</v>
      </c>
      <c r="Y164" s="15">
        <f ca="1"/>
        <v>0.09</v>
      </c>
      <c r="Z164" s="15">
        <f ca="1"/>
        <v>0.09</v>
      </c>
      <c r="AA164" s="15">
        <f ca="1"/>
        <v>0.09</v>
      </c>
      <c r="AB164" s="15">
        <f ca="1"/>
        <v>0.09</v>
      </c>
      <c r="AC164" s="15">
        <f ca="1"/>
        <v>0.09</v>
      </c>
      <c r="AD164" s="15">
        <f ca="1"/>
        <v>0.09</v>
      </c>
      <c r="AE164" s="15">
        <f ca="1"/>
        <v>0.09</v>
      </c>
      <c r="AF164" s="16" t="s">
        <v>347</v>
      </c>
    </row>
    <row r="165" spans="1:34" ht="20.100000000000001" customHeight="1" x14ac:dyDescent="0.2">
      <c r="U165" s="15" t="str">
        <f>TEXT(EDATE(X_Cell_Site_StartDate,1), "mmmm")</f>
        <v>February</v>
      </c>
      <c r="V165" s="15">
        <f ca="1"/>
        <v>0.09</v>
      </c>
      <c r="W165" s="15">
        <f ca="1"/>
        <v>0.09</v>
      </c>
      <c r="X165" s="15">
        <f ca="1"/>
        <v>0.09</v>
      </c>
      <c r="Y165" s="15">
        <f ca="1"/>
        <v>0.09</v>
      </c>
      <c r="Z165" s="15">
        <f ca="1"/>
        <v>0.09</v>
      </c>
      <c r="AA165" s="15">
        <f ca="1"/>
        <v>0.09</v>
      </c>
      <c r="AB165" s="15">
        <f ca="1"/>
        <v>0.09</v>
      </c>
      <c r="AC165" s="15">
        <f ca="1"/>
        <v>0.09</v>
      </c>
      <c r="AD165" s="15">
        <f ca="1"/>
        <v>0.09</v>
      </c>
      <c r="AE165" s="15">
        <f ca="1"/>
        <v>0.09</v>
      </c>
      <c r="AF165" s="16" t="s">
        <v>347</v>
      </c>
    </row>
    <row r="166" spans="1:34" ht="20.100000000000001" customHeight="1" x14ac:dyDescent="0.2">
      <c r="D166" s="113" t="s">
        <v>465</v>
      </c>
      <c r="U166" s="15" t="str">
        <f>TEXT(EDATE(X_Cell_Site_StartDate,2), "mmmm")</f>
        <v>March</v>
      </c>
      <c r="V166" s="15">
        <f ca="1"/>
        <v>0.06</v>
      </c>
      <c r="W166" s="15">
        <f ca="1"/>
        <v>0.06</v>
      </c>
      <c r="X166" s="15">
        <f ca="1"/>
        <v>0.06</v>
      </c>
      <c r="Y166" s="15">
        <f ca="1"/>
        <v>0.06</v>
      </c>
      <c r="Z166" s="15">
        <f ca="1"/>
        <v>0.06</v>
      </c>
      <c r="AA166" s="15">
        <f ca="1"/>
        <v>0.06</v>
      </c>
      <c r="AB166" s="15">
        <f ca="1"/>
        <v>0.06</v>
      </c>
      <c r="AC166" s="15">
        <f ca="1"/>
        <v>0.06</v>
      </c>
      <c r="AD166" s="15">
        <f ca="1"/>
        <v>0.06</v>
      </c>
      <c r="AE166" s="15">
        <f ca="1"/>
        <v>0.06</v>
      </c>
      <c r="AF166" s="16" t="s">
        <v>347</v>
      </c>
    </row>
    <row r="167" spans="1:34" ht="20.100000000000001" customHeight="1" x14ac:dyDescent="0.2">
      <c r="D167" s="114" t="s">
        <v>466</v>
      </c>
      <c r="U167" s="15" t="str">
        <f>TEXT(EDATE(X_Cell_Site_StartDate,3), "mmmm")</f>
        <v>April</v>
      </c>
      <c r="V167" s="15">
        <f ca="1"/>
        <v>0.06</v>
      </c>
      <c r="W167" s="15">
        <f ca="1"/>
        <v>0.06</v>
      </c>
      <c r="X167" s="15">
        <f ca="1"/>
        <v>0.06</v>
      </c>
      <c r="Y167" s="15">
        <f ca="1"/>
        <v>0.06</v>
      </c>
      <c r="Z167" s="15">
        <f ca="1"/>
        <v>0.06</v>
      </c>
      <c r="AA167" s="15">
        <f ca="1"/>
        <v>0.06</v>
      </c>
      <c r="AB167" s="15">
        <f ca="1"/>
        <v>0.06</v>
      </c>
      <c r="AC167" s="15">
        <f ca="1"/>
        <v>0.06</v>
      </c>
      <c r="AD167" s="15">
        <f ca="1"/>
        <v>0.06</v>
      </c>
      <c r="AE167" s="15">
        <f ca="1"/>
        <v>0.06</v>
      </c>
      <c r="AF167" s="16" t="s">
        <v>347</v>
      </c>
    </row>
    <row r="168" spans="1:34" ht="20.100000000000001" customHeight="1" x14ac:dyDescent="0.2">
      <c r="D168" s="115" t="s">
        <v>76</v>
      </c>
      <c r="E168" s="115" t="s">
        <v>325</v>
      </c>
      <c r="F168" s="115" t="s">
        <v>189</v>
      </c>
      <c r="G168" s="115" t="s">
        <v>326</v>
      </c>
      <c r="H168" s="115" t="s">
        <v>327</v>
      </c>
      <c r="I168" s="115" t="s">
        <v>328</v>
      </c>
      <c r="J168" s="115" t="s">
        <v>329</v>
      </c>
      <c r="K168" s="115" t="s">
        <v>330</v>
      </c>
      <c r="L168" s="115" t="s">
        <v>331</v>
      </c>
      <c r="M168" s="115" t="s">
        <v>332</v>
      </c>
      <c r="N168" s="115" t="s">
        <v>333</v>
      </c>
      <c r="U168" s="15" t="str">
        <f>TEXT(EDATE(X_Cell_Site_StartDate,4), "mmmm")</f>
        <v>May</v>
      </c>
      <c r="V168" s="15">
        <f ca="1"/>
        <v>0.06</v>
      </c>
      <c r="W168" s="15">
        <f ca="1"/>
        <v>0.06</v>
      </c>
      <c r="X168" s="15">
        <f ca="1"/>
        <v>0.06</v>
      </c>
      <c r="Y168" s="15">
        <f ca="1"/>
        <v>0.06</v>
      </c>
      <c r="Z168" s="15">
        <f ca="1"/>
        <v>0.06</v>
      </c>
      <c r="AA168" s="15">
        <f ca="1"/>
        <v>0.06</v>
      </c>
      <c r="AB168" s="15">
        <f ca="1"/>
        <v>0.06</v>
      </c>
      <c r="AC168" s="15">
        <f ca="1"/>
        <v>0.06</v>
      </c>
      <c r="AD168" s="15">
        <f ca="1"/>
        <v>0.06</v>
      </c>
      <c r="AE168" s="15">
        <f ca="1"/>
        <v>0.06</v>
      </c>
      <c r="AF168" s="16" t="s">
        <v>347</v>
      </c>
      <c r="AG168" s="16"/>
      <c r="AH168" s="16"/>
    </row>
    <row r="169" spans="1:34" ht="20.100000000000001" customHeight="1" x14ac:dyDescent="0.2">
      <c r="D169" s="15" t="s">
        <v>334</v>
      </c>
      <c r="E169" s="15">
        <f ca="1">(((E54 * E153) / 6.25) + ((0.032 * F161) / 6.38) - E127 - ((1.1 * 10 ^ -4 * E20 ^ 0.75) / 6.25))</f>
        <v>0.26350651585923002</v>
      </c>
      <c r="F169" s="15">
        <f ca="1">(((F54 * F153) / 6.25) + ((0.032 * G161) / 6.38) - F127 - ((1.1 * 10 ^ -4 * F20 ^ 0.75) / 6.25))</f>
        <v>0.37708133734232585</v>
      </c>
      <c r="G169" s="15">
        <f ca="1">(((G54 * G153) / 6.25) + ((0.032 * H161) / 6.38) - G127 - ((1.1 * 10 ^ -4 * G20 ^ 0.75) / 6.25))</f>
        <v>0.20744815814809262</v>
      </c>
      <c r="H169" s="15">
        <f ca="1">(((H54 * H153) / 6.25) + ((0.032 * I161) / 6.38) - H127 - ((1.1 * 10 ^ -4 * H20 ^ 0.75) / 6.25))</f>
        <v>0.27698096705009545</v>
      </c>
      <c r="I169" s="15">
        <f ca="1">(((I54 * I153) / 6.25) + ((0.032 * J161) / 6.38) - I127 - ((1.1 * 10 ^ -4 * I20 ^ 0.75) / 6.25))</f>
        <v>0.34118759264783</v>
      </c>
      <c r="J169" s="15">
        <f ca="1">(((J54 * J153) / 6.25) + ((0.032 * K161) / 6.38) - J127 - ((1.1 * 10 ^ -4 * J20 ^ 0.75) / 6.25))</f>
        <v>0.34118759264783</v>
      </c>
      <c r="K169" s="15">
        <f ca="1">(((K54 * K153) / 6.25) + ((0.032 * L161) / 6.38) - K127 - ((1.1 * 10 ^ -4 * K20 ^ 0.75) / 6.25))</f>
        <v>0.23489856582312055</v>
      </c>
      <c r="L169" s="15">
        <f ca="1">(((L54 * L153) / 6.25) + ((0.032 * M161) / 6.38) - L127 - ((1.1 * 10 ^ -4 * L20 ^ 0.75) / 6.25))</f>
        <v>0.2934676863299529</v>
      </c>
      <c r="M169" s="15">
        <f ca="1">(((M54 * M153) / 6.25) + ((0.032 * N161) / 6.38) - M127 - ((1.1 * 10 ^ -4 * M20 ^ 0.75) / 6.25))</f>
        <v>0.2934676863299529</v>
      </c>
      <c r="N169" s="15">
        <f ca="1">(((N54 * N153) / 6.25) + ((0.032 * O161) / 6.38) - N127 - ((1.1 * 10 ^ -4 * N20 ^ 0.75) / 6.25))</f>
        <v>0.2934676863299529</v>
      </c>
      <c r="O169" s="16" t="str">
        <f>$E$140</f>
        <v>kg N/head/day</v>
      </c>
      <c r="U169" s="15" t="str">
        <f>TEXT(EDATE(X_Cell_Site_StartDate,5), "mmmm")</f>
        <v>June</v>
      </c>
      <c r="V169" s="15">
        <f ca="1"/>
        <v>0.2</v>
      </c>
      <c r="W169" s="15">
        <f ca="1"/>
        <v>0.2</v>
      </c>
      <c r="X169" s="15">
        <f ca="1"/>
        <v>0.2</v>
      </c>
      <c r="Y169" s="15">
        <f ca="1"/>
        <v>0.2</v>
      </c>
      <c r="Z169" s="15">
        <f ca="1"/>
        <v>0.2</v>
      </c>
      <c r="AA169" s="15">
        <f ca="1"/>
        <v>0.2</v>
      </c>
      <c r="AB169" s="15">
        <f ca="1"/>
        <v>0.2</v>
      </c>
      <c r="AC169" s="15">
        <f ca="1"/>
        <v>0.2</v>
      </c>
      <c r="AD169" s="15">
        <f ca="1"/>
        <v>0.2</v>
      </c>
      <c r="AE169" s="15">
        <f ca="1"/>
        <v>0.2</v>
      </c>
      <c r="AF169" s="16" t="s">
        <v>347</v>
      </c>
      <c r="AG169" s="16"/>
      <c r="AH169" s="16"/>
    </row>
    <row r="170" spans="1:34" ht="20.100000000000001" customHeight="1" x14ac:dyDescent="0.2">
      <c r="D170" s="15" t="s">
        <v>335</v>
      </c>
      <c r="E170" s="15">
        <f ca="1">(((E55 * E154) / 6.25) + ((0.032 * F162) / 6.38) - E128 - ((1.1 * 10 ^ -4 * E21 ^ 0.75) / 6.25))</f>
        <v>9.3275223802458812E-2</v>
      </c>
      <c r="F170" s="15">
        <f ca="1">(((F55 * F154) / 6.25) + ((0.032 * G162) / 6.38) - F128 - ((1.1 * 10 ^ -4 * F21 ^ 0.75) / 6.25))</f>
        <v>0.13601872675007995</v>
      </c>
      <c r="G170" s="15">
        <f ca="1">(((G55 * G154) / 6.25) + ((0.032 * H162) / 6.38) - G128 - ((1.1 * 10 ^ -4 * G21 ^ 0.75) / 6.25))</f>
        <v>7.7811027960341214E-2</v>
      </c>
      <c r="H170" s="15">
        <f ca="1">(((H55 * H154) / 6.25) + ((0.032 * I162) / 6.38) - H128 - ((1.1 * 10 ^ -4 * H21 ^ 0.75) / 6.25))</f>
        <v>0.11211505645345723</v>
      </c>
      <c r="I170" s="15">
        <f ca="1">(((I55 * I154) / 6.25) + ((0.032 * J162) / 6.38) - I128 - ((1.1 * 10 ^ -4 * I21 ^ 0.75) / 6.25))</f>
        <v>0.11725024145638518</v>
      </c>
      <c r="J170" s="15">
        <f ca="1">(((J55 * J154) / 6.25) + ((0.032 * K162) / 6.38) - J128 - ((1.1 * 10 ^ -4 * J21 ^ 0.75) / 6.25))</f>
        <v>0.11725024145638518</v>
      </c>
      <c r="K170" s="15">
        <f ca="1">(((K55 * K154) / 6.25) + ((0.032 * L162) / 6.38) - K128 - ((1.1 * 10 ^ -4 * K21 ^ 0.75) / 6.25))</f>
        <v>8.562550571362422E-2</v>
      </c>
      <c r="L170" s="15">
        <f ca="1">(((L55 * L154) / 6.25) + ((0.032 * M162) / 6.38) - L128 - ((1.1 * 10 ^ -4 * L21 ^ 0.75) / 6.25))</f>
        <v>0.1054491491748196</v>
      </c>
      <c r="M170" s="15">
        <f ca="1">(((M55 * M154) / 6.25) + ((0.032 * N162) / 6.38) - M128 - ((1.1 * 10 ^ -4 * M21 ^ 0.75) / 6.25))</f>
        <v>0.1054491491748196</v>
      </c>
      <c r="N170" s="15">
        <f ca="1">(((N55 * N154) / 6.25) + ((0.032 * O162) / 6.38) - N128 - ((1.1 * 10 ^ -4 * N21 ^ 0.75) / 6.25))</f>
        <v>0.1054491491748196</v>
      </c>
      <c r="O170" s="16" t="str">
        <f t="shared" ref="O170:O172" si="8">$E$140</f>
        <v>kg N/head/day</v>
      </c>
      <c r="U170" s="15" t="str">
        <f>TEXT(EDATE(X_Cell_Site_StartDate,6), "mmmm")</f>
        <v>July</v>
      </c>
      <c r="V170" s="15">
        <f ca="1"/>
        <v>0.2</v>
      </c>
      <c r="W170" s="15">
        <f ca="1"/>
        <v>0.2</v>
      </c>
      <c r="X170" s="15">
        <f ca="1"/>
        <v>0.2</v>
      </c>
      <c r="Y170" s="15">
        <f ca="1"/>
        <v>0.2</v>
      </c>
      <c r="Z170" s="15">
        <f ca="1"/>
        <v>0.2</v>
      </c>
      <c r="AA170" s="15">
        <f ca="1"/>
        <v>0.2</v>
      </c>
      <c r="AB170" s="15">
        <f ca="1"/>
        <v>0.2</v>
      </c>
      <c r="AC170" s="15">
        <f ca="1"/>
        <v>0.2</v>
      </c>
      <c r="AD170" s="15">
        <f ca="1"/>
        <v>0.2</v>
      </c>
      <c r="AE170" s="15">
        <f ca="1"/>
        <v>0.2</v>
      </c>
      <c r="AF170" s="16" t="s">
        <v>347</v>
      </c>
      <c r="AG170" s="16"/>
      <c r="AH170" s="16"/>
    </row>
    <row r="171" spans="1:34" ht="20.100000000000001" customHeight="1" x14ac:dyDescent="0.2">
      <c r="D171" s="15" t="s">
        <v>336</v>
      </c>
      <c r="E171" s="15">
        <f ca="1">(((E56 * E155) / 6.25) + ((0.032 * F163) / 6.38) - E129 - ((1.1 * 10 ^ -4 * E22 ^ 0.75) / 6.25))</f>
        <v>1.3490587405558481E-2</v>
      </c>
      <c r="F171" s="15">
        <f ca="1">(((F56 * F155) / 6.25) + ((0.032 * G163) / 6.38) - F129 - ((1.1 * 10 ^ -4 * F22 ^ 0.75) / 6.25))</f>
        <v>8.8133023634157495E-2</v>
      </c>
      <c r="G171" s="15">
        <f ca="1">(((G56 * G155) / 6.25) + ((0.032 * H163) / 6.38) - G129 - ((1.1 * 10 ^ -4 * G22 ^ 0.75) / 6.25))</f>
        <v>1.1001898802853755E-2</v>
      </c>
      <c r="H171" s="15">
        <f ca="1">(((H56 * H155) / 6.25) + ((0.032 * I163) / 6.38) - H129 - ((1.1 * 10 ^ -4 * H22 ^ 0.75) / 6.25))</f>
        <v>5.2902961709211542E-2</v>
      </c>
      <c r="I171" s="15">
        <f ca="1">(((I56 * I155) / 6.25) + ((0.032 * J163) / 6.38) - I129 - ((1.1 * 10 ^ -4 * I22 ^ 0.75) / 6.25))</f>
        <v>6.9185083188389812E-2</v>
      </c>
      <c r="J171" s="15">
        <f ca="1">(((J56 * J155) / 6.25) + ((0.032 * K163) / 6.38) - J129 - ((1.1 * 10 ^ -4 * J22 ^ 0.75) / 6.25))</f>
        <v>6.9185083188389812E-2</v>
      </c>
      <c r="K171" s="15">
        <f ca="1">(((K56 * K155) / 6.25) + ((0.032 * L163) / 6.38) - K129 - ((1.1 * 10 ^ -4 * K22 ^ 0.75) / 6.25))</f>
        <v>1.3731587835013218E-2</v>
      </c>
      <c r="L171" s="15">
        <f ca="1">(((L56 * L155) / 6.25) + ((0.032 * M163) / 6.38) - L129 - ((1.1 * 10 ^ -4 * L22 ^ 0.75) / 6.25))</f>
        <v>5.520208336562428E-2</v>
      </c>
      <c r="M171" s="15">
        <f ca="1">(((M56 * M155) / 6.25) + ((0.032 * N163) / 6.38) - M129 - ((1.1 * 10 ^ -4 * M22 ^ 0.75) / 6.25))</f>
        <v>5.520208336562428E-2</v>
      </c>
      <c r="N171" s="15">
        <f ca="1">(((N56 * N155) / 6.25) + ((0.032 * O163) / 6.38) - N129 - ((1.1 * 10 ^ -4 * N22 ^ 0.75) / 6.25))</f>
        <v>5.520208336562428E-2</v>
      </c>
      <c r="O171" s="16" t="str">
        <f t="shared" si="8"/>
        <v>kg N/head/day</v>
      </c>
      <c r="U171" s="15" t="str">
        <f>TEXT(EDATE(X_Cell_Site_StartDate,7), "mmmm")</f>
        <v>August</v>
      </c>
      <c r="V171" s="15">
        <f ca="1"/>
        <v>0.2</v>
      </c>
      <c r="W171" s="15">
        <f ca="1"/>
        <v>0.2</v>
      </c>
      <c r="X171" s="15">
        <f ca="1"/>
        <v>0.2</v>
      </c>
      <c r="Y171" s="15">
        <f ca="1"/>
        <v>0.2</v>
      </c>
      <c r="Z171" s="15">
        <f ca="1"/>
        <v>0.2</v>
      </c>
      <c r="AA171" s="15">
        <f ca="1"/>
        <v>0.2</v>
      </c>
      <c r="AB171" s="15">
        <f ca="1"/>
        <v>0.2</v>
      </c>
      <c r="AC171" s="15">
        <f ca="1"/>
        <v>0.2</v>
      </c>
      <c r="AD171" s="15">
        <f ca="1"/>
        <v>0.2</v>
      </c>
      <c r="AE171" s="15">
        <f ca="1"/>
        <v>0.2</v>
      </c>
      <c r="AF171" s="16" t="s">
        <v>347</v>
      </c>
      <c r="AG171" s="16"/>
      <c r="AH171" s="16"/>
    </row>
    <row r="172" spans="1:34" ht="20.100000000000001" customHeight="1" x14ac:dyDescent="0.2">
      <c r="D172" s="15" t="s">
        <v>337</v>
      </c>
      <c r="E172" s="15">
        <f ca="1">(((E57 * E156) / 6.25) + ((0.032 * F164) / 6.38) - E130 - ((1.1 * 10 ^ -4 * E23 ^ 0.75) / 6.25))</f>
        <v>0.16782142173820769</v>
      </c>
      <c r="F172" s="15">
        <f ca="1">(((F57 * F156) / 6.25) + ((0.032 * G164) / 6.38) - F130 - ((1.1 * 10 ^ -4 * F23 ^ 0.75) / 6.25))</f>
        <v>0.31425341534791917</v>
      </c>
      <c r="G172" s="15">
        <f ca="1">(((G57 * G156) / 6.25) + ((0.032 * H164) / 6.38) - G130 - ((1.1 * 10 ^ -4 * G23 ^ 0.75) / 6.25))</f>
        <v>0.14439972918793106</v>
      </c>
      <c r="H172" s="15">
        <f ca="1">(((H57 * H156) / 6.25) + ((0.032 * I164) / 6.38) - H130 - ((1.1 * 10 ^ -4 * H23 ^ 0.75) / 6.25))</f>
        <v>0.20538320393122031</v>
      </c>
      <c r="I172" s="15">
        <f ca="1">(((I57 * I156) / 6.25) + ((0.032 * J164) / 6.38) - I130 - ((1.1 * 10 ^ -4 * I23 ^ 0.75) / 6.25))</f>
        <v>0.27448186171350092</v>
      </c>
      <c r="J172" s="15">
        <f ca="1">(((J57 * J156) / 6.25) + ((0.032 * K164) / 6.38) - J130 - ((1.1 * 10 ^ -4 * J23 ^ 0.75) / 6.25))</f>
        <v>0.27448186171350092</v>
      </c>
      <c r="K172" s="15">
        <f ca="1">(((K57 * K156) / 6.25) + ((0.032 * L164) / 6.38) - K130 - ((1.1 * 10 ^ -4 * K23 ^ 0.75) / 6.25))</f>
        <v>0.15390387455817453</v>
      </c>
      <c r="L172" s="15">
        <f ca="1">(((L57 * L156) / 6.25) + ((0.032 * M164) / 6.38) - L130 - ((1.1 * 10 ^ -4 * L23 ^ 0.75) / 6.25))</f>
        <v>0.21091009356426255</v>
      </c>
      <c r="M172" s="15">
        <f ca="1">(((M57 * M156) / 6.25) + ((0.032 * N164) / 6.38) - M130 - ((1.1 * 10 ^ -4 * M23 ^ 0.75) / 6.25))</f>
        <v>0.21091009356426255</v>
      </c>
      <c r="N172" s="15">
        <f ca="1">(((N57 * N156) / 6.25) + ((0.032 * O164) / 6.38) - N130 - ((1.1 * 10 ^ -4 * N23 ^ 0.75) / 6.25))</f>
        <v>0.21091009356426255</v>
      </c>
      <c r="O172" s="16" t="str">
        <f t="shared" si="8"/>
        <v>kg N/head/day</v>
      </c>
      <c r="U172" s="15" t="str">
        <f>TEXT(EDATE(X_Cell_Site_StartDate,8), "mmmm")</f>
        <v>September</v>
      </c>
      <c r="V172" s="15">
        <f ca="1"/>
        <v>0.2</v>
      </c>
      <c r="W172" s="15">
        <f ca="1"/>
        <v>0.2</v>
      </c>
      <c r="X172" s="15">
        <f ca="1"/>
        <v>0.2</v>
      </c>
      <c r="Y172" s="15">
        <f ca="1"/>
        <v>0.2</v>
      </c>
      <c r="Z172" s="15">
        <f ca="1"/>
        <v>0.2</v>
      </c>
      <c r="AA172" s="15">
        <f ca="1"/>
        <v>0.2</v>
      </c>
      <c r="AB172" s="15">
        <f ca="1"/>
        <v>0.2</v>
      </c>
      <c r="AC172" s="15">
        <f ca="1"/>
        <v>0.2</v>
      </c>
      <c r="AD172" s="15">
        <f ca="1"/>
        <v>0.2</v>
      </c>
      <c r="AE172" s="15">
        <f ca="1"/>
        <v>0.2</v>
      </c>
      <c r="AF172" s="16" t="s">
        <v>347</v>
      </c>
      <c r="AG172" s="16"/>
      <c r="AH172" s="16"/>
    </row>
    <row r="173" spans="1:34" ht="20.100000000000001" customHeight="1" x14ac:dyDescent="0.2">
      <c r="U173" s="15" t="str">
        <f>TEXT(EDATE(X_Cell_Site_StartDate,9), "mmmm")</f>
        <v>October</v>
      </c>
      <c r="V173" s="15">
        <f ca="1"/>
        <v>0.2</v>
      </c>
      <c r="W173" s="15">
        <f ca="1"/>
        <v>0.2</v>
      </c>
      <c r="X173" s="15">
        <f ca="1"/>
        <v>0.2</v>
      </c>
      <c r="Y173" s="15">
        <f ca="1"/>
        <v>0.2</v>
      </c>
      <c r="Z173" s="15">
        <f ca="1"/>
        <v>0.2</v>
      </c>
      <c r="AA173" s="15">
        <f ca="1"/>
        <v>0.2</v>
      </c>
      <c r="AB173" s="15">
        <f ca="1"/>
        <v>0.2</v>
      </c>
      <c r="AC173" s="15">
        <f ca="1"/>
        <v>0.2</v>
      </c>
      <c r="AD173" s="15">
        <f ca="1"/>
        <v>0.2</v>
      </c>
      <c r="AE173" s="15">
        <f ca="1"/>
        <v>0.2</v>
      </c>
      <c r="AF173" s="16" t="s">
        <v>347</v>
      </c>
      <c r="AG173" s="16"/>
      <c r="AH173" s="16"/>
    </row>
    <row r="174" spans="1:34" ht="20.100000000000001" customHeight="1" x14ac:dyDescent="0.2">
      <c r="U174" s="15" t="str">
        <f>TEXT(EDATE(X_Cell_Site_StartDate,10), "mmmm")</f>
        <v>November</v>
      </c>
      <c r="V174" s="15">
        <f ca="1"/>
        <v>0.2</v>
      </c>
      <c r="W174" s="15">
        <f ca="1"/>
        <v>0.2</v>
      </c>
      <c r="X174" s="15">
        <f ca="1"/>
        <v>0.2</v>
      </c>
      <c r="Y174" s="15">
        <f ca="1"/>
        <v>0.2</v>
      </c>
      <c r="Z174" s="15">
        <f ca="1"/>
        <v>0.2</v>
      </c>
      <c r="AA174" s="15">
        <f ca="1"/>
        <v>0.2</v>
      </c>
      <c r="AB174" s="15">
        <f ca="1"/>
        <v>0.2</v>
      </c>
      <c r="AC174" s="15">
        <f ca="1"/>
        <v>0.2</v>
      </c>
      <c r="AD174" s="15">
        <f ca="1"/>
        <v>0.2</v>
      </c>
      <c r="AE174" s="15">
        <f ca="1"/>
        <v>0.2</v>
      </c>
      <c r="AF174" s="16" t="s">
        <v>347</v>
      </c>
      <c r="AG174" s="16"/>
      <c r="AH174" s="16"/>
    </row>
    <row r="175" spans="1:34" ht="20.100000000000001" customHeight="1" x14ac:dyDescent="0.2">
      <c r="C175" s="88"/>
      <c r="D175" s="88"/>
      <c r="E175" s="88"/>
      <c r="F175" s="88"/>
      <c r="G175" s="88"/>
      <c r="H175" s="88"/>
      <c r="I175" s="88"/>
      <c r="J175" s="88"/>
      <c r="K175" s="88"/>
      <c r="L175" s="88"/>
      <c r="M175" s="88"/>
      <c r="N175" s="88"/>
      <c r="O175" s="88"/>
      <c r="P175" s="88"/>
      <c r="Q175" s="88"/>
      <c r="R175" s="88"/>
      <c r="U175" s="15" t="str">
        <f>TEXT(EDATE(X_Cell_Site_StartDate,11), "mmmm")</f>
        <v>December</v>
      </c>
      <c r="V175" s="15">
        <f ca="1"/>
        <v>0.09</v>
      </c>
      <c r="W175" s="15">
        <f ca="1"/>
        <v>0.09</v>
      </c>
      <c r="X175" s="15">
        <f ca="1"/>
        <v>0.09</v>
      </c>
      <c r="Y175" s="15">
        <f ca="1"/>
        <v>0.09</v>
      </c>
      <c r="Z175" s="15">
        <f ca="1"/>
        <v>0.09</v>
      </c>
      <c r="AA175" s="15">
        <f ca="1"/>
        <v>0.09</v>
      </c>
      <c r="AB175" s="15">
        <f ca="1"/>
        <v>0.09</v>
      </c>
      <c r="AC175" s="15">
        <f ca="1"/>
        <v>0.09</v>
      </c>
      <c r="AD175" s="15">
        <f ca="1"/>
        <v>0.09</v>
      </c>
      <c r="AE175" s="15">
        <f ca="1"/>
        <v>0.09</v>
      </c>
      <c r="AF175" s="16" t="s">
        <v>347</v>
      </c>
      <c r="AG175" s="16"/>
      <c r="AH175" s="16"/>
    </row>
    <row r="176" spans="1:34" ht="20.100000000000001" customHeight="1" x14ac:dyDescent="0.2">
      <c r="D176" s="2" t="s">
        <v>1432</v>
      </c>
      <c r="AG176" s="16"/>
      <c r="AH176" s="16"/>
    </row>
    <row r="177" spans="1:34" ht="20.100000000000001" customHeight="1" x14ac:dyDescent="0.2">
      <c r="D177" s="17" t="s">
        <v>1433</v>
      </c>
      <c r="U177" s="113" t="s">
        <v>467</v>
      </c>
      <c r="AH177" s="16"/>
    </row>
    <row r="178" spans="1:34" ht="20.100000000000001" customHeight="1" x14ac:dyDescent="0.2">
      <c r="D178" s="104"/>
      <c r="E178" s="104"/>
      <c r="U178" s="114" t="s">
        <v>468</v>
      </c>
      <c r="AH178" s="16"/>
    </row>
    <row r="179" spans="1:34" ht="20.100000000000001" customHeight="1" x14ac:dyDescent="0.2">
      <c r="U179" s="115" t="s">
        <v>75</v>
      </c>
      <c r="V179" s="115" t="s">
        <v>358</v>
      </c>
      <c r="W179" s="115" t="s">
        <v>325</v>
      </c>
      <c r="X179" s="115" t="s">
        <v>189</v>
      </c>
      <c r="Y179" s="115" t="s">
        <v>326</v>
      </c>
      <c r="Z179" s="115" t="s">
        <v>327</v>
      </c>
      <c r="AA179" s="115" t="s">
        <v>328</v>
      </c>
      <c r="AB179" s="115" t="s">
        <v>329</v>
      </c>
      <c r="AC179" s="115" t="s">
        <v>330</v>
      </c>
      <c r="AD179" s="115" t="s">
        <v>331</v>
      </c>
      <c r="AE179" s="115" t="s">
        <v>332</v>
      </c>
      <c r="AF179" s="115" t="s">
        <v>333</v>
      </c>
      <c r="AH179" s="16"/>
    </row>
    <row r="180" spans="1:34" ht="20.100000000000001" customHeight="1" x14ac:dyDescent="0.2">
      <c r="U180" s="15" t="str">
        <f>TEXT(X_Cell_Site_StartDate,"mmmm")</f>
        <v>January</v>
      </c>
      <c r="V180" s="15" t="str" cm="1">
        <f t="array" ref="V180">IFERROR(_xlfn.IFS(SUMPRODUCT(ISNUMBER(SEARCH(TRIM(_xlfn.TEXTSPLIT($U$92,",")),U180))*1)&gt;0,"Calving season",SUMPRODUCT(ISNUMBER(SEARCH(TRIM(_xlfn.TEXTSPLIT($U$93,",")),U180))*1)&gt;0,"Season after calving"), "")</f>
        <v>Season after calving</v>
      </c>
      <c r="W180" s="15" cm="1">
        <f t="array" ref="W180">_xlfn.XLOOKUP(1, (Table_SourceData_PastureBeef_FeedIntakeAdjustment_Variation[Breed]=$Z$158)*(Table_SourceData_PastureBeef_FeedIntakeAdjustment_Variation[Season]=$V180), Table_SourceData_PastureBeef_FeedIntakeAdjustment_Variation[Milk intake/production], 0)</f>
        <v>0</v>
      </c>
      <c r="X180" s="15">
        <v>0</v>
      </c>
      <c r="Y180" s="15" cm="1">
        <f t="array" ref="Y180">_xlfn.XLOOKUP(1, (Table_SourceData_PastureBeef_FeedIntakeAdjustment_Variation[Breed]=$Z$158)*(Table_SourceData_PastureBeef_FeedIntakeAdjustment_Variation[Season]=$V180), Table_SourceData_PastureBeef_FeedIntakeAdjustment_Variation[Milk intake/production], 0)</f>
        <v>0</v>
      </c>
      <c r="Z180" s="15">
        <v>0</v>
      </c>
      <c r="AA180" s="15">
        <v>0</v>
      </c>
      <c r="AB180" s="15">
        <v>0</v>
      </c>
      <c r="AC180" s="15" cm="1">
        <f t="array" ref="AC180">_xlfn.XLOOKUP(1, (Table_SourceData_PastureBeef_FeedIntakeAdjustment_Variation[Breed]=$Z$158)*(Table_SourceData_PastureBeef_FeedIntakeAdjustment_Variation[Season]=$V180), Table_SourceData_PastureBeef_FeedIntakeAdjustment_Variation[Milk intake/production], 0)</f>
        <v>0</v>
      </c>
      <c r="AD180" s="15">
        <v>0</v>
      </c>
      <c r="AE180" s="15">
        <v>0</v>
      </c>
      <c r="AF180" s="15">
        <v>0</v>
      </c>
      <c r="AG180" s="16" t="s">
        <v>345</v>
      </c>
    </row>
    <row r="181" spans="1:34" ht="20.100000000000001" customHeight="1" x14ac:dyDescent="0.2">
      <c r="D181" s="77" t="s">
        <v>374</v>
      </c>
      <c r="E181" s="1" t="s">
        <v>473</v>
      </c>
      <c r="U181" s="15" t="str">
        <f>TEXT(EDATE(X_Cell_Site_StartDate,1), "mmmm")</f>
        <v>February</v>
      </c>
      <c r="V181" s="15" t="str" cm="1">
        <f t="array" ref="V181">IFERROR(_xlfn.IFS(SUMPRODUCT(ISNUMBER(SEARCH(TRIM(_xlfn.TEXTSPLIT($U$92,",")),U181))*1)&gt;0,"Calving season",SUMPRODUCT(ISNUMBER(SEARCH(TRIM(_xlfn.TEXTSPLIT($U$93,",")),U181))*1)&gt;0,"Season after calving"), "")</f>
        <v/>
      </c>
      <c r="W181" s="15" cm="1">
        <f t="array" ref="W181">_xlfn.XLOOKUP(1, (Table_SourceData_PastureBeef_FeedIntakeAdjustment_Variation[Breed]=$Z$158)*(Table_SourceData_PastureBeef_FeedIntakeAdjustment_Variation[Season]=$V181), Table_SourceData_PastureBeef_FeedIntakeAdjustment_Variation[Milk intake/production], 0)</f>
        <v>0</v>
      </c>
      <c r="X181" s="15">
        <v>0</v>
      </c>
      <c r="Y181" s="15" cm="1">
        <f t="array" ref="Y181">_xlfn.XLOOKUP(1, (Table_SourceData_PastureBeef_FeedIntakeAdjustment_Variation[Breed]=$Z$158)*(Table_SourceData_PastureBeef_FeedIntakeAdjustment_Variation[Season]=$V181), Table_SourceData_PastureBeef_FeedIntakeAdjustment_Variation[Milk intake/production], 0)</f>
        <v>0</v>
      </c>
      <c r="Z181" s="15">
        <v>0</v>
      </c>
      <c r="AA181" s="15">
        <v>0</v>
      </c>
      <c r="AB181" s="15">
        <v>0</v>
      </c>
      <c r="AC181" s="15" cm="1">
        <f t="array" ref="AC181">_xlfn.XLOOKUP(1, (Table_SourceData_PastureBeef_FeedIntakeAdjustment_Variation[Breed]=$Z$158)*(Table_SourceData_PastureBeef_FeedIntakeAdjustment_Variation[Season]=$V181), Table_SourceData_PastureBeef_FeedIntakeAdjustment_Variation[Milk intake/production], 0)</f>
        <v>0</v>
      </c>
      <c r="AD181" s="15">
        <v>0</v>
      </c>
      <c r="AE181" s="15">
        <v>0</v>
      </c>
      <c r="AF181" s="15">
        <v>0</v>
      </c>
      <c r="AG181" s="16" t="s">
        <v>345</v>
      </c>
    </row>
    <row r="182" spans="1:34" ht="20.100000000000001" customHeight="1" x14ac:dyDescent="0.2">
      <c r="D182" s="77" t="s">
        <v>126</v>
      </c>
      <c r="E182" s="9" t="s">
        <v>1162</v>
      </c>
      <c r="U182" s="15" t="str">
        <f>TEXT(EDATE(X_Cell_Site_StartDate,2), "mmmm")</f>
        <v>March</v>
      </c>
      <c r="V182" s="15" t="str" cm="1">
        <f t="array" ref="V182">IFERROR(_xlfn.IFS(SUMPRODUCT(ISNUMBER(SEARCH(TRIM(_xlfn.TEXTSPLIT($U$92,",")),U182))*1)&gt;0,"Calving season",SUMPRODUCT(ISNUMBER(SEARCH(TRIM(_xlfn.TEXTSPLIT($U$93,",")),U182))*1)&gt;0,"Season after calving"), "")</f>
        <v/>
      </c>
      <c r="W182" s="15" cm="1">
        <f t="array" ref="W182">_xlfn.XLOOKUP(1, (Table_SourceData_PastureBeef_FeedIntakeAdjustment_Variation[Breed]=$Z$158)*(Table_SourceData_PastureBeef_FeedIntakeAdjustment_Variation[Season]=$V182), Table_SourceData_PastureBeef_FeedIntakeAdjustment_Variation[Milk intake/production], 0)</f>
        <v>0</v>
      </c>
      <c r="X182" s="15">
        <v>0</v>
      </c>
      <c r="Y182" s="15" cm="1">
        <f t="array" ref="Y182">_xlfn.XLOOKUP(1, (Table_SourceData_PastureBeef_FeedIntakeAdjustment_Variation[Breed]=$Z$158)*(Table_SourceData_PastureBeef_FeedIntakeAdjustment_Variation[Season]=$V182), Table_SourceData_PastureBeef_FeedIntakeAdjustment_Variation[Milk intake/production], 0)</f>
        <v>0</v>
      </c>
      <c r="Z182" s="15">
        <v>0</v>
      </c>
      <c r="AA182" s="15">
        <v>0</v>
      </c>
      <c r="AB182" s="15">
        <v>0</v>
      </c>
      <c r="AC182" s="15" cm="1">
        <f t="array" ref="AC182">_xlfn.XLOOKUP(1, (Table_SourceData_PastureBeef_FeedIntakeAdjustment_Variation[Breed]=$Z$158)*(Table_SourceData_PastureBeef_FeedIntakeAdjustment_Variation[Season]=$V182), Table_SourceData_PastureBeef_FeedIntakeAdjustment_Variation[Milk intake/production], 0)</f>
        <v>0</v>
      </c>
      <c r="AD182" s="15">
        <v>0</v>
      </c>
      <c r="AE182" s="15">
        <v>0</v>
      </c>
      <c r="AF182" s="15">
        <v>0</v>
      </c>
      <c r="AG182" s="16" t="s">
        <v>345</v>
      </c>
    </row>
    <row r="183" spans="1:34" ht="20.100000000000001" customHeight="1" x14ac:dyDescent="0.2">
      <c r="U183" s="15" t="str">
        <f>TEXT(EDATE(X_Cell_Site_StartDate,3), "mmmm")</f>
        <v>April</v>
      </c>
      <c r="V183" s="15" t="str" cm="1">
        <f t="array" ref="V183">IFERROR(_xlfn.IFS(SUMPRODUCT(ISNUMBER(SEARCH(TRIM(_xlfn.TEXTSPLIT($U$92,",")),U183))*1)&gt;0,"Calving season",SUMPRODUCT(ISNUMBER(SEARCH(TRIM(_xlfn.TEXTSPLIT($U$93,",")),U183))*1)&gt;0,"Season after calving"), "")</f>
        <v/>
      </c>
      <c r="W183" s="15" cm="1">
        <f t="array" ref="W183">_xlfn.XLOOKUP(1, (Table_SourceData_PastureBeef_FeedIntakeAdjustment_Variation[Breed]=$Z$158)*(Table_SourceData_PastureBeef_FeedIntakeAdjustment_Variation[Season]=$V183), Table_SourceData_PastureBeef_FeedIntakeAdjustment_Variation[Milk intake/production], 0)</f>
        <v>0</v>
      </c>
      <c r="X183" s="15">
        <v>0</v>
      </c>
      <c r="Y183" s="15" cm="1">
        <f t="array" ref="Y183">_xlfn.XLOOKUP(1, (Table_SourceData_PastureBeef_FeedIntakeAdjustment_Variation[Breed]=$Z$158)*(Table_SourceData_PastureBeef_FeedIntakeAdjustment_Variation[Season]=$V183), Table_SourceData_PastureBeef_FeedIntakeAdjustment_Variation[Milk intake/production], 0)</f>
        <v>0</v>
      </c>
      <c r="Z183" s="15">
        <v>0</v>
      </c>
      <c r="AA183" s="15">
        <v>0</v>
      </c>
      <c r="AB183" s="15">
        <v>0</v>
      </c>
      <c r="AC183" s="15" cm="1">
        <f t="array" ref="AC183">_xlfn.XLOOKUP(1, (Table_SourceData_PastureBeef_FeedIntakeAdjustment_Variation[Breed]=$Z$158)*(Table_SourceData_PastureBeef_FeedIntakeAdjustment_Variation[Season]=$V183), Table_SourceData_PastureBeef_FeedIntakeAdjustment_Variation[Milk intake/production], 0)</f>
        <v>0</v>
      </c>
      <c r="AD183" s="15">
        <v>0</v>
      </c>
      <c r="AE183" s="15">
        <v>0</v>
      </c>
      <c r="AF183" s="15">
        <v>0</v>
      </c>
      <c r="AG183" s="16" t="s">
        <v>345</v>
      </c>
    </row>
    <row r="184" spans="1:34" ht="20.100000000000001" customHeight="1" x14ac:dyDescent="0.2">
      <c r="D184" s="106" t="s">
        <v>1350</v>
      </c>
      <c r="E184" s="107" t="s">
        <v>1434</v>
      </c>
      <c r="F184" s="109"/>
      <c r="G184" s="106" t="s">
        <v>426</v>
      </c>
      <c r="H184" s="110" t="s">
        <v>1325</v>
      </c>
      <c r="I184" s="112" t="str" cm="1">
        <f t="array" aca="1" ref="I184" ca="1">HYPERLINK(Common_InputFunctions.Utility_SourceHyperlink($D$188), $D$188)</f>
        <v>M1_Table_N_j_k_l</v>
      </c>
      <c r="U184" s="15" t="str">
        <f>TEXT(EDATE(X_Cell_Site_StartDate,4), "mmmm")</f>
        <v>May</v>
      </c>
      <c r="V184" s="15" t="str" cm="1">
        <f t="array" ref="V184">IFERROR(_xlfn.IFS(SUMPRODUCT(ISNUMBER(SEARCH(TRIM(_xlfn.TEXTSPLIT($U$92,",")),U184))*1)&gt;0,"Calving season",SUMPRODUCT(ISNUMBER(SEARCH(TRIM(_xlfn.TEXTSPLIT($U$93,",")),U184))*1)&gt;0,"Season after calving"), "")</f>
        <v/>
      </c>
      <c r="W184" s="15" cm="1">
        <f t="array" ref="W184">_xlfn.XLOOKUP(1, (Table_SourceData_PastureBeef_FeedIntakeAdjustment_Variation[Breed]=$Z$158)*(Table_SourceData_PastureBeef_FeedIntakeAdjustment_Variation[Season]=$V184), Table_SourceData_PastureBeef_FeedIntakeAdjustment_Variation[Milk intake/production], 0)</f>
        <v>0</v>
      </c>
      <c r="X184" s="15">
        <v>0</v>
      </c>
      <c r="Y184" s="15" cm="1">
        <f t="array" ref="Y184">_xlfn.XLOOKUP(1, (Table_SourceData_PastureBeef_FeedIntakeAdjustment_Variation[Breed]=$Z$158)*(Table_SourceData_PastureBeef_FeedIntakeAdjustment_Variation[Season]=$V184), Table_SourceData_PastureBeef_FeedIntakeAdjustment_Variation[Milk intake/production], 0)</f>
        <v>0</v>
      </c>
      <c r="Z184" s="15">
        <v>0</v>
      </c>
      <c r="AA184" s="15">
        <v>0</v>
      </c>
      <c r="AB184" s="15">
        <v>0</v>
      </c>
      <c r="AC184" s="15" cm="1">
        <f t="array" ref="AC184">_xlfn.XLOOKUP(1, (Table_SourceData_PastureBeef_FeedIntakeAdjustment_Variation[Breed]=$Z$158)*(Table_SourceData_PastureBeef_FeedIntakeAdjustment_Variation[Season]=$V184), Table_SourceData_PastureBeef_FeedIntakeAdjustment_Variation[Milk intake/production], 0)</f>
        <v>0</v>
      </c>
      <c r="AD184" s="15">
        <v>0</v>
      </c>
      <c r="AE184" s="15">
        <v>0</v>
      </c>
      <c r="AF184" s="15">
        <v>0</v>
      </c>
      <c r="AG184" s="16" t="s">
        <v>345</v>
      </c>
      <c r="AH184" s="16"/>
    </row>
    <row r="185" spans="1:34" ht="20.100000000000001" customHeight="1" x14ac:dyDescent="0.2">
      <c r="D185" s="106" t="s">
        <v>1424</v>
      </c>
      <c r="E185" s="107" t="s">
        <v>1435</v>
      </c>
      <c r="F185" s="109"/>
      <c r="G185" s="106" t="s">
        <v>1414</v>
      </c>
      <c r="H185" s="111" t="s">
        <v>1437</v>
      </c>
      <c r="I185" s="112" t="str" cm="1">
        <f t="array" aca="1" ref="I185" ca="1">HYPERLINK(Common_InputFunctions.Utility_SourceHyperlink($D$166), $D$166)</f>
        <v>M1_Table_NE_j_k_l</v>
      </c>
      <c r="U185" s="15" t="str">
        <f>TEXT(EDATE(X_Cell_Site_StartDate,5), "mmmm")</f>
        <v>June</v>
      </c>
      <c r="V185" s="15" t="str" cm="1">
        <f t="array" ref="V185">IFERROR(_xlfn.IFS(SUMPRODUCT(ISNUMBER(SEARCH(TRIM(_xlfn.TEXTSPLIT($U$92,",")),U185))*1)&gt;0,"Calving season",SUMPRODUCT(ISNUMBER(SEARCH(TRIM(_xlfn.TEXTSPLIT($U$93,",")),U185))*1)&gt;0,"Season after calving"), "")</f>
        <v/>
      </c>
      <c r="W185" s="15" cm="1">
        <f t="array" ref="W185">_xlfn.XLOOKUP(1, (Table_SourceData_PastureBeef_FeedIntakeAdjustment_Variation[Breed]=$Z$158)*(Table_SourceData_PastureBeef_FeedIntakeAdjustment_Variation[Season]=$V185), Table_SourceData_PastureBeef_FeedIntakeAdjustment_Variation[Milk intake/production], 0)</f>
        <v>0</v>
      </c>
      <c r="X185" s="15">
        <v>0</v>
      </c>
      <c r="Y185" s="15" cm="1">
        <f t="array" ref="Y185">_xlfn.XLOOKUP(1, (Table_SourceData_PastureBeef_FeedIntakeAdjustment_Variation[Breed]=$Z$158)*(Table_SourceData_PastureBeef_FeedIntakeAdjustment_Variation[Season]=$V185), Table_SourceData_PastureBeef_FeedIntakeAdjustment_Variation[Milk intake/production], 0)</f>
        <v>0</v>
      </c>
      <c r="Z185" s="15">
        <v>0</v>
      </c>
      <c r="AA185" s="15">
        <v>0</v>
      </c>
      <c r="AB185" s="15">
        <v>0</v>
      </c>
      <c r="AC185" s="15" cm="1">
        <f t="array" ref="AC185">_xlfn.XLOOKUP(1, (Table_SourceData_PastureBeef_FeedIntakeAdjustment_Variation[Breed]=$Z$158)*(Table_SourceData_PastureBeef_FeedIntakeAdjustment_Variation[Season]=$V185), Table_SourceData_PastureBeef_FeedIntakeAdjustment_Variation[Milk intake/production], 0)</f>
        <v>0</v>
      </c>
      <c r="AD185" s="15">
        <v>0</v>
      </c>
      <c r="AE185" s="15">
        <v>0</v>
      </c>
      <c r="AF185" s="15">
        <v>0</v>
      </c>
      <c r="AG185" s="16" t="s">
        <v>345</v>
      </c>
      <c r="AH185" s="16"/>
    </row>
    <row r="186" spans="1:34" ht="20.100000000000001" customHeight="1" x14ac:dyDescent="0.2">
      <c r="D186" s="106" t="s">
        <v>1347</v>
      </c>
      <c r="E186" s="107" t="s">
        <v>1436</v>
      </c>
      <c r="F186" s="109"/>
      <c r="G186" s="106" t="s">
        <v>429</v>
      </c>
      <c r="H186" s="110" t="s">
        <v>1325</v>
      </c>
      <c r="I186" s="112" t="str" cm="1">
        <f t="array" aca="1" ref="I186" ca="1">HYPERLINK(Common_InputFunctions.Utility_SourceHyperlink($D$196), $D$196)</f>
        <v>M1_Table_D_j</v>
      </c>
      <c r="U186" s="15" t="str">
        <f>TEXT(EDATE(X_Cell_Site_StartDate,6), "mmmm")</f>
        <v>July</v>
      </c>
      <c r="V186" s="15" t="str" cm="1">
        <f t="array" ref="V186">IFERROR(_xlfn.IFS(SUMPRODUCT(ISNUMBER(SEARCH(TRIM(_xlfn.TEXTSPLIT($U$92,",")),U186))*1)&gt;0,"Calving season",SUMPRODUCT(ISNUMBER(SEARCH(TRIM(_xlfn.TEXTSPLIT($U$93,",")),U186))*1)&gt;0,"Season after calving"), "")</f>
        <v/>
      </c>
      <c r="W186" s="15" cm="1">
        <f t="array" ref="W186">_xlfn.XLOOKUP(1, (Table_SourceData_PastureBeef_FeedIntakeAdjustment_Variation[Breed]=$Z$158)*(Table_SourceData_PastureBeef_FeedIntakeAdjustment_Variation[Season]=$V186), Table_SourceData_PastureBeef_FeedIntakeAdjustment_Variation[Milk intake/production], 0)</f>
        <v>0</v>
      </c>
      <c r="X186" s="15">
        <v>0</v>
      </c>
      <c r="Y186" s="15" cm="1">
        <f t="array" ref="Y186">_xlfn.XLOOKUP(1, (Table_SourceData_PastureBeef_FeedIntakeAdjustment_Variation[Breed]=$Z$158)*(Table_SourceData_PastureBeef_FeedIntakeAdjustment_Variation[Season]=$V186), Table_SourceData_PastureBeef_FeedIntakeAdjustment_Variation[Milk intake/production], 0)</f>
        <v>0</v>
      </c>
      <c r="Z186" s="15">
        <v>0</v>
      </c>
      <c r="AA186" s="15">
        <v>0</v>
      </c>
      <c r="AB186" s="15">
        <v>0</v>
      </c>
      <c r="AC186" s="15" cm="1">
        <f t="array" ref="AC186">_xlfn.XLOOKUP(1, (Table_SourceData_PastureBeef_FeedIntakeAdjustment_Variation[Breed]=$Z$158)*(Table_SourceData_PastureBeef_FeedIntakeAdjustment_Variation[Season]=$V186), Table_SourceData_PastureBeef_FeedIntakeAdjustment_Variation[Milk intake/production], 0)</f>
        <v>0</v>
      </c>
      <c r="AD186" s="15">
        <v>0</v>
      </c>
      <c r="AE186" s="15">
        <v>0</v>
      </c>
      <c r="AF186" s="15">
        <v>0</v>
      </c>
      <c r="AG186" s="16" t="s">
        <v>345</v>
      </c>
      <c r="AH186" s="16"/>
    </row>
    <row r="187" spans="1:34" ht="20.100000000000001" customHeight="1" x14ac:dyDescent="0.2">
      <c r="U187" s="15" t="str">
        <f>TEXT(EDATE(X_Cell_Site_StartDate,7), "mmmm")</f>
        <v>August</v>
      </c>
      <c r="V187" s="15" t="str" cm="1">
        <f t="array" ref="V187">IFERROR(_xlfn.IFS(SUMPRODUCT(ISNUMBER(SEARCH(TRIM(_xlfn.TEXTSPLIT($U$92,",")),U187))*1)&gt;0,"Calving season",SUMPRODUCT(ISNUMBER(SEARCH(TRIM(_xlfn.TEXTSPLIT($U$93,",")),U187))*1)&gt;0,"Season after calving"), "")</f>
        <v>Calving season</v>
      </c>
      <c r="W187" s="15" cm="1">
        <f t="array" ref="W187">_xlfn.XLOOKUP(1, (Table_SourceData_PastureBeef_FeedIntakeAdjustment_Variation[Breed]=$Z$158)*(Table_SourceData_PastureBeef_FeedIntakeAdjustment_Variation[Season]=$V187), Table_SourceData_PastureBeef_FeedIntakeAdjustment_Variation[Milk intake/production], 0)</f>
        <v>0</v>
      </c>
      <c r="X187" s="15">
        <v>0</v>
      </c>
      <c r="Y187" s="15" cm="1">
        <f t="array" ref="Y187">_xlfn.XLOOKUP(1, (Table_SourceData_PastureBeef_FeedIntakeAdjustment_Variation[Breed]=$Z$158)*(Table_SourceData_PastureBeef_FeedIntakeAdjustment_Variation[Season]=$V187), Table_SourceData_PastureBeef_FeedIntakeAdjustment_Variation[Milk intake/production], 0)</f>
        <v>0</v>
      </c>
      <c r="Z187" s="15">
        <v>0</v>
      </c>
      <c r="AA187" s="15">
        <v>0</v>
      </c>
      <c r="AB187" s="15">
        <v>0</v>
      </c>
      <c r="AC187" s="15" cm="1">
        <f t="array" ref="AC187">_xlfn.XLOOKUP(1, (Table_SourceData_PastureBeef_FeedIntakeAdjustment_Variation[Breed]=$Z$158)*(Table_SourceData_PastureBeef_FeedIntakeAdjustment_Variation[Season]=$V187), Table_SourceData_PastureBeef_FeedIntakeAdjustment_Variation[Milk intake/production], 0)</f>
        <v>0</v>
      </c>
      <c r="AD187" s="15">
        <v>0</v>
      </c>
      <c r="AE187" s="15">
        <v>0</v>
      </c>
      <c r="AF187" s="15">
        <v>0</v>
      </c>
      <c r="AG187" s="16" t="s">
        <v>345</v>
      </c>
      <c r="AH187" s="16"/>
    </row>
    <row r="188" spans="1:34" ht="20.100000000000001" customHeight="1" x14ac:dyDescent="0.2">
      <c r="D188" s="113" t="s">
        <v>422</v>
      </c>
      <c r="U188" s="15" t="str">
        <f>TEXT(EDATE(X_Cell_Site_StartDate,8), "mmmm")</f>
        <v>September</v>
      </c>
      <c r="V188" s="15" t="str" cm="1">
        <f t="array" ref="V188">IFERROR(_xlfn.IFS(SUMPRODUCT(ISNUMBER(SEARCH(TRIM(_xlfn.TEXTSPLIT($U$92,",")),U188))*1)&gt;0,"Calving season",SUMPRODUCT(ISNUMBER(SEARCH(TRIM(_xlfn.TEXTSPLIT($U$93,",")),U188))*1)&gt;0,"Season after calving"), "")</f>
        <v>Calving season</v>
      </c>
      <c r="W188" s="15" cm="1">
        <f t="array" ref="W188">_xlfn.XLOOKUP(1, (Table_SourceData_PastureBeef_FeedIntakeAdjustment_Variation[Breed]=$Z$158)*(Table_SourceData_PastureBeef_FeedIntakeAdjustment_Variation[Season]=$V188), Table_SourceData_PastureBeef_FeedIntakeAdjustment_Variation[Milk intake/production], 0)</f>
        <v>0</v>
      </c>
      <c r="X188" s="15">
        <v>0</v>
      </c>
      <c r="Y188" s="15" cm="1">
        <f t="array" ref="Y188">_xlfn.XLOOKUP(1, (Table_SourceData_PastureBeef_FeedIntakeAdjustment_Variation[Breed]=$Z$158)*(Table_SourceData_PastureBeef_FeedIntakeAdjustment_Variation[Season]=$V188), Table_SourceData_PastureBeef_FeedIntakeAdjustment_Variation[Milk intake/production], 0)</f>
        <v>0</v>
      </c>
      <c r="Z188" s="15">
        <v>0</v>
      </c>
      <c r="AA188" s="15">
        <v>0</v>
      </c>
      <c r="AB188" s="15">
        <v>0</v>
      </c>
      <c r="AC188" s="15" cm="1">
        <f t="array" ref="AC188">_xlfn.XLOOKUP(1, (Table_SourceData_PastureBeef_FeedIntakeAdjustment_Variation[Breed]=$Z$158)*(Table_SourceData_PastureBeef_FeedIntakeAdjustment_Variation[Season]=$V188), Table_SourceData_PastureBeef_FeedIntakeAdjustment_Variation[Milk intake/production], 0)</f>
        <v>0</v>
      </c>
      <c r="AD188" s="15">
        <v>0</v>
      </c>
      <c r="AE188" s="15">
        <v>0</v>
      </c>
      <c r="AF188" s="15">
        <v>0</v>
      </c>
      <c r="AG188" s="16" t="s">
        <v>345</v>
      </c>
    </row>
    <row r="189" spans="1:34" ht="20.100000000000001" customHeight="1" x14ac:dyDescent="0.2">
      <c r="D189" s="114" t="s">
        <v>424</v>
      </c>
      <c r="U189" s="15" t="str">
        <f>TEXT(EDATE(X_Cell_Site_StartDate,9), "mmmm")</f>
        <v>October</v>
      </c>
      <c r="V189" s="15" t="str" cm="1">
        <f t="array" ref="V189">IFERROR(_xlfn.IFS(SUMPRODUCT(ISNUMBER(SEARCH(TRIM(_xlfn.TEXTSPLIT($U$92,",")),U189))*1)&gt;0,"Calving season",SUMPRODUCT(ISNUMBER(SEARCH(TRIM(_xlfn.TEXTSPLIT($U$93,",")),U189))*1)&gt;0,"Season after calving"), "")</f>
        <v>Calving season</v>
      </c>
      <c r="W189" s="15" cm="1">
        <f t="array" ref="W189">_xlfn.XLOOKUP(1, (Table_SourceData_PastureBeef_FeedIntakeAdjustment_Variation[Breed]=$Z$158)*(Table_SourceData_PastureBeef_FeedIntakeAdjustment_Variation[Season]=$V189), Table_SourceData_PastureBeef_FeedIntakeAdjustment_Variation[Milk intake/production], 0)</f>
        <v>0</v>
      </c>
      <c r="X189" s="15">
        <v>0</v>
      </c>
      <c r="Y189" s="15" cm="1">
        <f t="array" ref="Y189">_xlfn.XLOOKUP(1, (Table_SourceData_PastureBeef_FeedIntakeAdjustment_Variation[Breed]=$Z$158)*(Table_SourceData_PastureBeef_FeedIntakeAdjustment_Variation[Season]=$V189), Table_SourceData_PastureBeef_FeedIntakeAdjustment_Variation[Milk intake/production], 0)</f>
        <v>0</v>
      </c>
      <c r="Z189" s="15">
        <v>0</v>
      </c>
      <c r="AA189" s="15">
        <v>0</v>
      </c>
      <c r="AB189" s="15">
        <v>0</v>
      </c>
      <c r="AC189" s="15" cm="1">
        <f t="array" ref="AC189">_xlfn.XLOOKUP(1, (Table_SourceData_PastureBeef_FeedIntakeAdjustment_Variation[Breed]=$Z$158)*(Table_SourceData_PastureBeef_FeedIntakeAdjustment_Variation[Season]=$V189), Table_SourceData_PastureBeef_FeedIntakeAdjustment_Variation[Milk intake/production], 0)</f>
        <v>0</v>
      </c>
      <c r="AD189" s="15">
        <v>0</v>
      </c>
      <c r="AE189" s="15">
        <v>0</v>
      </c>
      <c r="AF189" s="15">
        <v>0</v>
      </c>
      <c r="AG189" s="16" t="s">
        <v>345</v>
      </c>
    </row>
    <row r="190" spans="1:34" ht="20.100000000000001" customHeight="1" x14ac:dyDescent="0.2">
      <c r="D190" s="115" t="s">
        <v>76</v>
      </c>
      <c r="E190" s="82" t="s">
        <v>325</v>
      </c>
      <c r="F190" s="82" t="s">
        <v>189</v>
      </c>
      <c r="G190" s="82" t="s">
        <v>326</v>
      </c>
      <c r="H190" s="82" t="s">
        <v>327</v>
      </c>
      <c r="I190" s="82" t="s">
        <v>328</v>
      </c>
      <c r="J190" s="82" t="s">
        <v>329</v>
      </c>
      <c r="K190" s="82" t="s">
        <v>330</v>
      </c>
      <c r="L190" s="82" t="s">
        <v>331</v>
      </c>
      <c r="M190" s="82" t="s">
        <v>332</v>
      </c>
      <c r="N190" s="82" t="s">
        <v>333</v>
      </c>
      <c r="U190" s="15" t="str">
        <f>TEXT(EDATE(X_Cell_Site_StartDate,10), "mmmm")</f>
        <v>November</v>
      </c>
      <c r="V190" s="15" t="str" cm="1">
        <f t="array" ref="V190">IFERROR(_xlfn.IFS(SUMPRODUCT(ISNUMBER(SEARCH(TRIM(_xlfn.TEXTSPLIT($U$92,",")),U190))*1)&gt;0,"Calving season",SUMPRODUCT(ISNUMBER(SEARCH(TRIM(_xlfn.TEXTSPLIT($U$93,",")),U190))*1)&gt;0,"Season after calving"), "")</f>
        <v>Season after calving</v>
      </c>
      <c r="W190" s="15" cm="1">
        <f t="array" ref="W190">_xlfn.XLOOKUP(1, (Table_SourceData_PastureBeef_FeedIntakeAdjustment_Variation[Breed]=$Z$158)*(Table_SourceData_PastureBeef_FeedIntakeAdjustment_Variation[Season]=$V190), Table_SourceData_PastureBeef_FeedIntakeAdjustment_Variation[Milk intake/production], 0)</f>
        <v>0</v>
      </c>
      <c r="X190" s="15">
        <v>0</v>
      </c>
      <c r="Y190" s="15" cm="1">
        <f t="array" ref="Y190">_xlfn.XLOOKUP(1, (Table_SourceData_PastureBeef_FeedIntakeAdjustment_Variation[Breed]=$Z$158)*(Table_SourceData_PastureBeef_FeedIntakeAdjustment_Variation[Season]=$V190), Table_SourceData_PastureBeef_FeedIntakeAdjustment_Variation[Milk intake/production], 0)</f>
        <v>0</v>
      </c>
      <c r="Z190" s="15">
        <v>0</v>
      </c>
      <c r="AA190" s="15">
        <v>0</v>
      </c>
      <c r="AB190" s="15">
        <v>0</v>
      </c>
      <c r="AC190" s="15" cm="1">
        <f t="array" ref="AC190">_xlfn.XLOOKUP(1, (Table_SourceData_PastureBeef_FeedIntakeAdjustment_Variation[Breed]=$Z$158)*(Table_SourceData_PastureBeef_FeedIntakeAdjustment_Variation[Season]=$V190), Table_SourceData_PastureBeef_FeedIntakeAdjustment_Variation[Milk intake/production], 0)</f>
        <v>0</v>
      </c>
      <c r="AD190" s="15">
        <v>0</v>
      </c>
      <c r="AE190" s="15">
        <v>0</v>
      </c>
      <c r="AF190" s="15">
        <v>0</v>
      </c>
      <c r="AG190" s="16" t="s">
        <v>345</v>
      </c>
    </row>
    <row r="191" spans="1:34" ht="20.100000000000001" customHeight="1" x14ac:dyDescent="0.2">
      <c r="A191" s="85" t="str">
        <f>HYPERLINK("#A1", "▲ Back to top")</f>
        <v>▲ Back to top</v>
      </c>
      <c r="D191" s="15" t="s">
        <v>334</v>
      </c>
      <c r="E191" s="15" cm="1">
        <f t="array" aca="1" ref="E191:N194" ca="1">OFFSET(X_Table_PastureBeef_Head_Method1, 1,1, 4,10)</f>
        <v>100</v>
      </c>
      <c r="F191" s="15">
        <f ca="1"/>
        <v>100</v>
      </c>
      <c r="G191" s="15">
        <f ca="1"/>
        <v>100</v>
      </c>
      <c r="H191" s="15">
        <f ca="1"/>
        <v>100</v>
      </c>
      <c r="I191" s="15">
        <f ca="1"/>
        <v>100</v>
      </c>
      <c r="J191" s="15">
        <f ca="1"/>
        <v>100</v>
      </c>
      <c r="K191" s="15">
        <f ca="1"/>
        <v>100</v>
      </c>
      <c r="L191" s="15">
        <f ca="1"/>
        <v>100</v>
      </c>
      <c r="M191" s="15">
        <f ca="1"/>
        <v>100</v>
      </c>
      <c r="N191" s="15">
        <f ca="1"/>
        <v>100</v>
      </c>
      <c r="O191" s="16" t="s">
        <v>426</v>
      </c>
      <c r="U191" s="15" t="str">
        <f>TEXT(EDATE(X_Cell_Site_StartDate,11), "mmmm")</f>
        <v>December</v>
      </c>
      <c r="V191" s="15" t="str" cm="1">
        <f t="array" ref="V191">IFERROR(_xlfn.IFS(SUMPRODUCT(ISNUMBER(SEARCH(TRIM(_xlfn.TEXTSPLIT($U$92,",")),U191))*1)&gt;0,"Calving season",SUMPRODUCT(ISNUMBER(SEARCH(TRIM(_xlfn.TEXTSPLIT($U$93,",")),U191))*1)&gt;0,"Season after calving"), "")</f>
        <v>Season after calving</v>
      </c>
      <c r="W191" s="15" cm="1">
        <f t="array" ref="W191">_xlfn.XLOOKUP(1, (Table_SourceData_PastureBeef_FeedIntakeAdjustment_Variation[Breed]=$Z$158)*(Table_SourceData_PastureBeef_FeedIntakeAdjustment_Variation[Season]=$V191), Table_SourceData_PastureBeef_FeedIntakeAdjustment_Variation[Milk intake/production], 0)</f>
        <v>0</v>
      </c>
      <c r="X191" s="15">
        <v>0</v>
      </c>
      <c r="Y191" s="15" cm="1">
        <f t="array" ref="Y191">_xlfn.XLOOKUP(1, (Table_SourceData_PastureBeef_FeedIntakeAdjustment_Variation[Breed]=$Z$158)*(Table_SourceData_PastureBeef_FeedIntakeAdjustment_Variation[Season]=$V191), Table_SourceData_PastureBeef_FeedIntakeAdjustment_Variation[Milk intake/production], 0)</f>
        <v>0</v>
      </c>
      <c r="Z191" s="15">
        <v>0</v>
      </c>
      <c r="AA191" s="15">
        <v>0</v>
      </c>
      <c r="AB191" s="15">
        <v>0</v>
      </c>
      <c r="AC191" s="15" cm="1">
        <f t="array" ref="AC191">_xlfn.XLOOKUP(1, (Table_SourceData_PastureBeef_FeedIntakeAdjustment_Variation[Breed]=$Z$158)*(Table_SourceData_PastureBeef_FeedIntakeAdjustment_Variation[Season]=$V191), Table_SourceData_PastureBeef_FeedIntakeAdjustment_Variation[Milk intake/production], 0)</f>
        <v>0</v>
      </c>
      <c r="AD191" s="15">
        <v>0</v>
      </c>
      <c r="AE191" s="15">
        <v>0</v>
      </c>
      <c r="AF191" s="15">
        <v>0</v>
      </c>
      <c r="AG191" s="16" t="s">
        <v>345</v>
      </c>
    </row>
    <row r="192" spans="1:34" ht="20.100000000000001" customHeight="1" x14ac:dyDescent="0.2">
      <c r="D192" s="15" t="s">
        <v>335</v>
      </c>
      <c r="E192" s="15">
        <f ca="1"/>
        <v>100</v>
      </c>
      <c r="F192" s="15">
        <f ca="1"/>
        <v>100</v>
      </c>
      <c r="G192" s="15">
        <f ca="1"/>
        <v>100</v>
      </c>
      <c r="H192" s="15">
        <f ca="1"/>
        <v>100</v>
      </c>
      <c r="I192" s="15">
        <f ca="1"/>
        <v>100</v>
      </c>
      <c r="J192" s="15">
        <f ca="1"/>
        <v>100</v>
      </c>
      <c r="K192" s="15">
        <f ca="1"/>
        <v>100</v>
      </c>
      <c r="L192" s="15">
        <f ca="1"/>
        <v>100</v>
      </c>
      <c r="M192" s="15">
        <f ca="1"/>
        <v>100</v>
      </c>
      <c r="N192" s="15">
        <f ca="1"/>
        <v>100</v>
      </c>
      <c r="O192" s="16" t="s">
        <v>426</v>
      </c>
    </row>
    <row r="193" spans="4:34" ht="20.100000000000001" customHeight="1" x14ac:dyDescent="0.2">
      <c r="D193" s="15" t="s">
        <v>336</v>
      </c>
      <c r="E193" s="15">
        <f ca="1"/>
        <v>100</v>
      </c>
      <c r="F193" s="15">
        <f ca="1"/>
        <v>100</v>
      </c>
      <c r="G193" s="15">
        <f ca="1"/>
        <v>100</v>
      </c>
      <c r="H193" s="15">
        <f ca="1"/>
        <v>100</v>
      </c>
      <c r="I193" s="15">
        <f ca="1"/>
        <v>100</v>
      </c>
      <c r="J193" s="15">
        <f ca="1"/>
        <v>100</v>
      </c>
      <c r="K193" s="15">
        <f ca="1"/>
        <v>100</v>
      </c>
      <c r="L193" s="15">
        <f ca="1"/>
        <v>100</v>
      </c>
      <c r="M193" s="15">
        <f ca="1"/>
        <v>100</v>
      </c>
      <c r="N193" s="15">
        <f ca="1"/>
        <v>100</v>
      </c>
      <c r="O193" s="16" t="s">
        <v>426</v>
      </c>
      <c r="U193" s="113" t="s">
        <v>469</v>
      </c>
    </row>
    <row r="194" spans="4:34" ht="20.100000000000001" customHeight="1" x14ac:dyDescent="0.2">
      <c r="D194" s="15" t="s">
        <v>337</v>
      </c>
      <c r="E194" s="15">
        <f ca="1"/>
        <v>100</v>
      </c>
      <c r="F194" s="15">
        <f ca="1"/>
        <v>100</v>
      </c>
      <c r="G194" s="15">
        <f ca="1"/>
        <v>100</v>
      </c>
      <c r="H194" s="15">
        <f ca="1"/>
        <v>100</v>
      </c>
      <c r="I194" s="15">
        <f ca="1"/>
        <v>100</v>
      </c>
      <c r="J194" s="15">
        <f ca="1"/>
        <v>100</v>
      </c>
      <c r="K194" s="15">
        <f ca="1"/>
        <v>100</v>
      </c>
      <c r="L194" s="15">
        <f ca="1"/>
        <v>100</v>
      </c>
      <c r="M194" s="15">
        <f ca="1"/>
        <v>100</v>
      </c>
      <c r="N194" s="15">
        <f ca="1"/>
        <v>100</v>
      </c>
      <c r="O194" s="16" t="s">
        <v>426</v>
      </c>
      <c r="U194" s="114" t="s">
        <v>470</v>
      </c>
    </row>
    <row r="195" spans="4:34" ht="20.100000000000001" customHeight="1" x14ac:dyDescent="0.2">
      <c r="U195" s="115" t="s">
        <v>75</v>
      </c>
      <c r="V195" s="115" t="s">
        <v>325</v>
      </c>
      <c r="W195" s="115" t="s">
        <v>189</v>
      </c>
      <c r="X195" s="115" t="s">
        <v>326</v>
      </c>
      <c r="Y195" s="115" t="s">
        <v>327</v>
      </c>
      <c r="Z195" s="115" t="s">
        <v>328</v>
      </c>
      <c r="AA195" s="115" t="s">
        <v>329</v>
      </c>
      <c r="AB195" s="115" t="s">
        <v>330</v>
      </c>
      <c r="AC195" s="115" t="s">
        <v>331</v>
      </c>
      <c r="AD195" s="115" t="s">
        <v>332</v>
      </c>
      <c r="AE195" s="115" t="s">
        <v>333</v>
      </c>
    </row>
    <row r="196" spans="4:34" ht="20.100000000000001" customHeight="1" x14ac:dyDescent="0.2">
      <c r="D196" s="113" t="s">
        <v>427</v>
      </c>
      <c r="U196" s="15" t="str">
        <f>TEXT(X_Cell_Site_StartDate,"mmmm")</f>
        <v>January</v>
      </c>
      <c r="V196" s="15">
        <f ca="1">(((V56 * V164) / 6.25) + ((0.032 * W180) / 6.38) - V136 - ((1.1 * 10 ^ -4 * V20 ^ 0.75) / 6.25))</f>
        <v>9.3275223802458812E-2</v>
      </c>
      <c r="W196" s="15">
        <f ca="1">(((W56 * W164) / 6.25) + ((0.032 * X180) / 6.38) - W136 - ((1.1 * 10 ^ -4 * W20 ^ 0.75) / 6.25))</f>
        <v>0.13601872675007995</v>
      </c>
      <c r="X196" s="15">
        <f ca="1">(((X56 * X164) / 6.25) + ((0.032 * Y180) / 6.38) - X136 - ((1.1 * 10 ^ -4 * X20 ^ 0.75) / 6.25))</f>
        <v>7.7811027960341214E-2</v>
      </c>
      <c r="Y196" s="15">
        <f ca="1">(((Y56 * Y164) / 6.25) + ((0.032 * Z180) / 6.38) - Y136 - ((1.1 * 10 ^ -4 * Y20 ^ 0.75) / 6.25))</f>
        <v>0.10103589494585365</v>
      </c>
      <c r="Z196" s="15">
        <f ca="1">(((Z56 * Z164) / 6.25) + ((0.032 * AA180) / 6.38) - Z136 - ((1.1 * 10 ^ -4 * Z20 ^ 0.75) / 6.25))</f>
        <v>0.10613051058639233</v>
      </c>
      <c r="AA196" s="15">
        <f ca="1">(((AA56 * AA164) / 6.25) + ((0.032 * AB180) / 6.38) - AA136 - ((1.1 * 10 ^ -4 * AA20 ^ 0.75) / 6.25))</f>
        <v>0.10613051058639233</v>
      </c>
      <c r="AB196" s="15">
        <f ca="1">(((AB56 * AB164) / 6.25) + ((0.032 * AC180) / 6.38) - AB136 - ((1.1 * 10 ^ -4 * AB20 ^ 0.75) / 6.25))</f>
        <v>8.562550571362422E-2</v>
      </c>
      <c r="AC196" s="15">
        <f ca="1">(((AC56 * AC164) / 6.25) + ((0.032 * AD180) / 6.38) - AC136 - ((1.1 * 10 ^ -4 * AC20 ^ 0.75) / 6.25))</f>
        <v>0.1054491491748196</v>
      </c>
      <c r="AD196" s="15">
        <f ca="1">(((AD56 * AD164) / 6.25) + ((0.032 * AE180) / 6.38) - AD136 - ((1.1 * 10 ^ -4 * AD20 ^ 0.75) / 6.25))</f>
        <v>0.1054491491748196</v>
      </c>
      <c r="AE196" s="15">
        <f ca="1">(((AE56 * AE164) / 6.25) + ((0.032 * AF180) / 6.38) - AE136 - ((1.1 * 10 ^ -4 * AE20 ^ 0.75) / 6.25))</f>
        <v>0.1054491491748196</v>
      </c>
      <c r="AF196" s="16" t="str">
        <f t="shared" ref="AF196:AF207" si="9">$E$140</f>
        <v>kg N/head/day</v>
      </c>
      <c r="AG196" s="16"/>
      <c r="AH196" s="16"/>
    </row>
    <row r="197" spans="4:34" ht="20.100000000000001" customHeight="1" x14ac:dyDescent="0.2">
      <c r="D197" s="114" t="s">
        <v>428</v>
      </c>
      <c r="U197" s="15" t="str">
        <f>TEXT(EDATE(X_Cell_Site_StartDate,1), "mmmm")</f>
        <v>February</v>
      </c>
      <c r="V197" s="15">
        <f ca="1">(((V57 * V165) / 6.25) + ((0.032 * W181) / 6.38) - V137 - ((1.1 * 10 ^ -4 * V21 ^ 0.75) / 6.25))</f>
        <v>9.3275223802458812E-2</v>
      </c>
      <c r="W197" s="15">
        <f ca="1">(((W57 * W165) / 6.25) + ((0.032 * X181) / 6.38) - W137 - ((1.1 * 10 ^ -4 * W21 ^ 0.75) / 6.25))</f>
        <v>0.13601872675007995</v>
      </c>
      <c r="X197" s="15">
        <f ca="1">(((X57 * X165) / 6.25) + ((0.032 * Y181) / 6.38) - X137 - ((1.1 * 10 ^ -4 * X21 ^ 0.75) / 6.25))</f>
        <v>7.7811027960341214E-2</v>
      </c>
      <c r="Y197" s="15">
        <f ca="1">(((Y57 * Y165) / 6.25) + ((0.032 * Z181) / 6.38) - Y137 - ((1.1 * 10 ^ -4 * Y21 ^ 0.75) / 6.25))</f>
        <v>0.10758035881234858</v>
      </c>
      <c r="Z197" s="15">
        <f ca="1">(((Z57 * Z165) / 6.25) + ((0.032 * AA181) / 6.38) - Z137 - ((1.1 * 10 ^ -4 * Z21 ^ 0.75) / 6.25))</f>
        <v>0.11276190880086426</v>
      </c>
      <c r="AA197" s="15">
        <f ca="1">(((AA57 * AA165) / 6.25) + ((0.032 * AB181) / 6.38) - AA137 - ((1.1 * 10 ^ -4 * AA21 ^ 0.75) / 6.25))</f>
        <v>0.11276190880086426</v>
      </c>
      <c r="AB197" s="15">
        <f ca="1">(((AB57 * AB165) / 6.25) + ((0.032 * AC181) / 6.38) - AB137 - ((1.1 * 10 ^ -4 * AB21 ^ 0.75) / 6.25))</f>
        <v>8.562550571362422E-2</v>
      </c>
      <c r="AC197" s="15">
        <f ca="1">(((AC57 * AC165) / 6.25) + ((0.032 * AD181) / 6.38) - AC137 - ((1.1 * 10 ^ -4 * AC21 ^ 0.75) / 6.25))</f>
        <v>0.1054491491748196</v>
      </c>
      <c r="AD197" s="15">
        <f ca="1">(((AD57 * AD165) / 6.25) + ((0.032 * AE181) / 6.38) - AD137 - ((1.1 * 10 ^ -4 * AD21 ^ 0.75) / 6.25))</f>
        <v>0.1054491491748196</v>
      </c>
      <c r="AE197" s="15">
        <f ca="1">(((AE57 * AE165) / 6.25) + ((0.032 * AF181) / 6.38) - AE137 - ((1.1 * 10 ^ -4 * AE21 ^ 0.75) / 6.25))</f>
        <v>0.1054491491748196</v>
      </c>
      <c r="AF197" s="16" t="str">
        <f t="shared" si="9"/>
        <v>kg N/head/day</v>
      </c>
      <c r="AG197" s="16"/>
      <c r="AH197" s="16"/>
    </row>
    <row r="198" spans="4:34" ht="20.100000000000001" customHeight="1" x14ac:dyDescent="0.2">
      <c r="D198" s="115" t="s">
        <v>76</v>
      </c>
      <c r="E198" s="82" t="s">
        <v>325</v>
      </c>
      <c r="F198" s="82" t="s">
        <v>189</v>
      </c>
      <c r="G198" s="82" t="s">
        <v>326</v>
      </c>
      <c r="H198" s="82" t="s">
        <v>327</v>
      </c>
      <c r="I198" s="82" t="s">
        <v>328</v>
      </c>
      <c r="J198" s="82" t="s">
        <v>329</v>
      </c>
      <c r="K198" s="82" t="s">
        <v>330</v>
      </c>
      <c r="L198" s="82" t="s">
        <v>331</v>
      </c>
      <c r="M198" s="82" t="s">
        <v>332</v>
      </c>
      <c r="N198" s="82" t="s">
        <v>333</v>
      </c>
      <c r="U198" s="15" t="str">
        <f>TEXT(EDATE(X_Cell_Site_StartDate,2), "mmmm")</f>
        <v>March</v>
      </c>
      <c r="V198" s="15">
        <f ca="1">(((V58 * V166) / 6.25) + ((0.032 * W182) / 6.38) - V138 - ((1.1 * 10 ^ -4 * V22 ^ 0.75) / 6.25))</f>
        <v>1.3490587405558481E-2</v>
      </c>
      <c r="W198" s="15">
        <f ca="1">(((W58 * W166) / 6.25) + ((0.032 * X182) / 6.38) - W138 - ((1.1 * 10 ^ -4 * W22 ^ 0.75) / 6.25))</f>
        <v>8.8133023634157495E-2</v>
      </c>
      <c r="X198" s="15">
        <f ca="1">(((X58 * X166) / 6.25) + ((0.032 * Y182) / 6.38) - X138 - ((1.1 * 10 ^ -4 * X22 ^ 0.75) / 6.25))</f>
        <v>1.1001898802853755E-2</v>
      </c>
      <c r="Y198" s="15">
        <f ca="1">(((Y58 * Y166) / 6.25) + ((0.032 * Z182) / 6.38) - Y138 - ((1.1 * 10 ^ -4 * Y22 ^ 0.75) / 6.25))</f>
        <v>5.2330323088884703E-2</v>
      </c>
      <c r="Z198" s="15">
        <f ca="1">(((Z58 * Z166) / 6.25) + ((0.032 * AA182) / 6.38) - Z138 - ((1.1 * 10 ^ -4 * Z22 ^ 0.75) / 6.25))</f>
        <v>6.9185083188389812E-2</v>
      </c>
      <c r="AA198" s="15">
        <f ca="1">(((AA58 * AA166) / 6.25) + ((0.032 * AB182) / 6.38) - AA138 - ((1.1 * 10 ^ -4 * AA22 ^ 0.75) / 6.25))</f>
        <v>6.9185083188389812E-2</v>
      </c>
      <c r="AB198" s="15">
        <f ca="1">(((AB58 * AB166) / 6.25) + ((0.032 * AC182) / 6.38) - AB138 - ((1.1 * 10 ^ -4 * AB22 ^ 0.75) / 6.25))</f>
        <v>1.3731587835013218E-2</v>
      </c>
      <c r="AC198" s="15">
        <f ca="1">(((AC58 * AC166) / 6.25) + ((0.032 * AD182) / 6.38) - AC138 - ((1.1 * 10 ^ -4 * AC22 ^ 0.75) / 6.25))</f>
        <v>5.520208336562428E-2</v>
      </c>
      <c r="AD198" s="15">
        <f ca="1">(((AD58 * AD166) / 6.25) + ((0.032 * AE182) / 6.38) - AD138 - ((1.1 * 10 ^ -4 * AD22 ^ 0.75) / 6.25))</f>
        <v>5.520208336562428E-2</v>
      </c>
      <c r="AE198" s="15">
        <f ca="1">(((AE58 * AE166) / 6.25) + ((0.032 * AF182) / 6.38) - AE138 - ((1.1 * 10 ^ -4 * AE22 ^ 0.75) / 6.25))</f>
        <v>5.520208336562428E-2</v>
      </c>
      <c r="AF198" s="16" t="str">
        <f t="shared" si="9"/>
        <v>kg N/head/day</v>
      </c>
      <c r="AG198" s="16"/>
      <c r="AH198" s="16"/>
    </row>
    <row r="199" spans="4:34" ht="20.100000000000001" customHeight="1" x14ac:dyDescent="0.2">
      <c r="D199" s="15" t="s">
        <v>334</v>
      </c>
      <c r="E199" s="15" cm="1">
        <f t="array" aca="1" ref="E199:N202" ca="1">OFFSET(X_Table_PastureBeef_Duration_Method1, 1,1, 4,10)</f>
        <v>91.25</v>
      </c>
      <c r="F199" s="15">
        <f ca="1"/>
        <v>91.25</v>
      </c>
      <c r="G199" s="15">
        <f ca="1"/>
        <v>91.25</v>
      </c>
      <c r="H199" s="15">
        <f ca="1"/>
        <v>91.25</v>
      </c>
      <c r="I199" s="15">
        <f ca="1"/>
        <v>91.25</v>
      </c>
      <c r="J199" s="15">
        <f ca="1"/>
        <v>91.25</v>
      </c>
      <c r="K199" s="15">
        <f ca="1"/>
        <v>91.25</v>
      </c>
      <c r="L199" s="15">
        <f ca="1"/>
        <v>91.25</v>
      </c>
      <c r="M199" s="15">
        <f ca="1"/>
        <v>91.25</v>
      </c>
      <c r="N199" s="15">
        <f ca="1"/>
        <v>91.25</v>
      </c>
      <c r="O199" s="16" t="s">
        <v>429</v>
      </c>
      <c r="U199" s="15" t="str">
        <f>TEXT(EDATE(X_Cell_Site_StartDate,3), "mmmm")</f>
        <v>April</v>
      </c>
      <c r="V199" s="15">
        <f ca="1">(((V59 * V167) / 6.25) + ((0.032 * W183) / 6.38) - V139 - ((1.1 * 10 ^ -4 * V23 ^ 0.75) / 6.25))</f>
        <v>1.3490587405558481E-2</v>
      </c>
      <c r="W199" s="15">
        <f ca="1">(((W59 * W167) / 6.25) + ((0.032 * X183) / 6.38) - W139 - ((1.1 * 10 ^ -4 * W23 ^ 0.75) / 6.25))</f>
        <v>8.8133023634157495E-2</v>
      </c>
      <c r="X199" s="15">
        <f ca="1">(((X59 * X167) / 6.25) + ((0.032 * Y183) / 6.38) - X139 - ((1.1 * 10 ^ -4 * X23 ^ 0.75) / 6.25))</f>
        <v>1.1001898802853755E-2</v>
      </c>
      <c r="Y199" s="15">
        <f ca="1">(((Y59 * Y167) / 6.25) + ((0.032 * Z183) / 6.38) - Y139 - ((1.1 * 10 ^ -4 * Y23 ^ 0.75) / 6.25))</f>
        <v>5.2330323088884703E-2</v>
      </c>
      <c r="Z199" s="15">
        <f ca="1">(((Z59 * Z167) / 6.25) + ((0.032 * AA183) / 6.38) - Z139 - ((1.1 * 10 ^ -4 * Z23 ^ 0.75) / 6.25))</f>
        <v>6.9185083188389812E-2</v>
      </c>
      <c r="AA199" s="15">
        <f ca="1">(((AA59 * AA167) / 6.25) + ((0.032 * AB183) / 6.38) - AA139 - ((1.1 * 10 ^ -4 * AA23 ^ 0.75) / 6.25))</f>
        <v>6.9185083188389812E-2</v>
      </c>
      <c r="AB199" s="15">
        <f ca="1">(((AB59 * AB167) / 6.25) + ((0.032 * AC183) / 6.38) - AB139 - ((1.1 * 10 ^ -4 * AB23 ^ 0.75) / 6.25))</f>
        <v>1.3731587835013218E-2</v>
      </c>
      <c r="AC199" s="15">
        <f ca="1">(((AC59 * AC167) / 6.25) + ((0.032 * AD183) / 6.38) - AC139 - ((1.1 * 10 ^ -4 * AC23 ^ 0.75) / 6.25))</f>
        <v>5.520208336562428E-2</v>
      </c>
      <c r="AD199" s="15">
        <f ca="1">(((AD59 * AD167) / 6.25) + ((0.032 * AE183) / 6.38) - AD139 - ((1.1 * 10 ^ -4 * AD23 ^ 0.75) / 6.25))</f>
        <v>5.520208336562428E-2</v>
      </c>
      <c r="AE199" s="15">
        <f ca="1">(((AE59 * AE167) / 6.25) + ((0.032 * AF183) / 6.38) - AE139 - ((1.1 * 10 ^ -4 * AE23 ^ 0.75) / 6.25))</f>
        <v>5.520208336562428E-2</v>
      </c>
      <c r="AF199" s="16" t="str">
        <f t="shared" si="9"/>
        <v>kg N/head/day</v>
      </c>
      <c r="AG199" s="16"/>
      <c r="AH199" s="16"/>
    </row>
    <row r="200" spans="4:34" ht="20.100000000000001" customHeight="1" x14ac:dyDescent="0.2">
      <c r="D200" s="15" t="s">
        <v>335</v>
      </c>
      <c r="E200" s="15">
        <f ca="1"/>
        <v>91.25</v>
      </c>
      <c r="F200" s="15">
        <f ca="1"/>
        <v>91.25</v>
      </c>
      <c r="G200" s="15">
        <f ca="1"/>
        <v>91.25</v>
      </c>
      <c r="H200" s="15">
        <f ca="1"/>
        <v>91.25</v>
      </c>
      <c r="I200" s="15">
        <f ca="1"/>
        <v>91.25</v>
      </c>
      <c r="J200" s="15">
        <f ca="1"/>
        <v>91.25</v>
      </c>
      <c r="K200" s="15">
        <f ca="1"/>
        <v>91.25</v>
      </c>
      <c r="L200" s="15">
        <f ca="1"/>
        <v>91.25</v>
      </c>
      <c r="M200" s="15">
        <f ca="1"/>
        <v>91.25</v>
      </c>
      <c r="N200" s="15">
        <f ca="1"/>
        <v>91.25</v>
      </c>
      <c r="O200" s="16" t="s">
        <v>429</v>
      </c>
      <c r="U200" s="15" t="str">
        <f>TEXT(EDATE(X_Cell_Site_StartDate,4), "mmmm")</f>
        <v>May</v>
      </c>
      <c r="V200" s="15">
        <f ca="1">(((V60 * V168) / 6.25) + ((0.032 * W184) / 6.38) - V140 - ((1.1 * 10 ^ -4 * V24 ^ 0.75) / 6.25))</f>
        <v>1.3490587405558481E-2</v>
      </c>
      <c r="W200" s="15">
        <f ca="1">(((W60 * W168) / 6.25) + ((0.032 * X184) / 6.38) - W140 - ((1.1 * 10 ^ -4 * W24 ^ 0.75) / 6.25))</f>
        <v>8.8133023634157495E-2</v>
      </c>
      <c r="X200" s="15">
        <f ca="1">(((X60 * X168) / 6.25) + ((0.032 * Y184) / 6.38) - X140 - ((1.1 * 10 ^ -4 * X24 ^ 0.75) / 6.25))</f>
        <v>1.1001898802853755E-2</v>
      </c>
      <c r="Y200" s="15">
        <f ca="1">(((Y60 * Y168) / 6.25) + ((0.032 * Z184) / 6.38) - Y140 - ((1.1 * 10 ^ -4 * Y24 ^ 0.75) / 6.25))</f>
        <v>5.2330323088884703E-2</v>
      </c>
      <c r="Z200" s="15">
        <f ca="1">(((Z60 * Z168) / 6.25) + ((0.032 * AA184) / 6.38) - Z140 - ((1.1 * 10 ^ -4 * Z24 ^ 0.75) / 6.25))</f>
        <v>6.9185083188389812E-2</v>
      </c>
      <c r="AA200" s="15">
        <f ca="1">(((AA60 * AA168) / 6.25) + ((0.032 * AB184) / 6.38) - AA140 - ((1.1 * 10 ^ -4 * AA24 ^ 0.75) / 6.25))</f>
        <v>6.9185083188389812E-2</v>
      </c>
      <c r="AB200" s="15">
        <f ca="1">(((AB60 * AB168) / 6.25) + ((0.032 * AC184) / 6.38) - AB140 - ((1.1 * 10 ^ -4 * AB24 ^ 0.75) / 6.25))</f>
        <v>1.3731587835013218E-2</v>
      </c>
      <c r="AC200" s="15">
        <f ca="1">(((AC60 * AC168) / 6.25) + ((0.032 * AD184) / 6.38) - AC140 - ((1.1 * 10 ^ -4 * AC24 ^ 0.75) / 6.25))</f>
        <v>5.520208336562428E-2</v>
      </c>
      <c r="AD200" s="15">
        <f ca="1">(((AD60 * AD168) / 6.25) + ((0.032 * AE184) / 6.38) - AD140 - ((1.1 * 10 ^ -4 * AD24 ^ 0.75) / 6.25))</f>
        <v>5.520208336562428E-2</v>
      </c>
      <c r="AE200" s="15">
        <f ca="1">(((AE60 * AE168) / 6.25) + ((0.032 * AF184) / 6.38) - AE140 - ((1.1 * 10 ^ -4 * AE24 ^ 0.75) / 6.25))</f>
        <v>5.520208336562428E-2</v>
      </c>
      <c r="AF200" s="16" t="str">
        <f t="shared" si="9"/>
        <v>kg N/head/day</v>
      </c>
      <c r="AG200" s="16"/>
      <c r="AH200" s="16"/>
    </row>
    <row r="201" spans="4:34" ht="20.100000000000001" customHeight="1" x14ac:dyDescent="0.2">
      <c r="D201" s="15" t="s">
        <v>336</v>
      </c>
      <c r="E201" s="15">
        <f ca="1"/>
        <v>91.25</v>
      </c>
      <c r="F201" s="15">
        <f ca="1"/>
        <v>91.25</v>
      </c>
      <c r="G201" s="15">
        <f ca="1"/>
        <v>91.25</v>
      </c>
      <c r="H201" s="15">
        <f ca="1"/>
        <v>91.25</v>
      </c>
      <c r="I201" s="15">
        <f ca="1"/>
        <v>91.25</v>
      </c>
      <c r="J201" s="15">
        <f ca="1"/>
        <v>91.25</v>
      </c>
      <c r="K201" s="15">
        <f ca="1"/>
        <v>91.25</v>
      </c>
      <c r="L201" s="15">
        <f ca="1"/>
        <v>91.25</v>
      </c>
      <c r="M201" s="15">
        <f ca="1"/>
        <v>91.25</v>
      </c>
      <c r="N201" s="15">
        <f ca="1"/>
        <v>91.25</v>
      </c>
      <c r="O201" s="16" t="s">
        <v>429</v>
      </c>
      <c r="U201" s="15" t="str">
        <f>TEXT(EDATE(X_Cell_Site_StartDate,5), "mmmm")</f>
        <v>June</v>
      </c>
      <c r="V201" s="15">
        <f ca="1">(((V61 * V169) / 6.25) + ((0.032 * W185) / 6.38) - V141 - ((1.1 * 10 ^ -4 * V25 ^ 0.75) / 6.25))</f>
        <v>0.13772737785106035</v>
      </c>
      <c r="W201" s="15">
        <f ca="1">(((W61 * W169) / 6.25) + ((0.032 * X185) / 6.38) - W141 - ((1.1 * 10 ^ -4 * W25 ^ 0.75) / 6.25))</f>
        <v>0.31425341534791917</v>
      </c>
      <c r="X201" s="15">
        <f ca="1">(((X61 * X169) / 6.25) + ((0.032 * Y185) / 6.38) - X141 - ((1.1 * 10 ^ -4 * X25 ^ 0.75) / 6.25))</f>
        <v>0.11430568530078369</v>
      </c>
      <c r="Y201" s="15">
        <f ca="1">(((Y61 * Y169) / 6.25) + ((0.032 * Z185) / 6.38) - Y141 - ((1.1 * 10 ^ -4 * Y25 ^ 0.75) / 6.25))</f>
        <v>0.18660765289897449</v>
      </c>
      <c r="Z201" s="15">
        <f ca="1">(((Z61 * Z169) / 6.25) + ((0.032 * AA185) / 6.38) - Z141 - ((1.1 * 10 ^ -4 * Z25 ^ 0.75) / 6.25))</f>
        <v>0.25135663949490661</v>
      </c>
      <c r="AA201" s="15">
        <f ca="1">(((AA61 * AA169) / 6.25) + ((0.032 * AB185) / 6.38) - AA141 - ((1.1 * 10 ^ -4 * AA25 ^ 0.75) / 6.25))</f>
        <v>0.25135663949490661</v>
      </c>
      <c r="AB201" s="15">
        <f ca="1">(((AB61 * AB169) / 6.25) + ((0.032 * AC185) / 6.38) - AB141 - ((1.1 * 10 ^ -4 * AB25 ^ 0.75) / 6.25))</f>
        <v>0.12380983067102717</v>
      </c>
      <c r="AC201" s="15">
        <f ca="1">(((AC61 * AC169) / 6.25) + ((0.032 * AD185) / 6.38) - AC141 - ((1.1 * 10 ^ -4 * AC25 ^ 0.75) / 6.25))</f>
        <v>0.21091009356426255</v>
      </c>
      <c r="AD201" s="15">
        <f ca="1">(((AD61 * AD169) / 6.25) + ((0.032 * AE185) / 6.38) - AD141 - ((1.1 * 10 ^ -4 * AD25 ^ 0.75) / 6.25))</f>
        <v>0.21091009356426255</v>
      </c>
      <c r="AE201" s="15">
        <f ca="1">(((AE61 * AE169) / 6.25) + ((0.032 * AF185) / 6.38) - AE141 - ((1.1 * 10 ^ -4 * AE25 ^ 0.75) / 6.25))</f>
        <v>0.21091009356426255</v>
      </c>
      <c r="AF201" s="16" t="str">
        <f t="shared" si="9"/>
        <v>kg N/head/day</v>
      </c>
      <c r="AG201" s="16"/>
      <c r="AH201" s="16"/>
    </row>
    <row r="202" spans="4:34" ht="20.100000000000001" customHeight="1" x14ac:dyDescent="0.2">
      <c r="D202" s="15" t="s">
        <v>337</v>
      </c>
      <c r="E202" s="15">
        <f ca="1"/>
        <v>91.25</v>
      </c>
      <c r="F202" s="15">
        <f ca="1"/>
        <v>91.25</v>
      </c>
      <c r="G202" s="15">
        <f ca="1"/>
        <v>91.25</v>
      </c>
      <c r="H202" s="15">
        <f ca="1"/>
        <v>91.25</v>
      </c>
      <c r="I202" s="15">
        <f ca="1"/>
        <v>91.25</v>
      </c>
      <c r="J202" s="15">
        <f ca="1"/>
        <v>91.25</v>
      </c>
      <c r="K202" s="15">
        <f ca="1"/>
        <v>91.25</v>
      </c>
      <c r="L202" s="15">
        <f ca="1"/>
        <v>91.25</v>
      </c>
      <c r="M202" s="15">
        <f ca="1"/>
        <v>91.25</v>
      </c>
      <c r="N202" s="15">
        <f ca="1"/>
        <v>91.25</v>
      </c>
      <c r="O202" s="16" t="s">
        <v>429</v>
      </c>
      <c r="U202" s="15" t="str">
        <f>TEXT(EDATE(X_Cell_Site_StartDate,6), "mmmm")</f>
        <v>July</v>
      </c>
      <c r="V202" s="15">
        <f ca="1">(((V62 * V170) / 6.25) + ((0.032 * W186) / 6.38) - V142 - ((1.1 * 10 ^ -4 * V26 ^ 0.75) / 6.25))</f>
        <v>0.13772737785106035</v>
      </c>
      <c r="W202" s="15">
        <f ca="1">(((W62 * W170) / 6.25) + ((0.032 * X186) / 6.38) - W142 - ((1.1 * 10 ^ -4 * W26 ^ 0.75) / 6.25))</f>
        <v>0.31425341534791917</v>
      </c>
      <c r="X202" s="15">
        <f ca="1">(((X62 * X170) / 6.25) + ((0.032 * Y186) / 6.38) - X142 - ((1.1 * 10 ^ -4 * X26 ^ 0.75) / 6.25))</f>
        <v>0.11430568530078369</v>
      </c>
      <c r="Y202" s="15">
        <f ca="1">(((Y62 * Y170) / 6.25) + ((0.032 * Z186) / 6.38) - Y142 - ((1.1 * 10 ^ -4 * Y26 ^ 0.75) / 6.25))</f>
        <v>0.18660765289897449</v>
      </c>
      <c r="Z202" s="15">
        <f ca="1">(((Z62 * Z170) / 6.25) + ((0.032 * AA186) / 6.38) - Z142 - ((1.1 * 10 ^ -4 * Z26 ^ 0.75) / 6.25))</f>
        <v>0.25135663949490661</v>
      </c>
      <c r="AA202" s="15">
        <f ca="1">(((AA62 * AA170) / 6.25) + ((0.032 * AB186) / 6.38) - AA142 - ((1.1 * 10 ^ -4 * AA26 ^ 0.75) / 6.25))</f>
        <v>0.25135663949490661</v>
      </c>
      <c r="AB202" s="15">
        <f ca="1">(((AB62 * AB170) / 6.25) + ((0.032 * AC186) / 6.38) - AB142 - ((1.1 * 10 ^ -4 * AB26 ^ 0.75) / 6.25))</f>
        <v>0.12380983067102717</v>
      </c>
      <c r="AC202" s="15">
        <f ca="1">(((AC62 * AC170) / 6.25) + ((0.032 * AD186) / 6.38) - AC142 - ((1.1 * 10 ^ -4 * AC26 ^ 0.75) / 6.25))</f>
        <v>0.21091009356426255</v>
      </c>
      <c r="AD202" s="15">
        <f ca="1">(((AD62 * AD170) / 6.25) + ((0.032 * AE186) / 6.38) - AD142 - ((1.1 * 10 ^ -4 * AD26 ^ 0.75) / 6.25))</f>
        <v>0.21091009356426255</v>
      </c>
      <c r="AE202" s="15">
        <f ca="1">(((AE62 * AE170) / 6.25) + ((0.032 * AF186) / 6.38) - AE142 - ((1.1 * 10 ^ -4 * AE26 ^ 0.75) / 6.25))</f>
        <v>0.21091009356426255</v>
      </c>
      <c r="AF202" s="16" t="str">
        <f t="shared" si="9"/>
        <v>kg N/head/day</v>
      </c>
      <c r="AG202" s="16"/>
      <c r="AH202" s="16"/>
    </row>
    <row r="203" spans="4:34" ht="20.100000000000001" customHeight="1" x14ac:dyDescent="0.2">
      <c r="U203" s="15" t="str">
        <f>TEXT(EDATE(X_Cell_Site_StartDate,7), "mmmm")</f>
        <v>August</v>
      </c>
      <c r="V203" s="15">
        <f ca="1">(((V63 * V171) / 6.25) + ((0.032 * W187) / 6.38) - V143 - ((1.1 * 10 ^ -4 * V27 ^ 0.75) / 6.25))</f>
        <v>0.13772737785106035</v>
      </c>
      <c r="W203" s="15">
        <f ca="1">(((W63 * W171) / 6.25) + ((0.032 * X187) / 6.38) - W143 - ((1.1 * 10 ^ -4 * W27 ^ 0.75) / 6.25))</f>
        <v>0.31425341534791917</v>
      </c>
      <c r="X203" s="15">
        <f ca="1">(((X63 * X171) / 6.25) + ((0.032 * Y187) / 6.38) - X143 - ((1.1 * 10 ^ -4 * X27 ^ 0.75) / 6.25))</f>
        <v>0.11430568530078369</v>
      </c>
      <c r="Y203" s="15">
        <f ca="1">(((Y63 * Y171) / 6.25) + ((0.032 * Z187) / 6.38) - Y143 - ((1.1 * 10 ^ -4 * Y27 ^ 0.75) / 6.25))</f>
        <v>0.20672431471923791</v>
      </c>
      <c r="Z203" s="15">
        <f ca="1">(((Z63 * Z171) / 6.25) + ((0.032 * AA187) / 6.38) - Z143 - ((1.1 * 10 ^ -4 * Z27 ^ 0.75) / 6.25))</f>
        <v>0.28604447282279805</v>
      </c>
      <c r="AA203" s="15">
        <f ca="1">(((AA63 * AA171) / 6.25) + ((0.032 * AB187) / 6.38) - AA143 - ((1.1 * 10 ^ -4 * AA27 ^ 0.75) / 6.25))</f>
        <v>0.28604447282279805</v>
      </c>
      <c r="AB203" s="15">
        <f ca="1">(((AB63 * AB171) / 6.25) + ((0.032 * AC187) / 6.38) - AB143 - ((1.1 * 10 ^ -4 * AB27 ^ 0.75) / 6.25))</f>
        <v>0.12380983067102717</v>
      </c>
      <c r="AC203" s="15">
        <f ca="1">(((AC63 * AC171) / 6.25) + ((0.032 * AD187) / 6.38) - AC143 - ((1.1 * 10 ^ -4 * AC27 ^ 0.75) / 6.25))</f>
        <v>0.21091009356426255</v>
      </c>
      <c r="AD203" s="15">
        <f ca="1">(((AD63 * AD171) / 6.25) + ((0.032 * AE187) / 6.38) - AD143 - ((1.1 * 10 ^ -4 * AD27 ^ 0.75) / 6.25))</f>
        <v>0.21091009356426255</v>
      </c>
      <c r="AE203" s="15">
        <f ca="1">(((AE63 * AE171) / 6.25) + ((0.032 * AF187) / 6.38) - AE143 - ((1.1 * 10 ^ -4 * AE27 ^ 0.75) / 6.25))</f>
        <v>0.21091009356426255</v>
      </c>
      <c r="AF203" s="16" t="str">
        <f t="shared" si="9"/>
        <v>kg N/head/day</v>
      </c>
      <c r="AG203" s="16"/>
      <c r="AH203" s="16"/>
    </row>
    <row r="204" spans="4:34" ht="20.100000000000001" customHeight="1" x14ac:dyDescent="0.2">
      <c r="D204" s="113" t="s">
        <v>471</v>
      </c>
      <c r="U204" s="15" t="str">
        <f>TEXT(EDATE(X_Cell_Site_StartDate,8), "mmmm")</f>
        <v>September</v>
      </c>
      <c r="V204" s="15">
        <f ca="1">(((V64 * V172) / 6.25) + ((0.032 * W188) / 6.38) - V144 - ((1.1 * 10 ^ -4 * V28 ^ 0.75) / 6.25))</f>
        <v>0.24344381993446509</v>
      </c>
      <c r="W204" s="15">
        <f ca="1">(((W64 * W172) / 6.25) + ((0.032 * X188) / 6.38) - W144 - ((1.1 * 10 ^ -4 * W28 ^ 0.75) / 6.25))</f>
        <v>0.37708133734232585</v>
      </c>
      <c r="X204" s="15">
        <f ca="1">(((X64 * X172) / 6.25) + ((0.032 * Y188) / 6.38) - X144 - ((1.1 * 10 ^ -4 * X28 ^ 0.75) / 6.25))</f>
        <v>0.18738546222332772</v>
      </c>
      <c r="Y204" s="15">
        <f ca="1">(((Y64 * Y172) / 6.25) + ((0.032 * Z188) / 6.38) - Y144 - ((1.1 * 10 ^ -4 * Y28 ^ 0.75) / 6.25))</f>
        <v>0.30316514016990781</v>
      </c>
      <c r="Z204" s="15">
        <f ca="1">(((Z64 * Z172) / 6.25) + ((0.032 * AA188) / 6.38) - Z144 - ((1.1 * 10 ^ -4 * Z28 ^ 0.75) / 6.25))</f>
        <v>0.3456004349071124</v>
      </c>
      <c r="AA204" s="15">
        <f ca="1">(((AA64 * AA172) / 6.25) + ((0.032 * AB188) / 6.38) - AA144 - ((1.1 * 10 ^ -4 * AA28 ^ 0.75) / 6.25))</f>
        <v>0.3456004349071124</v>
      </c>
      <c r="AB204" s="15">
        <f ca="1">(((AB64 * AB172) / 6.25) + ((0.032 * AC188) / 6.38) - AB144 - ((1.1 * 10 ^ -4 * AB28 ^ 0.75) / 6.25))</f>
        <v>0.21483586989835565</v>
      </c>
      <c r="AC204" s="15">
        <f ca="1">(((AC64 * AC172) / 6.25) + ((0.032 * AD188) / 6.38) - AC144 - ((1.1 * 10 ^ -4 * AC28 ^ 0.75) / 6.25))</f>
        <v>0.2934676863299529</v>
      </c>
      <c r="AD204" s="15">
        <f ca="1">(((AD64 * AD172) / 6.25) + ((0.032 * AE188) / 6.38) - AD144 - ((1.1 * 10 ^ -4 * AD28 ^ 0.75) / 6.25))</f>
        <v>0.2934676863299529</v>
      </c>
      <c r="AE204" s="15">
        <f ca="1">(((AE64 * AE172) / 6.25) + ((0.032 * AF188) / 6.38) - AE144 - ((1.1 * 10 ^ -4 * AE28 ^ 0.75) / 6.25))</f>
        <v>0.2934676863299529</v>
      </c>
      <c r="AF204" s="16" t="str">
        <f t="shared" si="9"/>
        <v>kg N/head/day</v>
      </c>
      <c r="AG204" s="16"/>
      <c r="AH204" s="16"/>
    </row>
    <row r="205" spans="4:34" ht="20.100000000000001" customHeight="1" x14ac:dyDescent="0.2">
      <c r="D205" s="114" t="s">
        <v>472</v>
      </c>
      <c r="U205" s="15" t="str">
        <f>TEXT(EDATE(X_Cell_Site_StartDate,9), "mmmm")</f>
        <v>October</v>
      </c>
      <c r="V205" s="15">
        <f ca="1">(((V65 * V173) / 6.25) + ((0.032 * W189) / 6.38) - V145 - ((1.1 * 10 ^ -4 * V29 ^ 0.75) / 6.25))</f>
        <v>0.24344381993446509</v>
      </c>
      <c r="W205" s="15">
        <f ca="1">(((W65 * W173) / 6.25) + ((0.032 * X189) / 6.38) - W145 - ((1.1 * 10 ^ -4 * W29 ^ 0.75) / 6.25))</f>
        <v>0.37708133734232585</v>
      </c>
      <c r="X205" s="15">
        <f ca="1">(((X65 * X173) / 6.25) + ((0.032 * Y189) / 6.38) - X145 - ((1.1 * 10 ^ -4 * X29 ^ 0.75) / 6.25))</f>
        <v>0.18738546222332772</v>
      </c>
      <c r="Y205" s="15">
        <f ca="1">(((Y65 * Y173) / 6.25) + ((0.032 * Z189) / 6.38) - Y145 - ((1.1 * 10 ^ -4 * Y29 ^ 0.75) / 6.25))</f>
        <v>0.30316514016990781</v>
      </c>
      <c r="Z205" s="15">
        <f ca="1">(((Z65 * Z173) / 6.25) + ((0.032 * AA189) / 6.38) - Z145 - ((1.1 * 10 ^ -4 * Z29 ^ 0.75) / 6.25))</f>
        <v>0.3456004349071124</v>
      </c>
      <c r="AA205" s="15">
        <f ca="1">(((AA65 * AA173) / 6.25) + ((0.032 * AB189) / 6.38) - AA145 - ((1.1 * 10 ^ -4 * AA29 ^ 0.75) / 6.25))</f>
        <v>0.3456004349071124</v>
      </c>
      <c r="AB205" s="15">
        <f ca="1">(((AB65 * AB173) / 6.25) + ((0.032 * AC189) / 6.38) - AB145 - ((1.1 * 10 ^ -4 * AB29 ^ 0.75) / 6.25))</f>
        <v>0.21483586989835565</v>
      </c>
      <c r="AC205" s="15">
        <f ca="1">(((AC65 * AC173) / 6.25) + ((0.032 * AD189) / 6.38) - AC145 - ((1.1 * 10 ^ -4 * AC29 ^ 0.75) / 6.25))</f>
        <v>0.2934676863299529</v>
      </c>
      <c r="AD205" s="15">
        <f ca="1">(((AD65 * AD173) / 6.25) + ((0.032 * AE189) / 6.38) - AD145 - ((1.1 * 10 ^ -4 * AD29 ^ 0.75) / 6.25))</f>
        <v>0.2934676863299529</v>
      </c>
      <c r="AE205" s="15">
        <f ca="1">(((AE65 * AE173) / 6.25) + ((0.032 * AF189) / 6.38) - AE145 - ((1.1 * 10 ^ -4 * AE29 ^ 0.75) / 6.25))</f>
        <v>0.2934676863299529</v>
      </c>
      <c r="AF205" s="16" t="str">
        <f t="shared" si="9"/>
        <v>kg N/head/day</v>
      </c>
      <c r="AG205" s="16"/>
      <c r="AH205" s="16"/>
    </row>
    <row r="206" spans="4:34" ht="20.100000000000001" customHeight="1" x14ac:dyDescent="0.2">
      <c r="D206" s="115" t="s">
        <v>76</v>
      </c>
      <c r="E206" s="115" t="s">
        <v>325</v>
      </c>
      <c r="F206" s="115" t="s">
        <v>189</v>
      </c>
      <c r="G206" s="115" t="s">
        <v>326</v>
      </c>
      <c r="H206" s="115" t="s">
        <v>327</v>
      </c>
      <c r="I206" s="115" t="s">
        <v>328</v>
      </c>
      <c r="J206" s="115" t="s">
        <v>329</v>
      </c>
      <c r="K206" s="115" t="s">
        <v>330</v>
      </c>
      <c r="L206" s="115" t="s">
        <v>331</v>
      </c>
      <c r="M206" s="115" t="s">
        <v>332</v>
      </c>
      <c r="N206" s="115" t="s">
        <v>333</v>
      </c>
      <c r="U206" s="15" t="str">
        <f>TEXT(EDATE(X_Cell_Site_StartDate,10), "mmmm")</f>
        <v>November</v>
      </c>
      <c r="V206" s="15">
        <f ca="1">(((V66 * V174) / 6.25) + ((0.032 * W190) / 6.38) - V146 - ((1.1 * 10 ^ -4 * V30 ^ 0.75) / 6.25))</f>
        <v>0.24344381993446509</v>
      </c>
      <c r="W206" s="15">
        <f ca="1">(((W66 * W174) / 6.25) + ((0.032 * X190) / 6.38) - W146 - ((1.1 * 10 ^ -4 * W30 ^ 0.75) / 6.25))</f>
        <v>0.37708133734232585</v>
      </c>
      <c r="X206" s="15">
        <f ca="1">(((X66 * X174) / 6.25) + ((0.032 * Y190) / 6.38) - X146 - ((1.1 * 10 ^ -4 * X30 ^ 0.75) / 6.25))</f>
        <v>0.18738546222332772</v>
      </c>
      <c r="Y206" s="15">
        <f ca="1">(((Y66 * Y174) / 6.25) + ((0.032 * Z190) / 6.38) - Y146 - ((1.1 * 10 ^ -4 * Y30 ^ 0.75) / 6.25))</f>
        <v>0.26903566847628974</v>
      </c>
      <c r="Z206" s="15">
        <f ca="1">(((Z66 * Z174) / 6.25) + ((0.032 * AA190) / 6.38) - Z146 - ((1.1 * 10 ^ -4 * Z30 ^ 0.75) / 6.25))</f>
        <v>0.30689114439091625</v>
      </c>
      <c r="AA206" s="15">
        <f ca="1">(((AA66 * AA174) / 6.25) + ((0.032 * AB190) / 6.38) - AA146 - ((1.1 * 10 ^ -4 * AA30 ^ 0.75) / 6.25))</f>
        <v>0.30689114439091625</v>
      </c>
      <c r="AB206" s="15">
        <f ca="1">(((AB66 * AB174) / 6.25) + ((0.032 * AC190) / 6.38) - AB146 - ((1.1 * 10 ^ -4 * AB30 ^ 0.75) / 6.25))</f>
        <v>0.21483586989835565</v>
      </c>
      <c r="AC206" s="15">
        <f ca="1">(((AC66 * AC174) / 6.25) + ((0.032 * AD190) / 6.38) - AC146 - ((1.1 * 10 ^ -4 * AC30 ^ 0.75) / 6.25))</f>
        <v>0.2934676863299529</v>
      </c>
      <c r="AD206" s="15">
        <f ca="1">(((AD66 * AD174) / 6.25) + ((0.032 * AE190) / 6.38) - AD146 - ((1.1 * 10 ^ -4 * AD30 ^ 0.75) / 6.25))</f>
        <v>0.2934676863299529</v>
      </c>
      <c r="AE206" s="15">
        <f ca="1">(((AE66 * AE174) / 6.25) + ((0.032 * AF190) / 6.38) - AE146 - ((1.1 * 10 ^ -4 * AE30 ^ 0.75) / 6.25))</f>
        <v>0.2934676863299529</v>
      </c>
      <c r="AF206" s="16" t="str">
        <f t="shared" si="9"/>
        <v>kg N/head/day</v>
      </c>
      <c r="AG206" s="16"/>
      <c r="AH206" s="16"/>
    </row>
    <row r="207" spans="4:34" ht="20.100000000000001" customHeight="1" x14ac:dyDescent="0.2">
      <c r="D207" s="15" t="s">
        <v>334</v>
      </c>
      <c r="E207" s="15">
        <f ca="1">(SUM((E191 * E169) * E199))</f>
        <v>2404.4969572154741</v>
      </c>
      <c r="F207" s="15">
        <f ca="1">(SUM((F191 * F169) * F199))</f>
        <v>3440.8672032487229</v>
      </c>
      <c r="G207" s="15">
        <f ca="1">(SUM((G191 * G169) * G199))</f>
        <v>1892.9644431013451</v>
      </c>
      <c r="H207" s="15">
        <f ca="1">(SUM((H191 * H169) * H199))</f>
        <v>2527.4513243321207</v>
      </c>
      <c r="I207" s="15">
        <f ca="1">(SUM((I191 * I169) * I199))</f>
        <v>3113.3367829114491</v>
      </c>
      <c r="J207" s="15">
        <f ca="1">(SUM((J191 * J169) * J199))</f>
        <v>3113.3367829114491</v>
      </c>
      <c r="K207" s="15">
        <f ca="1">(SUM((K191 * K169) * K199))</f>
        <v>2143.4494131359747</v>
      </c>
      <c r="L207" s="15">
        <f ca="1">(SUM((L191 * L169) * L199))</f>
        <v>2677.89263776082</v>
      </c>
      <c r="M207" s="15">
        <f ca="1">(SUM((M191 * M169) * M199))</f>
        <v>2677.89263776082</v>
      </c>
      <c r="N207" s="15">
        <f ca="1">(SUM((N191 * N169) * N199))</f>
        <v>2677.89263776082</v>
      </c>
      <c r="O207" s="16" t="str">
        <f>$E$182</f>
        <v>kg N</v>
      </c>
      <c r="U207" s="15" t="str">
        <f>TEXT(EDATE(X_Cell_Site_StartDate,11), "mmmm")</f>
        <v>December</v>
      </c>
      <c r="V207" s="15">
        <f ca="1">(((V67 * V175) / 6.25) + ((0.032 * W191) / 6.38) - V147 - ((1.1 * 10 ^ -4 * V31 ^ 0.75) / 6.25))</f>
        <v>9.3275223802458812E-2</v>
      </c>
      <c r="W207" s="15">
        <f ca="1">(((W67 * W175) / 6.25) + ((0.032 * X191) / 6.38) - W147 - ((1.1 * 10 ^ -4 * W31 ^ 0.75) / 6.25))</f>
        <v>0.13601872675007995</v>
      </c>
      <c r="X207" s="15">
        <f ca="1">(((X67 * X175) / 6.25) + ((0.032 * Y191) / 6.38) - X147 - ((1.1 * 10 ^ -4 * X31 ^ 0.75) / 6.25))</f>
        <v>7.7811027960341214E-2</v>
      </c>
      <c r="Y207" s="15">
        <f ca="1">(((Y67 * Y175) / 6.25) + ((0.032 * Z191) / 6.38) - Y147 - ((1.1 * 10 ^ -4 * Y31 ^ 0.75) / 6.25))</f>
        <v>0.10103589494585365</v>
      </c>
      <c r="Z207" s="15">
        <f ca="1">(((Z67 * Z175) / 6.25) + ((0.032 * AA191) / 6.38) - Z147 - ((1.1 * 10 ^ -4 * Z31 ^ 0.75) / 6.25))</f>
        <v>0.10613051058639233</v>
      </c>
      <c r="AA207" s="15">
        <f ca="1">(((AA67 * AA175) / 6.25) + ((0.032 * AB191) / 6.38) - AA147 - ((1.1 * 10 ^ -4 * AA31 ^ 0.75) / 6.25))</f>
        <v>0.10613051058639233</v>
      </c>
      <c r="AB207" s="15">
        <f ca="1">(((AB67 * AB175) / 6.25) + ((0.032 * AC191) / 6.38) - AB147 - ((1.1 * 10 ^ -4 * AB31 ^ 0.75) / 6.25))</f>
        <v>8.562550571362422E-2</v>
      </c>
      <c r="AC207" s="15">
        <f ca="1">(((AC67 * AC175) / 6.25) + ((0.032 * AD191) / 6.38) - AC147 - ((1.1 * 10 ^ -4 * AC31 ^ 0.75) / 6.25))</f>
        <v>0.1054491491748196</v>
      </c>
      <c r="AD207" s="15">
        <f ca="1">(((AD67 * AD175) / 6.25) + ((0.032 * AE191) / 6.38) - AD147 - ((1.1 * 10 ^ -4 * AD31 ^ 0.75) / 6.25))</f>
        <v>0.1054491491748196</v>
      </c>
      <c r="AE207" s="15">
        <f ca="1">(((AE67 * AE175) / 6.25) + ((0.032 * AF191) / 6.38) - AE147 - ((1.1 * 10 ^ -4 * AE31 ^ 0.75) / 6.25))</f>
        <v>0.1054491491748196</v>
      </c>
      <c r="AF207" s="16" t="str">
        <f t="shared" si="9"/>
        <v>kg N/head/day</v>
      </c>
      <c r="AG207" s="16"/>
      <c r="AH207" s="16"/>
    </row>
    <row r="208" spans="4:34" ht="20.100000000000001" customHeight="1" x14ac:dyDescent="0.2">
      <c r="D208" s="15" t="s">
        <v>335</v>
      </c>
      <c r="E208" s="15">
        <f ca="1">(SUM((E192 * E170) * E200))</f>
        <v>851.13641719743669</v>
      </c>
      <c r="F208" s="15">
        <f ca="1">(SUM((F192 * F170) * F200))</f>
        <v>1241.1708815944794</v>
      </c>
      <c r="G208" s="15">
        <f ca="1">(SUM((G192 * G170) * G200))</f>
        <v>710.02563013811357</v>
      </c>
      <c r="H208" s="15">
        <f ca="1">(SUM((H192 * H170) * H200))</f>
        <v>1023.0498901377973</v>
      </c>
      <c r="I208" s="15">
        <f ca="1">(SUM((I192 * I170) * I200))</f>
        <v>1069.9084532895147</v>
      </c>
      <c r="J208" s="15">
        <f ca="1">(SUM((J192 * J170) * J200))</f>
        <v>1069.9084532895147</v>
      </c>
      <c r="K208" s="15">
        <f ca="1">(SUM((K192 * K170) * K200))</f>
        <v>781.33273963682097</v>
      </c>
      <c r="L208" s="15">
        <f ca="1">(SUM((L192 * L170) * L200))</f>
        <v>962.22348622022878</v>
      </c>
      <c r="M208" s="15">
        <f ca="1">(SUM((M192 * M170) * M200))</f>
        <v>962.22348622022878</v>
      </c>
      <c r="N208" s="15">
        <f ca="1">(SUM((N192 * N170) * N200))</f>
        <v>962.22348622022878</v>
      </c>
      <c r="O208" s="16" t="str">
        <f>$E$182</f>
        <v>kg N</v>
      </c>
    </row>
    <row r="209" spans="1:35" ht="20.100000000000001" customHeight="1" x14ac:dyDescent="0.2">
      <c r="D209" s="15" t="s">
        <v>336</v>
      </c>
      <c r="E209" s="15">
        <f ca="1">(SUM((E193 * E171) * E201))</f>
        <v>123.10161007572114</v>
      </c>
      <c r="F209" s="15">
        <f ca="1">(SUM((F193 * F171) * F201))</f>
        <v>804.21384066168707</v>
      </c>
      <c r="G209" s="15">
        <f ca="1">(SUM((G193 * G171) * G201))</f>
        <v>100.39232657604052</v>
      </c>
      <c r="H209" s="15">
        <f ca="1">(SUM((H193 * H171) * H201))</f>
        <v>482.73952559655532</v>
      </c>
      <c r="I209" s="15">
        <f ca="1">(SUM((I193 * I171) * I201))</f>
        <v>631.31388409405702</v>
      </c>
      <c r="J209" s="15">
        <f ca="1">(SUM((J193 * J171) * J201))</f>
        <v>631.31388409405702</v>
      </c>
      <c r="K209" s="15">
        <f ca="1">(SUM((K193 * K171) * K201))</f>
        <v>125.30073899449563</v>
      </c>
      <c r="L209" s="15">
        <f ca="1">(SUM((L193 * L171) * L201))</f>
        <v>503.71901071132157</v>
      </c>
      <c r="M209" s="15">
        <f ca="1">(SUM((M193 * M171) * M201))</f>
        <v>503.71901071132157</v>
      </c>
      <c r="N209" s="15">
        <f ca="1">(SUM((N193 * N171) * N201))</f>
        <v>503.71901071132157</v>
      </c>
      <c r="O209" s="16" t="str">
        <f>$E$182</f>
        <v>kg N</v>
      </c>
    </row>
    <row r="210" spans="1:35" ht="20.100000000000001" customHeight="1" x14ac:dyDescent="0.2">
      <c r="D210" s="15" t="s">
        <v>337</v>
      </c>
      <c r="E210" s="15">
        <f ca="1">(SUM((E194 * E172) * E202))</f>
        <v>1531.3704733611453</v>
      </c>
      <c r="F210" s="15">
        <f ca="1">(SUM((F194 * F172) * F202))</f>
        <v>2867.5624150497624</v>
      </c>
      <c r="G210" s="15">
        <f ca="1">(SUM((G194 * G172) * G202))</f>
        <v>1317.647528839871</v>
      </c>
      <c r="H210" s="15">
        <f ca="1">(SUM((H194 * H172) * H202))</f>
        <v>1874.1217358723854</v>
      </c>
      <c r="I210" s="15">
        <f ca="1">(SUM((I194 * I172) * I202))</f>
        <v>2504.6469881356957</v>
      </c>
      <c r="J210" s="15">
        <f ca="1">(SUM((J194 * J172) * J202))</f>
        <v>2504.6469881356957</v>
      </c>
      <c r="K210" s="15">
        <f ca="1">(SUM((K194 * K172) * K202))</f>
        <v>1404.3728553433427</v>
      </c>
      <c r="L210" s="15">
        <f ca="1">(SUM((L194 * L172) * L202))</f>
        <v>1924.5546037738959</v>
      </c>
      <c r="M210" s="15">
        <f ca="1">(SUM((M194 * M172) * M202))</f>
        <v>1924.5546037738959</v>
      </c>
      <c r="N210" s="15">
        <f ca="1">(SUM((N194 * N172) * N202))</f>
        <v>1924.5546037738959</v>
      </c>
      <c r="O210" s="16" t="str">
        <f>$E$182</f>
        <v>kg N</v>
      </c>
      <c r="T210" s="88"/>
      <c r="U210" s="88"/>
      <c r="V210" s="88"/>
      <c r="W210" s="88"/>
      <c r="X210" s="88"/>
      <c r="Y210" s="88"/>
      <c r="Z210" s="88"/>
      <c r="AA210" s="88"/>
      <c r="AB210" s="88"/>
      <c r="AC210" s="88"/>
      <c r="AD210" s="88"/>
      <c r="AE210" s="88"/>
      <c r="AF210" s="88"/>
      <c r="AG210" s="88"/>
      <c r="AH210" s="88"/>
      <c r="AI210" s="88"/>
    </row>
    <row r="211" spans="1:35" ht="20.100000000000001" customHeight="1" x14ac:dyDescent="0.2">
      <c r="U211" s="2" t="s">
        <v>1432</v>
      </c>
    </row>
    <row r="212" spans="1:35" ht="20.100000000000001" customHeight="1" x14ac:dyDescent="0.2">
      <c r="D212" s="94" t="s">
        <v>473</v>
      </c>
      <c r="E212" s="88">
        <f ca="1">SUM(E207:N210)</f>
        <v>60490.349382369524</v>
      </c>
      <c r="F212" s="95" t="str">
        <f>E182</f>
        <v>kg N</v>
      </c>
    </row>
    <row r="213" spans="1:35" ht="20.100000000000001" customHeight="1" x14ac:dyDescent="0.2">
      <c r="U213" s="113" t="s">
        <v>423</v>
      </c>
    </row>
    <row r="214" spans="1:35" ht="20.100000000000001" customHeight="1" x14ac:dyDescent="0.2">
      <c r="U214" s="114" t="s">
        <v>425</v>
      </c>
    </row>
    <row r="215" spans="1:35" ht="20.100000000000001" customHeight="1" x14ac:dyDescent="0.2">
      <c r="C215" s="88"/>
      <c r="D215" s="88"/>
      <c r="E215" s="88"/>
      <c r="F215" s="88"/>
      <c r="G215" s="88"/>
      <c r="H215" s="88"/>
      <c r="I215" s="88"/>
      <c r="J215" s="88"/>
      <c r="K215" s="88"/>
      <c r="L215" s="88"/>
      <c r="M215" s="88"/>
      <c r="N215" s="88"/>
      <c r="O215" s="88"/>
      <c r="P215" s="88"/>
      <c r="Q215" s="88"/>
      <c r="R215" s="88"/>
      <c r="U215" s="115" t="s">
        <v>75</v>
      </c>
      <c r="V215" s="82" t="s">
        <v>325</v>
      </c>
      <c r="W215" s="82" t="s">
        <v>189</v>
      </c>
      <c r="X215" s="82" t="s">
        <v>326</v>
      </c>
      <c r="Y215" s="82" t="s">
        <v>327</v>
      </c>
      <c r="Z215" s="82" t="s">
        <v>328</v>
      </c>
      <c r="AA215" s="82" t="s">
        <v>329</v>
      </c>
      <c r="AB215" s="82" t="s">
        <v>330</v>
      </c>
      <c r="AC215" s="82" t="s">
        <v>331</v>
      </c>
      <c r="AD215" s="82" t="s">
        <v>332</v>
      </c>
      <c r="AE215" s="82" t="s">
        <v>333</v>
      </c>
    </row>
    <row r="216" spans="1:35" ht="20.100000000000001" customHeight="1" x14ac:dyDescent="0.2">
      <c r="D216" s="2" t="s">
        <v>1438</v>
      </c>
      <c r="U216" s="15" t="str">
        <f>TEXT(X_Cell_Site_StartDate,"mmmm")</f>
        <v>January</v>
      </c>
      <c r="V216" s="15" cm="1">
        <f t="array" aca="1" ref="V216:AE227" ca="1">OFFSET(X_Table_PastureBeef_Head_Method2, 1,1, 12,10)</f>
        <v>100</v>
      </c>
      <c r="W216" s="15">
        <f ca="1"/>
        <v>100</v>
      </c>
      <c r="X216" s="15">
        <f ca="1"/>
        <v>100</v>
      </c>
      <c r="Y216" s="15">
        <f ca="1"/>
        <v>100</v>
      </c>
      <c r="Z216" s="15">
        <f ca="1"/>
        <v>100</v>
      </c>
      <c r="AA216" s="15">
        <f ca="1"/>
        <v>100</v>
      </c>
      <c r="AB216" s="15">
        <f ca="1"/>
        <v>100</v>
      </c>
      <c r="AC216" s="15">
        <f ca="1"/>
        <v>100</v>
      </c>
      <c r="AD216" s="15">
        <f ca="1"/>
        <v>100</v>
      </c>
      <c r="AE216" s="15">
        <f ca="1"/>
        <v>100</v>
      </c>
      <c r="AF216" s="16" t="s">
        <v>426</v>
      </c>
      <c r="AG216" s="16"/>
      <c r="AH216" s="16"/>
    </row>
    <row r="217" spans="1:35" ht="20.100000000000001" customHeight="1" x14ac:dyDescent="0.2">
      <c r="D217" s="17" t="s">
        <v>1439</v>
      </c>
      <c r="U217" s="15" t="str">
        <f>TEXT(EDATE(X_Cell_Site_StartDate,1), "mmmm")</f>
        <v>February</v>
      </c>
      <c r="V217" s="15">
        <f ca="1"/>
        <v>100</v>
      </c>
      <c r="W217" s="15">
        <f ca="1"/>
        <v>100</v>
      </c>
      <c r="X217" s="15">
        <f ca="1"/>
        <v>100</v>
      </c>
      <c r="Y217" s="15">
        <f ca="1"/>
        <v>100</v>
      </c>
      <c r="Z217" s="15">
        <f ca="1"/>
        <v>100</v>
      </c>
      <c r="AA217" s="15">
        <f ca="1"/>
        <v>100</v>
      </c>
      <c r="AB217" s="15">
        <f ca="1"/>
        <v>100</v>
      </c>
      <c r="AC217" s="15">
        <f ca="1"/>
        <v>100</v>
      </c>
      <c r="AD217" s="15">
        <f ca="1"/>
        <v>100</v>
      </c>
      <c r="AE217" s="15">
        <f ca="1"/>
        <v>100</v>
      </c>
      <c r="AF217" s="16" t="s">
        <v>426</v>
      </c>
      <c r="AG217" s="16"/>
      <c r="AH217" s="16"/>
    </row>
    <row r="218" spans="1:35" ht="20.100000000000001" customHeight="1" x14ac:dyDescent="0.2">
      <c r="D218" s="104"/>
      <c r="E218" s="104"/>
      <c r="U218" s="15" t="str">
        <f>TEXT(EDATE(X_Cell_Site_StartDate,2), "mmmm")</f>
        <v>March</v>
      </c>
      <c r="V218" s="15">
        <f ca="1"/>
        <v>100</v>
      </c>
      <c r="W218" s="15">
        <f ca="1"/>
        <v>100</v>
      </c>
      <c r="X218" s="15">
        <f ca="1"/>
        <v>100</v>
      </c>
      <c r="Y218" s="15">
        <f ca="1"/>
        <v>100</v>
      </c>
      <c r="Z218" s="15">
        <f ca="1"/>
        <v>100</v>
      </c>
      <c r="AA218" s="15">
        <f ca="1"/>
        <v>100</v>
      </c>
      <c r="AB218" s="15">
        <f ca="1"/>
        <v>100</v>
      </c>
      <c r="AC218" s="15">
        <f ca="1"/>
        <v>100</v>
      </c>
      <c r="AD218" s="15">
        <f ca="1"/>
        <v>100</v>
      </c>
      <c r="AE218" s="15">
        <f ca="1"/>
        <v>100</v>
      </c>
      <c r="AF218" s="16" t="s">
        <v>426</v>
      </c>
      <c r="AG218" s="16"/>
      <c r="AH218" s="16"/>
    </row>
    <row r="219" spans="1:35" ht="20.100000000000001" customHeight="1" x14ac:dyDescent="0.2">
      <c r="U219" s="15" t="str">
        <f>TEXT(EDATE(X_Cell_Site_StartDate,3), "mmmm")</f>
        <v>April</v>
      </c>
      <c r="V219" s="15">
        <f ca="1"/>
        <v>100</v>
      </c>
      <c r="W219" s="15">
        <f ca="1"/>
        <v>100</v>
      </c>
      <c r="X219" s="15">
        <f ca="1"/>
        <v>100</v>
      </c>
      <c r="Y219" s="15">
        <f ca="1"/>
        <v>100</v>
      </c>
      <c r="Z219" s="15">
        <f ca="1"/>
        <v>100</v>
      </c>
      <c r="AA219" s="15">
        <f ca="1"/>
        <v>100</v>
      </c>
      <c r="AB219" s="15">
        <f ca="1"/>
        <v>100</v>
      </c>
      <c r="AC219" s="15">
        <f ca="1"/>
        <v>100</v>
      </c>
      <c r="AD219" s="15">
        <f ca="1"/>
        <v>100</v>
      </c>
      <c r="AE219" s="15">
        <f ca="1"/>
        <v>100</v>
      </c>
      <c r="AF219" s="16" t="s">
        <v>426</v>
      </c>
      <c r="AG219" s="16"/>
      <c r="AH219" s="16"/>
    </row>
    <row r="220" spans="1:35" ht="20.100000000000001" customHeight="1" x14ac:dyDescent="0.2">
      <c r="U220" s="15" t="str">
        <f>TEXT(EDATE(X_Cell_Site_StartDate,4), "mmmm")</f>
        <v>May</v>
      </c>
      <c r="V220" s="15">
        <f ca="1"/>
        <v>100</v>
      </c>
      <c r="W220" s="15">
        <f ca="1"/>
        <v>100</v>
      </c>
      <c r="X220" s="15">
        <f ca="1"/>
        <v>100</v>
      </c>
      <c r="Y220" s="15">
        <f ca="1"/>
        <v>100</v>
      </c>
      <c r="Z220" s="15">
        <f ca="1"/>
        <v>100</v>
      </c>
      <c r="AA220" s="15">
        <f ca="1"/>
        <v>100</v>
      </c>
      <c r="AB220" s="15">
        <f ca="1"/>
        <v>100</v>
      </c>
      <c r="AC220" s="15">
        <f ca="1"/>
        <v>100</v>
      </c>
      <c r="AD220" s="15">
        <f ca="1"/>
        <v>100</v>
      </c>
      <c r="AE220" s="15">
        <f ca="1"/>
        <v>100</v>
      </c>
      <c r="AF220" s="16" t="s">
        <v>426</v>
      </c>
      <c r="AG220" s="16"/>
      <c r="AH220" s="16"/>
    </row>
    <row r="221" spans="1:35" ht="20.100000000000001" customHeight="1" x14ac:dyDescent="0.2">
      <c r="A221" s="85" t="str">
        <f>HYPERLINK("#A1", "▲ Back to top")</f>
        <v>▲ Back to top</v>
      </c>
      <c r="D221" s="77" t="s">
        <v>374</v>
      </c>
      <c r="E221" s="1" t="s">
        <v>1440</v>
      </c>
      <c r="U221" s="15" t="str">
        <f>TEXT(EDATE(X_Cell_Site_StartDate,5), "mmmm")</f>
        <v>June</v>
      </c>
      <c r="V221" s="15">
        <f ca="1"/>
        <v>100</v>
      </c>
      <c r="W221" s="15">
        <f ca="1"/>
        <v>100</v>
      </c>
      <c r="X221" s="15">
        <f ca="1"/>
        <v>100</v>
      </c>
      <c r="Y221" s="15">
        <f ca="1"/>
        <v>100</v>
      </c>
      <c r="Z221" s="15">
        <f ca="1"/>
        <v>100</v>
      </c>
      <c r="AA221" s="15">
        <f ca="1"/>
        <v>100</v>
      </c>
      <c r="AB221" s="15">
        <f ca="1"/>
        <v>100</v>
      </c>
      <c r="AC221" s="15">
        <f ca="1"/>
        <v>100</v>
      </c>
      <c r="AD221" s="15">
        <f ca="1"/>
        <v>100</v>
      </c>
      <c r="AE221" s="15">
        <f ca="1"/>
        <v>100</v>
      </c>
      <c r="AF221" s="16" t="s">
        <v>426</v>
      </c>
      <c r="AG221" s="16"/>
      <c r="AH221" s="16"/>
    </row>
    <row r="222" spans="1:35" ht="20.100000000000001" customHeight="1" x14ac:dyDescent="0.2">
      <c r="D222" s="77" t="s">
        <v>126</v>
      </c>
      <c r="E222" s="9" t="s">
        <v>12</v>
      </c>
      <c r="U222" s="15" t="str">
        <f>TEXT(EDATE(X_Cell_Site_StartDate,6), "mmmm")</f>
        <v>July</v>
      </c>
      <c r="V222" s="15">
        <f ca="1"/>
        <v>100</v>
      </c>
      <c r="W222" s="15">
        <f ca="1"/>
        <v>100</v>
      </c>
      <c r="X222" s="15">
        <f ca="1"/>
        <v>100</v>
      </c>
      <c r="Y222" s="15">
        <f ca="1"/>
        <v>100</v>
      </c>
      <c r="Z222" s="15">
        <f ca="1"/>
        <v>100</v>
      </c>
      <c r="AA222" s="15">
        <f ca="1"/>
        <v>100</v>
      </c>
      <c r="AB222" s="15">
        <f ca="1"/>
        <v>100</v>
      </c>
      <c r="AC222" s="15">
        <f ca="1"/>
        <v>100</v>
      </c>
      <c r="AD222" s="15">
        <f ca="1"/>
        <v>100</v>
      </c>
      <c r="AE222" s="15">
        <f ca="1"/>
        <v>100</v>
      </c>
      <c r="AF222" s="16" t="s">
        <v>426</v>
      </c>
      <c r="AG222" s="16"/>
      <c r="AH222" s="16"/>
    </row>
    <row r="223" spans="1:35" ht="20.100000000000001" customHeight="1" x14ac:dyDescent="0.2">
      <c r="U223" s="15" t="str">
        <f>TEXT(EDATE(X_Cell_Site_StartDate,7), "mmmm")</f>
        <v>August</v>
      </c>
      <c r="V223" s="15">
        <f ca="1"/>
        <v>100</v>
      </c>
      <c r="W223" s="15">
        <f ca="1"/>
        <v>100</v>
      </c>
      <c r="X223" s="15">
        <f ca="1"/>
        <v>100</v>
      </c>
      <c r="Y223" s="15">
        <f ca="1"/>
        <v>100</v>
      </c>
      <c r="Z223" s="15">
        <f ca="1"/>
        <v>100</v>
      </c>
      <c r="AA223" s="15">
        <f ca="1"/>
        <v>100</v>
      </c>
      <c r="AB223" s="15">
        <f ca="1"/>
        <v>100</v>
      </c>
      <c r="AC223" s="15">
        <f ca="1"/>
        <v>100</v>
      </c>
      <c r="AD223" s="15">
        <f ca="1"/>
        <v>100</v>
      </c>
      <c r="AE223" s="15">
        <f ca="1"/>
        <v>100</v>
      </c>
      <c r="AF223" s="16" t="s">
        <v>426</v>
      </c>
      <c r="AG223" s="16"/>
      <c r="AH223" s="16"/>
    </row>
    <row r="224" spans="1:35" ht="20.100000000000001" customHeight="1" x14ac:dyDescent="0.2">
      <c r="D224" s="120" t="str" cm="1">
        <f t="array" ref="D224:G227">(_xlfn.MAKEARRAY(4,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f>
        <v>AE</v>
      </c>
      <c r="E224" s="121" t="str">
        <v>total mass of nitrogen excreted on PRP for beef cattle</v>
      </c>
      <c r="F224" s="122" t="str">
        <v>kg N</v>
      </c>
      <c r="G224" s="123" t="str">
        <v>Calculated from 4.2.1.3 (2)</v>
      </c>
      <c r="H224" s="120" t="str">
        <f>"See " &amp; D204</f>
        <v>See M1_Table_AE</v>
      </c>
      <c r="U224" s="15" t="str">
        <f>TEXT(EDATE(X_Cell_Site_StartDate,8), "mmmm")</f>
        <v>September</v>
      </c>
      <c r="V224" s="15">
        <f ca="1"/>
        <v>100</v>
      </c>
      <c r="W224" s="15">
        <f ca="1"/>
        <v>100</v>
      </c>
      <c r="X224" s="15">
        <f ca="1"/>
        <v>100</v>
      </c>
      <c r="Y224" s="15">
        <f ca="1"/>
        <v>100</v>
      </c>
      <c r="Z224" s="15">
        <f ca="1"/>
        <v>100</v>
      </c>
      <c r="AA224" s="15">
        <f ca="1"/>
        <v>100</v>
      </c>
      <c r="AB224" s="15">
        <f ca="1"/>
        <v>100</v>
      </c>
      <c r="AC224" s="15">
        <f ca="1"/>
        <v>100</v>
      </c>
      <c r="AD224" s="15">
        <f ca="1"/>
        <v>100</v>
      </c>
      <c r="AE224" s="15">
        <f ca="1"/>
        <v>100</v>
      </c>
      <c r="AF224" s="16" t="s">
        <v>426</v>
      </c>
      <c r="AG224" s="16"/>
      <c r="AH224" s="16"/>
    </row>
    <row r="225" spans="4:34" ht="20.100000000000001" customHeight="1" x14ac:dyDescent="0.2">
      <c r="D225" s="120" t="str">
        <v>EF_PRP</v>
      </c>
      <c r="E225" s="121" t="str">
        <v>emission factor for nitrous oxide from urine and dung deposited to soil</v>
      </c>
      <c r="F225" s="122" t="str">
        <v>kg N2O-N/kg N deposited</v>
      </c>
      <c r="G225" s="123" t="str">
        <v>Constant</v>
      </c>
      <c r="H225" s="117">
        <f>_xlfn.XLOOKUP(H227,Table_SourceData_EFPastureRangeAndPaddock[Climate zone],Table_SourceData_EFPastureRangeAndPaddock[EFPRP])</f>
        <v>2E-3</v>
      </c>
      <c r="U225" s="15" t="str">
        <f>TEXT(EDATE(X_Cell_Site_StartDate,9), "mmmm")</f>
        <v>October</v>
      </c>
      <c r="V225" s="15">
        <f ca="1"/>
        <v>100</v>
      </c>
      <c r="W225" s="15">
        <f ca="1"/>
        <v>100</v>
      </c>
      <c r="X225" s="15">
        <f ca="1"/>
        <v>100</v>
      </c>
      <c r="Y225" s="15">
        <f ca="1"/>
        <v>100</v>
      </c>
      <c r="Z225" s="15">
        <f ca="1"/>
        <v>100</v>
      </c>
      <c r="AA225" s="15">
        <f ca="1"/>
        <v>100</v>
      </c>
      <c r="AB225" s="15">
        <f ca="1"/>
        <v>100</v>
      </c>
      <c r="AC225" s="15">
        <f ca="1"/>
        <v>100</v>
      </c>
      <c r="AD225" s="15">
        <f ca="1"/>
        <v>100</v>
      </c>
      <c r="AE225" s="15">
        <f ca="1"/>
        <v>100</v>
      </c>
      <c r="AF225" s="16" t="s">
        <v>426</v>
      </c>
      <c r="AG225" s="16"/>
      <c r="AH225" s="16"/>
    </row>
    <row r="226" spans="4:34" ht="20.100000000000001" customHeight="1" x14ac:dyDescent="0.2">
      <c r="D226" s="120" t="str">
        <v>C_N2O</v>
      </c>
      <c r="E226" s="121" t="str">
        <v>factor to convert elemental mass of nitrous oxide to molecular mass</v>
      </c>
      <c r="F226" s="122" t="str">
        <v/>
      </c>
      <c r="G226" s="123" t="str">
        <v>Constant</v>
      </c>
      <c r="H226" s="117">
        <f>Common_InputFunctions.Utility_LookupValueInTableNumber("N2O",Table_GasToMolecularConversionFactor[Gas],Table_GasToMolecularConversionFactor[Conversion factor combined])</f>
        <v>1.5714285714285714</v>
      </c>
      <c r="U226" s="15" t="str">
        <f>TEXT(EDATE(X_Cell_Site_StartDate,10), "mmmm")</f>
        <v>November</v>
      </c>
      <c r="V226" s="15">
        <f ca="1"/>
        <v>100</v>
      </c>
      <c r="W226" s="15">
        <f ca="1"/>
        <v>100</v>
      </c>
      <c r="X226" s="15">
        <f ca="1"/>
        <v>100</v>
      </c>
      <c r="Y226" s="15">
        <f ca="1"/>
        <v>100</v>
      </c>
      <c r="Z226" s="15">
        <f ca="1"/>
        <v>100</v>
      </c>
      <c r="AA226" s="15">
        <f ca="1"/>
        <v>100</v>
      </c>
      <c r="AB226" s="15">
        <f ca="1"/>
        <v>100</v>
      </c>
      <c r="AC226" s="15">
        <f ca="1"/>
        <v>100</v>
      </c>
      <c r="AD226" s="15">
        <f ca="1"/>
        <v>100</v>
      </c>
      <c r="AE226" s="15">
        <f ca="1"/>
        <v>100</v>
      </c>
      <c r="AF226" s="16" t="s">
        <v>426</v>
      </c>
      <c r="AG226" s="16"/>
      <c r="AH226" s="16"/>
    </row>
    <row r="227" spans="4:34" ht="20.100000000000001" customHeight="1" x14ac:dyDescent="0.2">
      <c r="D227" s="120" t="str">
        <v>z</v>
      </c>
      <c r="E227" s="121" t="str">
        <v>wet or dry climate zone</v>
      </c>
      <c r="F227" s="122" t="str">
        <v/>
      </c>
      <c r="G227" s="123" t="str">
        <v>Input</v>
      </c>
      <c r="H227" s="120" t="str">
        <f>X_Cell_Site_WetOrDryClimateZone</f>
        <v>Dry climate zone</v>
      </c>
      <c r="U227" s="15" t="str">
        <f>TEXT(EDATE(X_Cell_Site_StartDate,11), "mmmm")</f>
        <v>December</v>
      </c>
      <c r="V227" s="15">
        <f ca="1"/>
        <v>100</v>
      </c>
      <c r="W227" s="15">
        <f ca="1"/>
        <v>100</v>
      </c>
      <c r="X227" s="15">
        <f ca="1"/>
        <v>100</v>
      </c>
      <c r="Y227" s="15">
        <f ca="1"/>
        <v>100</v>
      </c>
      <c r="Z227" s="15">
        <f ca="1"/>
        <v>100</v>
      </c>
      <c r="AA227" s="15">
        <f ca="1"/>
        <v>100</v>
      </c>
      <c r="AB227" s="15">
        <f ca="1"/>
        <v>100</v>
      </c>
      <c r="AC227" s="15">
        <f ca="1"/>
        <v>100</v>
      </c>
      <c r="AD227" s="15">
        <f ca="1"/>
        <v>100</v>
      </c>
      <c r="AE227" s="15">
        <f ca="1"/>
        <v>100</v>
      </c>
      <c r="AF227" s="16" t="s">
        <v>426</v>
      </c>
      <c r="AG227" s="16"/>
      <c r="AH227" s="16"/>
    </row>
    <row r="229" spans="4:34" ht="20.100000000000001" customHeight="1" x14ac:dyDescent="0.2">
      <c r="D229" s="91" t="s">
        <v>474</v>
      </c>
      <c r="E229" s="92">
        <f ca="1">(VEERG_4_2_1_3__2_TotalNitrogenExcretedToPastureRangeAndPaddock_Result_Method1 * $H$225 * $H$226 * 10 ^ -3)</f>
        <v>0.19011252663030423</v>
      </c>
      <c r="F229" s="96" t="str">
        <f>$E$222</f>
        <v>t N2O</v>
      </c>
      <c r="U229" s="113" t="s">
        <v>431</v>
      </c>
    </row>
    <row r="230" spans="4:34" ht="20.100000000000001" customHeight="1" x14ac:dyDescent="0.2">
      <c r="U230" s="114" t="s">
        <v>433</v>
      </c>
    </row>
    <row r="231" spans="4:34" ht="20.100000000000001" customHeight="1" x14ac:dyDescent="0.2">
      <c r="D231" s="117" t="str" cm="1">
        <f t="array" ref="D231:E232">Common_Equations.Common_ConvertN2OToCO2e_Arguments()</f>
        <v>EN2O</v>
      </c>
      <c r="E231" s="118" t="str">
        <v>Nitrous oxide emissions (t N2O)</v>
      </c>
      <c r="F231" s="119"/>
      <c r="G231" s="15">
        <f ca="1">VEERG_4_2_1_3__1_DirectNitrousOxideEmissionsOnPasture_Result_Method1</f>
        <v>0.19011252663030423</v>
      </c>
      <c r="U231" s="115" t="s">
        <v>75</v>
      </c>
      <c r="V231" s="82" t="s">
        <v>325</v>
      </c>
      <c r="W231" s="82" t="s">
        <v>189</v>
      </c>
      <c r="X231" s="82" t="s">
        <v>326</v>
      </c>
      <c r="Y231" s="82" t="s">
        <v>327</v>
      </c>
      <c r="Z231" s="82" t="s">
        <v>328</v>
      </c>
      <c r="AA231" s="82" t="s">
        <v>329</v>
      </c>
      <c r="AB231" s="82" t="s">
        <v>330</v>
      </c>
      <c r="AC231" s="82" t="s">
        <v>331</v>
      </c>
      <c r="AD231" s="82" t="s">
        <v>332</v>
      </c>
      <c r="AE231" s="82" t="s">
        <v>333</v>
      </c>
    </row>
    <row r="232" spans="4:34" ht="20.100000000000001" customHeight="1" x14ac:dyDescent="0.2">
      <c r="D232" s="117" t="str">
        <v>GWPN2O</v>
      </c>
      <c r="E232" s="118" t="str">
        <v>Global warming potential for nitrous oxide (t CO2-e / t N2O)</v>
      </c>
      <c r="F232" s="119"/>
      <c r="G232" s="15">
        <f>Common_InputFunctions.Utility_LookupValueInTableNumber("N2O",Table_GWPData[Gas],Table_GWPData[CO2-e factor])</f>
        <v>265</v>
      </c>
      <c r="U232" s="15" t="str">
        <f>TEXT(X_Cell_Site_StartDate,"mmmm")</f>
        <v>January</v>
      </c>
      <c r="V232" s="15" cm="1">
        <f t="array" aca="1" ref="V232:AE243" ca="1">OFFSET(X_Table_PastureBeef_Duration_Method2, 1,1, 12,10)</f>
        <v>31</v>
      </c>
      <c r="W232" s="15">
        <f ca="1"/>
        <v>31</v>
      </c>
      <c r="X232" s="15">
        <f ca="1"/>
        <v>31</v>
      </c>
      <c r="Y232" s="15">
        <f ca="1"/>
        <v>31</v>
      </c>
      <c r="Z232" s="15">
        <f ca="1"/>
        <v>31</v>
      </c>
      <c r="AA232" s="15">
        <f ca="1"/>
        <v>31</v>
      </c>
      <c r="AB232" s="15">
        <f ca="1"/>
        <v>31</v>
      </c>
      <c r="AC232" s="15">
        <f ca="1"/>
        <v>31</v>
      </c>
      <c r="AD232" s="15">
        <f ca="1"/>
        <v>31</v>
      </c>
      <c r="AE232" s="15">
        <f ca="1"/>
        <v>31</v>
      </c>
      <c r="AF232" s="16" t="s">
        <v>429</v>
      </c>
      <c r="AG232" s="16"/>
      <c r="AH232" s="16"/>
    </row>
    <row r="233" spans="4:34" ht="20.100000000000001" customHeight="1" x14ac:dyDescent="0.2">
      <c r="U233" s="15" t="str">
        <f>TEXT(EDATE(X_Cell_Site_StartDate,1), "mmmm")</f>
        <v>February</v>
      </c>
      <c r="V233" s="15">
        <f ca="1"/>
        <v>29</v>
      </c>
      <c r="W233" s="15">
        <f ca="1"/>
        <v>29</v>
      </c>
      <c r="X233" s="15">
        <f ca="1"/>
        <v>29</v>
      </c>
      <c r="Y233" s="15">
        <f ca="1"/>
        <v>29</v>
      </c>
      <c r="Z233" s="15">
        <f ca="1"/>
        <v>29</v>
      </c>
      <c r="AA233" s="15">
        <f ca="1"/>
        <v>29</v>
      </c>
      <c r="AB233" s="15">
        <f ca="1"/>
        <v>29</v>
      </c>
      <c r="AC233" s="15">
        <f ca="1"/>
        <v>29</v>
      </c>
      <c r="AD233" s="15">
        <f ca="1"/>
        <v>29</v>
      </c>
      <c r="AE233" s="15">
        <f ca="1"/>
        <v>29</v>
      </c>
      <c r="AF233" s="16" t="s">
        <v>429</v>
      </c>
      <c r="AG233" s="16"/>
      <c r="AH233" s="16"/>
    </row>
    <row r="234" spans="4:34" ht="20.100000000000001" customHeight="1" x14ac:dyDescent="0.2">
      <c r="D234" s="88" t="s">
        <v>436</v>
      </c>
      <c r="E234" s="88" cm="1">
        <f t="array" aca="1" ref="E234" ca="1">Common_Equations.Common_ConvertN2OToCO2e(G231,G232)</f>
        <v>50.379819557030622</v>
      </c>
      <c r="F234" s="95" t="str" cm="1">
        <f t="array" ref="F234">Common_Equations.Common_ConvertN2OToCO2e_Unit()</f>
        <v>t CO2e</v>
      </c>
      <c r="U234" s="15" t="str">
        <f>TEXT(EDATE(X_Cell_Site_StartDate,2), "mmmm")</f>
        <v>March</v>
      </c>
      <c r="V234" s="15">
        <f ca="1"/>
        <v>31</v>
      </c>
      <c r="W234" s="15">
        <f ca="1"/>
        <v>31</v>
      </c>
      <c r="X234" s="15">
        <f ca="1"/>
        <v>31</v>
      </c>
      <c r="Y234" s="15">
        <f ca="1"/>
        <v>31</v>
      </c>
      <c r="Z234" s="15">
        <f ca="1"/>
        <v>31</v>
      </c>
      <c r="AA234" s="15">
        <f ca="1"/>
        <v>31</v>
      </c>
      <c r="AB234" s="15">
        <f ca="1"/>
        <v>31</v>
      </c>
      <c r="AC234" s="15">
        <f ca="1"/>
        <v>31</v>
      </c>
      <c r="AD234" s="15">
        <f ca="1"/>
        <v>31</v>
      </c>
      <c r="AE234" s="15">
        <f ca="1"/>
        <v>31</v>
      </c>
      <c r="AF234" s="16" t="s">
        <v>429</v>
      </c>
      <c r="AG234" s="16"/>
      <c r="AH234" s="16"/>
    </row>
    <row r="235" spans="4:34" ht="20.100000000000001" customHeight="1" x14ac:dyDescent="0.2">
      <c r="U235" s="15" t="str">
        <f>TEXT(EDATE(X_Cell_Site_StartDate,3), "mmmm")</f>
        <v>April</v>
      </c>
      <c r="V235" s="15">
        <f ca="1"/>
        <v>30</v>
      </c>
      <c r="W235" s="15">
        <f ca="1"/>
        <v>30</v>
      </c>
      <c r="X235" s="15">
        <f ca="1"/>
        <v>30</v>
      </c>
      <c r="Y235" s="15">
        <f ca="1"/>
        <v>30</v>
      </c>
      <c r="Z235" s="15">
        <f ca="1"/>
        <v>30</v>
      </c>
      <c r="AA235" s="15">
        <f ca="1"/>
        <v>30</v>
      </c>
      <c r="AB235" s="15">
        <f ca="1"/>
        <v>30</v>
      </c>
      <c r="AC235" s="15">
        <f ca="1"/>
        <v>30</v>
      </c>
      <c r="AD235" s="15">
        <f ca="1"/>
        <v>30</v>
      </c>
      <c r="AE235" s="15">
        <f ca="1"/>
        <v>30</v>
      </c>
      <c r="AF235" s="16" t="s">
        <v>429</v>
      </c>
      <c r="AG235" s="16"/>
      <c r="AH235" s="16"/>
    </row>
    <row r="236" spans="4:34" ht="20.100000000000001" customHeight="1" x14ac:dyDescent="0.2">
      <c r="U236" s="15" t="str">
        <f>TEXT(EDATE(X_Cell_Site_StartDate,4), "mmmm")</f>
        <v>May</v>
      </c>
      <c r="V236" s="15">
        <f ca="1"/>
        <v>31</v>
      </c>
      <c r="W236" s="15">
        <f ca="1"/>
        <v>31</v>
      </c>
      <c r="X236" s="15">
        <f ca="1"/>
        <v>31</v>
      </c>
      <c r="Y236" s="15">
        <f ca="1"/>
        <v>31</v>
      </c>
      <c r="Z236" s="15">
        <f ca="1"/>
        <v>31</v>
      </c>
      <c r="AA236" s="15">
        <f ca="1"/>
        <v>31</v>
      </c>
      <c r="AB236" s="15">
        <f ca="1"/>
        <v>31</v>
      </c>
      <c r="AC236" s="15">
        <f ca="1"/>
        <v>31</v>
      </c>
      <c r="AD236" s="15">
        <f ca="1"/>
        <v>31</v>
      </c>
      <c r="AE236" s="15">
        <f ca="1"/>
        <v>31</v>
      </c>
      <c r="AF236" s="16" t="s">
        <v>429</v>
      </c>
      <c r="AG236" s="16"/>
      <c r="AH236" s="16"/>
    </row>
    <row r="237" spans="4:34" ht="20.100000000000001" customHeight="1" x14ac:dyDescent="0.2">
      <c r="U237" s="15" t="str">
        <f>TEXT(EDATE(X_Cell_Site_StartDate,5), "mmmm")</f>
        <v>June</v>
      </c>
      <c r="V237" s="15">
        <f ca="1"/>
        <v>30</v>
      </c>
      <c r="W237" s="15">
        <f ca="1"/>
        <v>30</v>
      </c>
      <c r="X237" s="15">
        <f ca="1"/>
        <v>30</v>
      </c>
      <c r="Y237" s="15">
        <f ca="1"/>
        <v>30</v>
      </c>
      <c r="Z237" s="15">
        <f ca="1"/>
        <v>30</v>
      </c>
      <c r="AA237" s="15">
        <f ca="1"/>
        <v>30</v>
      </c>
      <c r="AB237" s="15">
        <f ca="1"/>
        <v>30</v>
      </c>
      <c r="AC237" s="15">
        <f ca="1"/>
        <v>30</v>
      </c>
      <c r="AD237" s="15">
        <f ca="1"/>
        <v>30</v>
      </c>
      <c r="AE237" s="15">
        <f ca="1"/>
        <v>30</v>
      </c>
      <c r="AF237" s="16" t="s">
        <v>429</v>
      </c>
      <c r="AG237" s="16"/>
      <c r="AH237" s="16"/>
    </row>
    <row r="238" spans="4:34" ht="20.100000000000001" customHeight="1" x14ac:dyDescent="0.2">
      <c r="U238" s="15" t="str">
        <f>TEXT(EDATE(X_Cell_Site_StartDate,6), "mmmm")</f>
        <v>July</v>
      </c>
      <c r="V238" s="15">
        <f ca="1"/>
        <v>31</v>
      </c>
      <c r="W238" s="15">
        <f ca="1"/>
        <v>31</v>
      </c>
      <c r="X238" s="15">
        <f ca="1"/>
        <v>31</v>
      </c>
      <c r="Y238" s="15">
        <f ca="1"/>
        <v>31</v>
      </c>
      <c r="Z238" s="15">
        <f ca="1"/>
        <v>31</v>
      </c>
      <c r="AA238" s="15">
        <f ca="1"/>
        <v>31</v>
      </c>
      <c r="AB238" s="15">
        <f ca="1"/>
        <v>31</v>
      </c>
      <c r="AC238" s="15">
        <f ca="1"/>
        <v>31</v>
      </c>
      <c r="AD238" s="15">
        <f ca="1"/>
        <v>31</v>
      </c>
      <c r="AE238" s="15">
        <f ca="1"/>
        <v>31</v>
      </c>
      <c r="AF238" s="16" t="s">
        <v>429</v>
      </c>
      <c r="AG238" s="16"/>
      <c r="AH238" s="16"/>
    </row>
    <row r="239" spans="4:34" ht="20.100000000000001" customHeight="1" x14ac:dyDescent="0.2">
      <c r="U239" s="15" t="str">
        <f>TEXT(EDATE(X_Cell_Site_StartDate,7), "mmmm")</f>
        <v>August</v>
      </c>
      <c r="V239" s="15">
        <f ca="1"/>
        <v>31</v>
      </c>
      <c r="W239" s="15">
        <f ca="1"/>
        <v>31</v>
      </c>
      <c r="X239" s="15">
        <f ca="1"/>
        <v>31</v>
      </c>
      <c r="Y239" s="15">
        <f ca="1"/>
        <v>31</v>
      </c>
      <c r="Z239" s="15">
        <f ca="1"/>
        <v>31</v>
      </c>
      <c r="AA239" s="15">
        <f ca="1"/>
        <v>31</v>
      </c>
      <c r="AB239" s="15">
        <f ca="1"/>
        <v>31</v>
      </c>
      <c r="AC239" s="15">
        <f ca="1"/>
        <v>31</v>
      </c>
      <c r="AD239" s="15">
        <f ca="1"/>
        <v>31</v>
      </c>
      <c r="AE239" s="15">
        <f ca="1"/>
        <v>31</v>
      </c>
      <c r="AF239" s="16" t="s">
        <v>429</v>
      </c>
      <c r="AG239" s="16"/>
      <c r="AH239" s="16"/>
    </row>
    <row r="240" spans="4:34" ht="20.100000000000001" customHeight="1" x14ac:dyDescent="0.2">
      <c r="U240" s="15" t="str">
        <f>TEXT(EDATE(X_Cell_Site_StartDate,8), "mmmm")</f>
        <v>September</v>
      </c>
      <c r="V240" s="15">
        <f ca="1"/>
        <v>30</v>
      </c>
      <c r="W240" s="15">
        <f ca="1"/>
        <v>30</v>
      </c>
      <c r="X240" s="15">
        <f ca="1"/>
        <v>30</v>
      </c>
      <c r="Y240" s="15">
        <f ca="1"/>
        <v>30</v>
      </c>
      <c r="Z240" s="15">
        <f ca="1"/>
        <v>30</v>
      </c>
      <c r="AA240" s="15">
        <f ca="1"/>
        <v>30</v>
      </c>
      <c r="AB240" s="15">
        <f ca="1"/>
        <v>30</v>
      </c>
      <c r="AC240" s="15">
        <f ca="1"/>
        <v>30</v>
      </c>
      <c r="AD240" s="15">
        <f ca="1"/>
        <v>30</v>
      </c>
      <c r="AE240" s="15">
        <f ca="1"/>
        <v>30</v>
      </c>
      <c r="AF240" s="16" t="s">
        <v>429</v>
      </c>
      <c r="AG240" s="16"/>
      <c r="AH240" s="16"/>
    </row>
    <row r="241" spans="1:34" ht="20.100000000000001" customHeight="1" x14ac:dyDescent="0.2">
      <c r="U241" s="15" t="str">
        <f>TEXT(EDATE(X_Cell_Site_StartDate,9), "mmmm")</f>
        <v>October</v>
      </c>
      <c r="V241" s="15">
        <f ca="1"/>
        <v>31</v>
      </c>
      <c r="W241" s="15">
        <f ca="1"/>
        <v>31</v>
      </c>
      <c r="X241" s="15">
        <f ca="1"/>
        <v>31</v>
      </c>
      <c r="Y241" s="15">
        <f ca="1"/>
        <v>31</v>
      </c>
      <c r="Z241" s="15">
        <f ca="1"/>
        <v>31</v>
      </c>
      <c r="AA241" s="15">
        <f ca="1"/>
        <v>31</v>
      </c>
      <c r="AB241" s="15">
        <f ca="1"/>
        <v>31</v>
      </c>
      <c r="AC241" s="15">
        <f ca="1"/>
        <v>31</v>
      </c>
      <c r="AD241" s="15">
        <f ca="1"/>
        <v>31</v>
      </c>
      <c r="AE241" s="15">
        <f ca="1"/>
        <v>31</v>
      </c>
      <c r="AF241" s="16" t="s">
        <v>429</v>
      </c>
      <c r="AG241" s="16"/>
      <c r="AH241" s="16"/>
    </row>
    <row r="242" spans="1:34" ht="20.100000000000001" customHeight="1" x14ac:dyDescent="0.2">
      <c r="U242" s="15" t="str">
        <f>TEXT(EDATE(X_Cell_Site_StartDate,10), "mmmm")</f>
        <v>November</v>
      </c>
      <c r="V242" s="15">
        <f ca="1"/>
        <v>30</v>
      </c>
      <c r="W242" s="15">
        <f ca="1"/>
        <v>30</v>
      </c>
      <c r="X242" s="15">
        <f ca="1"/>
        <v>30</v>
      </c>
      <c r="Y242" s="15">
        <f ca="1"/>
        <v>30</v>
      </c>
      <c r="Z242" s="15">
        <f ca="1"/>
        <v>30</v>
      </c>
      <c r="AA242" s="15">
        <f ca="1"/>
        <v>30</v>
      </c>
      <c r="AB242" s="15">
        <f ca="1"/>
        <v>30</v>
      </c>
      <c r="AC242" s="15">
        <f ca="1"/>
        <v>30</v>
      </c>
      <c r="AD242" s="15">
        <f ca="1"/>
        <v>30</v>
      </c>
      <c r="AE242" s="15">
        <f ca="1"/>
        <v>30</v>
      </c>
      <c r="AF242" s="16" t="s">
        <v>429</v>
      </c>
      <c r="AG242" s="16"/>
      <c r="AH242" s="16"/>
    </row>
    <row r="243" spans="1:34" ht="20.100000000000001" customHeight="1" x14ac:dyDescent="0.2">
      <c r="U243" s="15" t="str">
        <f>TEXT(EDATE(X_Cell_Site_StartDate,11), "mmmm")</f>
        <v>December</v>
      </c>
      <c r="V243" s="15">
        <f ca="1"/>
        <v>31</v>
      </c>
      <c r="W243" s="15">
        <f ca="1"/>
        <v>31</v>
      </c>
      <c r="X243" s="15">
        <f ca="1"/>
        <v>31</v>
      </c>
      <c r="Y243" s="15">
        <f ca="1"/>
        <v>31</v>
      </c>
      <c r="Z243" s="15">
        <f ca="1"/>
        <v>31</v>
      </c>
      <c r="AA243" s="15">
        <f ca="1"/>
        <v>31</v>
      </c>
      <c r="AB243" s="15">
        <f ca="1"/>
        <v>31</v>
      </c>
      <c r="AC243" s="15">
        <f ca="1"/>
        <v>31</v>
      </c>
      <c r="AD243" s="15">
        <f ca="1"/>
        <v>31</v>
      </c>
      <c r="AE243" s="15">
        <f ca="1"/>
        <v>31</v>
      </c>
      <c r="AF243" s="16" t="s">
        <v>429</v>
      </c>
      <c r="AG243" s="16"/>
      <c r="AH243" s="16"/>
    </row>
    <row r="245" spans="1:34" ht="20.100000000000001" customHeight="1" x14ac:dyDescent="0.2">
      <c r="U245" s="113" t="s">
        <v>475</v>
      </c>
    </row>
    <row r="246" spans="1:34" ht="20.100000000000001" customHeight="1" x14ac:dyDescent="0.2">
      <c r="U246" s="114" t="s">
        <v>476</v>
      </c>
    </row>
    <row r="247" spans="1:34" ht="20.100000000000001" customHeight="1" x14ac:dyDescent="0.2">
      <c r="U247" s="115" t="s">
        <v>75</v>
      </c>
      <c r="V247" s="115" t="s">
        <v>325</v>
      </c>
      <c r="W247" s="115" t="s">
        <v>189</v>
      </c>
      <c r="X247" s="115" t="s">
        <v>326</v>
      </c>
      <c r="Y247" s="115" t="s">
        <v>327</v>
      </c>
      <c r="Z247" s="115" t="s">
        <v>328</v>
      </c>
      <c r="AA247" s="115" t="s">
        <v>329</v>
      </c>
      <c r="AB247" s="115" t="s">
        <v>330</v>
      </c>
      <c r="AC247" s="115" t="s">
        <v>331</v>
      </c>
      <c r="AD247" s="115" t="s">
        <v>332</v>
      </c>
      <c r="AE247" s="115" t="s">
        <v>333</v>
      </c>
    </row>
    <row r="248" spans="1:34" ht="20.100000000000001" customHeight="1" x14ac:dyDescent="0.2">
      <c r="U248" s="15" t="str">
        <f>TEXT(X_Cell_Site_StartDate,"mmmm")</f>
        <v>January</v>
      </c>
      <c r="V248" s="15">
        <f ca="1">(SUM((V216 * V196) * V232))</f>
        <v>289.15319378762229</v>
      </c>
      <c r="W248" s="15">
        <f ca="1">(SUM((W216 * W196) * W232))</f>
        <v>421.65805292524783</v>
      </c>
      <c r="X248" s="15">
        <f ca="1">(SUM((X216 * X196) * X232))</f>
        <v>241.21418667705774</v>
      </c>
      <c r="Y248" s="15">
        <f ca="1">(SUM((Y216 * Y196) * Y232))</f>
        <v>313.21127433214627</v>
      </c>
      <c r="Z248" s="15">
        <f ca="1">(SUM((Z216 * Z196) * Z232))</f>
        <v>329.00458281781619</v>
      </c>
      <c r="AA248" s="15">
        <f ca="1">(SUM((AA216 * AA196) * AA232))</f>
        <v>329.00458281781619</v>
      </c>
      <c r="AB248" s="15">
        <f ca="1">(SUM((AB216 * AB196) * AB232))</f>
        <v>265.4390677122351</v>
      </c>
      <c r="AC248" s="15">
        <f ca="1">(SUM((AC216 * AC196) * AC232))</f>
        <v>326.89236244194075</v>
      </c>
      <c r="AD248" s="15">
        <f ca="1">(SUM((AD216 * AD196) * AD232))</f>
        <v>326.89236244194075</v>
      </c>
      <c r="AE248" s="15">
        <f ca="1">(SUM((AE216 * AE196) * AE232))</f>
        <v>326.89236244194075</v>
      </c>
      <c r="AF248" s="16" t="str">
        <f t="shared" ref="AF248:AF259" si="10">$E$182</f>
        <v>kg N</v>
      </c>
      <c r="AG248" s="16"/>
      <c r="AH248" s="16"/>
    </row>
    <row r="249" spans="1:34" ht="20.100000000000001" customHeight="1" x14ac:dyDescent="0.2">
      <c r="U249" s="15" t="str">
        <f>TEXT(EDATE(X_Cell_Site_StartDate,1), "mmmm")</f>
        <v>February</v>
      </c>
      <c r="V249" s="15">
        <f ca="1">(SUM((V217 * V197) * V233))</f>
        <v>270.49814902713058</v>
      </c>
      <c r="W249" s="15">
        <f ca="1">(SUM((W217 * W197) * W233))</f>
        <v>394.45430757523184</v>
      </c>
      <c r="X249" s="15">
        <f ca="1">(SUM((X217 * X197) * X233))</f>
        <v>225.6519810849895</v>
      </c>
      <c r="Y249" s="15">
        <f ca="1">(SUM((Y217 * Y197) * Y233))</f>
        <v>311.98304055581087</v>
      </c>
      <c r="Z249" s="15">
        <f ca="1">(SUM((Z217 * Z197) * Z233))</f>
        <v>327.00953552250638</v>
      </c>
      <c r="AA249" s="15">
        <f ca="1">(SUM((AA217 * AA197) * AA233))</f>
        <v>327.00953552250638</v>
      </c>
      <c r="AB249" s="15">
        <f ca="1">(SUM((AB217 * AB197) * AB233))</f>
        <v>248.31396656951023</v>
      </c>
      <c r="AC249" s="15">
        <f ca="1">(SUM((AC217 * AC197) * AC233))</f>
        <v>305.8025326069768</v>
      </c>
      <c r="AD249" s="15">
        <f ca="1">(SUM((AD217 * AD197) * AD233))</f>
        <v>305.8025326069768</v>
      </c>
      <c r="AE249" s="15">
        <f ca="1">(SUM((AE217 * AE197) * AE233))</f>
        <v>305.8025326069768</v>
      </c>
      <c r="AF249" s="16" t="str">
        <f t="shared" si="10"/>
        <v>kg N</v>
      </c>
      <c r="AG249" s="16"/>
      <c r="AH249" s="16"/>
    </row>
    <row r="250" spans="1:34" ht="20.100000000000001" customHeight="1" x14ac:dyDescent="0.2">
      <c r="U250" s="15" t="str">
        <f>TEXT(EDATE(X_Cell_Site_StartDate,2), "mmmm")</f>
        <v>March</v>
      </c>
      <c r="V250" s="15">
        <f ca="1">(SUM((V218 * V198) * V234))</f>
        <v>41.820820957231291</v>
      </c>
      <c r="W250" s="15">
        <f ca="1">(SUM((W218 * W198) * W234))</f>
        <v>273.21237326588823</v>
      </c>
      <c r="X250" s="15">
        <f ca="1">(SUM((X218 * X198) * X234))</f>
        <v>34.105886288846641</v>
      </c>
      <c r="Y250" s="15">
        <f ca="1">(SUM((Y218 * Y198) * Y234))</f>
        <v>162.22400157554256</v>
      </c>
      <c r="Z250" s="15">
        <f ca="1">(SUM((Z218 * Z198) * Z234))</f>
        <v>214.47375788400842</v>
      </c>
      <c r="AA250" s="15">
        <f ca="1">(SUM((AA218 * AA198) * AA234))</f>
        <v>214.47375788400842</v>
      </c>
      <c r="AB250" s="15">
        <f ca="1">(SUM((AB218 * AB198) * AB234))</f>
        <v>42.567922288540977</v>
      </c>
      <c r="AC250" s="15">
        <f ca="1">(SUM((AC218 * AC198) * AC234))</f>
        <v>171.12645843343526</v>
      </c>
      <c r="AD250" s="15">
        <f ca="1">(SUM((AD218 * AD198) * AD234))</f>
        <v>171.12645843343526</v>
      </c>
      <c r="AE250" s="15">
        <f ca="1">(SUM((AE218 * AE198) * AE234))</f>
        <v>171.12645843343526</v>
      </c>
      <c r="AF250" s="16" t="str">
        <f t="shared" si="10"/>
        <v>kg N</v>
      </c>
      <c r="AG250" s="16"/>
      <c r="AH250" s="16"/>
    </row>
    <row r="251" spans="1:34" ht="20.100000000000001" customHeight="1" x14ac:dyDescent="0.2">
      <c r="A251" s="85" t="str">
        <f>HYPERLINK("#A1", "▲ Back to top")</f>
        <v>▲ Back to top</v>
      </c>
      <c r="U251" s="15" t="str">
        <f>TEXT(EDATE(X_Cell_Site_StartDate,3), "mmmm")</f>
        <v>April</v>
      </c>
      <c r="V251" s="15">
        <f ca="1">(SUM((V219 * V199) * V235))</f>
        <v>40.471762216675444</v>
      </c>
      <c r="W251" s="15">
        <f ca="1">(SUM((W219 * W199) * W235))</f>
        <v>264.39907090247249</v>
      </c>
      <c r="X251" s="15">
        <f ca="1">(SUM((X219 * X199) * X235))</f>
        <v>33.005696408561263</v>
      </c>
      <c r="Y251" s="15">
        <f ca="1">(SUM((Y219 * Y199) * Y235))</f>
        <v>156.9909692666541</v>
      </c>
      <c r="Z251" s="15">
        <f ca="1">(SUM((Z219 * Z199) * Z235))</f>
        <v>207.55524956516945</v>
      </c>
      <c r="AA251" s="15">
        <f ca="1">(SUM((AA219 * AA199) * AA235))</f>
        <v>207.55524956516945</v>
      </c>
      <c r="AB251" s="15">
        <f ca="1">(SUM((AB219 * AB199) * AB235))</f>
        <v>41.19476350503966</v>
      </c>
      <c r="AC251" s="15">
        <f ca="1">(SUM((AC219 * AC199) * AC235))</f>
        <v>165.60625009687283</v>
      </c>
      <c r="AD251" s="15">
        <f ca="1">(SUM((AD219 * AD199) * AD235))</f>
        <v>165.60625009687283</v>
      </c>
      <c r="AE251" s="15">
        <f ca="1">(SUM((AE219 * AE199) * AE235))</f>
        <v>165.60625009687283</v>
      </c>
      <c r="AF251" s="16" t="str">
        <f t="shared" si="10"/>
        <v>kg N</v>
      </c>
      <c r="AG251" s="16"/>
      <c r="AH251" s="16"/>
    </row>
    <row r="252" spans="1:34" ht="20.100000000000001" customHeight="1" x14ac:dyDescent="0.2">
      <c r="U252" s="15" t="str">
        <f>TEXT(EDATE(X_Cell_Site_StartDate,4), "mmmm")</f>
        <v>May</v>
      </c>
      <c r="V252" s="15">
        <f ca="1">(SUM((V220 * V200) * V236))</f>
        <v>41.820820957231291</v>
      </c>
      <c r="W252" s="15">
        <f ca="1">(SUM((W220 * W200) * W236))</f>
        <v>273.21237326588823</v>
      </c>
      <c r="X252" s="15">
        <f ca="1">(SUM((X220 * X200) * X236))</f>
        <v>34.105886288846641</v>
      </c>
      <c r="Y252" s="15">
        <f ca="1">(SUM((Y220 * Y200) * Y236))</f>
        <v>162.22400157554256</v>
      </c>
      <c r="Z252" s="15">
        <f ca="1">(SUM((Z220 * Z200) * Z236))</f>
        <v>214.47375788400842</v>
      </c>
      <c r="AA252" s="15">
        <f ca="1">(SUM((AA220 * AA200) * AA236))</f>
        <v>214.47375788400842</v>
      </c>
      <c r="AB252" s="15">
        <f ca="1">(SUM((AB220 * AB200) * AB236))</f>
        <v>42.567922288540977</v>
      </c>
      <c r="AC252" s="15">
        <f ca="1">(SUM((AC220 * AC200) * AC236))</f>
        <v>171.12645843343526</v>
      </c>
      <c r="AD252" s="15">
        <f ca="1">(SUM((AD220 * AD200) * AD236))</f>
        <v>171.12645843343526</v>
      </c>
      <c r="AE252" s="15">
        <f ca="1">(SUM((AE220 * AE200) * AE236))</f>
        <v>171.12645843343526</v>
      </c>
      <c r="AF252" s="16" t="str">
        <f t="shared" si="10"/>
        <v>kg N</v>
      </c>
      <c r="AG252" s="16"/>
      <c r="AH252" s="16"/>
    </row>
    <row r="253" spans="1:34" ht="20.100000000000001" customHeight="1" x14ac:dyDescent="0.2">
      <c r="U253" s="15" t="str">
        <f>TEXT(EDATE(X_Cell_Site_StartDate,5), "mmmm")</f>
        <v>June</v>
      </c>
      <c r="V253" s="15">
        <f ca="1">(SUM((V221 * V201) * V237))</f>
        <v>413.18213355318102</v>
      </c>
      <c r="W253" s="15">
        <f ca="1">(SUM((W221 * W201) * W237))</f>
        <v>942.76024604375755</v>
      </c>
      <c r="X253" s="15">
        <f ca="1">(SUM((X221 * X201) * X237))</f>
        <v>342.91705590235108</v>
      </c>
      <c r="Y253" s="15">
        <f ca="1">(SUM((Y221 * Y201) * Y237))</f>
        <v>559.82295869692348</v>
      </c>
      <c r="Z253" s="15">
        <f ca="1">(SUM((Z221 * Z201) * Z237))</f>
        <v>754.06991848471978</v>
      </c>
      <c r="AA253" s="15">
        <f ca="1">(SUM((AA221 * AA201) * AA237))</f>
        <v>754.06991848471978</v>
      </c>
      <c r="AB253" s="15">
        <f ca="1">(SUM((AB221 * AB201) * AB237))</f>
        <v>371.42949201308153</v>
      </c>
      <c r="AC253" s="15">
        <f ca="1">(SUM((AC221 * AC201) * AC237))</f>
        <v>632.73028069278769</v>
      </c>
      <c r="AD253" s="15">
        <f ca="1">(SUM((AD221 * AD201) * AD237))</f>
        <v>632.73028069278769</v>
      </c>
      <c r="AE253" s="15">
        <f ca="1">(SUM((AE221 * AE201) * AE237))</f>
        <v>632.73028069278769</v>
      </c>
      <c r="AF253" s="16" t="str">
        <f t="shared" si="10"/>
        <v>kg N</v>
      </c>
      <c r="AG253" s="16"/>
      <c r="AH253" s="16"/>
    </row>
    <row r="254" spans="1:34" ht="20.100000000000001" customHeight="1" x14ac:dyDescent="0.2">
      <c r="U254" s="15" t="str">
        <f>TEXT(EDATE(X_Cell_Site_StartDate,6), "mmmm")</f>
        <v>July</v>
      </c>
      <c r="V254" s="15">
        <f ca="1">(SUM((V222 * V202) * V238))</f>
        <v>426.95487133828709</v>
      </c>
      <c r="W254" s="15">
        <f ca="1">(SUM((W222 * W202) * W238))</f>
        <v>974.18558757854953</v>
      </c>
      <c r="X254" s="15">
        <f ca="1">(SUM((X222 * X202) * X238))</f>
        <v>354.34762443242948</v>
      </c>
      <c r="Y254" s="15">
        <f ca="1">(SUM((Y222 * Y202) * Y238))</f>
        <v>578.48372398682091</v>
      </c>
      <c r="Z254" s="15">
        <f ca="1">(SUM((Z222 * Z202) * Z238))</f>
        <v>779.20558243421044</v>
      </c>
      <c r="AA254" s="15">
        <f ca="1">(SUM((AA222 * AA202) * AA238))</f>
        <v>779.20558243421044</v>
      </c>
      <c r="AB254" s="15">
        <f ca="1">(SUM((AB222 * AB202) * AB238))</f>
        <v>383.81047508018423</v>
      </c>
      <c r="AC254" s="15">
        <f ca="1">(SUM((AC222 * AC202) * AC238))</f>
        <v>653.82129004921387</v>
      </c>
      <c r="AD254" s="15">
        <f ca="1">(SUM((AD222 * AD202) * AD238))</f>
        <v>653.82129004921387</v>
      </c>
      <c r="AE254" s="15">
        <f ca="1">(SUM((AE222 * AE202) * AE238))</f>
        <v>653.82129004921387</v>
      </c>
      <c r="AF254" s="16" t="str">
        <f t="shared" si="10"/>
        <v>kg N</v>
      </c>
      <c r="AG254" s="16"/>
      <c r="AH254" s="16"/>
    </row>
    <row r="255" spans="1:34" ht="20.100000000000001" customHeight="1" x14ac:dyDescent="0.2">
      <c r="U255" s="15" t="str">
        <f>TEXT(EDATE(X_Cell_Site_StartDate,7), "mmmm")</f>
        <v>August</v>
      </c>
      <c r="V255" s="15">
        <f ca="1">(SUM((V223 * V203) * V239))</f>
        <v>426.95487133828709</v>
      </c>
      <c r="W255" s="15">
        <f ca="1">(SUM((W223 * W203) * W239))</f>
        <v>974.18558757854953</v>
      </c>
      <c r="X255" s="15">
        <f ca="1">(SUM((X223 * X203) * X239))</f>
        <v>354.34762443242948</v>
      </c>
      <c r="Y255" s="15">
        <f ca="1">(SUM((Y223 * Y203) * Y239))</f>
        <v>640.84537562963749</v>
      </c>
      <c r="Z255" s="15">
        <f ca="1">(SUM((Z223 * Z203) * Z239))</f>
        <v>886.7378657506739</v>
      </c>
      <c r="AA255" s="15">
        <f ca="1">(SUM((AA223 * AA203) * AA239))</f>
        <v>886.7378657506739</v>
      </c>
      <c r="AB255" s="15">
        <f ca="1">(SUM((AB223 * AB203) * AB239))</f>
        <v>383.81047508018423</v>
      </c>
      <c r="AC255" s="15">
        <f ca="1">(SUM((AC223 * AC203) * AC239))</f>
        <v>653.82129004921387</v>
      </c>
      <c r="AD255" s="15">
        <f ca="1">(SUM((AD223 * AD203) * AD239))</f>
        <v>653.82129004921387</v>
      </c>
      <c r="AE255" s="15">
        <f ca="1">(SUM((AE223 * AE203) * AE239))</f>
        <v>653.82129004921387</v>
      </c>
      <c r="AF255" s="16" t="str">
        <f t="shared" si="10"/>
        <v>kg N</v>
      </c>
      <c r="AG255" s="16"/>
      <c r="AH255" s="16"/>
    </row>
    <row r="256" spans="1:34" ht="20.100000000000001" customHeight="1" x14ac:dyDescent="0.2">
      <c r="U256" s="15" t="str">
        <f>TEXT(EDATE(X_Cell_Site_StartDate,8), "mmmm")</f>
        <v>September</v>
      </c>
      <c r="V256" s="15">
        <f ca="1">(SUM((V224 * V204) * V240))</f>
        <v>730.33145980339532</v>
      </c>
      <c r="W256" s="15">
        <f ca="1">(SUM((W224 * W204) * W240))</f>
        <v>1131.2440120269775</v>
      </c>
      <c r="X256" s="15">
        <f ca="1">(SUM((X224 * X204) * X240))</f>
        <v>562.15638666998314</v>
      </c>
      <c r="Y256" s="15">
        <f ca="1">(SUM((Y224 * Y204) * Y240))</f>
        <v>909.49542050972343</v>
      </c>
      <c r="Z256" s="15">
        <f ca="1">(SUM((Z224 * Z204) * Z240))</f>
        <v>1036.8013047213371</v>
      </c>
      <c r="AA256" s="15">
        <f ca="1">(SUM((AA224 * AA204) * AA240))</f>
        <v>1036.8013047213371</v>
      </c>
      <c r="AB256" s="15">
        <f ca="1">(SUM((AB224 * AB204) * AB240))</f>
        <v>644.507609695067</v>
      </c>
      <c r="AC256" s="15">
        <f ca="1">(SUM((AC224 * AC204) * AC240))</f>
        <v>880.40305898985866</v>
      </c>
      <c r="AD256" s="15">
        <f ca="1">(SUM((AD224 * AD204) * AD240))</f>
        <v>880.40305898985866</v>
      </c>
      <c r="AE256" s="15">
        <f ca="1">(SUM((AE224 * AE204) * AE240))</f>
        <v>880.40305898985866</v>
      </c>
      <c r="AF256" s="16" t="str">
        <f t="shared" si="10"/>
        <v>kg N</v>
      </c>
      <c r="AG256" s="16"/>
      <c r="AH256" s="16"/>
    </row>
    <row r="257" spans="20:35" ht="20.100000000000001" customHeight="1" x14ac:dyDescent="0.2">
      <c r="U257" s="15" t="str">
        <f>TEXT(EDATE(X_Cell_Site_StartDate,9), "mmmm")</f>
        <v>October</v>
      </c>
      <c r="V257" s="15">
        <f ca="1">(SUM((V225 * V205) * V241))</f>
        <v>754.67584179684184</v>
      </c>
      <c r="W257" s="15">
        <f ca="1">(SUM((W225 * W205) * W241))</f>
        <v>1168.95214576121</v>
      </c>
      <c r="X257" s="15">
        <f ca="1">(SUM((X225 * X205) * X241))</f>
        <v>580.89493289231598</v>
      </c>
      <c r="Y257" s="15">
        <f ca="1">(SUM((Y225 * Y205) * Y241))</f>
        <v>939.81193452671414</v>
      </c>
      <c r="Z257" s="15">
        <f ca="1">(SUM((Z225 * Z205) * Z241))</f>
        <v>1071.3613482120484</v>
      </c>
      <c r="AA257" s="15">
        <f ca="1">(SUM((AA225 * AA205) * AA241))</f>
        <v>1071.3613482120484</v>
      </c>
      <c r="AB257" s="15">
        <f ca="1">(SUM((AB225 * AB205) * AB241))</f>
        <v>665.99119668490255</v>
      </c>
      <c r="AC257" s="15">
        <f ca="1">(SUM((AC225 * AC205) * AC241))</f>
        <v>909.74982762285401</v>
      </c>
      <c r="AD257" s="15">
        <f ca="1">(SUM((AD225 * AD205) * AD241))</f>
        <v>909.74982762285401</v>
      </c>
      <c r="AE257" s="15">
        <f ca="1">(SUM((AE225 * AE205) * AE241))</f>
        <v>909.74982762285401</v>
      </c>
      <c r="AF257" s="16" t="str">
        <f t="shared" si="10"/>
        <v>kg N</v>
      </c>
      <c r="AG257" s="16"/>
      <c r="AH257" s="16"/>
    </row>
    <row r="258" spans="20:35" ht="20.100000000000001" customHeight="1" x14ac:dyDescent="0.2">
      <c r="U258" s="15" t="str">
        <f>TEXT(EDATE(X_Cell_Site_StartDate,10), "mmmm")</f>
        <v>November</v>
      </c>
      <c r="V258" s="15">
        <f ca="1">(SUM((V226 * V206) * V242))</f>
        <v>730.33145980339532</v>
      </c>
      <c r="W258" s="15">
        <f ca="1">(SUM((W226 * W206) * W242))</f>
        <v>1131.2440120269775</v>
      </c>
      <c r="X258" s="15">
        <f ca="1">(SUM((X226 * X206) * X242))</f>
        <v>562.15638666998314</v>
      </c>
      <c r="Y258" s="15">
        <f ca="1">(SUM((Y226 * Y206) * Y242))</f>
        <v>807.10700542886923</v>
      </c>
      <c r="Z258" s="15">
        <f ca="1">(SUM((Z226 * Z206) * Z242))</f>
        <v>920.67343317274879</v>
      </c>
      <c r="AA258" s="15">
        <f ca="1">(SUM((AA226 * AA206) * AA242))</f>
        <v>920.67343317274879</v>
      </c>
      <c r="AB258" s="15">
        <f ca="1">(SUM((AB226 * AB206) * AB242))</f>
        <v>644.507609695067</v>
      </c>
      <c r="AC258" s="15">
        <f ca="1">(SUM((AC226 * AC206) * AC242))</f>
        <v>880.40305898985866</v>
      </c>
      <c r="AD258" s="15">
        <f ca="1">(SUM((AD226 * AD206) * AD242))</f>
        <v>880.40305898985866</v>
      </c>
      <c r="AE258" s="15">
        <f ca="1">(SUM((AE226 * AE206) * AE242))</f>
        <v>880.40305898985866</v>
      </c>
      <c r="AF258" s="16" t="str">
        <f t="shared" si="10"/>
        <v>kg N</v>
      </c>
      <c r="AG258" s="16"/>
      <c r="AH258" s="16"/>
    </row>
    <row r="259" spans="20:35" ht="20.100000000000001" customHeight="1" x14ac:dyDescent="0.2">
      <c r="U259" s="15" t="str">
        <f>TEXT(EDATE(X_Cell_Site_StartDate,11), "mmmm")</f>
        <v>December</v>
      </c>
      <c r="V259" s="15">
        <f ca="1">(SUM((V227 * V207) * V243))</f>
        <v>289.15319378762229</v>
      </c>
      <c r="W259" s="15">
        <f ca="1">(SUM((W227 * W207) * W243))</f>
        <v>421.65805292524783</v>
      </c>
      <c r="X259" s="15">
        <f ca="1">(SUM((X227 * X207) * X243))</f>
        <v>241.21418667705774</v>
      </c>
      <c r="Y259" s="15">
        <f ca="1">(SUM((Y227 * Y207) * Y243))</f>
        <v>313.21127433214627</v>
      </c>
      <c r="Z259" s="15">
        <f ca="1">(SUM((Z227 * Z207) * Z243))</f>
        <v>329.00458281781619</v>
      </c>
      <c r="AA259" s="15">
        <f ca="1">(SUM((AA227 * AA207) * AA243))</f>
        <v>329.00458281781619</v>
      </c>
      <c r="AB259" s="15">
        <f ca="1">(SUM((AB227 * AB207) * AB243))</f>
        <v>265.4390677122351</v>
      </c>
      <c r="AC259" s="15">
        <f ca="1">(SUM((AC227 * AC207) * AC243))</f>
        <v>326.89236244194075</v>
      </c>
      <c r="AD259" s="15">
        <f ca="1">(SUM((AD227 * AD207) * AD243))</f>
        <v>326.89236244194075</v>
      </c>
      <c r="AE259" s="15">
        <f ca="1">(SUM((AE227 * AE207) * AE243))</f>
        <v>326.89236244194075</v>
      </c>
      <c r="AF259" s="16" t="str">
        <f t="shared" si="10"/>
        <v>kg N</v>
      </c>
      <c r="AG259" s="16"/>
      <c r="AH259" s="16"/>
    </row>
    <row r="261" spans="20:35" ht="20.100000000000001" customHeight="1" x14ac:dyDescent="0.2">
      <c r="U261" s="94" t="s">
        <v>473</v>
      </c>
      <c r="V261" s="88">
        <f ca="1">SUM(V248:AE259)</f>
        <v>58623.490314488175</v>
      </c>
      <c r="W261" s="9" t="str">
        <f>$E$182</f>
        <v>kg N</v>
      </c>
    </row>
    <row r="264" spans="20:35" ht="20.100000000000001" customHeight="1" x14ac:dyDescent="0.2">
      <c r="T264" s="88"/>
      <c r="U264" s="88"/>
      <c r="V264" s="88"/>
      <c r="W264" s="88"/>
      <c r="X264" s="88"/>
      <c r="Y264" s="88"/>
      <c r="Z264" s="88"/>
      <c r="AA264" s="88"/>
      <c r="AB264" s="88"/>
      <c r="AC264" s="88"/>
      <c r="AD264" s="88"/>
      <c r="AE264" s="88"/>
      <c r="AF264" s="88"/>
      <c r="AG264" s="88"/>
      <c r="AH264" s="88"/>
      <c r="AI264" s="88"/>
    </row>
    <row r="265" spans="20:35" ht="20.100000000000001" customHeight="1" x14ac:dyDescent="0.2">
      <c r="U265" s="2" t="s">
        <v>1438</v>
      </c>
    </row>
    <row r="267" spans="20:35" ht="20.100000000000001" customHeight="1" x14ac:dyDescent="0.2">
      <c r="U267" s="91" t="s">
        <v>474</v>
      </c>
      <c r="V267" s="92">
        <f ca="1">(VEERG_4_2_1_3__2_TotalNitrogenExcretedToPastureRangeAndPaddock_Result_Method2 * $H$225 * $H$226 * 10 ^ -3)</f>
        <v>0.18424525527410571</v>
      </c>
      <c r="W267" s="96" t="str">
        <f>$E$222</f>
        <v>t N2O</v>
      </c>
    </row>
    <row r="269" spans="20:35" ht="20.100000000000001" customHeight="1" x14ac:dyDescent="0.2">
      <c r="U269" s="117" t="str" cm="1">
        <f t="array" ref="U269:V270">Common_Equations.Common_ConvertN2OToCO2e_Arguments()</f>
        <v>EN2O</v>
      </c>
      <c r="V269" s="118" t="str">
        <v>Nitrous oxide emissions (t N2O)</v>
      </c>
      <c r="W269" s="119"/>
      <c r="X269" s="15">
        <f ca="1">VEERG_4_2_1_3__1_DirectNitrousOxideEmissionsOnPasture_Result_Method2</f>
        <v>0.18424525527410571</v>
      </c>
    </row>
    <row r="270" spans="20:35" ht="20.100000000000001" customHeight="1" x14ac:dyDescent="0.2">
      <c r="U270" s="117" t="str">
        <v>GWPN2O</v>
      </c>
      <c r="V270" s="118" t="str">
        <v>Global warming potential for nitrous oxide (t CO2-e / t N2O)</v>
      </c>
      <c r="W270" s="119"/>
      <c r="X270" s="15">
        <f>Common_InputFunctions.Utility_LookupValueInTableNumber("N2O",Table_GWPData[Gas],Table_GWPData[CO2-e factor])</f>
        <v>265</v>
      </c>
    </row>
    <row r="272" spans="20:35" ht="20.100000000000001" customHeight="1" x14ac:dyDescent="0.2">
      <c r="U272" s="88" t="s">
        <v>436</v>
      </c>
      <c r="V272" s="88" cm="1">
        <f t="array" aca="1" ref="V272" ca="1">Common_Equations.Common_ConvertN2OToCO2e(X269,X270)</f>
        <v>48.824992647638012</v>
      </c>
      <c r="W272" s="95" t="str" cm="1">
        <f t="array" ref="W272">Common_Equations.Common_ConvertN2OToCO2e_Unit()</f>
        <v>t CO2e</v>
      </c>
    </row>
  </sheetData>
  <dataValidations count="1">
    <dataValidation operator="equal" allowBlank="1" showInputMessage="1" showErrorMessage="1" sqref="E271 F79 D80:E80 E101:Q101 E74:F74 F106:Q106 E226 E274 V114:AI114 E241 E238 E262 V244 E265" xr:uid="{66D9E1FD-9162-4AAD-AB6E-300BBCE9F713}"/>
  </dataValidation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E093E-897C-42B5-9588-76649E9F004F}">
  <sheetPr>
    <tabColor rgb="FF008000"/>
  </sheetPr>
  <dimension ref="A1:V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21" customFormat="1" ht="30" customHeight="1" x14ac:dyDescent="0.35">
      <c r="A1" s="10" t="e" vm="1">
        <v>#VALUE!</v>
      </c>
      <c r="C1" s="21" t="s">
        <v>477</v>
      </c>
    </row>
    <row r="2" spans="1:22" s="3" customFormat="1" ht="20.100000000000001" customHeight="1" x14ac:dyDescent="0.2">
      <c r="A2"/>
    </row>
    <row r="3" spans="1:22" ht="20.100000000000001" customHeight="1" x14ac:dyDescent="0.2">
      <c r="A3" s="5" t="str">
        <f>HYPERLINK("#'Home'!A1", "Home")</f>
        <v>Home</v>
      </c>
      <c r="C3" s="23"/>
      <c r="D3" s="23" t="s">
        <v>141</v>
      </c>
      <c r="E3" s="23"/>
      <c r="F3" s="23"/>
      <c r="G3" s="23"/>
      <c r="H3" s="23"/>
      <c r="I3" s="23"/>
      <c r="J3" s="23"/>
      <c r="K3" s="23"/>
      <c r="M3" s="23"/>
      <c r="N3" s="23" t="s">
        <v>142</v>
      </c>
      <c r="O3" s="23"/>
      <c r="P3" s="23"/>
      <c r="Q3" s="23"/>
      <c r="R3" s="23"/>
      <c r="S3" s="23"/>
      <c r="T3" s="23"/>
      <c r="U3" s="23"/>
      <c r="V3" s="23"/>
    </row>
    <row r="4" spans="1:22" ht="20.100000000000001" customHeight="1" x14ac:dyDescent="0.2">
      <c r="A4" s="5" t="str">
        <f>HYPERLINK("#'Results - Activity period'!A1", "Results - Activity period")</f>
        <v>Results - Activity period</v>
      </c>
    </row>
    <row r="5" spans="1:22" ht="20.100000000000001" customHeight="1" x14ac:dyDescent="0.2">
      <c r="A5" s="5" t="str">
        <f>HYPERLINK("#'Results - Product EI'!A1", "Results - Product Emissions Intensity")</f>
        <v>Results - Product Emissions Intensity</v>
      </c>
      <c r="D5" s="2" t="s">
        <v>1441</v>
      </c>
    </row>
    <row r="6" spans="1:22" ht="20.100000000000001" customHeight="1" x14ac:dyDescent="0.2">
      <c r="D6" s="17" t="s">
        <v>1442</v>
      </c>
    </row>
    <row r="7" spans="1:22" ht="20.100000000000001" customHeight="1" x14ac:dyDescent="0.2">
      <c r="D7" s="104"/>
      <c r="E7" s="104"/>
    </row>
    <row r="8" spans="1:22" ht="20.100000000000001" customHeight="1" x14ac:dyDescent="0.2">
      <c r="A8" s="7" t="s">
        <v>0</v>
      </c>
    </row>
    <row r="9" spans="1:22" ht="20.100000000000001" customHeight="1" x14ac:dyDescent="0.2">
      <c r="A9" s="5" t="str">
        <f>HYPERLINK("#'Input - Enterprise'!A1", "Enterprise")</f>
        <v>Enterprise</v>
      </c>
    </row>
    <row r="10" spans="1:22" ht="20.100000000000001" customHeight="1" x14ac:dyDescent="0.2">
      <c r="A10" s="5" t="str">
        <f>HYPERLINK("#'Input - Site'!A1", "Site")</f>
        <v>Site</v>
      </c>
      <c r="D10" s="77" t="s">
        <v>374</v>
      </c>
      <c r="E10" s="1" t="s">
        <v>1443</v>
      </c>
    </row>
    <row r="11" spans="1:22" ht="20.100000000000001" customHeight="1" x14ac:dyDescent="0.2">
      <c r="A11" s="5" t="str">
        <f>HYPERLINK("#'Input - Pasture Beef'!A1", "Pasture Beef")</f>
        <v>Pasture Beef</v>
      </c>
      <c r="D11" s="77" t="s">
        <v>126</v>
      </c>
      <c r="E11" s="9" t="s">
        <v>1162</v>
      </c>
    </row>
    <row r="12" spans="1:22" ht="20.100000000000001" customHeight="1" x14ac:dyDescent="0.2">
      <c r="A12" s="5" t="str">
        <f>HYPERLINK("#'Input - Livestock sales'!A1", "Livestock sales")</f>
        <v>Livestock sales</v>
      </c>
    </row>
    <row r="13" spans="1:22" ht="20.100000000000001" customHeight="1" x14ac:dyDescent="0.2">
      <c r="A13" s="5" t="str">
        <f>HYPERLINK("#'Input - Beef cattle purchases'!A1", "Beef cattle purchases")</f>
        <v>Beef cattle purchases</v>
      </c>
      <c r="D13" s="106" t="s">
        <v>473</v>
      </c>
      <c r="E13" s="107" t="s">
        <v>1444</v>
      </c>
      <c r="F13" s="108"/>
      <c r="G13" s="109"/>
      <c r="H13" s="106" t="s">
        <v>1162</v>
      </c>
      <c r="I13" s="111" t="s">
        <v>1447</v>
      </c>
      <c r="J13" s="106">
        <f ca="1">VEERG_4_2_1_3__2_TotalNitrogenExcretedToPastureRangeAndPaddock_Result_Method1</f>
        <v>60490.349382369524</v>
      </c>
      <c r="N13" s="106" t="s">
        <v>473</v>
      </c>
      <c r="O13" s="107" t="s">
        <v>1444</v>
      </c>
      <c r="P13" s="108"/>
      <c r="Q13" s="109"/>
      <c r="R13" s="106" t="s">
        <v>1162</v>
      </c>
      <c r="S13" s="111" t="s">
        <v>1447</v>
      </c>
      <c r="T13" s="117">
        <f ca="1">VEERG_4_2_1_3__2_TotalNitrogenExcretedToPastureRangeAndPaddock_Result_Method2</f>
        <v>58623.490314488175</v>
      </c>
    </row>
    <row r="14" spans="1:22" ht="20.100000000000001" customHeight="1" x14ac:dyDescent="0.2">
      <c r="A14" s="5" t="str">
        <f>HYPERLINK("#'Input - Pasture'!A1", "Pasture")</f>
        <v>Pasture</v>
      </c>
      <c r="D14" s="106" t="s">
        <v>1445</v>
      </c>
      <c r="E14" s="107" t="s">
        <v>1446</v>
      </c>
      <c r="F14" s="108"/>
      <c r="G14" s="109"/>
      <c r="H14" s="106" t="s">
        <v>347</v>
      </c>
      <c r="I14" s="111" t="s">
        <v>1326</v>
      </c>
      <c r="J14" s="106">
        <f>SourceData_PastureBeef_FracGASMSoil_Data</f>
        <v>0.21</v>
      </c>
      <c r="N14" s="106" t="s">
        <v>1445</v>
      </c>
      <c r="O14" s="107" t="s">
        <v>1446</v>
      </c>
      <c r="P14" s="108"/>
      <c r="Q14" s="109"/>
      <c r="R14" s="106" t="s">
        <v>347</v>
      </c>
      <c r="S14" s="111" t="s">
        <v>1326</v>
      </c>
      <c r="T14" s="117"/>
    </row>
    <row r="15" spans="1:22" ht="20.100000000000001" customHeight="1" x14ac:dyDescent="0.2">
      <c r="A15" s="5" t="str">
        <f>HYPERLINK("#'Input - Fert Prod System'!A1", "Fert Prod System")</f>
        <v>Fert Prod System</v>
      </c>
    </row>
    <row r="16" spans="1:22" ht="20.100000000000001" customHeight="1" x14ac:dyDescent="0.2">
      <c r="A16" s="5" t="str">
        <f>HYPERLINK("#'Input - Fertiliser'!A1", "Fertiliser")</f>
        <v>Fertiliser</v>
      </c>
      <c r="D16" s="94" t="s">
        <v>478</v>
      </c>
      <c r="E16" s="88">
        <f ca="1">(J13 * J14)</f>
        <v>12702.973370297599</v>
      </c>
      <c r="F16" s="95" t="str">
        <f>E11</f>
        <v>kg N</v>
      </c>
      <c r="L16" s="99"/>
      <c r="N16" s="94" t="s">
        <v>478</v>
      </c>
      <c r="O16" s="88">
        <f ca="1">(T13 * $J$14)</f>
        <v>12310.932966042516</v>
      </c>
      <c r="P16" s="95">
        <f>O11</f>
        <v>0</v>
      </c>
    </row>
    <row r="17" spans="1:22" ht="20.100000000000001" customHeight="1" x14ac:dyDescent="0.2">
      <c r="A17" s="5" t="str">
        <f>HYPERLINK("#'Input - Fuel'!A1", "Fuel")</f>
        <v>Fuel</v>
      </c>
      <c r="L17" s="99"/>
    </row>
    <row r="18" spans="1:22" ht="20.100000000000001" customHeight="1" x14ac:dyDescent="0.2">
      <c r="A18" s="5" t="str">
        <f>HYPERLINK("#'Input - Electricity'!A1", "Electricity")</f>
        <v>Electricity</v>
      </c>
      <c r="L18" s="99"/>
    </row>
    <row r="19" spans="1:22" ht="20.100000000000001" customHeight="1" x14ac:dyDescent="0.2">
      <c r="A19" s="5" t="str">
        <f>HYPERLINK("#'Input - Common farm inputs'!A1", "Common farm inputs")</f>
        <v>Common farm inputs</v>
      </c>
      <c r="C19" s="88"/>
      <c r="D19" s="88"/>
      <c r="E19" s="88"/>
      <c r="F19" s="88"/>
      <c r="G19" s="88"/>
      <c r="H19" s="88"/>
      <c r="I19" s="88"/>
      <c r="J19" s="88"/>
      <c r="K19" s="88"/>
      <c r="L19" s="99"/>
      <c r="M19" s="88"/>
      <c r="N19" s="88"/>
      <c r="O19" s="88"/>
      <c r="P19" s="88"/>
      <c r="Q19" s="88"/>
      <c r="R19" s="88"/>
      <c r="S19" s="88"/>
      <c r="T19" s="88"/>
      <c r="U19" s="88"/>
      <c r="V19" s="88"/>
    </row>
    <row r="20" spans="1:22" ht="20.100000000000001" customHeight="1" x14ac:dyDescent="0.2">
      <c r="A20" s="5" t="str">
        <f>HYPERLINK("#'Input - Crop pasture farm input'!A1", "Crop pasture farm input")</f>
        <v>Crop pasture farm input</v>
      </c>
      <c r="D20" s="2" t="s">
        <v>1448</v>
      </c>
    </row>
    <row r="21" spans="1:22" ht="20.100000000000001" customHeight="1" x14ac:dyDescent="0.2">
      <c r="A21" s="5" t="str">
        <f>HYPERLINK("#'Input - Livestock farm Inputs'!A1", "Livestock farm Inputs")</f>
        <v>Livestock farm Inputs</v>
      </c>
      <c r="D21" s="17" t="s">
        <v>1449</v>
      </c>
    </row>
    <row r="22" spans="1:22" ht="20.100000000000001" customHeight="1" x14ac:dyDescent="0.2">
      <c r="A22" s="5" t="str">
        <f>HYPERLINK("#'Input - Freight'!A1", "Freight")</f>
        <v>Freight</v>
      </c>
      <c r="D22" s="104"/>
      <c r="E22" s="104"/>
    </row>
    <row r="23" spans="1:22" ht="20.100000000000001" customHeight="1" x14ac:dyDescent="0.2">
      <c r="A23" s="5" t="str">
        <f>HYPERLINK("#'Input - Solid waste'!A1", "Solid waste")</f>
        <v>Solid waste</v>
      </c>
    </row>
    <row r="24" spans="1:22" ht="20.100000000000001" customHeight="1" x14ac:dyDescent="0.2">
      <c r="A24" s="5" t="str">
        <f>HYPERLINK("#'Input - Manure sent off-site'!A1", "Manure sent off-site")</f>
        <v>Manure sent off-site</v>
      </c>
    </row>
    <row r="25" spans="1:22" ht="20.100000000000001" customHeight="1" x14ac:dyDescent="0.2">
      <c r="A25" s="5" t="str">
        <f>HYPERLINK("#'Input - Data quality'!A1", "Data quality")</f>
        <v>Data quality</v>
      </c>
      <c r="D25" s="77" t="s">
        <v>374</v>
      </c>
      <c r="E25" s="1" t="s">
        <v>1450</v>
      </c>
    </row>
    <row r="26" spans="1:22" ht="20.100000000000001" customHeight="1" x14ac:dyDescent="0.2">
      <c r="D26" s="77" t="s">
        <v>126</v>
      </c>
      <c r="E26" s="9" t="s">
        <v>12</v>
      </c>
    </row>
    <row r="28" spans="1:22" ht="20.100000000000001" customHeight="1" x14ac:dyDescent="0.2">
      <c r="A28" s="6" t="s">
        <v>2</v>
      </c>
      <c r="D28" s="106" t="s">
        <v>1443</v>
      </c>
      <c r="E28" s="107" t="s">
        <v>1451</v>
      </c>
      <c r="F28" s="109"/>
      <c r="G28" s="106" t="s">
        <v>1162</v>
      </c>
      <c r="H28" s="111" t="s">
        <v>1461</v>
      </c>
      <c r="I28" s="106">
        <f ca="1">E16</f>
        <v>12702.973370297599</v>
      </c>
      <c r="N28" s="106" t="s">
        <v>1443</v>
      </c>
      <c r="O28" s="107" t="s">
        <v>1451</v>
      </c>
      <c r="P28" s="109"/>
      <c r="Q28" s="106" t="s">
        <v>1162</v>
      </c>
      <c r="R28" s="111" t="s">
        <v>1461</v>
      </c>
      <c r="S28" s="117">
        <f ca="1">O16</f>
        <v>12310.932966042516</v>
      </c>
    </row>
    <row r="29" spans="1:22" ht="20.100000000000001" customHeight="1" x14ac:dyDescent="0.2">
      <c r="A29" s="5" t="str">
        <f>HYPERLINK("#'3.2.1.1-2 Enteric Methane'!A1", "3.2.1.1-2 Enteric Methane")</f>
        <v>3.2.1.1-2 Enteric Methane</v>
      </c>
      <c r="D29" s="106" t="s">
        <v>1452</v>
      </c>
      <c r="E29" s="107" t="s">
        <v>1453</v>
      </c>
      <c r="F29" s="109"/>
      <c r="G29" s="106" t="s">
        <v>1462</v>
      </c>
      <c r="H29" s="111" t="s">
        <v>1326</v>
      </c>
      <c r="I29" s="106">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06" t="s">
        <v>1452</v>
      </c>
      <c r="O29" s="107" t="s">
        <v>1453</v>
      </c>
      <c r="P29" s="109"/>
      <c r="Q29" s="106" t="s">
        <v>1462</v>
      </c>
      <c r="R29" s="111" t="s">
        <v>1326</v>
      </c>
      <c r="S29" s="117"/>
    </row>
    <row r="30" spans="1:22" ht="20.100000000000001" customHeight="1" x14ac:dyDescent="0.2">
      <c r="A30" s="5" t="str">
        <f>HYPERLINK("#'4.2.1.1-2 Methane'!A1", "4.2.1.1-2 Manure methane")</f>
        <v>4.2.1.1-2 Manure methane</v>
      </c>
      <c r="D30" s="106" t="s">
        <v>1454</v>
      </c>
      <c r="E30" s="107" t="s">
        <v>1455</v>
      </c>
      <c r="F30" s="109"/>
      <c r="G30" s="106"/>
      <c r="H30" s="111" t="s">
        <v>1326</v>
      </c>
      <c r="I30" s="106">
        <f>Common_InputFunctions.Utility_LookupValueInTableNumber("N2O",Table_GasToMolecularConversionFactor[Gas],Table_GasToMolecularConversionFactor[Conversion factor combined])</f>
        <v>1.5714285714285714</v>
      </c>
      <c r="N30" s="106" t="s">
        <v>1454</v>
      </c>
      <c r="O30" s="107" t="s">
        <v>1455</v>
      </c>
      <c r="P30" s="109"/>
      <c r="Q30" s="106"/>
      <c r="R30" s="111" t="s">
        <v>1326</v>
      </c>
      <c r="S30" s="117"/>
    </row>
    <row r="31" spans="1:22" ht="20.100000000000001" customHeight="1" x14ac:dyDescent="0.2">
      <c r="A31" s="5" t="str">
        <f>HYPERLINK("#'4.2.1.3-4 Soil direct N20'!A1", "4.2.1.3-4 Soil direct N2O")</f>
        <v>4.2.1.3-4 Soil direct N2O</v>
      </c>
      <c r="D31" s="106" t="s">
        <v>1456</v>
      </c>
      <c r="E31" s="107" t="s">
        <v>1457</v>
      </c>
      <c r="F31" s="109"/>
      <c r="G31" s="106"/>
      <c r="H31" s="110" t="s">
        <v>1325</v>
      </c>
      <c r="I31" s="106" t="str">
        <f>X_Cell_PastureBeef_GrazingProductionSystem</f>
        <v>Pasture</v>
      </c>
      <c r="N31" s="106" t="s">
        <v>1456</v>
      </c>
      <c r="O31" s="107" t="s">
        <v>1457</v>
      </c>
      <c r="P31" s="109"/>
      <c r="Q31" s="106"/>
      <c r="R31" s="110" t="s">
        <v>1325</v>
      </c>
      <c r="S31" s="117"/>
    </row>
    <row r="32" spans="1:22" ht="20.100000000000001" customHeight="1" x14ac:dyDescent="0.2">
      <c r="A32" s="105" t="str">
        <f>HYPERLINK("#'4.2.1.5-6 Soil Atmos Dep'!A1", "4.2.1.5-6 Soil atm. deposition")</f>
        <v>4.2.1.5-6 Soil atm. deposition</v>
      </c>
      <c r="D32" s="106" t="s">
        <v>1373</v>
      </c>
      <c r="E32" s="107" t="s">
        <v>1458</v>
      </c>
      <c r="F32" s="109"/>
      <c r="G32" s="106"/>
      <c r="H32" s="110" t="s">
        <v>1325</v>
      </c>
      <c r="I32" s="106" t="str">
        <f>X_Cell_PastureBeef_GrazingIrrigationMethod</f>
        <v>Sprinkler irrigation</v>
      </c>
      <c r="N32" s="106" t="s">
        <v>1373</v>
      </c>
      <c r="O32" s="107" t="s">
        <v>1458</v>
      </c>
      <c r="P32" s="109"/>
      <c r="Q32" s="106"/>
      <c r="R32" s="110" t="s">
        <v>1325</v>
      </c>
      <c r="S32" s="117"/>
    </row>
    <row r="33" spans="1:19" ht="20.100000000000001" customHeight="1" x14ac:dyDescent="0.2">
      <c r="A33" s="5" t="str">
        <f>HYPERLINK("#'4.2.1.7-8 Soil leach runoff'!A1", "4.2.1.7-8 Soil leach &amp; runoff")</f>
        <v>4.2.1.7-8 Soil leach &amp; runoff</v>
      </c>
      <c r="D33" s="106" t="s">
        <v>1459</v>
      </c>
      <c r="E33" s="107" t="s">
        <v>1460</v>
      </c>
      <c r="F33" s="109"/>
      <c r="G33" s="106"/>
      <c r="H33" s="110" t="s">
        <v>1325</v>
      </c>
      <c r="I33" s="106" t="str">
        <f>X_Cell_Site_RainfallZone</f>
        <v>High rainfall</v>
      </c>
      <c r="N33" s="106" t="s">
        <v>1459</v>
      </c>
      <c r="O33" s="107" t="s">
        <v>1460</v>
      </c>
      <c r="P33" s="109"/>
      <c r="Q33" s="106"/>
      <c r="R33" s="110" t="s">
        <v>1325</v>
      </c>
      <c r="S33" s="117"/>
    </row>
    <row r="34" spans="1:19" ht="20.100000000000001" customHeight="1" x14ac:dyDescent="0.2">
      <c r="A34" s="5" t="str">
        <f>HYPERLINK("#'5.1.1.1-2 Inorganic fert N2O'!A1", "5.1.1.1-2 Inorganic fert N2O")</f>
        <v>5.1.1.1-2 Inorganic fert N2O</v>
      </c>
    </row>
    <row r="35" spans="1:19" ht="20.100000000000001" customHeight="1" x14ac:dyDescent="0.2">
      <c r="A35" s="5" t="str">
        <f>HYPERLINK("#'5.1.1.3-4 Inorganic fert CO2'!A1", "5.1.1.3-4 Inorganic fert CO2")</f>
        <v>5.1.1.3-4 Inorganic fert CO2</v>
      </c>
      <c r="D35" s="94" t="s">
        <v>479</v>
      </c>
      <c r="E35" s="88">
        <f ca="1">(I28 * I29 * I30 * 10 ^ -3)</f>
        <v>0.11777471024747345</v>
      </c>
      <c r="F35" s="95" t="str">
        <f>$E$26</f>
        <v>t N2O</v>
      </c>
      <c r="N35" s="94" t="s">
        <v>479</v>
      </c>
      <c r="O35" s="88">
        <f ca="1">(S28 * I29 * I30 * 10 ^ -3)</f>
        <v>0.11413993564230847</v>
      </c>
      <c r="P35" s="95" t="str">
        <f>$E$26</f>
        <v>t N2O</v>
      </c>
    </row>
    <row r="36" spans="1:19" ht="20.100000000000001" customHeight="1" x14ac:dyDescent="0.2">
      <c r="A36" s="5" t="str">
        <f>HYPERLINK("#'5.2.1.1-2 Organic Fert N2O'!A1", "5.2.1.1-2 Organic fert N2O")</f>
        <v>5.2.1.1-2 Organic fert N2O</v>
      </c>
    </row>
    <row r="37" spans="1:19" ht="20.100000000000001" customHeight="1" x14ac:dyDescent="0.2">
      <c r="A37" s="5" t="str">
        <f>HYPERLINK("#'5.3.1.1-2 Lime CO2'!A1", "5.3.1.1-2 Lime CO2")</f>
        <v>5.3.1.1-2 Lime CO2</v>
      </c>
      <c r="D37" s="117" t="str" cm="1">
        <f t="array" ref="D37:E38">Common_Equations.Common_ConvertN2OToCO2e_Arguments()</f>
        <v>EN2O</v>
      </c>
      <c r="E37" s="118" t="str">
        <v>Nitrous oxide emissions (t N2O)</v>
      </c>
      <c r="F37" s="119"/>
      <c r="G37" s="15">
        <f ca="1">VEERG_4_2_1_5__1_AtmosphericDepositionEmissionsFromUrineAndDungOnPasture_Result_Method1</f>
        <v>0.11777471024747345</v>
      </c>
      <c r="N37" s="117" t="str" cm="1">
        <f t="array" ref="N37:O38">Common_Equations.Common_ConvertN2OToCO2e_Arguments()</f>
        <v>EN2O</v>
      </c>
      <c r="O37" s="118" t="str">
        <v>Nitrous oxide emissions (t N2O)</v>
      </c>
      <c r="P37" s="119"/>
      <c r="Q37" s="15">
        <f ca="1">VEERG_4_2_1_5__1_AtmosphericDepositionEmissionsFromUrineAndDungOnPasture_Result_Method2</f>
        <v>0.11413993564230847</v>
      </c>
    </row>
    <row r="38" spans="1:19" ht="20.100000000000001" customHeight="1" x14ac:dyDescent="0.2">
      <c r="A38" s="5" t="str">
        <f>HYPERLINK("#'5.4.1.1-4 Atmos deposition'!A1", "5.4.1.1-4 Atmos. deposition")</f>
        <v>5.4.1.1-4 Atmos. deposition</v>
      </c>
      <c r="D38" s="117" t="str">
        <v>GWPN2O</v>
      </c>
      <c r="E38" s="118" t="str">
        <v>Global warming potential for nitrous oxide (t CO2-e / t N2O)</v>
      </c>
      <c r="F38" s="119"/>
      <c r="G38" s="15">
        <f>Common_InputFunctions.Utility_LookupValueInTableNumber("N2O",Table_GWPData[Gas],Table_GWPData[CO2-e factor])</f>
        <v>265</v>
      </c>
      <c r="N38" s="117" t="str">
        <v>GWPN2O</v>
      </c>
      <c r="O38" s="118" t="str">
        <v>Global warming potential for nitrous oxide (t CO2-e / t N2O)</v>
      </c>
      <c r="P38" s="119"/>
      <c r="Q38" s="15">
        <f>Common_InputFunctions.Utility_LookupValueInTableNumber("N2O",Table_GWPData[Gas],Table_GWPData[CO2-e factor])</f>
        <v>265</v>
      </c>
    </row>
    <row r="39" spans="1:19" ht="20.100000000000001" customHeight="1" x14ac:dyDescent="0.2">
      <c r="A39" s="5" t="str">
        <f>HYPERLINK("#'5.5.1.1-2 Leaching and runoff'!A1", "5.5.1.1-2 Leaching &amp; runoff")</f>
        <v>5.5.1.1-2 Leaching &amp; runoff</v>
      </c>
    </row>
    <row r="40" spans="1:19" ht="20.100000000000001" customHeight="1" x14ac:dyDescent="0.2">
      <c r="A40" s="5" t="str">
        <f>HYPERLINK("#'6.2.1.1-2 Pasture residue N2O'!A1", "6.2.1.1-2 Pasture residue N2O")</f>
        <v>6.2.1.1-2 Pasture residue N2O</v>
      </c>
      <c r="D40" s="88" t="s">
        <v>436</v>
      </c>
      <c r="E40" s="88" cm="1">
        <f t="array" aca="1" ref="E40" ca="1">Common_Equations.Common_ConvertN2OToCO2e(G37,G38)</f>
        <v>31.210298215580465</v>
      </c>
      <c r="F40" s="95" t="str" cm="1">
        <f t="array" ref="F40">Common_Equations.Common_ConvertN2OToCO2e_Unit()</f>
        <v>t CO2e</v>
      </c>
      <c r="N40" s="88" t="s">
        <v>436</v>
      </c>
      <c r="O40" s="88" cm="1">
        <f t="array" aca="1" ref="O40" ca="1">Common_Equations.Common_ConvertN2OToCO2e(Q37,Q38)</f>
        <v>30.247082945211744</v>
      </c>
      <c r="P40" s="95" t="str" cm="1">
        <f t="array" ref="P40">Common_Equations.Common_ConvertN2OToCO2e_Unit()</f>
        <v>t CO2e</v>
      </c>
    </row>
    <row r="41" spans="1:19" ht="20.100000000000001" customHeight="1" x14ac:dyDescent="0.2">
      <c r="A41" s="5" t="str">
        <f>HYPERLINK("#'6.3.1.1-2 Leach runoff pasture'!A1", "6.3.1.1-2 Leach &amp; runoff (pasture)")</f>
        <v>6.3.1.1-2 Leach &amp; runoff (pasture)</v>
      </c>
    </row>
    <row r="42" spans="1:19" ht="20.100000000000001" customHeight="1" x14ac:dyDescent="0.2">
      <c r="A42" s="5" t="str">
        <f>HYPERLINK("#'8.1.1.1-2 Transport fuel'!A1", "8.1.1.1-2 Transport fuel")</f>
        <v>8.1.1.1-2 Transport fuel</v>
      </c>
    </row>
    <row r="43" spans="1:19" ht="20.100000000000001" customHeight="1" x14ac:dyDescent="0.2">
      <c r="A43" s="5" t="str">
        <f>HYPERLINK("#'8.2.1.1-2 Stationary fuel'!A1", "8.2.1.1-2 Stationary fuel")</f>
        <v>8.2.1.1-2 Stationary fuel</v>
      </c>
    </row>
    <row r="44" spans="1:19" ht="20.100000000000001" customHeight="1" x14ac:dyDescent="0.2">
      <c r="A44" s="5" t="str">
        <f>HYPERLINK("#'10.1.1-2 Solid waste treatment'!A1", "10.1.1.1-2 Solid waste")</f>
        <v>10.1.1.1-2 Solid waste</v>
      </c>
    </row>
    <row r="45" spans="1:19" ht="20.100000000000001" customHeight="1" x14ac:dyDescent="0.2">
      <c r="A45" s="5" t="str">
        <f>HYPERLINK("#'14.1.1-2 Purchased electricity'!A1", "14.1.1-2 Purchased electricity")</f>
        <v>14.1.1-2 Purchased electricity</v>
      </c>
    </row>
    <row r="46" spans="1:19" ht="20.100000000000001" customHeight="1" x14ac:dyDescent="0.2">
      <c r="A46" s="5" t="str">
        <f>HYPERLINK("#'15 Scope 3'!A1", "15 Scope 3")</f>
        <v>15 Scope 3</v>
      </c>
    </row>
    <row r="47" spans="1:19"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dataValidations count="1">
    <dataValidation operator="equal" allowBlank="1" showInputMessage="1" showErrorMessage="1" sqref="E19 O19 E24 O24" xr:uid="{01035D12-0FC4-46BD-98FB-563ED443E146}"/>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59089-5800-4D4C-8A13-ECFDE402EF41}">
  <sheetPr>
    <tabColor rgb="FF008000"/>
  </sheetPr>
  <dimension ref="A1:S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1" customFormat="1" ht="30" customHeight="1" x14ac:dyDescent="0.35">
      <c r="A1" s="10" t="e" vm="1">
        <v>#VALUE!</v>
      </c>
      <c r="C1" s="21" t="s">
        <v>480</v>
      </c>
    </row>
    <row r="2" spans="1:19" s="3" customFormat="1" ht="20.100000000000001" customHeight="1" x14ac:dyDescent="0.2">
      <c r="A2"/>
    </row>
    <row r="3" spans="1:19" ht="20.100000000000001" customHeight="1" x14ac:dyDescent="0.2">
      <c r="A3" s="5" t="str">
        <f>HYPERLINK("#'Home'!A1", "Home")</f>
        <v>Home</v>
      </c>
      <c r="C3" s="23"/>
      <c r="D3" s="23" t="s">
        <v>141</v>
      </c>
      <c r="E3" s="23"/>
      <c r="F3" s="23"/>
      <c r="G3" s="23"/>
      <c r="H3" s="23"/>
      <c r="I3" s="23"/>
      <c r="J3" s="23"/>
      <c r="L3" s="23"/>
      <c r="M3" s="23" t="s">
        <v>142</v>
      </c>
      <c r="N3" s="23"/>
      <c r="O3" s="23"/>
      <c r="P3" s="23"/>
      <c r="Q3" s="23"/>
      <c r="R3" s="23"/>
      <c r="S3" s="23"/>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Emissions Intensity")</f>
        <v>Results - Product Emissions Intensity</v>
      </c>
      <c r="D5" s="2" t="s">
        <v>1463</v>
      </c>
    </row>
    <row r="6" spans="1:19" ht="20.100000000000001" customHeight="1" x14ac:dyDescent="0.2">
      <c r="D6" s="17" t="s">
        <v>1464</v>
      </c>
    </row>
    <row r="7" spans="1:19" ht="20.100000000000001" customHeight="1" x14ac:dyDescent="0.2">
      <c r="D7" s="104"/>
      <c r="E7" s="104"/>
    </row>
    <row r="8" spans="1:19" ht="20.100000000000001" customHeight="1" x14ac:dyDescent="0.2">
      <c r="A8" s="7" t="s">
        <v>0</v>
      </c>
    </row>
    <row r="9" spans="1:19" ht="20.100000000000001" customHeight="1" x14ac:dyDescent="0.2">
      <c r="A9" s="5" t="str">
        <f>HYPERLINK("#'Input - Enterprise'!A1", "Enterprise")</f>
        <v>Enterprise</v>
      </c>
    </row>
    <row r="10" spans="1:19" ht="20.100000000000001" customHeight="1" x14ac:dyDescent="0.2">
      <c r="A10" s="5" t="str">
        <f>HYPERLINK("#'Input - Site'!A1", "Site")</f>
        <v>Site</v>
      </c>
      <c r="D10" s="77" t="s">
        <v>374</v>
      </c>
      <c r="E10" s="1" t="s">
        <v>1465</v>
      </c>
    </row>
    <row r="11" spans="1:19" ht="20.100000000000001" customHeight="1" x14ac:dyDescent="0.2">
      <c r="A11" s="5" t="str">
        <f>HYPERLINK("#'Input - Pasture Beef'!A1", "Pasture Beef")</f>
        <v>Pasture Beef</v>
      </c>
      <c r="D11" s="77" t="s">
        <v>126</v>
      </c>
      <c r="E11" s="9" t="s">
        <v>1162</v>
      </c>
    </row>
    <row r="12" spans="1:19" ht="20.100000000000001" customHeight="1" x14ac:dyDescent="0.2">
      <c r="A12" s="5" t="str">
        <f>HYPERLINK("#'Input - Livestock sales'!A1", "Livestock sales")</f>
        <v>Livestock sales</v>
      </c>
    </row>
    <row r="13" spans="1:19" ht="20.100000000000001" customHeight="1" x14ac:dyDescent="0.2">
      <c r="A13" s="5" t="str">
        <f>HYPERLINK("#'Input - Beef cattle purchases'!A1", "Beef cattle purchases")</f>
        <v>Beef cattle purchases</v>
      </c>
      <c r="D13" s="106" t="s">
        <v>473</v>
      </c>
      <c r="E13" s="107" t="s">
        <v>1444</v>
      </c>
      <c r="F13" s="109"/>
      <c r="G13" s="106" t="s">
        <v>1162</v>
      </c>
      <c r="H13" s="111" t="s">
        <v>1447</v>
      </c>
      <c r="I13" s="106">
        <f ca="1">VEERG_4_2_1_3__2_TotalNitrogenExcretedToPastureRangeAndPaddock_Result_Method1</f>
        <v>60490.349382369524</v>
      </c>
      <c r="M13" s="106" t="s">
        <v>473</v>
      </c>
      <c r="N13" s="107" t="s">
        <v>1444</v>
      </c>
      <c r="O13" s="109"/>
      <c r="P13" s="106" t="s">
        <v>1162</v>
      </c>
      <c r="Q13" s="111" t="s">
        <v>1447</v>
      </c>
      <c r="R13" s="106">
        <f ca="1">VEERG_4_2_1_3__2_TotalNitrogenExcretedToPastureRangeAndPaddock_Result_Method2</f>
        <v>58623.490314488175</v>
      </c>
    </row>
    <row r="14" spans="1:19" ht="20.100000000000001" customHeight="1" x14ac:dyDescent="0.2">
      <c r="A14" s="5" t="str">
        <f>HYPERLINK("#'Input - Pasture'!A1", "Pasture")</f>
        <v>Pasture</v>
      </c>
      <c r="D14" s="106" t="s">
        <v>1466</v>
      </c>
      <c r="E14" s="107" t="s">
        <v>1467</v>
      </c>
      <c r="F14" s="109"/>
      <c r="G14" s="106" t="s">
        <v>347</v>
      </c>
      <c r="H14" s="111" t="s">
        <v>1326</v>
      </c>
      <c r="I14" s="106">
        <f>Common_InputFunctions.CommonCropping_GetFracWET(I16,I18,Table_SourceData_FracWET[Is in leaching zone],Table_SourceData_FracWET[FracWET],Table_SourceData_FracWETIrrigation[Irrigation type i],Table_SourceData_FracWETIrrigation[FracWET])</f>
        <v>1</v>
      </c>
      <c r="M14" s="106" t="s">
        <v>1466</v>
      </c>
      <c r="N14" s="107" t="s">
        <v>1467</v>
      </c>
      <c r="O14" s="109"/>
      <c r="P14" s="106" t="s">
        <v>347</v>
      </c>
      <c r="Q14" s="111" t="s">
        <v>1326</v>
      </c>
      <c r="R14" s="106"/>
    </row>
    <row r="15" spans="1:19" ht="20.100000000000001" customHeight="1" x14ac:dyDescent="0.2">
      <c r="A15" s="5" t="str">
        <f>HYPERLINK("#'Input - Fert Prod System'!A1", "Fert Prod System")</f>
        <v>Fert Prod System</v>
      </c>
      <c r="D15" s="106" t="s">
        <v>1468</v>
      </c>
      <c r="E15" s="107" t="s">
        <v>1469</v>
      </c>
      <c r="F15" s="109"/>
      <c r="G15" s="106" t="s">
        <v>347</v>
      </c>
      <c r="H15" s="111" t="s">
        <v>1326</v>
      </c>
      <c r="I15" s="106">
        <f>SourceData_PastureBeef_FracLEACH_Data</f>
        <v>0.24</v>
      </c>
      <c r="M15" s="106" t="s">
        <v>1468</v>
      </c>
      <c r="N15" s="107" t="s">
        <v>1469</v>
      </c>
      <c r="O15" s="109"/>
      <c r="P15" s="106" t="s">
        <v>347</v>
      </c>
      <c r="Q15" s="111" t="s">
        <v>1326</v>
      </c>
      <c r="R15" s="106"/>
    </row>
    <row r="16" spans="1:19" ht="20.100000000000001" customHeight="1" x14ac:dyDescent="0.2">
      <c r="A16" s="5" t="str">
        <f>HYPERLINK("#'Input - Fertiliser'!A1", "Fertiliser")</f>
        <v>Fertiliser</v>
      </c>
      <c r="D16" s="106" t="s">
        <v>1470</v>
      </c>
      <c r="E16" s="107" t="s">
        <v>1471</v>
      </c>
      <c r="F16" s="109"/>
      <c r="G16" s="106"/>
      <c r="H16" s="110" t="s">
        <v>1325</v>
      </c>
      <c r="I16" s="106" t="str">
        <f>X_Cell_Site_LeachingZone</f>
        <v>NO - Not in leaching zone</v>
      </c>
      <c r="M16" s="106" t="s">
        <v>1470</v>
      </c>
      <c r="N16" s="107" t="s">
        <v>1471</v>
      </c>
      <c r="O16" s="109"/>
      <c r="P16" s="106"/>
      <c r="Q16" s="110" t="s">
        <v>1325</v>
      </c>
      <c r="R16" s="106"/>
    </row>
    <row r="17" spans="1:19" ht="20.100000000000001" customHeight="1" x14ac:dyDescent="0.2">
      <c r="A17" s="5" t="str">
        <f>HYPERLINK("#'Input - Fuel'!A1", "Fuel")</f>
        <v>Fuel</v>
      </c>
      <c r="D17" s="106" t="s">
        <v>1456</v>
      </c>
      <c r="E17" s="107" t="s">
        <v>1457</v>
      </c>
      <c r="F17" s="109"/>
      <c r="G17" s="106"/>
      <c r="H17" s="110" t="s">
        <v>1325</v>
      </c>
      <c r="I17" s="106" t="str">
        <f>X_Cell_PastureBeef_GrazingProductionSystem</f>
        <v>Pasture</v>
      </c>
      <c r="M17" s="106" t="s">
        <v>1456</v>
      </c>
      <c r="N17" s="107" t="s">
        <v>1457</v>
      </c>
      <c r="O17" s="109"/>
      <c r="P17" s="106"/>
      <c r="Q17" s="110" t="s">
        <v>1325</v>
      </c>
      <c r="R17" s="106"/>
    </row>
    <row r="18" spans="1:19" ht="20.100000000000001" customHeight="1" x14ac:dyDescent="0.2">
      <c r="A18" s="5" t="str">
        <f>HYPERLINK("#'Input - Electricity'!A1", "Electricity")</f>
        <v>Electricity</v>
      </c>
      <c r="D18" s="106" t="s">
        <v>1472</v>
      </c>
      <c r="E18" s="107" t="s">
        <v>1458</v>
      </c>
      <c r="F18" s="109"/>
      <c r="G18" s="106"/>
      <c r="H18" s="110" t="s">
        <v>1325</v>
      </c>
      <c r="I18" s="106" t="str">
        <f>X_Cell_PastureBeef_GrazingIrrigationMethod</f>
        <v>Sprinkler irrigation</v>
      </c>
      <c r="M18" s="106" t="s">
        <v>1472</v>
      </c>
      <c r="N18" s="107" t="s">
        <v>1458</v>
      </c>
      <c r="O18" s="109"/>
      <c r="P18" s="106"/>
      <c r="Q18" s="110" t="s">
        <v>1325</v>
      </c>
      <c r="R18" s="106"/>
    </row>
    <row r="19" spans="1:19" ht="20.100000000000001" customHeight="1" x14ac:dyDescent="0.2">
      <c r="A19" s="5" t="str">
        <f>HYPERLINK("#'Input - Common farm inputs'!A1", "Common farm inputs")</f>
        <v>Common farm inputs</v>
      </c>
    </row>
    <row r="20" spans="1:19" ht="20.100000000000001" customHeight="1" x14ac:dyDescent="0.2">
      <c r="A20" s="5" t="str">
        <f>HYPERLINK("#'Input - Crop pasture farm input'!A1", "Crop pasture farm input")</f>
        <v>Crop pasture farm input</v>
      </c>
      <c r="D20" s="94" t="s">
        <v>481</v>
      </c>
      <c r="E20" s="88">
        <f ca="1">($I$13 * $I$14 * $I$15)</f>
        <v>14517.683851768685</v>
      </c>
      <c r="F20" s="95" t="str">
        <f>$E$11</f>
        <v>kg N</v>
      </c>
      <c r="K20" s="99"/>
      <c r="M20" s="94" t="s">
        <v>481</v>
      </c>
      <c r="N20" s="88">
        <f ca="1">($R$13 * $I$14 * $I$15)</f>
        <v>14069.637675477161</v>
      </c>
      <c r="O20" s="95" t="str">
        <f>$E$11</f>
        <v>kg N</v>
      </c>
    </row>
    <row r="21" spans="1:19" ht="20.100000000000001" customHeight="1" x14ac:dyDescent="0.2">
      <c r="A21" s="5" t="str">
        <f>HYPERLINK("#'Input - Livestock farm Inputs'!A1", "Livestock farm Inputs")</f>
        <v>Livestock farm Inputs</v>
      </c>
      <c r="K21" s="99"/>
    </row>
    <row r="22" spans="1:19" ht="20.100000000000001" customHeight="1" x14ac:dyDescent="0.2">
      <c r="A22" s="5" t="str">
        <f>HYPERLINK("#'Input - Freight'!A1", "Freight")</f>
        <v>Freight</v>
      </c>
      <c r="K22" s="99"/>
    </row>
    <row r="23" spans="1:19" ht="20.100000000000001" customHeight="1" x14ac:dyDescent="0.2">
      <c r="A23" s="5" t="str">
        <f>HYPERLINK("#'Input - Solid waste'!A1", "Solid waste")</f>
        <v>Solid waste</v>
      </c>
      <c r="C23" s="88"/>
      <c r="D23" s="88"/>
      <c r="E23" s="88"/>
      <c r="F23" s="88"/>
      <c r="G23" s="88"/>
      <c r="H23" s="88"/>
      <c r="I23" s="88"/>
      <c r="J23" s="88"/>
      <c r="K23" s="99"/>
      <c r="L23" s="88"/>
      <c r="M23" s="88"/>
      <c r="N23" s="88"/>
      <c r="O23" s="88"/>
      <c r="P23" s="88"/>
      <c r="Q23" s="88"/>
      <c r="R23" s="88"/>
      <c r="S23" s="88"/>
    </row>
    <row r="24" spans="1:19" ht="20.100000000000001" customHeight="1" x14ac:dyDescent="0.2">
      <c r="A24" s="5" t="str">
        <f>HYPERLINK("#'Input - Manure sent off-site'!A1", "Manure sent off-site")</f>
        <v>Manure sent off-site</v>
      </c>
      <c r="D24" s="2" t="s">
        <v>1473</v>
      </c>
    </row>
    <row r="25" spans="1:19" ht="20.100000000000001" customHeight="1" x14ac:dyDescent="0.2">
      <c r="A25" s="5" t="str">
        <f>HYPERLINK("#'Input - Data quality'!A1", "Data quality")</f>
        <v>Data quality</v>
      </c>
      <c r="D25" s="17" t="s">
        <v>1474</v>
      </c>
    </row>
    <row r="26" spans="1:19" ht="20.100000000000001" customHeight="1" x14ac:dyDescent="0.2">
      <c r="D26" s="104"/>
      <c r="E26" s="104"/>
    </row>
    <row r="28" spans="1:19" ht="20.100000000000001" customHeight="1" x14ac:dyDescent="0.2">
      <c r="A28" s="6" t="s">
        <v>2</v>
      </c>
    </row>
    <row r="29" spans="1:19" ht="20.100000000000001" customHeight="1" x14ac:dyDescent="0.2">
      <c r="A29" s="5" t="str">
        <f>HYPERLINK("#'3.2.1.1-2 Enteric Methane'!A1", "3.2.1.1-2 Enteric Methane")</f>
        <v>3.2.1.1-2 Enteric Methane</v>
      </c>
      <c r="D29" s="77" t="s">
        <v>374</v>
      </c>
      <c r="E29" s="1" t="s">
        <v>1475</v>
      </c>
    </row>
    <row r="30" spans="1:19" ht="20.100000000000001" customHeight="1" x14ac:dyDescent="0.2">
      <c r="A30" s="5" t="str">
        <f>HYPERLINK("#'4.2.1.1-2 Methane'!A1", "4.2.1.1-2 Manure methane")</f>
        <v>4.2.1.1-2 Manure methane</v>
      </c>
      <c r="D30" s="77" t="s">
        <v>126</v>
      </c>
      <c r="E30" s="9" t="s">
        <v>12</v>
      </c>
    </row>
    <row r="31" spans="1:19" ht="20.100000000000001" customHeight="1" x14ac:dyDescent="0.2">
      <c r="A31" s="5" t="str">
        <f>HYPERLINK("#'4.2.1.3-4 Soil direct N20'!A1", "4.2.1.3-4 Soil direct N2O")</f>
        <v>4.2.1.3-4 Soil direct N2O</v>
      </c>
    </row>
    <row r="32" spans="1:19" ht="20.100000000000001" customHeight="1" x14ac:dyDescent="0.2">
      <c r="A32" s="5" t="str">
        <f>HYPERLINK("#'4.2.1.5-6 Soil Atmos Dep'!A1", "4.2.1.5-6 Soil atm. deposition")</f>
        <v>4.2.1.5-6 Soil atm. deposition</v>
      </c>
      <c r="D32" s="106" t="s">
        <v>1465</v>
      </c>
      <c r="E32" s="107" t="s">
        <v>1476</v>
      </c>
      <c r="F32" s="109"/>
      <c r="G32" s="106" t="s">
        <v>1162</v>
      </c>
      <c r="H32" s="111" t="s">
        <v>1479</v>
      </c>
      <c r="I32" s="106">
        <f ca="1">$E$20</f>
        <v>14517.683851768685</v>
      </c>
      <c r="M32" s="106" t="s">
        <v>1465</v>
      </c>
      <c r="N32" s="107" t="s">
        <v>1476</v>
      </c>
      <c r="O32" s="109"/>
      <c r="P32" s="106" t="s">
        <v>1162</v>
      </c>
      <c r="Q32" s="111" t="s">
        <v>1479</v>
      </c>
      <c r="R32" s="106">
        <f ca="1">$N$20</f>
        <v>14069.637675477161</v>
      </c>
    </row>
    <row r="33" spans="1:18" ht="20.100000000000001" customHeight="1" x14ac:dyDescent="0.2">
      <c r="A33" s="105" t="str">
        <f>HYPERLINK("#'4.2.1.7-8 Soil leach runoff'!A1", "4.2.1.7-8 Soil leach &amp; runoff")</f>
        <v>4.2.1.7-8 Soil leach &amp; runoff</v>
      </c>
      <c r="D33" s="106" t="s">
        <v>1477</v>
      </c>
      <c r="E33" s="107" t="s">
        <v>1478</v>
      </c>
      <c r="F33" s="109"/>
      <c r="G33" s="106" t="s">
        <v>1462</v>
      </c>
      <c r="H33" s="111" t="s">
        <v>1326</v>
      </c>
      <c r="I33" s="106">
        <f>'Constants - Common'!$E$170</f>
        <v>1.0999999999999999E-2</v>
      </c>
      <c r="M33" s="106" t="s">
        <v>1477</v>
      </c>
      <c r="N33" s="107" t="s">
        <v>1478</v>
      </c>
      <c r="O33" s="109"/>
      <c r="P33" s="106" t="s">
        <v>1462</v>
      </c>
      <c r="Q33" s="111" t="s">
        <v>1326</v>
      </c>
      <c r="R33" s="106"/>
    </row>
    <row r="34" spans="1:18" ht="20.100000000000001" customHeight="1" x14ac:dyDescent="0.2">
      <c r="A34" s="5" t="str">
        <f>HYPERLINK("#'5.1.1.1-2 Inorganic fert N2O'!A1", "5.1.1.1-2 Inorganic fert N2O")</f>
        <v>5.1.1.1-2 Inorganic fert N2O</v>
      </c>
      <c r="D34" s="106" t="s">
        <v>1454</v>
      </c>
      <c r="E34" s="107" t="s">
        <v>1455</v>
      </c>
      <c r="F34" s="109"/>
      <c r="G34" s="106"/>
      <c r="H34" s="111" t="s">
        <v>1326</v>
      </c>
      <c r="I34" s="106">
        <f>Common_InputFunctions.Utility_LookupValueInTableNumber("N2O",Table_GasToMolecularConversionFactor[Gas],Table_GasToMolecularConversionFactor[Conversion factor combined])</f>
        <v>1.5714285714285714</v>
      </c>
      <c r="M34" s="106" t="s">
        <v>1454</v>
      </c>
      <c r="N34" s="107" t="s">
        <v>1455</v>
      </c>
      <c r="O34" s="109"/>
      <c r="P34" s="106"/>
      <c r="Q34" s="111" t="s">
        <v>1326</v>
      </c>
      <c r="R34" s="106"/>
    </row>
    <row r="35" spans="1:18" ht="20.100000000000001" customHeight="1" x14ac:dyDescent="0.2">
      <c r="A35" s="5" t="str">
        <f>HYPERLINK("#'5.1.1.3-4 Inorganic fert CO2'!A1", "5.1.1.3-4 Inorganic fert CO2")</f>
        <v>5.1.1.3-4 Inorganic fert CO2</v>
      </c>
    </row>
    <row r="36" spans="1:18" ht="20.100000000000001" customHeight="1" x14ac:dyDescent="0.2">
      <c r="A36" s="5" t="str">
        <f>HYPERLINK("#'5.2.1.1-2 Organic Fert N2O'!A1", "5.2.1.1-2 Organic fert N2O")</f>
        <v>5.2.1.1-2 Organic fert N2O</v>
      </c>
      <c r="D36" s="94" t="s">
        <v>482</v>
      </c>
      <c r="E36" s="88">
        <f ca="1">(I32 * I33 * I34 * 10 ^ -3)</f>
        <v>0.2509485351520015</v>
      </c>
      <c r="F36" s="95" t="str">
        <f>$E$30</f>
        <v>t N2O</v>
      </c>
      <c r="M36" s="94" t="s">
        <v>482</v>
      </c>
      <c r="N36" s="88">
        <f ca="1">(R32 * I33 * I34 * 10 ^ -3)</f>
        <v>0.24320373696181949</v>
      </c>
      <c r="O36" s="95" t="str">
        <f>$E$30</f>
        <v>t N2O</v>
      </c>
    </row>
    <row r="37" spans="1:18" ht="20.100000000000001" customHeight="1" x14ac:dyDescent="0.2">
      <c r="A37" s="5" t="str">
        <f>HYPERLINK("#'5.3.1.1-2 Lime CO2'!A1", "5.3.1.1-2 Lime CO2")</f>
        <v>5.3.1.1-2 Lime CO2</v>
      </c>
    </row>
    <row r="38" spans="1:18" ht="20.100000000000001" customHeight="1" x14ac:dyDescent="0.2">
      <c r="A38" s="5" t="str">
        <f>HYPERLINK("#'5.4.1.1-4 Atmos deposition'!A1", "5.4.1.1-4 Atmos. deposition")</f>
        <v>5.4.1.1-4 Atmos. deposition</v>
      </c>
      <c r="D38" s="117" t="str" cm="1">
        <f t="array" ref="D38:E39">Common_Equations.Common_ConvertN2OToCO2e_Arguments()</f>
        <v>EN2O</v>
      </c>
      <c r="E38" s="118" t="str">
        <v>Nitrous oxide emissions (t N2O)</v>
      </c>
      <c r="F38" s="119"/>
      <c r="G38" s="15">
        <f ca="1">VEERG_4_2_1_7__1_LeachingAndRunoffEmissionsFromUrineAndDungOnPasture_Result_Method1</f>
        <v>0.2509485351520015</v>
      </c>
      <c r="M38" s="117" t="str" cm="1">
        <f t="array" ref="M38:N39">Common_Equations.Common_ConvertN2OToCO2e_Arguments()</f>
        <v>EN2O</v>
      </c>
      <c r="N38" s="118" t="str">
        <v>Nitrous oxide emissions (t N2O)</v>
      </c>
      <c r="O38" s="119"/>
      <c r="P38" s="15">
        <f ca="1">VEERG_4_2_1_7__1_LeachingAndRunoffEmissionsFromUrineAndDungOnPasture_Result_Method2</f>
        <v>0.24320373696181949</v>
      </c>
    </row>
    <row r="39" spans="1:18" ht="20.100000000000001" customHeight="1" x14ac:dyDescent="0.2">
      <c r="A39" s="5" t="str">
        <f>HYPERLINK("#'5.5.1.1-2 Leaching and runoff'!A1", "5.5.1.1-2 Leaching &amp; runoff")</f>
        <v>5.5.1.1-2 Leaching &amp; runoff</v>
      </c>
      <c r="D39" s="117" t="str">
        <v>GWPN2O</v>
      </c>
      <c r="E39" s="118" t="str">
        <v>Global warming potential for nitrous oxide (t CO2-e / t N2O)</v>
      </c>
      <c r="F39" s="119"/>
      <c r="G39" s="15">
        <f>Common_InputFunctions.Utility_LookupValueInTableNumber("N2O",Table_GWPData[Gas],Table_GWPData[CO2-e factor])</f>
        <v>265</v>
      </c>
      <c r="M39" s="117" t="str">
        <v>GWPN2O</v>
      </c>
      <c r="N39" s="118" t="str">
        <v>Global warming potential for nitrous oxide (t CO2-e / t N2O)</v>
      </c>
      <c r="O39" s="119"/>
      <c r="P39" s="15">
        <f>Common_InputFunctions.Utility_LookupValueInTableNumber("N2O",Table_GWPData[Gas],Table_GWPData[CO2-e factor])</f>
        <v>265</v>
      </c>
    </row>
    <row r="40" spans="1:18" ht="20.100000000000001" customHeight="1" x14ac:dyDescent="0.2">
      <c r="A40" s="5" t="str">
        <f>HYPERLINK("#'6.2.1.1-2 Pasture residue N2O'!A1", "6.2.1.1-2 Pasture residue N2O")</f>
        <v>6.2.1.1-2 Pasture residue N2O</v>
      </c>
    </row>
    <row r="41" spans="1:18" ht="20.100000000000001" customHeight="1" x14ac:dyDescent="0.2">
      <c r="A41" s="5" t="str">
        <f>HYPERLINK("#'6.3.1.1-2 Leach runoff pasture'!A1", "6.3.1.1-2 Leach &amp; runoff (pasture)")</f>
        <v>6.3.1.1-2 Leach &amp; runoff (pasture)</v>
      </c>
      <c r="D41" s="88" t="s">
        <v>436</v>
      </c>
      <c r="E41" s="88" cm="1">
        <f t="array" aca="1" ref="E41" ca="1">Common_Equations.Common_ConvertN2OToCO2e(G38,G39)</f>
        <v>66.50136181528039</v>
      </c>
      <c r="F41" s="95" t="str" cm="1">
        <f t="array" ref="F41">Common_Equations.Common_ConvertN2OToCO2e_Unit()</f>
        <v>t CO2e</v>
      </c>
      <c r="M41" s="88" t="s">
        <v>436</v>
      </c>
      <c r="N41" s="88" cm="1">
        <f t="array" aca="1" ref="N41" ca="1">Common_Equations.Common_ConvertN2OToCO2e(P38,P39)</f>
        <v>64.448990294882165</v>
      </c>
      <c r="O41" s="95" t="str" cm="1">
        <f t="array" ref="O41">Common_Equations.Common_ConvertN2OToCO2e_Unit()</f>
        <v>t CO2e</v>
      </c>
    </row>
    <row r="42" spans="1:18" ht="20.100000000000001" customHeight="1" x14ac:dyDescent="0.2">
      <c r="A42" s="5" t="str">
        <f>HYPERLINK("#'8.1.1.1-2 Transport fuel'!A1", "8.1.1.1-2 Transport fuel")</f>
        <v>8.1.1.1-2 Transport fuel</v>
      </c>
    </row>
    <row r="43" spans="1:18" ht="20.100000000000001" customHeight="1" x14ac:dyDescent="0.2">
      <c r="A43" s="5" t="str">
        <f>HYPERLINK("#'8.2.1.1-2 Stationary fuel'!A1", "8.2.1.1-2 Stationary fuel")</f>
        <v>8.2.1.1-2 Stationary fuel</v>
      </c>
    </row>
    <row r="44" spans="1:18" ht="20.100000000000001" customHeight="1" x14ac:dyDescent="0.2">
      <c r="A44" s="5" t="str">
        <f>HYPERLINK("#'10.1.1-2 Solid waste treatment'!A1", "10.1.1.1-2 Solid waste")</f>
        <v>10.1.1.1-2 Solid waste</v>
      </c>
    </row>
    <row r="45" spans="1:18" ht="20.100000000000001" customHeight="1" x14ac:dyDescent="0.2">
      <c r="A45" s="5" t="str">
        <f>HYPERLINK("#'14.1.1-2 Purchased electricity'!A1", "14.1.1-2 Purchased electricity")</f>
        <v>14.1.1-2 Purchased electricity</v>
      </c>
    </row>
    <row r="46" spans="1:18" ht="20.100000000000001" customHeight="1" x14ac:dyDescent="0.2">
      <c r="A46" s="5" t="str">
        <f>HYPERLINK("#'15 Scope 3'!A1", "15 Scope 3")</f>
        <v>15 Scope 3</v>
      </c>
    </row>
    <row r="47" spans="1:18"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dataValidations count="1">
    <dataValidation operator="equal" allowBlank="1" showInputMessage="1" showErrorMessage="1" sqref="E23 N23 E28 N28" xr:uid="{6FAFB0AA-CD04-4E27-9265-99C360DD4338}"/>
  </dataValidation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5EAD9-F145-49F5-B8D0-18F206B5C262}">
  <sheetPr>
    <tabColor rgb="FF008000"/>
  </sheetPr>
  <dimension ref="A1:X342"/>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1" customFormat="1" ht="30" customHeight="1" x14ac:dyDescent="0.35">
      <c r="A1" s="10" t="e" vm="1">
        <v>#VALUE!</v>
      </c>
      <c r="C1" s="21" t="s">
        <v>646</v>
      </c>
      <c r="K1"/>
    </row>
    <row r="2" spans="1:24" s="3" customFormat="1" ht="20.100000000000001" customHeight="1" x14ac:dyDescent="0.2">
      <c r="A2"/>
      <c r="K2"/>
    </row>
    <row r="3" spans="1:24" ht="20.100000000000001" customHeight="1" x14ac:dyDescent="0.2">
      <c r="A3" s="5" t="str">
        <f>HYPERLINK("#'Home'!A1", "Home")</f>
        <v>Home</v>
      </c>
      <c r="C3" s="23"/>
      <c r="D3" s="23" t="s">
        <v>141</v>
      </c>
      <c r="E3" s="23"/>
      <c r="F3" s="23"/>
      <c r="G3" s="23"/>
      <c r="H3" s="23"/>
      <c r="I3" s="23"/>
      <c r="J3" s="23"/>
      <c r="L3" s="23"/>
      <c r="M3" s="23" t="s">
        <v>142</v>
      </c>
      <c r="N3" s="23"/>
      <c r="O3" s="23"/>
      <c r="P3" s="23"/>
      <c r="Q3" s="23"/>
      <c r="R3" s="23"/>
      <c r="S3" s="23"/>
      <c r="T3" s="23"/>
      <c r="U3" s="23"/>
      <c r="V3" s="23"/>
      <c r="W3" s="23"/>
      <c r="X3" s="23"/>
    </row>
    <row r="4" spans="1:24" ht="20.100000000000001" customHeight="1" x14ac:dyDescent="0.2">
      <c r="A4" s="5" t="str">
        <f>HYPERLINK("#'Results - Activity period'!A1", "Results - Activity period")</f>
        <v>Results - Activity period</v>
      </c>
    </row>
    <row r="5" spans="1:24" ht="20.100000000000001" customHeight="1" x14ac:dyDescent="0.2">
      <c r="A5" s="5" t="str">
        <f>HYPERLINK("#'Results - Product EI'!A1", "Results - Product Emissions Intensity")</f>
        <v>Results - Product Emissions Intensity</v>
      </c>
      <c r="D5" s="2" t="s">
        <v>1480</v>
      </c>
      <c r="M5" s="80" t="s">
        <v>647</v>
      </c>
    </row>
    <row r="6" spans="1:24" ht="20.100000000000001" customHeight="1" x14ac:dyDescent="0.2">
      <c r="D6" s="17" t="s">
        <v>1481</v>
      </c>
      <c r="M6" s="70" t="s">
        <v>648</v>
      </c>
      <c r="N6" s="70"/>
      <c r="O6" s="70"/>
      <c r="P6" s="70"/>
      <c r="Q6" s="70"/>
      <c r="R6" s="70"/>
      <c r="S6" s="70"/>
    </row>
    <row r="7" spans="1:24" ht="20.100000000000001" customHeight="1" x14ac:dyDescent="0.2">
      <c r="D7" s="104"/>
      <c r="E7" s="104"/>
      <c r="M7" s="113" t="s">
        <v>649</v>
      </c>
    </row>
    <row r="8" spans="1:24" ht="20.100000000000001" customHeight="1" x14ac:dyDescent="0.2">
      <c r="A8" s="7" t="s">
        <v>0</v>
      </c>
      <c r="M8" s="114" t="s">
        <v>650</v>
      </c>
    </row>
    <row r="9" spans="1:24" ht="20.100000000000001" customHeight="1" x14ac:dyDescent="0.2">
      <c r="A9" s="5" t="str">
        <f>HYPERLINK("#'Input - Enterprise'!A1", "Enterprise")</f>
        <v>Enterprise</v>
      </c>
      <c r="O9" s="161" t="s">
        <v>651</v>
      </c>
      <c r="P9" s="161" t="s">
        <v>652</v>
      </c>
      <c r="Q9" s="161" t="s">
        <v>653</v>
      </c>
    </row>
    <row r="10" spans="1:24" ht="20.100000000000001" customHeight="1" x14ac:dyDescent="0.2">
      <c r="A10" s="5" t="str">
        <f>HYPERLINK("#'Input - Site'!A1", "Site")</f>
        <v>Site</v>
      </c>
      <c r="D10" s="77" t="s">
        <v>374</v>
      </c>
      <c r="E10" s="1" t="s">
        <v>1482</v>
      </c>
      <c r="M10" s="115" t="s">
        <v>654</v>
      </c>
      <c r="N10" s="82" t="s">
        <v>654</v>
      </c>
      <c r="O10" s="82" t="s">
        <v>655</v>
      </c>
      <c r="P10" s="82" t="s">
        <v>656</v>
      </c>
      <c r="Q10" s="115" t="s">
        <v>657</v>
      </c>
    </row>
    <row r="11" spans="1:24" ht="20.100000000000001" customHeight="1" x14ac:dyDescent="0.2">
      <c r="A11" s="5" t="str">
        <f>HYPERLINK("#'Input - Pasture Beef'!A1", "Pasture Beef")</f>
        <v>Pasture Beef</v>
      </c>
      <c r="D11" s="77" t="s">
        <v>126</v>
      </c>
      <c r="E11" s="9" t="s">
        <v>1162</v>
      </c>
      <c r="M11" s="15" t="s">
        <v>658</v>
      </c>
      <c r="N11" s="15" t="str" cm="1">
        <f t="array" ref="N11:N20">Table_Input_InorganicFertiliser_Brands[Product (select)]</f>
        <v>Urea</v>
      </c>
      <c r="O11" s="15" cm="1">
        <f t="array" ref="O11:O20">Table_Input_InorganicFertiliser_Brands[N application rate (kg/ha)]</f>
        <v>46</v>
      </c>
      <c r="P11" s="15" cm="1">
        <f t="array" ref="P11:P20">IF(Table_Input_InorganicFertiliser_Brands[N application rate (kg/ha)]&gt;0, Table_Input_InorganicFertiliser_Brands[Application area (ha)], 0)</f>
        <v>1000</v>
      </c>
      <c r="Q11" s="15">
        <f>O11*P11</f>
        <v>46000</v>
      </c>
    </row>
    <row r="12" spans="1:24" ht="20.100000000000001" customHeight="1" x14ac:dyDescent="0.2">
      <c r="A12" s="5" t="str">
        <f>HYPERLINK("#'Input - Livestock sales'!A1", "Livestock sales")</f>
        <v>Livestock sales</v>
      </c>
      <c r="M12" s="15" t="s">
        <v>658</v>
      </c>
      <c r="N12" s="15" t="str">
        <v>Boost-It</v>
      </c>
      <c r="O12" s="15">
        <v>24</v>
      </c>
      <c r="P12" s="15">
        <v>1000</v>
      </c>
      <c r="Q12" s="15">
        <f>O12*P12</f>
        <v>24000</v>
      </c>
    </row>
    <row r="13" spans="1:24" ht="20.100000000000001" customHeight="1" x14ac:dyDescent="0.2">
      <c r="A13" s="5" t="str">
        <f>HYPERLINK("#'Input - Beef cattle purchases'!A1", "Beef cattle purchases")</f>
        <v>Beef cattle purchases</v>
      </c>
      <c r="D13" s="117" t="s">
        <v>1483</v>
      </c>
      <c r="E13" s="117" t="s">
        <v>1484</v>
      </c>
      <c r="F13" s="117"/>
      <c r="G13" s="117" t="s">
        <v>653</v>
      </c>
      <c r="H13" s="110" t="s">
        <v>1325</v>
      </c>
      <c r="I13" s="112" t="str" cm="1">
        <f t="array" aca="1" ref="I13" ca="1">HYPERLINK(Common_InputFunctions.Utility_SourceHyperlink($D$16), $D$16)</f>
        <v>Table_MN_j_f</v>
      </c>
      <c r="M13" s="15" t="s">
        <v>658</v>
      </c>
      <c r="N13" s="15" t="str">
        <v>Cal-Gran 50/50</v>
      </c>
      <c r="O13" s="15">
        <v>17.899999999999999</v>
      </c>
      <c r="P13" s="15">
        <v>1000</v>
      </c>
      <c r="Q13" s="15">
        <f t="shared" ref="Q13:Q20" si="0">O13*P13</f>
        <v>17900</v>
      </c>
    </row>
    <row r="14" spans="1:24" ht="20.100000000000001" customHeight="1" x14ac:dyDescent="0.2">
      <c r="A14" s="5" t="str">
        <f>HYPERLINK("#'Input - Pasture'!A1", "Pasture")</f>
        <v>Pasture</v>
      </c>
      <c r="D14" s="117" t="s">
        <v>1485</v>
      </c>
      <c r="E14" s="118" t="s">
        <v>1486</v>
      </c>
      <c r="F14" s="162"/>
      <c r="G14" s="117" t="s">
        <v>1487</v>
      </c>
      <c r="H14" s="111" t="s">
        <v>1326</v>
      </c>
      <c r="I14" s="112" t="str" cm="1">
        <f t="array" aca="1" ref="I14" ca="1">HYPERLINK(Common_InputFunctions.Utility_SourceHyperlink($D$16), $D$16)</f>
        <v>Table_MN_j_f</v>
      </c>
      <c r="M14" s="15" t="s">
        <v>658</v>
      </c>
      <c r="N14" s="15">
        <v>0</v>
      </c>
      <c r="O14" s="15">
        <v>0</v>
      </c>
      <c r="P14" s="15">
        <v>0</v>
      </c>
      <c r="Q14" s="15">
        <f t="shared" si="0"/>
        <v>0</v>
      </c>
    </row>
    <row r="15" spans="1:24" ht="20.100000000000001" customHeight="1" x14ac:dyDescent="0.2">
      <c r="A15" s="5" t="str">
        <f>HYPERLINK("#'Input - Fert Prod System'!A1", "Fert Prod System")</f>
        <v>Fert Prod System</v>
      </c>
      <c r="M15" s="15" t="s">
        <v>658</v>
      </c>
      <c r="N15" s="15">
        <v>0</v>
      </c>
      <c r="O15" s="15">
        <v>0</v>
      </c>
      <c r="P15" s="15">
        <v>0</v>
      </c>
      <c r="Q15" s="15">
        <f t="shared" si="0"/>
        <v>0</v>
      </c>
    </row>
    <row r="16" spans="1:24" ht="20.100000000000001" customHeight="1" x14ac:dyDescent="0.2">
      <c r="A16" s="5" t="str">
        <f>HYPERLINK("#'Input - Fertiliser'!A1", "Fertiliser")</f>
        <v>Fertiliser</v>
      </c>
      <c r="D16" s="113" t="s">
        <v>659</v>
      </c>
      <c r="M16" s="15" t="s">
        <v>658</v>
      </c>
      <c r="N16" s="15">
        <v>0</v>
      </c>
      <c r="O16" s="15">
        <v>0</v>
      </c>
      <c r="P16" s="15">
        <v>0</v>
      </c>
      <c r="Q16" s="15">
        <f t="shared" si="0"/>
        <v>0</v>
      </c>
    </row>
    <row r="17" spans="1:17" ht="20.100000000000001" customHeight="1" x14ac:dyDescent="0.2">
      <c r="A17" s="5" t="str">
        <f>HYPERLINK("#'Input - Fuel'!A1", "Fuel")</f>
        <v>Fuel</v>
      </c>
      <c r="D17" s="114" t="s">
        <v>660</v>
      </c>
      <c r="M17" s="15" t="s">
        <v>658</v>
      </c>
      <c r="N17" s="15">
        <v>0</v>
      </c>
      <c r="O17" s="15">
        <v>0</v>
      </c>
      <c r="P17" s="15">
        <v>0</v>
      </c>
      <c r="Q17" s="15">
        <f t="shared" si="0"/>
        <v>0</v>
      </c>
    </row>
    <row r="18" spans="1:17" ht="20.100000000000001" customHeight="1" x14ac:dyDescent="0.2">
      <c r="A18" s="5" t="str">
        <f>HYPERLINK("#'Input - Electricity'!A1", "Electricity")</f>
        <v>Electricity</v>
      </c>
      <c r="D18" s="115" t="s">
        <v>661</v>
      </c>
      <c r="E18" s="82" t="s">
        <v>662</v>
      </c>
      <c r="F18" s="115" t="s">
        <v>663</v>
      </c>
      <c r="G18" s="115" t="s">
        <v>664</v>
      </c>
      <c r="M18" s="15" t="s">
        <v>658</v>
      </c>
      <c r="N18" s="15">
        <v>0</v>
      </c>
      <c r="O18" s="15">
        <v>0</v>
      </c>
      <c r="P18" s="15">
        <v>0</v>
      </c>
      <c r="Q18" s="15">
        <f t="shared" si="0"/>
        <v>0</v>
      </c>
    </row>
    <row r="19" spans="1:17" ht="20.100000000000001" customHeight="1" x14ac:dyDescent="0.2">
      <c r="A19" s="5" t="str">
        <f>HYPERLINK("#'Input - Common farm inputs'!A1", "Common farm inputs")</f>
        <v>Common farm inputs</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f>(E19 * F19)</f>
        <v>0</v>
      </c>
      <c r="M19" s="15" t="s">
        <v>658</v>
      </c>
      <c r="N19" s="15">
        <v>0</v>
      </c>
      <c r="O19" s="15">
        <v>0</v>
      </c>
      <c r="P19" s="15">
        <v>0</v>
      </c>
      <c r="Q19" s="15">
        <f t="shared" si="0"/>
        <v>0</v>
      </c>
    </row>
    <row r="20" spans="1:17" ht="20.100000000000001" customHeight="1" x14ac:dyDescent="0.2">
      <c r="A20" s="5" t="str">
        <f>HYPERLINK("#'Input - Crop pasture farm input'!A1", "Crop pasture farm input")</f>
        <v>Crop pasture farm input</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f>(E20 * F20)</f>
        <v>0</v>
      </c>
      <c r="M20" s="15" t="s">
        <v>658</v>
      </c>
      <c r="N20" s="15">
        <v>0</v>
      </c>
      <c r="O20" s="15">
        <v>0</v>
      </c>
      <c r="P20" s="15">
        <v>0</v>
      </c>
      <c r="Q20" s="15">
        <f t="shared" si="0"/>
        <v>0</v>
      </c>
    </row>
    <row r="21" spans="1:17" ht="20.100000000000001" customHeight="1" x14ac:dyDescent="0.2">
      <c r="A21" s="5" t="str">
        <f>HYPERLINK("#'Input - Livestock farm Inputs'!A1", "Livestock farm Inputs")</f>
        <v>Livestock farm Inputs</v>
      </c>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f],Table_Fertiliser_ChemicalCompounds[FNinorganic f])</f>
        <v>0.46</v>
      </c>
      <c r="G21" s="15">
        <f>(E21 * F21)</f>
        <v>115999.99400000001</v>
      </c>
      <c r="M21" s="15" t="s">
        <v>665</v>
      </c>
      <c r="N21" s="15" t="str" cm="1">
        <f t="array" ref="N21:N30">Table_Input_InorganicFertiliser_Custom[Custom blend name]</f>
        <v>My first custom blend</v>
      </c>
      <c r="O21" s="15" cm="1">
        <f t="array" ref="O21:O30">Table_Input_InorganicFertiliser_Custom[N application rate (kg/ha)]</f>
        <v>7.75</v>
      </c>
      <c r="P21" s="15" cm="1">
        <f t="array" ref="P21:P30">IF(Table_Input_InorganicFertiliser_Custom[N application rate (kg/ha)]&gt;0, Table_Input_InorganicFertiliser_Custom[Application area (ha)],0)</f>
        <v>1000</v>
      </c>
      <c r="Q21" s="15">
        <f>O21*P21</f>
        <v>7750</v>
      </c>
    </row>
    <row r="22" spans="1:17" ht="20.100000000000001" customHeight="1" x14ac:dyDescent="0.2">
      <c r="A22" s="5" t="str">
        <f>HYPERLINK("#'Input - Freight'!A1", "Freight")</f>
        <v>Freight</v>
      </c>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f>(E22 * F22)</f>
        <v>0</v>
      </c>
      <c r="M22" s="15" t="s">
        <v>665</v>
      </c>
      <c r="N22" s="15" t="str">
        <v>My second custom blend</v>
      </c>
      <c r="O22" s="15">
        <v>46</v>
      </c>
      <c r="P22" s="15">
        <v>1000</v>
      </c>
      <c r="Q22" s="15">
        <f>O22*P22</f>
        <v>46000</v>
      </c>
    </row>
    <row r="23" spans="1:17" ht="20.100000000000001" customHeight="1" x14ac:dyDescent="0.2">
      <c r="A23" s="5" t="str">
        <f>HYPERLINK("#'Input - Solid waste'!A1", "Solid waste")</f>
        <v>Solid waste</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f>(E23 * F23)</f>
        <v>0</v>
      </c>
      <c r="M23" s="15" t="s">
        <v>665</v>
      </c>
      <c r="N23" s="15" t="str">
        <v>My third custom blend</v>
      </c>
      <c r="O23" s="15">
        <v>41.174999999999997</v>
      </c>
      <c r="P23" s="15">
        <v>1000</v>
      </c>
      <c r="Q23" s="15">
        <f>O23*P23</f>
        <v>41175</v>
      </c>
    </row>
    <row r="24" spans="1:17" ht="20.100000000000001" customHeight="1" x14ac:dyDescent="0.2">
      <c r="A24" s="5" t="str">
        <f>HYPERLINK("#'Input - Manure sent off-site'!A1", "Manure sent off-site")</f>
        <v>Manure sent off-site</v>
      </c>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f>(E24 * F24)</f>
        <v>0</v>
      </c>
      <c r="J24" s="16"/>
      <c r="M24" s="15" t="s">
        <v>665</v>
      </c>
      <c r="N24" s="15">
        <v>0</v>
      </c>
      <c r="O24" s="15">
        <v>0</v>
      </c>
      <c r="P24" s="15">
        <v>0</v>
      </c>
      <c r="Q24" s="15">
        <f>O24*P24</f>
        <v>0</v>
      </c>
    </row>
    <row r="25" spans="1:17" ht="20.100000000000001" customHeight="1" x14ac:dyDescent="0.2">
      <c r="A25" s="5" t="str">
        <f>HYPERLINK("#'Input - Data quality'!A1", "Data quality")</f>
        <v>Data quality</v>
      </c>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f>(E25 * F25)</f>
        <v>0</v>
      </c>
      <c r="J25" s="16"/>
      <c r="M25" s="15" t="s">
        <v>665</v>
      </c>
      <c r="N25" s="15">
        <v>0</v>
      </c>
      <c r="O25" s="15">
        <v>0</v>
      </c>
      <c r="P25" s="15">
        <v>0</v>
      </c>
      <c r="Q25" s="15">
        <f>O25*P25</f>
        <v>0</v>
      </c>
    </row>
    <row r="26" spans="1:17" ht="20.100000000000001" customHeight="1" x14ac:dyDescent="0.2">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12400</v>
      </c>
      <c r="F26" s="15" cm="1">
        <f t="array" ref="F26">Common_InputFunctions.Utility_LookupValueInTableNumber(D26,Table_Fertiliser_ChemicalCompounds[Fertiliser type f],Table_Fertiliser_ChemicalCompounds[FNinorganic f])</f>
        <v>1</v>
      </c>
      <c r="G26" s="15">
        <f>(E26 * F26)</f>
        <v>12400</v>
      </c>
      <c r="M26" s="15" t="s">
        <v>665</v>
      </c>
      <c r="N26" s="15">
        <v>0</v>
      </c>
      <c r="O26" s="15">
        <v>0</v>
      </c>
      <c r="P26" s="15">
        <v>0</v>
      </c>
      <c r="Q26" s="15">
        <f t="shared" ref="Q26:Q30" si="1">O26*P26</f>
        <v>0</v>
      </c>
    </row>
    <row r="27" spans="1:17" ht="20.100000000000001" customHeight="1" x14ac:dyDescent="0.2">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c r="F27" s="15" cm="1">
        <f t="array" ref="F27">Common_InputFunctions.Utility_LookupValueInTableNumber(D27,Table_Fertiliser_ChemicalCompounds[Fertiliser type f],Table_Fertiliser_ChemicalCompounds[FNinorganic f])</f>
        <v>1</v>
      </c>
      <c r="G27" s="15">
        <f>(E27 * F27)</f>
        <v>5500</v>
      </c>
      <c r="M27" s="15" t="s">
        <v>665</v>
      </c>
      <c r="N27" s="15">
        <v>0</v>
      </c>
      <c r="O27" s="15">
        <v>0</v>
      </c>
      <c r="P27" s="15">
        <v>0</v>
      </c>
      <c r="Q27" s="15">
        <f t="shared" si="1"/>
        <v>0</v>
      </c>
    </row>
    <row r="28" spans="1:17" ht="20.100000000000001" customHeight="1" x14ac:dyDescent="0.2">
      <c r="A28" s="6" t="s">
        <v>2</v>
      </c>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f>(E28 * F28)</f>
        <v>0</v>
      </c>
      <c r="M28" s="15" t="s">
        <v>665</v>
      </c>
      <c r="N28" s="15">
        <v>0</v>
      </c>
      <c r="O28" s="15">
        <v>0</v>
      </c>
      <c r="P28" s="15">
        <v>0</v>
      </c>
      <c r="Q28" s="15">
        <f t="shared" si="1"/>
        <v>0</v>
      </c>
    </row>
    <row r="29" spans="1:17" ht="20.100000000000001" customHeight="1" x14ac:dyDescent="0.2">
      <c r="A29" s="5" t="str">
        <f>HYPERLINK("#'3.2.1.1-2 Enteric Methane'!A1", "3.2.1.1-2 Enteric Methane")</f>
        <v>3.2.1.1-2 Enteric Methane</v>
      </c>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5200</v>
      </c>
      <c r="F29" s="15" cm="1">
        <f t="array" ref="F29">Common_InputFunctions.Utility_LookupValueInTableNumber(D29,Table_Fertiliser_ChemicalCompounds[Fertiliser type f],Table_Fertiliser_ChemicalCompounds[FNinorganic f])</f>
        <v>0</v>
      </c>
      <c r="G29" s="15">
        <f>(E29 * F29)</f>
        <v>0</v>
      </c>
      <c r="M29" s="15" t="s">
        <v>665</v>
      </c>
      <c r="N29" s="15">
        <v>0</v>
      </c>
      <c r="O29" s="15">
        <v>0</v>
      </c>
      <c r="P29" s="15">
        <v>0</v>
      </c>
      <c r="Q29" s="15">
        <f t="shared" si="1"/>
        <v>0</v>
      </c>
    </row>
    <row r="30" spans="1:17" ht="20.100000000000001" customHeight="1" x14ac:dyDescent="0.2">
      <c r="A30" s="5" t="str">
        <f>HYPERLINK("#'4.2.1.1-2 Methane'!A1", "4.2.1.1-2 Manure methane")</f>
        <v>4.2.1.1-2 Manure methane</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43000</v>
      </c>
      <c r="F30" s="15" cm="1">
        <f t="array" ref="F30">Common_InputFunctions.Utility_LookupValueInTableNumber(D30,Table_Fertiliser_ChemicalCompounds[Fertiliser type f],Table_Fertiliser_ChemicalCompounds[FNinorganic f])</f>
        <v>0</v>
      </c>
      <c r="G30" s="15">
        <f>(E30 * F30)</f>
        <v>0</v>
      </c>
      <c r="M30" s="15" t="s">
        <v>665</v>
      </c>
      <c r="N30" s="15">
        <v>0</v>
      </c>
      <c r="O30" s="15">
        <v>0</v>
      </c>
      <c r="P30" s="15">
        <v>0</v>
      </c>
      <c r="Q30" s="15">
        <f t="shared" si="1"/>
        <v>0</v>
      </c>
    </row>
    <row r="31" spans="1:17" ht="20.100000000000001" customHeight="1" x14ac:dyDescent="0.2">
      <c r="A31" s="5" t="str">
        <f>HYPERLINK("#'4.2.1.3-4 Soil direct N20'!A1", "4.2.1.3-4 Soil direct N2O")</f>
        <v>4.2.1.3-4 Soil direct N2O</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18900</v>
      </c>
      <c r="F31" s="15" cm="1">
        <f t="array" ref="F31">Common_InputFunctions.Utility_LookupValueInTableNumber(D31,Table_Fertiliser_ChemicalCompounds[Fertiliser type f],Table_Fertiliser_ChemicalCompounds[FNinorganic f])</f>
        <v>0</v>
      </c>
      <c r="G31" s="15">
        <f>(E31 * F31)</f>
        <v>0</v>
      </c>
    </row>
    <row r="32" spans="1:17" ht="20.100000000000001" customHeight="1" x14ac:dyDescent="0.2">
      <c r="A32" s="5" t="str">
        <f>HYPERLINK("#'4.2.1.5-6 Soil Atmos Dep'!A1", "4.2.1.5-6 Soil atm. deposition")</f>
        <v>4.2.1.5-6 Soil atm. deposition</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15" cm="1">
        <f t="array" ref="F32">Common_InputFunctions.Utility_LookupValueInTableNumber(D32,Table_Fertiliser_ChemicalCompounds[Fertiliser type f],Table_Fertiliser_ChemicalCompounds[FNinorganic f])</f>
        <v>0</v>
      </c>
      <c r="G32" s="15">
        <f>(E32 * F32)</f>
        <v>0</v>
      </c>
    </row>
    <row r="33" spans="1:24" ht="20.100000000000001" customHeight="1" x14ac:dyDescent="0.2">
      <c r="A33" s="5" t="str">
        <f>HYPERLINK("#'4.2.1.7-8 Soil leach runoff'!A1", "4.2.1.7-8 Soil leach &amp; runoff")</f>
        <v>4.2.1.7-8 Soil leach &amp; runoff</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f>(E33 * F33)</f>
        <v>0</v>
      </c>
      <c r="M33" s="94" t="s">
        <v>666</v>
      </c>
      <c r="N33" s="88">
        <f>SUM(Q11:Q30)</f>
        <v>182825</v>
      </c>
    </row>
    <row r="34" spans="1:24" ht="20.100000000000001" customHeight="1" x14ac:dyDescent="0.2">
      <c r="A34" s="105" t="str">
        <f>HYPERLINK("#'5.1.1.1-2 Inorganic fert N2O'!A1", "5.1.1.1-2 Inorganic fert N2O")</f>
        <v>5.1.1.1-2 Inorganic fert N2O</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f>(E34 * F34)</f>
        <v>0</v>
      </c>
      <c r="M34" s="77" t="s">
        <v>667</v>
      </c>
      <c r="N34" s="1">
        <f>MAX(P11:P30)</f>
        <v>1000</v>
      </c>
    </row>
    <row r="35" spans="1:24" ht="20.100000000000001" customHeight="1" x14ac:dyDescent="0.2">
      <c r="A35" s="5" t="str">
        <f>HYPERLINK("#'5.1.1.3-4 Inorganic fert CO2'!A1", "5.1.1.3-4 Inorganic fert CO2")</f>
        <v>5.1.1.3-4 Inorganic fert CO2</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f>(E35 * F35)</f>
        <v>0</v>
      </c>
      <c r="M35" s="77" t="s">
        <v>668</v>
      </c>
      <c r="N35" s="1">
        <f>N33/N34</f>
        <v>182.82499999999999</v>
      </c>
    </row>
    <row r="36" spans="1:24" ht="20.100000000000001" customHeight="1" x14ac:dyDescent="0.2">
      <c r="A36" s="5" t="str">
        <f>HYPERLINK("#'5.2.1.1-2 Organic Fert N2O'!A1", "5.2.1.1-2 Organic fert N2O")</f>
        <v>5.2.1.1-2 Organic fert N2O</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15" cm="1">
        <f t="array" ref="F36">Common_InputFunctions.Utility_LookupValueInTableNumber(D36,Table_Fertiliser_ChemicalCompounds[Fertiliser type f],Table_Fertiliser_ChemicalCompounds[FNinorganic f])</f>
        <v>0.82350000000000001</v>
      </c>
      <c r="G36" s="15">
        <f>(E36 * F36)</f>
        <v>41175</v>
      </c>
    </row>
    <row r="37" spans="1:24" ht="20.100000000000001" customHeight="1" x14ac:dyDescent="0.2">
      <c r="A37" s="5" t="str">
        <f>HYPERLINK("#'5.3.1.1-2 Lime CO2'!A1", "5.3.1.1-2 Lime CO2")</f>
        <v>5.3.1.1-2 Lime CO2</v>
      </c>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15" cm="1">
        <f t="array" ref="F37">Common_InputFunctions.Utility_LookupValueInTableNumber(D37,Table_Fertiliser_ChemicalCompounds[Fertiliser type f],Table_Fertiliser_ChemicalCompounds[FNinorganic f])</f>
        <v>0.155</v>
      </c>
      <c r="G37" s="15">
        <f>(E37 * F37)</f>
        <v>7750</v>
      </c>
      <c r="L37" s="88"/>
      <c r="M37" s="88"/>
      <c r="N37" s="88"/>
      <c r="O37" s="88"/>
      <c r="P37" s="88"/>
      <c r="Q37" s="88"/>
      <c r="R37" s="88"/>
      <c r="S37" s="88"/>
      <c r="T37" s="88"/>
      <c r="U37" s="88"/>
      <c r="V37" s="88"/>
      <c r="W37" s="88"/>
      <c r="X37" s="88"/>
    </row>
    <row r="38" spans="1:24" ht="20.100000000000001" customHeight="1" x14ac:dyDescent="0.2">
      <c r="A38" s="5" t="str">
        <f>HYPERLINK("#'5.4.1.1-4 Atmos deposition'!A1", "5.4.1.1-4 Atmos. deposition")</f>
        <v>5.4.1.1-4 Atmos. deposition</v>
      </c>
    </row>
    <row r="39" spans="1:24" ht="20.100000000000001" customHeight="1" x14ac:dyDescent="0.2">
      <c r="A39" s="5" t="str">
        <f>HYPERLINK("#'5.5.1.1-2 Leaching and runoff'!A1", "5.5.1.1-2 Leaching &amp; runoff")</f>
        <v>5.5.1.1-2 Leaching &amp; runoff</v>
      </c>
      <c r="C39" s="88"/>
      <c r="D39" s="88"/>
      <c r="E39" s="88"/>
      <c r="F39" s="88"/>
      <c r="G39" s="88"/>
      <c r="H39" s="88"/>
      <c r="I39" s="88"/>
      <c r="J39" s="88"/>
      <c r="M39" s="2" t="s">
        <v>1488</v>
      </c>
    </row>
    <row r="40" spans="1:24" ht="20.100000000000001" customHeight="1" x14ac:dyDescent="0.2">
      <c r="A40" s="5" t="str">
        <f>HYPERLINK("#'6.2.1.1-2 Pasture residue N2O'!A1", "6.2.1.1-2 Pasture residue N2O")</f>
        <v>6.2.1.1-2 Pasture residue N2O</v>
      </c>
      <c r="D40" s="2" t="s">
        <v>1490</v>
      </c>
      <c r="M40" s="17" t="s">
        <v>1489</v>
      </c>
    </row>
    <row r="41" spans="1:24" ht="20.100000000000001" customHeight="1" x14ac:dyDescent="0.2">
      <c r="A41" s="5" t="str">
        <f>HYPERLINK("#'6.3.1.1-2 Leach runoff pasture'!A1", "6.3.1.1-2 Leach &amp; runoff (pasture)")</f>
        <v>6.3.1.1-2 Leach &amp; runoff (pasture)</v>
      </c>
      <c r="D41" s="17" t="s">
        <v>1491</v>
      </c>
    </row>
    <row r="42" spans="1:24" ht="20.100000000000001" customHeight="1" x14ac:dyDescent="0.2">
      <c r="A42" s="5" t="str">
        <f>HYPERLINK("#'8.1.1.1-2 Transport fuel'!A1", "8.1.1.1-2 Transport fuel")</f>
        <v>8.1.1.1-2 Transport fuel</v>
      </c>
      <c r="D42" s="104"/>
      <c r="E42" s="104"/>
      <c r="F42" s="16"/>
    </row>
    <row r="43" spans="1:24" ht="20.100000000000001" customHeight="1" x14ac:dyDescent="0.2">
      <c r="A43" s="5" t="str">
        <f>HYPERLINK("#'8.2.1.1-2 Stationary fuel'!A1", "8.2.1.1-2 Stationary fuel")</f>
        <v>8.2.1.1-2 Stationary fuel</v>
      </c>
      <c r="F43" s="16"/>
      <c r="M43" s="77" t="s">
        <v>374</v>
      </c>
      <c r="N43" s="1" t="s">
        <v>1492</v>
      </c>
    </row>
    <row r="44" spans="1:24" ht="20.100000000000001" customHeight="1" x14ac:dyDescent="0.2">
      <c r="A44" s="5" t="str">
        <f>HYPERLINK("#'10.1.1-2 Solid waste treatment'!A1", "10.1.1.1-2 Solid waste")</f>
        <v>10.1.1.1-2 Solid waste</v>
      </c>
      <c r="F44" s="16"/>
      <c r="M44" s="77" t="s">
        <v>126</v>
      </c>
      <c r="N44" s="9" t="s">
        <v>1493</v>
      </c>
    </row>
    <row r="45" spans="1:24" ht="20.100000000000001" customHeight="1" x14ac:dyDescent="0.2">
      <c r="A45" s="5" t="str">
        <f>HYPERLINK("#'14.1.1-2 Purchased electricity'!A1", "14.1.1-2 Purchased electricity")</f>
        <v>14.1.1-2 Purchased electricity</v>
      </c>
      <c r="F45" s="16"/>
    </row>
    <row r="46" spans="1:24" ht="20.100000000000001" customHeight="1" x14ac:dyDescent="0.2">
      <c r="A46" s="5" t="str">
        <f>HYPERLINK("#'15 Scope 3'!A1", "15 Scope 3")</f>
        <v>15 Scope 3</v>
      </c>
      <c r="D46" s="77" t="s">
        <v>374</v>
      </c>
      <c r="E46" s="1" t="s">
        <v>1013</v>
      </c>
      <c r="F46" s="16"/>
      <c r="M46" s="117" t="s">
        <v>1494</v>
      </c>
      <c r="N46" s="118" t="s">
        <v>1495</v>
      </c>
      <c r="O46" s="163"/>
      <c r="P46" s="117" t="s">
        <v>1498</v>
      </c>
      <c r="Q46" s="110" t="s">
        <v>1325</v>
      </c>
      <c r="R46" s="107">
        <f>$N$35</f>
        <v>182.82499999999999</v>
      </c>
      <c r="S46" s="164"/>
    </row>
    <row r="47" spans="1:24" ht="20.100000000000001" customHeight="1" x14ac:dyDescent="0.2">
      <c r="A47" s="5" t="str">
        <f>HYPERLINK("#'Calcs - Manure sent off-site'!A1", "Calcs - Manure sent off-site")</f>
        <v>Calcs - Manure sent off-site</v>
      </c>
      <c r="D47" s="77" t="s">
        <v>126</v>
      </c>
      <c r="E47" s="9" t="s">
        <v>12</v>
      </c>
      <c r="F47" s="16"/>
      <c r="M47" s="117" t="s">
        <v>1496</v>
      </c>
      <c r="N47" s="118" t="s">
        <v>1497</v>
      </c>
      <c r="O47" s="163"/>
      <c r="P47" s="117"/>
      <c r="Q47" s="111" t="s">
        <v>1326</v>
      </c>
      <c r="R47" s="118" t="s">
        <v>669</v>
      </c>
      <c r="S47" s="164"/>
    </row>
    <row r="48" spans="1:24" ht="20.100000000000001" customHeight="1" x14ac:dyDescent="0.2">
      <c r="F48" s="16"/>
    </row>
    <row r="49" spans="1:19" ht="20.100000000000001" customHeight="1" x14ac:dyDescent="0.2">
      <c r="D49" s="117" t="s">
        <v>1482</v>
      </c>
      <c r="E49" s="118" t="s">
        <v>1499</v>
      </c>
      <c r="F49" s="163"/>
      <c r="G49" s="117" t="s">
        <v>1162</v>
      </c>
      <c r="H49" s="111" t="s">
        <v>1503</v>
      </c>
      <c r="I49" s="112" t="str" cm="1">
        <f t="array" aca="1" ref="I49" ca="1">HYPERLINK(Common_InputFunctions.Utility_SourceHyperlink(D16), D16)</f>
        <v>Table_MN_j_f</v>
      </c>
      <c r="M49" s="1" t="s">
        <v>670</v>
      </c>
      <c r="N49" s="1">
        <f>((-0.1474 + (0.0061 * R46)) * 10 ^ -2)</f>
        <v>9.6783250000000015E-3</v>
      </c>
      <c r="O49" s="9" t="str">
        <f>N44</f>
        <v>kg N2O-N/kg N applied</v>
      </c>
    </row>
    <row r="50" spans="1:19" ht="20.100000000000001" customHeight="1" x14ac:dyDescent="0.2">
      <c r="A50" s="86" t="s">
        <v>1</v>
      </c>
      <c r="D50" s="117" t="s">
        <v>1500</v>
      </c>
      <c r="E50" s="118" t="s">
        <v>1501</v>
      </c>
      <c r="F50" s="163"/>
      <c r="G50" s="117" t="s">
        <v>1493</v>
      </c>
      <c r="H50" s="111" t="s">
        <v>1326</v>
      </c>
      <c r="I50" s="117">
        <f>Common_InputFunctions.Utility_LookupN2OEFFromProdIrrigationRainfall(I52,I54,I55,Table_SourceData_Common_EFN2O[Production system only],Table_SourceData_Common_EFN2O[Irrigation method],Table_SourceData_Common_EFN2O[Rainfall zone],Table_SourceData_Common_EFN2O[EFN2O])</f>
        <v>5.8999999999999999E-3</v>
      </c>
    </row>
    <row r="51" spans="1:19" ht="20.100000000000001" customHeight="1" x14ac:dyDescent="0.2">
      <c r="A51" s="5" t="str">
        <f>HYPERLINK("#'Constants - Pasture Beef'!A1", "Constants - Pasture Beef")</f>
        <v>Constants - Pasture Beef</v>
      </c>
      <c r="D51" s="117" t="s">
        <v>1454</v>
      </c>
      <c r="E51" s="118" t="s">
        <v>1502</v>
      </c>
      <c r="F51" s="163"/>
      <c r="G51" s="117"/>
      <c r="H51" s="111" t="s">
        <v>1326</v>
      </c>
      <c r="I51" s="117">
        <f>Common_InputFunctions.Utility_LookupValueInTableNumber("N2O",Table_GasToMolecularConversionFactor[Gas],Table_GasToMolecularConversionFactor[Conversion factor combined])</f>
        <v>1.5714285714285714</v>
      </c>
    </row>
    <row r="52" spans="1:19" ht="20.100000000000001" customHeight="1" x14ac:dyDescent="0.2">
      <c r="A52" s="5" t="str">
        <f>HYPERLINK("#'Constants - Ag Residue'!A1", "Constants - Ag residue")</f>
        <v>Constants - Ag residue</v>
      </c>
      <c r="D52" s="117" t="s">
        <v>1456</v>
      </c>
      <c r="E52" s="118" t="s">
        <v>176</v>
      </c>
      <c r="F52" s="163"/>
      <c r="G52" s="117"/>
      <c r="H52" s="110" t="s">
        <v>1325</v>
      </c>
      <c r="I52" s="117" t="str">
        <f>X_Cell_Fertiliser_ProductionSystem</f>
        <v>Pasture</v>
      </c>
    </row>
    <row r="53" spans="1:19" ht="20.100000000000001" customHeight="1" x14ac:dyDescent="0.2">
      <c r="A53" s="5" t="str">
        <f>HYPERLINK("#'Constants - Common Livestock'!A1", "Constants - Common Livestock")</f>
        <v>Constants - Common Livestock</v>
      </c>
      <c r="D53" s="117" t="s">
        <v>1496</v>
      </c>
      <c r="E53" s="118" t="s">
        <v>1497</v>
      </c>
      <c r="F53" s="163"/>
      <c r="G53" s="117"/>
      <c r="H53" s="111" t="s">
        <v>1326</v>
      </c>
      <c r="I53" s="117" t="str">
        <f>"See " &amp; D57</f>
        <v>See M1_Table_E_N2O</v>
      </c>
      <c r="M53" s="2" t="s">
        <v>1504</v>
      </c>
    </row>
    <row r="54" spans="1:19" ht="20.100000000000001" customHeight="1" x14ac:dyDescent="0.2">
      <c r="A54" s="5" t="str">
        <f>HYPERLINK("#'Constants - Electricity'!A1", "Constants - Electricity")</f>
        <v>Constants - Electricity</v>
      </c>
      <c r="D54" s="117" t="s">
        <v>1472</v>
      </c>
      <c r="E54" s="118" t="s">
        <v>1458</v>
      </c>
      <c r="F54" s="163"/>
      <c r="G54" s="117"/>
      <c r="H54" s="110" t="s">
        <v>1325</v>
      </c>
      <c r="I54" s="117" t="str">
        <f>X_Cell_Fertiliser_IrrigationMethod</f>
        <v>Surface irrigation</v>
      </c>
      <c r="M54" s="17" t="s">
        <v>1505</v>
      </c>
    </row>
    <row r="55" spans="1:19" ht="20.100000000000001" customHeight="1" x14ac:dyDescent="0.2">
      <c r="A55" s="5" t="str">
        <f>HYPERLINK("#'Constants - Fertiliser'!A1", "Constants - Fertiliser")</f>
        <v>Constants - Fertiliser</v>
      </c>
      <c r="D55" s="117" t="s">
        <v>1470</v>
      </c>
      <c r="E55" s="118" t="s">
        <v>1460</v>
      </c>
      <c r="F55" s="163"/>
      <c r="G55" s="117"/>
      <c r="H55" s="110" t="s">
        <v>1325</v>
      </c>
      <c r="I55" s="117" t="str">
        <f>X_Cell_Site_RainfallZone</f>
        <v>High rainfall</v>
      </c>
    </row>
    <row r="56" spans="1:19" ht="20.100000000000001" customHeight="1" x14ac:dyDescent="0.2">
      <c r="A56" s="5" t="str">
        <f>HYPERLINK("#'Constants - Fuel'!A1", "Constants - Fuel")</f>
        <v>Constants - Fuel</v>
      </c>
      <c r="F56" s="16"/>
    </row>
    <row r="57" spans="1:19" ht="20.100000000000001" customHeight="1" x14ac:dyDescent="0.2">
      <c r="A57" s="5" t="str">
        <f>HYPERLINK("#'Constants - Scope 3'!A1", "Constants - Scope 3")</f>
        <v>Constants - Scope 3</v>
      </c>
      <c r="D57" s="113" t="s">
        <v>671</v>
      </c>
      <c r="F57" s="16"/>
      <c r="M57" s="77" t="s">
        <v>374</v>
      </c>
      <c r="N57" s="1" t="s">
        <v>1506</v>
      </c>
    </row>
    <row r="58" spans="1:19" ht="20.100000000000001" customHeight="1" x14ac:dyDescent="0.2">
      <c r="A58" s="5" t="str">
        <f>HYPERLINK("#'Constants - Solid Waste'!A1", "Constants - Solid Waste")</f>
        <v>Constants - Solid Waste</v>
      </c>
      <c r="D58" s="114" t="s">
        <v>672</v>
      </c>
      <c r="F58" s="16"/>
      <c r="M58" s="77" t="s">
        <v>126</v>
      </c>
      <c r="N58" s="9" t="s">
        <v>1493</v>
      </c>
    </row>
    <row r="59" spans="1:19" ht="20.100000000000001" customHeight="1" x14ac:dyDescent="0.2">
      <c r="A59" s="5" t="str">
        <f>HYPERLINK("#'Constants - Common'!A1", "Constants - Common")</f>
        <v>Constants - Common</v>
      </c>
      <c r="D59" s="115" t="s">
        <v>661</v>
      </c>
      <c r="E59" s="115" t="s">
        <v>673</v>
      </c>
    </row>
    <row r="60" spans="1:19" ht="20.100000000000001" customHeight="1" x14ac:dyDescent="0.2">
      <c r="A60" s="5" t="str">
        <f>HYPERLINK("#'Acknowledgements'!A1", "Acknowledgements")</f>
        <v>Acknowledgements</v>
      </c>
      <c r="D60" s="15" t="str" cm="1">
        <f t="array" ref="D60:D78">Table_Fertiliser_ChemicalCompounds[Fertiliser type f]</f>
        <v>Monoammonium phosphate (MAP)</v>
      </c>
      <c r="E60" s="15">
        <f>((G19 * $I$50 * $I$51) * 10 ^ -3)</f>
        <v>0</v>
      </c>
      <c r="F60" s="16" t="str">
        <f>E47</f>
        <v>t N2O</v>
      </c>
      <c r="M60" s="117" t="s">
        <v>1507</v>
      </c>
      <c r="N60" s="118" t="s">
        <v>1508</v>
      </c>
      <c r="O60" s="163"/>
      <c r="P60" s="117" t="s">
        <v>1498</v>
      </c>
      <c r="Q60" s="110" t="s">
        <v>1325</v>
      </c>
      <c r="R60" s="107">
        <f>$N$35</f>
        <v>182.82499999999999</v>
      </c>
      <c r="S60" s="164"/>
    </row>
    <row r="61" spans="1:19" ht="20.100000000000001" customHeight="1" x14ac:dyDescent="0.2">
      <c r="D61" s="15" t="str">
        <v>Diammonium phosphate (DAP)</v>
      </c>
      <c r="E61" s="15">
        <f>((G20 * $I$50 * $I$51) * 10 ^ -3)</f>
        <v>0</v>
      </c>
      <c r="M61" s="117" t="s">
        <v>1496</v>
      </c>
      <c r="N61" s="118" t="s">
        <v>1497</v>
      </c>
      <c r="O61" s="163"/>
      <c r="P61" s="117"/>
      <c r="Q61" s="111" t="s">
        <v>1326</v>
      </c>
      <c r="R61" s="118" t="s">
        <v>669</v>
      </c>
      <c r="S61" s="162"/>
    </row>
    <row r="62" spans="1:19" ht="20.100000000000001" customHeight="1" x14ac:dyDescent="0.2">
      <c r="D62" s="15" t="str">
        <v>Urea</v>
      </c>
      <c r="E62" s="15">
        <f>((G21 * $I$50 * $I$51) * 10 ^ -3)</f>
        <v>1.0754856586571429</v>
      </c>
    </row>
    <row r="63" spans="1:19" ht="20.100000000000001" customHeight="1" x14ac:dyDescent="0.2">
      <c r="D63" s="15" t="str">
        <v>Sulphate of ammonia (SOA)</v>
      </c>
      <c r="E63" s="15">
        <f>((G22 * $I$50 * $I$51) * 10 ^ -3)</f>
        <v>0</v>
      </c>
      <c r="M63" s="77" t="s">
        <v>674</v>
      </c>
      <c r="N63" s="1">
        <f>((0.0781 + (0.0075 * R60)) * 10 ^ -2)</f>
        <v>1.4492874999999999E-2</v>
      </c>
      <c r="O63" s="9" t="str">
        <f>N58</f>
        <v>kg N2O-N/kg N applied</v>
      </c>
    </row>
    <row r="64" spans="1:19" ht="20.100000000000001" customHeight="1" x14ac:dyDescent="0.2">
      <c r="D64" s="15" t="str">
        <v>Urea-ammonium nitrate (UAN)</v>
      </c>
      <c r="E64" s="15">
        <f>((G23 * $I$50 * $I$51) * 10 ^ -3)</f>
        <v>0</v>
      </c>
    </row>
    <row r="65" spans="1:20" ht="20.100000000000001" customHeight="1" x14ac:dyDescent="0.2">
      <c r="D65" s="15" t="str">
        <v>Ammonium nitrate (AN)</v>
      </c>
      <c r="E65" s="15">
        <f>((G24 * $I$50 * $I$51) * 10 ^ -3)</f>
        <v>0</v>
      </c>
    </row>
    <row r="66" spans="1:20" ht="20.100000000000001" customHeight="1" x14ac:dyDescent="0.2">
      <c r="D66" s="15" t="str">
        <v>Calcium ammonium nitrate (CAN)</v>
      </c>
      <c r="E66" s="15">
        <f>((G25 * $I$50 * $I$51) * 10 ^ -3)</f>
        <v>0</v>
      </c>
      <c r="M66" s="2" t="s">
        <v>1509</v>
      </c>
    </row>
    <row r="67" spans="1:20" ht="20.100000000000001" customHeight="1" x14ac:dyDescent="0.2">
      <c r="D67" s="15" t="str">
        <v>Nitrogen - Ammoniacal</v>
      </c>
      <c r="E67" s="15">
        <f>((G26 * $I$50 * $I$51) * 10 ^ -3)</f>
        <v>0.11496571428571428</v>
      </c>
      <c r="M67" s="17" t="s">
        <v>1510</v>
      </c>
    </row>
    <row r="68" spans="1:20" ht="20.100000000000001" customHeight="1" x14ac:dyDescent="0.2">
      <c r="D68" s="15" t="str">
        <v>Nitrogen - Nitrate</v>
      </c>
      <c r="E68" s="15">
        <f>((G27 * $I$50 * $I$51) * 10 ^ -3)</f>
        <v>5.0992857142857131E-2</v>
      </c>
    </row>
    <row r="69" spans="1:20" ht="20.100000000000001" customHeight="1" x14ac:dyDescent="0.2">
      <c r="D69" s="15" t="str">
        <v>Nitrogen - Generic</v>
      </c>
      <c r="E69" s="15">
        <f>((G28 * $I$50 * $I$51) * 10 ^ -3)</f>
        <v>0</v>
      </c>
    </row>
    <row r="70" spans="1:20" ht="20.100000000000001" customHeight="1" x14ac:dyDescent="0.2">
      <c r="D70" s="15" t="str">
        <v>Phosphorus - Generic</v>
      </c>
      <c r="E70" s="15">
        <f>((G29 * $I$50 * $I$51) * 10 ^ -3)</f>
        <v>0</v>
      </c>
    </row>
    <row r="71" spans="1:20" ht="20.100000000000001" customHeight="1" x14ac:dyDescent="0.2">
      <c r="A71" s="85" t="str">
        <f>HYPERLINK("#A1", "▲ Back to top")</f>
        <v>▲ Back to top</v>
      </c>
      <c r="D71" s="15" t="str">
        <v>Potassium - Generic</v>
      </c>
      <c r="E71" s="15">
        <f>((G30 * $I$50 * $I$51) * 10 ^ -3)</f>
        <v>0</v>
      </c>
      <c r="M71" s="77" t="s">
        <v>374</v>
      </c>
      <c r="N71" s="1" t="s">
        <v>1511</v>
      </c>
    </row>
    <row r="72" spans="1:20" ht="20.100000000000001" customHeight="1" x14ac:dyDescent="0.2">
      <c r="D72" s="15" t="str">
        <v>Sulfur - Generic</v>
      </c>
      <c r="E72" s="15">
        <f>((G31 * $I$50 * $I$51) * 10 ^ -3)</f>
        <v>0</v>
      </c>
      <c r="M72" s="77" t="s">
        <v>126</v>
      </c>
      <c r="N72" s="9" t="s">
        <v>1493</v>
      </c>
    </row>
    <row r="73" spans="1:20" ht="20.100000000000001" customHeight="1" x14ac:dyDescent="0.2">
      <c r="D73" s="15" t="str">
        <v>Zinc - Generic</v>
      </c>
      <c r="E73" s="15">
        <f>((G32 * $I$50 * $I$51) * 10 ^ -3)</f>
        <v>0</v>
      </c>
    </row>
    <row r="74" spans="1:20" ht="20.100000000000001" customHeight="1" x14ac:dyDescent="0.2">
      <c r="D74" s="15" t="str">
        <v>Muriate of potash (MOP)</v>
      </c>
      <c r="E74" s="15">
        <f>((G33 * $I$50 * $I$51) * 10 ^ -3)</f>
        <v>0</v>
      </c>
      <c r="M74" s="70" t="s">
        <v>675</v>
      </c>
      <c r="N74" s="70"/>
      <c r="O74" s="70"/>
      <c r="P74" s="70"/>
      <c r="Q74" s="70"/>
      <c r="R74" s="70"/>
      <c r="S74" s="70"/>
      <c r="T74" s="70"/>
    </row>
    <row r="75" spans="1:20" ht="20.100000000000001" customHeight="1" x14ac:dyDescent="0.2">
      <c r="D75" s="15" t="str">
        <v>Double superphosphate</v>
      </c>
      <c r="E75" s="15">
        <f>((G34 * $I$50 * $I$51) * 10 ^ -3)</f>
        <v>0</v>
      </c>
    </row>
    <row r="76" spans="1:20" ht="20.100000000000001" customHeight="1" x14ac:dyDescent="0.2">
      <c r="D76" s="15" t="str">
        <v>Single superphosphate (SSP)</v>
      </c>
      <c r="E76" s="15">
        <f>((G35 * $I$50 * $I$51) * 10 ^ -3)</f>
        <v>0</v>
      </c>
      <c r="M76" s="117" t="s">
        <v>1512</v>
      </c>
      <c r="N76" s="118" t="s">
        <v>1513</v>
      </c>
      <c r="O76" s="163"/>
      <c r="P76" s="118" t="s">
        <v>1498</v>
      </c>
      <c r="Q76" s="110" t="s">
        <v>1325</v>
      </c>
      <c r="R76" s="107">
        <f>MIN(300, $N$35)</f>
        <v>182.82499999999999</v>
      </c>
      <c r="S76" s="164"/>
    </row>
    <row r="77" spans="1:20" ht="20.100000000000001" customHeight="1" x14ac:dyDescent="0.2">
      <c r="D77" s="15" t="str">
        <v>Ammonia</v>
      </c>
      <c r="E77" s="15">
        <f>((G36 * $I$50 * $I$51) * 10 ^ -3)</f>
        <v>0.38175107142857145</v>
      </c>
      <c r="M77" s="117" t="s">
        <v>1496</v>
      </c>
      <c r="N77" s="118" t="s">
        <v>1497</v>
      </c>
      <c r="O77" s="163"/>
      <c r="P77" s="118"/>
      <c r="Q77" s="111" t="s">
        <v>1326</v>
      </c>
      <c r="R77" s="118" t="s">
        <v>669</v>
      </c>
      <c r="S77" s="162"/>
    </row>
    <row r="78" spans="1:20" ht="20.100000000000001" customHeight="1" x14ac:dyDescent="0.2">
      <c r="D78" s="15" t="str">
        <v>Calcium nitrate</v>
      </c>
      <c r="E78" s="15">
        <f>((G37 * $I$50 * $I$51) * 10 ^ -3)</f>
        <v>7.1853571428571433E-2</v>
      </c>
    </row>
    <row r="79" spans="1:20" ht="20.100000000000001" customHeight="1" x14ac:dyDescent="0.2">
      <c r="M79" s="77" t="s">
        <v>674</v>
      </c>
      <c r="N79" s="1">
        <f>((0.01 * (0.29 + ((0.007 * (EXP(0.037 * R76) - 1)) / R76))) * 10 ^ -2)</f>
        <v>3.231403335233797E-5</v>
      </c>
      <c r="O79" s="9" t="str">
        <f>N72</f>
        <v>kg N2O-N/kg N applied</v>
      </c>
    </row>
    <row r="80" spans="1:20" ht="20.100000000000001" customHeight="1" x14ac:dyDescent="0.2">
      <c r="D80" s="91" t="s">
        <v>676</v>
      </c>
      <c r="E80" s="92">
        <f>SUM(E60:E78)</f>
        <v>1.6950488729428572</v>
      </c>
      <c r="F80" s="96" t="str">
        <f>$E$47</f>
        <v>t N2O</v>
      </c>
    </row>
    <row r="82" spans="4:24" ht="20.100000000000001" customHeight="1" x14ac:dyDescent="0.2">
      <c r="D82" s="117" t="str" cm="1">
        <f t="array" ref="D82:E83">Common_Equations.Common_ConvertN2OToCO2e_Arguments()</f>
        <v>EN2O</v>
      </c>
      <c r="E82" s="118" t="str">
        <v>Nitrous oxide emissions (t N2O)</v>
      </c>
      <c r="F82" s="119"/>
      <c r="G82" s="15">
        <f>VEERG_5_1_1_1__1_InorganicFertiliserApplicationN2OEmissions_Result_Method1</f>
        <v>1.6950488729428572</v>
      </c>
      <c r="L82" s="88"/>
      <c r="M82" s="88"/>
      <c r="N82" s="88"/>
      <c r="O82" s="88"/>
      <c r="P82" s="88"/>
      <c r="Q82" s="88"/>
      <c r="R82" s="88"/>
      <c r="S82" s="88"/>
      <c r="T82" s="88"/>
      <c r="U82" s="88"/>
      <c r="V82" s="88"/>
      <c r="W82" s="88"/>
      <c r="X82" s="88"/>
    </row>
    <row r="83" spans="4:24" ht="20.100000000000001" customHeight="1" x14ac:dyDescent="0.2">
      <c r="D83" s="117" t="str">
        <v>GWPN2O</v>
      </c>
      <c r="E83" s="118" t="str">
        <v>Global warming potential for nitrous oxide (t CO2-e / t N2O)</v>
      </c>
      <c r="F83" s="119"/>
      <c r="G83" s="15">
        <f>Common_InputFunctions.Utility_LookupValueInTableNumber("N2O",Table_GWPData[Gas],Table_GWPData[CO2-e factor])</f>
        <v>265</v>
      </c>
      <c r="M83" s="2" t="s">
        <v>1490</v>
      </c>
    </row>
    <row r="84" spans="4:24" ht="20.100000000000001" customHeight="1" x14ac:dyDescent="0.2">
      <c r="M84" s="17" t="s">
        <v>1491</v>
      </c>
    </row>
    <row r="85" spans="4:24" ht="20.100000000000001" customHeight="1" x14ac:dyDescent="0.2">
      <c r="D85" s="88" t="s">
        <v>436</v>
      </c>
      <c r="E85" s="88" cm="1">
        <f t="array" ref="E85">Common_Equations.Common_ConvertN2OToCO2e(G82,G83)</f>
        <v>449.18795132985719</v>
      </c>
      <c r="F85" s="95" t="str" cm="1">
        <f t="array" ref="F85">Common_Equations.Common_ConvertN2OToCO2e_Unit()</f>
        <v>t CO2e</v>
      </c>
      <c r="M85" s="104"/>
      <c r="N85" s="104"/>
    </row>
    <row r="89" spans="4:24" ht="20.100000000000001" customHeight="1" x14ac:dyDescent="0.2">
      <c r="M89" s="77" t="s">
        <v>374</v>
      </c>
      <c r="N89" s="1" t="s">
        <v>1013</v>
      </c>
    </row>
    <row r="90" spans="4:24" ht="20.100000000000001" customHeight="1" x14ac:dyDescent="0.2">
      <c r="M90" s="77" t="s">
        <v>126</v>
      </c>
      <c r="N90" s="9" t="s">
        <v>12</v>
      </c>
    </row>
    <row r="92" spans="4:24" ht="20.100000000000001" customHeight="1" x14ac:dyDescent="0.2">
      <c r="M92" s="117" t="s">
        <v>1482</v>
      </c>
      <c r="N92" s="118" t="s">
        <v>1499</v>
      </c>
      <c r="O92" s="163"/>
      <c r="P92" s="162"/>
      <c r="Q92" s="117" t="s">
        <v>1162</v>
      </c>
      <c r="R92" s="111" t="s">
        <v>1503</v>
      </c>
      <c r="S92" s="106">
        <f>N33</f>
        <v>182825</v>
      </c>
    </row>
    <row r="93" spans="4:24" ht="20.100000000000001" customHeight="1" x14ac:dyDescent="0.2">
      <c r="M93" s="117" t="s">
        <v>1500</v>
      </c>
      <c r="N93" s="118" t="s">
        <v>1501</v>
      </c>
      <c r="O93" s="163"/>
      <c r="P93" s="162"/>
      <c r="Q93" s="117" t="s">
        <v>1493</v>
      </c>
      <c r="R93" s="111" t="s">
        <v>1515</v>
      </c>
      <c r="S93" s="106">
        <f>_xlfn.XLOOKUP(TRUE,N105:N108,O105:O108)</f>
        <v>5.8999999999999999E-3</v>
      </c>
    </row>
    <row r="94" spans="4:24" ht="20.100000000000001" customHeight="1" x14ac:dyDescent="0.2">
      <c r="M94" s="117" t="s">
        <v>1454</v>
      </c>
      <c r="N94" s="118" t="s">
        <v>1502</v>
      </c>
      <c r="O94" s="163"/>
      <c r="P94" s="162"/>
      <c r="Q94" s="117"/>
      <c r="R94" s="111" t="s">
        <v>1326</v>
      </c>
      <c r="S94" s="117">
        <f>Common_InputFunctions.Utility_LookupValueInTableNumber("N2O",Table_GasToMolecularConversionFactor[Gas],Table_GasToMolecularConversionFactor[Conversion factor combined])</f>
        <v>1.5714285714285714</v>
      </c>
    </row>
    <row r="95" spans="4:24" ht="20.100000000000001" customHeight="1" x14ac:dyDescent="0.2">
      <c r="M95" s="117" t="s">
        <v>1456</v>
      </c>
      <c r="N95" s="118" t="s">
        <v>176</v>
      </c>
      <c r="O95" s="163"/>
      <c r="P95" s="162"/>
      <c r="Q95" s="117"/>
      <c r="R95" s="110" t="s">
        <v>1325</v>
      </c>
      <c r="S95" s="117" t="str">
        <f>X_Cell_Fertiliser_ProductionSystem</f>
        <v>Pasture</v>
      </c>
    </row>
    <row r="96" spans="4:24" ht="20.100000000000001" customHeight="1" x14ac:dyDescent="0.2">
      <c r="M96" s="117" t="s">
        <v>1514</v>
      </c>
      <c r="N96" s="118" t="s">
        <v>177</v>
      </c>
      <c r="O96" s="163"/>
      <c r="P96" s="162"/>
      <c r="Q96" s="117"/>
      <c r="R96" s="110" t="s">
        <v>1325</v>
      </c>
      <c r="S96" s="117" t="str">
        <f>X_Cell_Fertiliser_CropType</f>
        <v>Pasture</v>
      </c>
    </row>
    <row r="97" spans="1:19" ht="20.100000000000001" customHeight="1" x14ac:dyDescent="0.2">
      <c r="M97" s="117" t="s">
        <v>1496</v>
      </c>
      <c r="N97" s="118" t="s">
        <v>1497</v>
      </c>
      <c r="O97" s="163"/>
      <c r="P97" s="162"/>
      <c r="Q97" s="117"/>
      <c r="R97" s="111" t="s">
        <v>1326</v>
      </c>
      <c r="S97" s="117" t="s">
        <v>677</v>
      </c>
    </row>
    <row r="98" spans="1:19" ht="20.100000000000001" customHeight="1" x14ac:dyDescent="0.2">
      <c r="M98" s="117" t="s">
        <v>1472</v>
      </c>
      <c r="N98" s="118" t="s">
        <v>1458</v>
      </c>
      <c r="O98" s="163"/>
      <c r="P98" s="162"/>
      <c r="Q98" s="117"/>
      <c r="R98" s="110" t="s">
        <v>1325</v>
      </c>
      <c r="S98" s="117" t="str">
        <f>X_Cell_Fertiliser_IrrigationMethod</f>
        <v>Surface irrigation</v>
      </c>
    </row>
    <row r="99" spans="1:19" ht="20.100000000000001" customHeight="1" x14ac:dyDescent="0.2">
      <c r="M99" s="118" t="s">
        <v>1470</v>
      </c>
      <c r="N99" s="118" t="s">
        <v>1460</v>
      </c>
      <c r="O99" s="163"/>
      <c r="P99" s="163"/>
      <c r="Q99" s="117"/>
      <c r="R99" s="110" t="s">
        <v>1325</v>
      </c>
      <c r="S99" s="117" t="str">
        <f>X_Cell_Site_RainfallZone</f>
        <v>High rainfall</v>
      </c>
    </row>
    <row r="101" spans="1:19" ht="20.100000000000001" customHeight="1" x14ac:dyDescent="0.2">
      <c r="A101" s="85" t="str">
        <f>HYPERLINK("#A1", "▲ Back to top")</f>
        <v>▲ Back to top</v>
      </c>
    </row>
    <row r="102" spans="1:19" ht="20.100000000000001" customHeight="1" x14ac:dyDescent="0.2">
      <c r="M102" s="113" t="s">
        <v>678</v>
      </c>
    </row>
    <row r="103" spans="1:19" ht="20.100000000000001" customHeight="1" x14ac:dyDescent="0.2">
      <c r="M103" s="114" t="s">
        <v>679</v>
      </c>
    </row>
    <row r="104" spans="1:19" ht="20.100000000000001" customHeight="1" x14ac:dyDescent="0.2">
      <c r="M104" s="115" t="s">
        <v>176</v>
      </c>
      <c r="N104" s="115" t="s">
        <v>680</v>
      </c>
      <c r="O104" s="115" t="s">
        <v>681</v>
      </c>
    </row>
    <row r="105" spans="1:19" ht="20.100000000000001" customHeight="1" x14ac:dyDescent="0.2">
      <c r="M105" s="15" t="s">
        <v>682</v>
      </c>
      <c r="N105" s="15" t="b">
        <f>IF(AND(S96="Maize", NOT(S98="Not irrigated")), TRUE)</f>
        <v>0</v>
      </c>
      <c r="O105" s="15">
        <f>N49</f>
        <v>9.6783250000000015E-3</v>
      </c>
    </row>
    <row r="106" spans="1:19" ht="20.100000000000001" customHeight="1" x14ac:dyDescent="0.2">
      <c r="M106" s="15" t="s">
        <v>683</v>
      </c>
      <c r="N106" s="15" t="b">
        <f>IF(AND(S96="Grains", S98="Not irrigated", S99="High rainfall"), TRUE)</f>
        <v>0</v>
      </c>
      <c r="O106" s="15">
        <f>N63</f>
        <v>1.4492874999999999E-2</v>
      </c>
    </row>
    <row r="107" spans="1:19" ht="20.100000000000001" customHeight="1" x14ac:dyDescent="0.2">
      <c r="M107" s="15" t="s">
        <v>684</v>
      </c>
      <c r="N107" s="15" t="b">
        <f>IF(S96="Cotton", TRUE)</f>
        <v>0</v>
      </c>
      <c r="O107" s="165">
        <f>N79</f>
        <v>3.231403335233797E-5</v>
      </c>
    </row>
    <row r="108" spans="1:19" ht="20.100000000000001" customHeight="1" x14ac:dyDescent="0.2">
      <c r="M108" s="15" t="s">
        <v>685</v>
      </c>
      <c r="N108" s="15" t="b">
        <f>IF(AND(N105=FALSE, N107=FALSE, N106=FALSE),TRUE)</f>
        <v>1</v>
      </c>
      <c r="O108" s="15" cm="1">
        <f t="array" ref="O108">Common_InputFunctions.Utility_LookupN2OEFFromProdIrrigationRainfall($S$95,$S$98,$S$99,Table_SourceData_Common_EFN2O[Production system only],Table_SourceData_Common_EFN2O[Irrigation method],Table_SourceData_Common_EFN2O[Rainfall zone],Table_SourceData_Common_EFN2O[EFN2O])</f>
        <v>5.8999999999999999E-3</v>
      </c>
    </row>
    <row r="110" spans="1:19" ht="20.100000000000001" customHeight="1" x14ac:dyDescent="0.2">
      <c r="M110" s="91" t="s">
        <v>676</v>
      </c>
      <c r="N110" s="92">
        <f>((S92 * S93 * $S$94) * 10 ^ -3)</f>
        <v>1.6950489285714287</v>
      </c>
      <c r="O110" s="96" t="str">
        <f>$E$47</f>
        <v>t N2O</v>
      </c>
    </row>
    <row r="112" spans="1:19" ht="20.100000000000001" customHeight="1" x14ac:dyDescent="0.2">
      <c r="M112" s="117" t="str" cm="1">
        <f t="array" ref="M112:N113">Common_Equations.Common_ConvertN2OToCO2e_Arguments()</f>
        <v>EN2O</v>
      </c>
      <c r="N112" s="118" t="str">
        <v>Nitrous oxide emissions (t N2O)</v>
      </c>
      <c r="O112" s="119"/>
      <c r="P112" s="15">
        <f>VEERG_5_1_1_1__1_InorganicFertiliserApplicationN2OEmissions_Result_Method2</f>
        <v>1.6950489285714287</v>
      </c>
    </row>
    <row r="113" spans="13:16" ht="20.100000000000001" customHeight="1" x14ac:dyDescent="0.2">
      <c r="M113" s="117" t="str">
        <v>GWPN2O</v>
      </c>
      <c r="N113" s="118" t="str">
        <v>Global warming potential for nitrous oxide (t CO2-e / t N2O)</v>
      </c>
      <c r="O113" s="119"/>
      <c r="P113" s="15">
        <f>Common_InputFunctions.Utility_LookupValueInTableNumber("N2O",Table_GWPData[Gas],Table_GWPData[CO2-e factor])</f>
        <v>265</v>
      </c>
    </row>
    <row r="115" spans="13:16" ht="20.100000000000001" customHeight="1" x14ac:dyDescent="0.2">
      <c r="M115" s="88" t="s">
        <v>436</v>
      </c>
      <c r="N115" s="88" cm="1">
        <f t="array" ref="N115">Common_Equations.Common_ConvertN2OToCO2e(P112,P113)</f>
        <v>449.1879660714286</v>
      </c>
      <c r="O115" s="95" t="str" cm="1">
        <f t="array" ref="O115">Common_Equations.Common_ConvertN2OToCO2e_Unit()</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W172 E269 E228 R167:W167 G132 I129:I133 F134:I134 F129:F132 H128:H132 G129 F148:I148 I149 F150:I150" xr:uid="{63930482-544A-4B5C-B9ED-DBB31822DC9B}"/>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00A70-7E4A-41A1-BA45-8CE1BDECD798}">
  <sheetPr>
    <tabColor rgb="FF008000"/>
  </sheetPr>
  <dimension ref="A1:U78"/>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686</v>
      </c>
    </row>
    <row r="2" spans="1:21" s="3" customFormat="1" ht="20.100000000000001" customHeight="1" x14ac:dyDescent="0.2">
      <c r="A2"/>
    </row>
    <row r="3" spans="1:21" ht="20.100000000000001" customHeight="1" x14ac:dyDescent="0.2">
      <c r="A3" s="5" t="str">
        <f>HYPERLINK("#'Home'!A1", "Home")</f>
        <v>Home</v>
      </c>
      <c r="C3" s="23"/>
      <c r="D3" s="23" t="s">
        <v>141</v>
      </c>
      <c r="E3" s="23"/>
      <c r="F3" s="23"/>
      <c r="G3" s="23"/>
      <c r="H3" s="23"/>
      <c r="I3" s="23"/>
      <c r="J3" s="23"/>
      <c r="K3" s="23"/>
      <c r="L3" s="23"/>
      <c r="N3" s="23"/>
      <c r="O3" s="23" t="s">
        <v>142</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1516</v>
      </c>
    </row>
    <row r="6" spans="1:21" ht="20.100000000000001" customHeight="1" x14ac:dyDescent="0.2">
      <c r="D6" s="17" t="s">
        <v>1517</v>
      </c>
    </row>
    <row r="7" spans="1:21" ht="20.100000000000001" customHeight="1" x14ac:dyDescent="0.2">
      <c r="D7" s="104"/>
      <c r="E7" s="104"/>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374</v>
      </c>
      <c r="E10" s="1" t="s">
        <v>1518</v>
      </c>
    </row>
    <row r="11" spans="1:21" ht="20.100000000000001" customHeight="1" x14ac:dyDescent="0.2">
      <c r="A11" s="5" t="str">
        <f>HYPERLINK("#'Input - Pasture Beef'!A1", "Pasture Beef")</f>
        <v>Pasture Beef</v>
      </c>
      <c r="D11" s="77" t="s">
        <v>126</v>
      </c>
      <c r="E11" s="9" t="s">
        <v>1519</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17" t="s">
        <v>1483</v>
      </c>
      <c r="E13" s="118" t="s">
        <v>1484</v>
      </c>
      <c r="F13" s="162"/>
      <c r="G13" s="117" t="s">
        <v>653</v>
      </c>
      <c r="H13" s="110" t="s">
        <v>1325</v>
      </c>
      <c r="I13" s="112" t="str" cm="1">
        <f t="array" aca="1" ref="I13" ca="1">HYPERLINK(Common_InputFunctions.Utility_SourceHyperlink($D$16), $D$16)</f>
        <v>Table_MU_j_f</v>
      </c>
    </row>
    <row r="14" spans="1:21" ht="20.100000000000001" customHeight="1" x14ac:dyDescent="0.2">
      <c r="A14" s="5" t="str">
        <f>HYPERLINK("#'Input - Pasture'!A1", "Pasture")</f>
        <v>Pasture</v>
      </c>
      <c r="D14" s="117" t="s">
        <v>1520</v>
      </c>
      <c r="E14" s="118" t="s">
        <v>1521</v>
      </c>
      <c r="F14" s="162"/>
      <c r="G14" s="117" t="s">
        <v>1522</v>
      </c>
      <c r="H14" s="111" t="s">
        <v>1523</v>
      </c>
      <c r="I14" s="112" t="str" cm="1">
        <f t="array" aca="1" ref="I14" ca="1">HYPERLINK(Common_InputFunctions.Utility_SourceHyperlink($D$16), $D$16)</f>
        <v>Table_MU_j_f</v>
      </c>
    </row>
    <row r="15" spans="1:21" ht="20.100000000000001" customHeight="1" x14ac:dyDescent="0.2">
      <c r="A15" s="5" t="str">
        <f>HYPERLINK("#'Input - Fert Prod System'!A1", "Fert Prod System")</f>
        <v>Fert Prod System</v>
      </c>
    </row>
    <row r="16" spans="1:21" ht="20.100000000000001" customHeight="1" x14ac:dyDescent="0.2">
      <c r="A16" s="5" t="str">
        <f>HYPERLINK("#'Input - Fertiliser'!A1", "Fertiliser")</f>
        <v>Fertiliser</v>
      </c>
      <c r="D16" s="113" t="s">
        <v>687</v>
      </c>
    </row>
    <row r="17" spans="1:7" ht="20.100000000000001" customHeight="1" x14ac:dyDescent="0.2">
      <c r="A17" s="5" t="str">
        <f>HYPERLINK("#'Input - Fuel'!A1", "Fuel")</f>
        <v>Fuel</v>
      </c>
      <c r="D17" s="114" t="s">
        <v>688</v>
      </c>
    </row>
    <row r="18" spans="1:7" ht="20.100000000000001" customHeight="1" x14ac:dyDescent="0.2">
      <c r="A18" s="5" t="str">
        <f>HYPERLINK("#'Input - Electricity'!A1", "Electricity")</f>
        <v>Electricity</v>
      </c>
      <c r="D18" s="115" t="s">
        <v>661</v>
      </c>
      <c r="E18" s="82" t="s">
        <v>662</v>
      </c>
      <c r="F18" s="115" t="s">
        <v>689</v>
      </c>
      <c r="G18" s="115" t="s">
        <v>690</v>
      </c>
    </row>
    <row r="19" spans="1:7" ht="20.100000000000001" customHeight="1" x14ac:dyDescent="0.2">
      <c r="A19" s="5" t="str">
        <f>HYPERLINK("#'Input - Common farm inputs'!A1", "Common farm inputs")</f>
        <v>Common farm inputs</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f>(E19 * F19)</f>
        <v>0</v>
      </c>
    </row>
    <row r="20" spans="1:7" ht="20.100000000000001" customHeight="1" x14ac:dyDescent="0.2">
      <c r="A20" s="5" t="str">
        <f>HYPERLINK("#'Input - Crop pasture farm input'!A1", "Crop pasture farm input")</f>
        <v>Crop pasture farm input</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f>(E20 * F20)</f>
        <v>0</v>
      </c>
    </row>
    <row r="21" spans="1:7" ht="20.100000000000001" customHeight="1" x14ac:dyDescent="0.2">
      <c r="A21" s="5" t="str">
        <f>HYPERLINK("#'Input - Livestock farm Inputs'!A1", "Livestock farm Inputs")</f>
        <v>Livestock farm Inputs</v>
      </c>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f],Table_Fertiliser_ChemicalCompounds[FU f])</f>
        <v>1</v>
      </c>
      <c r="G21" s="15">
        <f>(E21 * F21)</f>
        <v>252173.9</v>
      </c>
    </row>
    <row r="22" spans="1:7" ht="20.100000000000001" customHeight="1" x14ac:dyDescent="0.2">
      <c r="A22" s="5" t="str">
        <f>HYPERLINK("#'Input - Freight'!A1", "Freight")</f>
        <v>Freight</v>
      </c>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f>(E22 * F22)</f>
        <v>0</v>
      </c>
    </row>
    <row r="23" spans="1:7" ht="20.100000000000001" customHeight="1" x14ac:dyDescent="0.2">
      <c r="A23" s="5" t="str">
        <f>HYPERLINK("#'Input - Solid waste'!A1", "Solid waste")</f>
        <v>Solid waste</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f>(E23 * F23)</f>
        <v>0</v>
      </c>
    </row>
    <row r="24" spans="1:7" ht="20.100000000000001" customHeight="1" x14ac:dyDescent="0.2">
      <c r="A24" s="5" t="str">
        <f>HYPERLINK("#'Input - Manure sent off-site'!A1", "Manure sent off-site")</f>
        <v>Manure sent off-site</v>
      </c>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f>(E24 * F24)</f>
        <v>0</v>
      </c>
    </row>
    <row r="25" spans="1:7" ht="20.100000000000001" customHeight="1" x14ac:dyDescent="0.2">
      <c r="A25" s="5" t="str">
        <f>HYPERLINK("#'Input - Data quality'!A1", "Data quality")</f>
        <v>Data quality</v>
      </c>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f>(E25 * F25)</f>
        <v>0</v>
      </c>
    </row>
    <row r="26" spans="1:7" ht="20.100000000000001" customHeight="1" x14ac:dyDescent="0.2">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12400</v>
      </c>
      <c r="F26" s="15" cm="1">
        <f t="array" ref="F26">Common_InputFunctions.Utility_LookupValueInTableNumber(D26,Table_Fertiliser_ChemicalCompounds[Fertiliser type f],Table_Fertiliser_ChemicalCompounds[FU f])</f>
        <v>0</v>
      </c>
      <c r="G26" s="15">
        <f>(E26 * F26)</f>
        <v>0</v>
      </c>
    </row>
    <row r="27" spans="1:7" ht="20.100000000000001" customHeight="1" x14ac:dyDescent="0.2">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c r="F27" s="15" cm="1">
        <f t="array" ref="F27">Common_InputFunctions.Utility_LookupValueInTableNumber(D27,Table_Fertiliser_ChemicalCompounds[Fertiliser type f],Table_Fertiliser_ChemicalCompounds[FU f])</f>
        <v>0</v>
      </c>
      <c r="G27" s="15">
        <f>(E27 * F27)</f>
        <v>0</v>
      </c>
    </row>
    <row r="28" spans="1:7" ht="20.100000000000001" customHeight="1" x14ac:dyDescent="0.2">
      <c r="A28" s="6" t="s">
        <v>2</v>
      </c>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f>(E28 * F28)</f>
        <v>0</v>
      </c>
    </row>
    <row r="29" spans="1:7" ht="20.100000000000001" customHeight="1" x14ac:dyDescent="0.2">
      <c r="A29" s="5" t="str">
        <f>HYPERLINK("#'3.2.1.1-2 Enteric Methane'!A1", "3.2.1.1-2 Enteric Methane")</f>
        <v>3.2.1.1-2 Enteric Methane</v>
      </c>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5200</v>
      </c>
      <c r="F29" s="15" cm="1">
        <f t="array" ref="F29">Common_InputFunctions.Utility_LookupValueInTableNumber(D29,Table_Fertiliser_ChemicalCompounds[Fertiliser type f],Table_Fertiliser_ChemicalCompounds[FU f])</f>
        <v>0</v>
      </c>
      <c r="G29" s="15">
        <f>(E29 * F29)</f>
        <v>0</v>
      </c>
    </row>
    <row r="30" spans="1:7" ht="20.100000000000001" customHeight="1" x14ac:dyDescent="0.2">
      <c r="A30" s="5" t="str">
        <f>HYPERLINK("#'4.2.1.1-2 Methane'!A1", "4.2.1.1-2 Manure methane")</f>
        <v>4.2.1.1-2 Manure methane</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43000</v>
      </c>
      <c r="F30" s="15" cm="1">
        <f t="array" ref="F30">Common_InputFunctions.Utility_LookupValueInTableNumber(D30,Table_Fertiliser_ChemicalCompounds[Fertiliser type f],Table_Fertiliser_ChemicalCompounds[FU f])</f>
        <v>0</v>
      </c>
      <c r="G30" s="15">
        <f>(E30 * F30)</f>
        <v>0</v>
      </c>
    </row>
    <row r="31" spans="1:7" ht="20.100000000000001" customHeight="1" x14ac:dyDescent="0.2">
      <c r="A31" s="5" t="str">
        <f>HYPERLINK("#'4.2.1.3-4 Soil direct N20'!A1", "4.2.1.3-4 Soil direct N2O")</f>
        <v>4.2.1.3-4 Soil direct N2O</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18900</v>
      </c>
      <c r="F31" s="15" cm="1">
        <f t="array" ref="F31">Common_InputFunctions.Utility_LookupValueInTableNumber(D31,Table_Fertiliser_ChemicalCompounds[Fertiliser type f],Table_Fertiliser_ChemicalCompounds[FU f])</f>
        <v>0</v>
      </c>
      <c r="G31" s="15">
        <f>(E31 * F31)</f>
        <v>0</v>
      </c>
    </row>
    <row r="32" spans="1:7" ht="20.100000000000001" customHeight="1" x14ac:dyDescent="0.2">
      <c r="A32" s="5" t="str">
        <f>HYPERLINK("#'4.2.1.5-6 Soil Atmos Dep'!A1", "4.2.1.5-6 Soil atm. deposition")</f>
        <v>4.2.1.5-6 Soil atm. deposition</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15" cm="1">
        <f t="array" ref="F32">Common_InputFunctions.Utility_LookupValueInTableNumber(D32,Table_Fertiliser_ChemicalCompounds[Fertiliser type f],Table_Fertiliser_ChemicalCompounds[FU f])</f>
        <v>0</v>
      </c>
      <c r="G32" s="15">
        <f>(E32 * F32)</f>
        <v>0</v>
      </c>
    </row>
    <row r="33" spans="1:12" ht="20.100000000000001" customHeight="1" x14ac:dyDescent="0.2">
      <c r="A33" s="5" t="str">
        <f>HYPERLINK("#'4.2.1.7-8 Soil leach runoff'!A1", "4.2.1.7-8 Soil leach &amp; runoff")</f>
        <v>4.2.1.7-8 Soil leach &amp; runoff</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f>(E33 * F33)</f>
        <v>0</v>
      </c>
    </row>
    <row r="34" spans="1:12" ht="20.100000000000001" customHeight="1" x14ac:dyDescent="0.2">
      <c r="A34" s="5" t="str">
        <f>HYPERLINK("#'5.1.1.1-2 Inorganic fert N2O'!A1", "5.1.1.1-2 Inorganic fert N2O")</f>
        <v>5.1.1.1-2 Inorganic fert N2O</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f>(E34 * F34)</f>
        <v>0</v>
      </c>
    </row>
    <row r="35" spans="1:12" ht="20.100000000000001" customHeight="1" x14ac:dyDescent="0.2">
      <c r="A35" s="105" t="str">
        <f>HYPERLINK("#'5.1.1.3-4 Inorganic fert CO2'!A1", "5.1.1.3-4 Inorganic fert CO2")</f>
        <v>5.1.1.3-4 Inorganic fert CO2</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f>(E35 * F35)</f>
        <v>0</v>
      </c>
    </row>
    <row r="36" spans="1:12" ht="20.100000000000001" customHeight="1" x14ac:dyDescent="0.2">
      <c r="A36" s="5" t="str">
        <f>HYPERLINK("#'5.2.1.1-2 Organic Fert N2O'!A1", "5.2.1.1-2 Organic fert N2O")</f>
        <v>5.2.1.1-2 Organic fert N2O</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15" cm="1">
        <f t="array" ref="F36">Common_InputFunctions.Utility_LookupValueInTableNumber(D36,Table_Fertiliser_ChemicalCompounds[Fertiliser type f],Table_Fertiliser_ChemicalCompounds[FU f])</f>
        <v>0</v>
      </c>
      <c r="G36" s="15">
        <f>(E36 * F36)</f>
        <v>0</v>
      </c>
    </row>
    <row r="37" spans="1:12" ht="20.100000000000001" customHeight="1" x14ac:dyDescent="0.2">
      <c r="A37" s="5" t="str">
        <f>HYPERLINK("#'5.3.1.1-2 Lime CO2'!A1", "5.3.1.1-2 Lime CO2")</f>
        <v>5.3.1.1-2 Lime CO2</v>
      </c>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15" cm="1">
        <f t="array" ref="F37">Common_InputFunctions.Utility_LookupValueInTableNumber(D37,Table_Fertiliser_ChemicalCompounds[Fertiliser type f],Table_Fertiliser_ChemicalCompounds[FU f])</f>
        <v>0</v>
      </c>
      <c r="G37" s="15">
        <f>(E37 * F37)</f>
        <v>0</v>
      </c>
    </row>
    <row r="38" spans="1:12" ht="20.100000000000001" customHeight="1" x14ac:dyDescent="0.2">
      <c r="A38" s="5" t="str">
        <f>HYPERLINK("#'5.4.1.1-4 Atmos deposition'!A1", "5.4.1.1-4 Atmos. deposition")</f>
        <v>5.4.1.1-4 Atmos. deposition</v>
      </c>
    </row>
    <row r="39" spans="1:12" ht="20.100000000000001" customHeight="1" x14ac:dyDescent="0.2">
      <c r="A39" s="5" t="str">
        <f>HYPERLINK("#'5.5.1.1-2 Leaching and runoff'!A1", "5.5.1.1-2 Leaching &amp; runoff")</f>
        <v>5.5.1.1-2 Leaching &amp; runoff</v>
      </c>
    </row>
    <row r="40" spans="1:12" ht="20.100000000000001" customHeight="1" x14ac:dyDescent="0.2">
      <c r="A40" s="5" t="str">
        <f>HYPERLINK("#'6.2.1.1-2 Pasture residue N2O'!A1", "6.2.1.1-2 Pasture residue N2O")</f>
        <v>6.2.1.1-2 Pasture residue N2O</v>
      </c>
      <c r="C40" s="88"/>
      <c r="D40" s="88"/>
      <c r="E40" s="88"/>
      <c r="F40" s="88"/>
      <c r="G40" s="88"/>
      <c r="H40" s="88"/>
      <c r="I40" s="88"/>
      <c r="J40" s="88"/>
      <c r="K40" s="88"/>
      <c r="L40" s="88"/>
    </row>
    <row r="41" spans="1:12" ht="20.100000000000001" customHeight="1" x14ac:dyDescent="0.2">
      <c r="A41" s="5" t="str">
        <f>HYPERLINK("#'6.3.1.1-2 Leach runoff pasture'!A1", "6.3.1.1-2 Leach &amp; runoff (pasture)")</f>
        <v>6.3.1.1-2 Leach &amp; runoff (pasture)</v>
      </c>
      <c r="D41" s="2" t="s">
        <v>1524</v>
      </c>
    </row>
    <row r="42" spans="1:12" ht="20.100000000000001" customHeight="1" x14ac:dyDescent="0.2">
      <c r="A42" s="5" t="str">
        <f>HYPERLINK("#'8.1.1.1-2 Transport fuel'!A1", "8.1.1.1-2 Transport fuel")</f>
        <v>8.1.1.1-2 Transport fuel</v>
      </c>
      <c r="D42" s="17" t="s">
        <v>1525</v>
      </c>
    </row>
    <row r="43" spans="1:12" ht="20.100000000000001" customHeight="1" x14ac:dyDescent="0.2">
      <c r="A43" s="5" t="str">
        <f>HYPERLINK("#'8.2.1.1-2 Stationary fuel'!A1", "8.2.1.1-2 Stationary fuel")</f>
        <v>8.2.1.1-2 Stationary fuel</v>
      </c>
      <c r="D43" s="104"/>
      <c r="E43" s="104"/>
    </row>
    <row r="44" spans="1:12" ht="20.100000000000001" customHeight="1" x14ac:dyDescent="0.2">
      <c r="A44" s="5" t="str">
        <f>HYPERLINK("#'10.1.1-2 Solid waste treatment'!A1", "10.1.1.1-2 Solid waste")</f>
        <v>10.1.1.1-2 Solid waste</v>
      </c>
    </row>
    <row r="45" spans="1:12" ht="20.100000000000001" customHeight="1" x14ac:dyDescent="0.2">
      <c r="A45" s="5" t="str">
        <f>HYPERLINK("#'14.1.1-2 Purchased electricity'!A1", "14.1.1-2 Purchased electricity")</f>
        <v>14.1.1-2 Purchased electricity</v>
      </c>
    </row>
    <row r="46" spans="1:12" ht="20.100000000000001" customHeight="1" x14ac:dyDescent="0.2">
      <c r="A46" s="5" t="str">
        <f>HYPERLINK("#'15 Scope 3'!A1", "15 Scope 3")</f>
        <v>15 Scope 3</v>
      </c>
      <c r="D46" s="77" t="s">
        <v>374</v>
      </c>
      <c r="E46" s="1" t="s">
        <v>1526</v>
      </c>
    </row>
    <row r="47" spans="1:12" ht="20.100000000000001" customHeight="1" x14ac:dyDescent="0.2">
      <c r="A47" s="5" t="str">
        <f>HYPERLINK("#'Calcs - Manure sent off-site'!A1", "Calcs - Manure sent off-site")</f>
        <v>Calcs - Manure sent off-site</v>
      </c>
      <c r="D47" s="77" t="s">
        <v>126</v>
      </c>
      <c r="E47" s="9" t="s">
        <v>138</v>
      </c>
    </row>
    <row r="49" spans="1:9" ht="20.100000000000001" customHeight="1" x14ac:dyDescent="0.2">
      <c r="D49" s="117" t="s">
        <v>1518</v>
      </c>
      <c r="E49" s="118" t="s">
        <v>1527</v>
      </c>
      <c r="F49" s="162"/>
      <c r="G49" s="117" t="s">
        <v>1519</v>
      </c>
      <c r="H49" s="111" t="s">
        <v>1532</v>
      </c>
      <c r="I49" s="112" t="str" cm="1">
        <f t="array" aca="1" ref="I49" ca="1">HYPERLINK(Common_InputFunctions.Utility_SourceHyperlink($D$16), $D$16)</f>
        <v>Table_MU_j_f</v>
      </c>
    </row>
    <row r="50" spans="1:9" ht="20.100000000000001" customHeight="1" x14ac:dyDescent="0.2">
      <c r="A50" s="86" t="s">
        <v>1</v>
      </c>
      <c r="D50" s="117" t="s">
        <v>1528</v>
      </c>
      <c r="E50" s="118" t="s">
        <v>1529</v>
      </c>
      <c r="F50" s="162"/>
      <c r="G50" s="117" t="s">
        <v>1533</v>
      </c>
      <c r="H50" s="111" t="s">
        <v>1326</v>
      </c>
      <c r="I50" s="117">
        <f>Fertiliser_EFUreaCO2_Data</f>
        <v>0.2</v>
      </c>
    </row>
    <row r="51" spans="1:9" ht="20.100000000000001" customHeight="1" x14ac:dyDescent="0.2">
      <c r="A51" s="5" t="str">
        <f>HYPERLINK("#'Constants - Pasture Beef'!A1", "Constants - Pasture Beef")</f>
        <v>Constants - Pasture Beef</v>
      </c>
      <c r="D51" s="117" t="s">
        <v>1530</v>
      </c>
      <c r="E51" s="118" t="s">
        <v>1531</v>
      </c>
      <c r="F51" s="162"/>
      <c r="G51" s="117"/>
      <c r="H51" s="111" t="s">
        <v>1326</v>
      </c>
      <c r="I51" s="117">
        <f>Common_InputFunctions.Utility_LookupValueInTableNumber("CO2",Table_GasToMolecularConversionFactor[Gas], Table_GasToMolecularConversionFactor[Conversion factor combined])</f>
        <v>3.6666666666666665</v>
      </c>
    </row>
    <row r="52" spans="1:9" ht="20.100000000000001" customHeight="1" x14ac:dyDescent="0.2">
      <c r="A52" s="5" t="str">
        <f>HYPERLINK("#'Constants - Ag Residue'!A1", "Constants - Ag residue")</f>
        <v>Constants - Ag residue</v>
      </c>
      <c r="D52" s="117" t="s">
        <v>1456</v>
      </c>
      <c r="E52" s="118" t="s">
        <v>176</v>
      </c>
      <c r="F52" s="162"/>
      <c r="G52" s="117"/>
      <c r="H52" s="110" t="s">
        <v>1325</v>
      </c>
      <c r="I52" s="117" t="str">
        <f>X_Cell_Fertiliser_ProductionSystem</f>
        <v>Pasture</v>
      </c>
    </row>
    <row r="53" spans="1:9" ht="20.100000000000001" customHeight="1" x14ac:dyDescent="0.2">
      <c r="A53" s="5" t="str">
        <f>HYPERLINK("#'Constants - Common Livestock'!A1", "Constants - Common Livestock")</f>
        <v>Constants - Common Livestock</v>
      </c>
      <c r="D53" s="117" t="s">
        <v>1496</v>
      </c>
      <c r="E53" s="118" t="s">
        <v>1497</v>
      </c>
      <c r="F53" s="162"/>
      <c r="G53" s="117"/>
      <c r="H53" s="111" t="s">
        <v>1523</v>
      </c>
      <c r="I53" s="112" t="str" cm="1">
        <f t="array" aca="1" ref="I53" ca="1">HYPERLINK(Common_InputFunctions.Utility_SourceHyperlink($D$16), $D$16)</f>
        <v>Table_MU_j_f</v>
      </c>
    </row>
    <row r="54" spans="1:9" ht="20.100000000000001" customHeight="1" x14ac:dyDescent="0.2">
      <c r="A54" s="5" t="str">
        <f>HYPERLINK("#'Constants - Electricity'!A1", "Constants - Electricity")</f>
        <v>Constants - Electricity</v>
      </c>
    </row>
    <row r="55" spans="1:9" ht="20.100000000000001" customHeight="1" x14ac:dyDescent="0.2">
      <c r="A55" s="5" t="str">
        <f>HYPERLINK("#'Constants - Fertiliser'!A1", "Constants - Fertiliser")</f>
        <v>Constants - Fertiliser</v>
      </c>
      <c r="D55" s="113" t="s">
        <v>691</v>
      </c>
    </row>
    <row r="56" spans="1:9" ht="20.100000000000001" customHeight="1" x14ac:dyDescent="0.2">
      <c r="A56" s="5" t="str">
        <f>HYPERLINK("#'Constants - Fuel'!A1", "Constants - Fuel")</f>
        <v>Constants - Fuel</v>
      </c>
      <c r="D56" s="114" t="s">
        <v>692</v>
      </c>
    </row>
    <row r="57" spans="1:9" ht="20.100000000000001" customHeight="1" x14ac:dyDescent="0.2">
      <c r="A57" s="5" t="str">
        <f>HYPERLINK("#'Constants - Scope 3'!A1", "Constants - Scope 3")</f>
        <v>Constants - Scope 3</v>
      </c>
      <c r="D57" s="115" t="s">
        <v>661</v>
      </c>
      <c r="E57" s="115" t="s">
        <v>673</v>
      </c>
    </row>
    <row r="58" spans="1:9" ht="20.100000000000001" customHeight="1" x14ac:dyDescent="0.2">
      <c r="A58" s="5" t="str">
        <f>HYPERLINK("#'Constants - Solid Waste'!A1", "Constants - Solid Waste")</f>
        <v>Constants - Solid Waste</v>
      </c>
      <c r="D58" s="15" t="str" cm="1">
        <f t="array" ref="D58:D76">Table_Fertiliser_ChemicalCompounds[Fertiliser type f]</f>
        <v>Monoammonium phosphate (MAP)</v>
      </c>
      <c r="E58" s="15">
        <f>((G19 * $I$50 * $I$51) * 10 ^ -3)</f>
        <v>0</v>
      </c>
      <c r="F58" s="16" t="str">
        <f>$E$47</f>
        <v>t CO2</v>
      </c>
    </row>
    <row r="59" spans="1:9" ht="20.100000000000001" customHeight="1" x14ac:dyDescent="0.2">
      <c r="A59" s="5" t="str">
        <f>HYPERLINK("#'Constants - Common'!A1", "Constants - Common")</f>
        <v>Constants - Common</v>
      </c>
      <c r="D59" s="15" t="str">
        <v>Diammonium phosphate (DAP)</v>
      </c>
      <c r="E59" s="15">
        <f>((G20 * $I$50 * $I$51) * 10 ^ -3)</f>
        <v>0</v>
      </c>
    </row>
    <row r="60" spans="1:9" ht="20.100000000000001" customHeight="1" x14ac:dyDescent="0.2">
      <c r="A60" s="5" t="str">
        <f>HYPERLINK("#'Acknowledgements'!A1", "Acknowledgements")</f>
        <v>Acknowledgements</v>
      </c>
      <c r="D60" s="15" t="str">
        <v>Urea</v>
      </c>
      <c r="E60" s="15">
        <f>((G21 * $I$50 * $I$51) * 10 ^ -3)</f>
        <v>184.92752666666664</v>
      </c>
    </row>
    <row r="61" spans="1:9" ht="20.100000000000001" customHeight="1" x14ac:dyDescent="0.2">
      <c r="D61" s="15" t="str">
        <v>Sulphate of ammonia (SOA)</v>
      </c>
      <c r="E61" s="15">
        <f>((G22 * $I$50 * $I$51) * 10 ^ -3)</f>
        <v>0</v>
      </c>
    </row>
    <row r="62" spans="1:9" ht="20.100000000000001" customHeight="1" x14ac:dyDescent="0.2">
      <c r="D62" s="15" t="str">
        <v>Urea-ammonium nitrate (UAN)</v>
      </c>
      <c r="E62" s="15">
        <f>((G23 * $I$50 * $I$51) * 10 ^ -3)</f>
        <v>0</v>
      </c>
    </row>
    <row r="63" spans="1:9" ht="20.100000000000001" customHeight="1" x14ac:dyDescent="0.2">
      <c r="D63" s="15" t="str">
        <v>Ammonium nitrate (AN)</v>
      </c>
      <c r="E63" s="15">
        <f>((G24 * $I$50 * $I$51) * 10 ^ -3)</f>
        <v>0</v>
      </c>
    </row>
    <row r="64" spans="1:9" ht="20.100000000000001" customHeight="1" x14ac:dyDescent="0.2">
      <c r="D64" s="15" t="str">
        <v>Calcium ammonium nitrate (CAN)</v>
      </c>
      <c r="E64" s="15">
        <f>((G25 * $I$50 * $I$51) * 10 ^ -3)</f>
        <v>0</v>
      </c>
    </row>
    <row r="65" spans="1:6" ht="20.100000000000001" customHeight="1" x14ac:dyDescent="0.2">
      <c r="D65" s="15" t="str">
        <v>Nitrogen - Ammoniacal</v>
      </c>
      <c r="E65" s="15">
        <f>((G26 * $I$50 * $I$51) * 10 ^ -3)</f>
        <v>0</v>
      </c>
    </row>
    <row r="66" spans="1:6" ht="20.100000000000001" customHeight="1" x14ac:dyDescent="0.2">
      <c r="D66" s="15" t="str">
        <v>Nitrogen - Nitrate</v>
      </c>
      <c r="E66" s="15">
        <f>((G27 * $I$50 * $I$51) * 10 ^ -3)</f>
        <v>0</v>
      </c>
    </row>
    <row r="67" spans="1:6" ht="20.100000000000001" customHeight="1" x14ac:dyDescent="0.2">
      <c r="D67" s="15" t="str">
        <v>Nitrogen - Generic</v>
      </c>
      <c r="E67" s="15">
        <f>((G28 * $I$50 * $I$51) * 10 ^ -3)</f>
        <v>0</v>
      </c>
    </row>
    <row r="68" spans="1:6" ht="20.100000000000001" customHeight="1" x14ac:dyDescent="0.2">
      <c r="D68" s="15" t="str">
        <v>Phosphorus - Generic</v>
      </c>
      <c r="E68" s="15">
        <f>((G29 * $I$50 * $I$51) * 10 ^ -3)</f>
        <v>0</v>
      </c>
    </row>
    <row r="69" spans="1:6" ht="20.100000000000001" customHeight="1" x14ac:dyDescent="0.2">
      <c r="D69" s="15" t="str">
        <v>Potassium - Generic</v>
      </c>
      <c r="E69" s="15">
        <f>((G30 * $I$50 * $I$51) * 10 ^ -3)</f>
        <v>0</v>
      </c>
    </row>
    <row r="70" spans="1:6" ht="20.100000000000001" customHeight="1" x14ac:dyDescent="0.2">
      <c r="D70" s="15" t="str">
        <v>Sulfur - Generic</v>
      </c>
      <c r="E70" s="15">
        <f>((G31 * $I$50 * $I$51) * 10 ^ -3)</f>
        <v>0</v>
      </c>
    </row>
    <row r="71" spans="1:6" ht="20.100000000000001" customHeight="1" x14ac:dyDescent="0.2">
      <c r="A71" s="85" t="str">
        <f>HYPERLINK("#A1", "▲ Back to top")</f>
        <v>▲ Back to top</v>
      </c>
      <c r="D71" s="15" t="str">
        <v>Zinc - Generic</v>
      </c>
      <c r="E71" s="15">
        <f>((G32 * $I$50 * $I$51) * 10 ^ -3)</f>
        <v>0</v>
      </c>
    </row>
    <row r="72" spans="1:6" ht="20.100000000000001" customHeight="1" x14ac:dyDescent="0.2">
      <c r="D72" s="15" t="str">
        <v>Muriate of potash (MOP)</v>
      </c>
      <c r="E72" s="15">
        <f>((G33 * $I$50 * $I$51) * 10 ^ -3)</f>
        <v>0</v>
      </c>
    </row>
    <row r="73" spans="1:6" ht="20.100000000000001" customHeight="1" x14ac:dyDescent="0.2">
      <c r="D73" s="15" t="str">
        <v>Double superphosphate</v>
      </c>
      <c r="E73" s="15">
        <f>((G34 * $I$50 * $I$51) * 10 ^ -3)</f>
        <v>0</v>
      </c>
    </row>
    <row r="74" spans="1:6" ht="20.100000000000001" customHeight="1" x14ac:dyDescent="0.2">
      <c r="D74" s="15" t="str">
        <v>Single superphosphate (SSP)</v>
      </c>
      <c r="E74" s="15">
        <f>((G35 * $I$50 * $I$51) * 10 ^ -3)</f>
        <v>0</v>
      </c>
    </row>
    <row r="75" spans="1:6" ht="20.100000000000001" customHeight="1" x14ac:dyDescent="0.2">
      <c r="D75" s="15" t="str">
        <v>Ammonia</v>
      </c>
      <c r="E75" s="15">
        <f>((G36 * $I$50 * $I$51) * 10 ^ -3)</f>
        <v>0</v>
      </c>
    </row>
    <row r="76" spans="1:6" ht="20.100000000000001" customHeight="1" x14ac:dyDescent="0.2">
      <c r="D76" s="15" t="str">
        <v>Calcium nitrate</v>
      </c>
      <c r="E76" s="15">
        <f>((G37 * $I$50 * $I$51) * 10 ^ -3)</f>
        <v>0</v>
      </c>
    </row>
    <row r="78" spans="1:6" ht="20.100000000000001" customHeight="1" x14ac:dyDescent="0.2">
      <c r="D78" s="91" t="s">
        <v>693</v>
      </c>
      <c r="E78" s="92">
        <f>SUM(E58:E76)</f>
        <v>184.92752666666664</v>
      </c>
      <c r="F78" s="96" t="str">
        <f>$E$47</f>
        <v>t CO2</v>
      </c>
    </row>
  </sheetData>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837B1-5001-40FB-9938-7B89FCAF9875}">
  <sheetPr>
    <tabColor rgb="FF008000"/>
  </sheetPr>
  <dimension ref="A1:U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694</v>
      </c>
    </row>
    <row r="2" spans="1:21" s="3" customFormat="1" ht="20.100000000000001" customHeight="1" x14ac:dyDescent="0.2">
      <c r="A2"/>
    </row>
    <row r="3" spans="1:21" ht="20.100000000000001" customHeight="1" x14ac:dyDescent="0.2">
      <c r="A3" s="5" t="str">
        <f>HYPERLINK("#'Home'!A1", "Home")</f>
        <v>Home</v>
      </c>
      <c r="C3" s="23"/>
      <c r="D3" s="23" t="s">
        <v>141</v>
      </c>
      <c r="E3" s="23"/>
      <c r="F3" s="23"/>
      <c r="G3" s="23"/>
      <c r="H3" s="23"/>
      <c r="I3" s="23"/>
      <c r="J3" s="23"/>
      <c r="K3" s="23"/>
      <c r="L3" s="23"/>
      <c r="N3" s="23"/>
      <c r="O3" s="23" t="s">
        <v>142</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1534</v>
      </c>
    </row>
    <row r="6" spans="1:21" ht="20.100000000000001" customHeight="1" x14ac:dyDescent="0.2">
      <c r="D6" s="17" t="s">
        <v>1535</v>
      </c>
    </row>
    <row r="7" spans="1:21" ht="20.100000000000001" customHeight="1" x14ac:dyDescent="0.2">
      <c r="D7" s="104"/>
      <c r="E7" s="104"/>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374</v>
      </c>
      <c r="E10" s="1" t="s">
        <v>1536</v>
      </c>
    </row>
    <row r="11" spans="1:21" ht="20.100000000000001" customHeight="1" x14ac:dyDescent="0.2">
      <c r="A11" s="5" t="str">
        <f>HYPERLINK("#'Input - Pasture Beef'!A1", "Pasture Beef")</f>
        <v>Pasture Beef</v>
      </c>
      <c r="D11" s="77" t="s">
        <v>126</v>
      </c>
      <c r="E11" s="9" t="s">
        <v>1162</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17" t="s">
        <v>1537</v>
      </c>
      <c r="E13" s="118" t="s">
        <v>1538</v>
      </c>
      <c r="F13" s="162"/>
      <c r="G13" s="106" t="s">
        <v>653</v>
      </c>
      <c r="H13" s="110" t="s">
        <v>1325</v>
      </c>
      <c r="I13" s="112" t="str" cm="1">
        <f t="array" aca="1" ref="I13" ca="1">HYPERLINK(Common_InputFunctions.Utility_SourceHyperlink($D$17), $D$17)</f>
        <v>Table_MNSoil_j_f</v>
      </c>
    </row>
    <row r="14" spans="1:21" ht="20.100000000000001" customHeight="1" x14ac:dyDescent="0.2">
      <c r="A14" s="5" t="str">
        <f>HYPERLINK("#'Input - Pasture'!A1", "Pasture")</f>
        <v>Pasture</v>
      </c>
      <c r="D14" s="117" t="s">
        <v>1539</v>
      </c>
      <c r="E14" s="118" t="s">
        <v>1540</v>
      </c>
      <c r="F14" s="162"/>
      <c r="G14" s="106" t="s">
        <v>1487</v>
      </c>
      <c r="H14" s="110" t="s">
        <v>1325</v>
      </c>
      <c r="I14" s="112" t="str" cm="1">
        <f t="array" aca="1" ref="I14" ca="1">HYPERLINK(Common_InputFunctions.Utility_SourceHyperlink($D$17), $D$17)</f>
        <v>Table_MNSoil_j_f</v>
      </c>
    </row>
    <row r="15" spans="1:21" ht="20.100000000000001" customHeight="1" x14ac:dyDescent="0.2">
      <c r="A15" s="5" t="str">
        <f>HYPERLINK("#'Input - Fert Prod System'!A1", "Fert Prod System")</f>
        <v>Fert Prod System</v>
      </c>
      <c r="D15" s="117" t="s">
        <v>1496</v>
      </c>
      <c r="E15" s="118" t="s">
        <v>748</v>
      </c>
      <c r="F15" s="162"/>
      <c r="G15" s="106"/>
      <c r="H15" s="110" t="s">
        <v>1325</v>
      </c>
      <c r="I15" s="112" t="str" cm="1">
        <f t="array" aca="1" ref="I15" ca="1">HYPERLINK(Common_InputFunctions.Utility_SourceHyperlink($D$17), $D$17)</f>
        <v>Table_MNSoil_j_f</v>
      </c>
    </row>
    <row r="16" spans="1:21" ht="20.100000000000001" customHeight="1" x14ac:dyDescent="0.2">
      <c r="A16" s="5" t="str">
        <f>HYPERLINK("#'Input - Fertiliser'!A1", "Fertiliser")</f>
        <v>Fertiliser</v>
      </c>
    </row>
    <row r="17" spans="1:10" ht="20.100000000000001" customHeight="1" x14ac:dyDescent="0.2">
      <c r="A17" s="5" t="str">
        <f>HYPERLINK("#'Input - Fuel'!A1", "Fuel")</f>
        <v>Fuel</v>
      </c>
      <c r="D17" s="113" t="s">
        <v>695</v>
      </c>
    </row>
    <row r="18" spans="1:10" ht="20.100000000000001" customHeight="1" x14ac:dyDescent="0.2">
      <c r="A18" s="5" t="str">
        <f>HYPERLINK("#'Input - Electricity'!A1", "Electricity")</f>
        <v>Electricity</v>
      </c>
      <c r="D18" s="114" t="s">
        <v>696</v>
      </c>
    </row>
    <row r="19" spans="1:10" ht="20.100000000000001" customHeight="1" x14ac:dyDescent="0.2">
      <c r="A19" s="5" t="str">
        <f>HYPERLINK("#'Input - Common farm inputs'!A1", "Common farm inputs")</f>
        <v>Common farm inputs</v>
      </c>
      <c r="D19" s="82" t="s">
        <v>697</v>
      </c>
      <c r="E19" s="82" t="s">
        <v>698</v>
      </c>
      <c r="F19" s="82" t="s">
        <v>587</v>
      </c>
      <c r="G19" s="166" t="s">
        <v>699</v>
      </c>
      <c r="H19" s="82" t="s">
        <v>700</v>
      </c>
      <c r="I19" s="166" t="s">
        <v>701</v>
      </c>
    </row>
    <row r="20" spans="1:10" ht="20.100000000000001" customHeight="1" x14ac:dyDescent="0.2">
      <c r="A20" s="5" t="str">
        <f>HYPERLINK("#'Input - Crop pasture farm input'!A1", "Crop pasture farm input")</f>
        <v>Crop pasture farm input</v>
      </c>
      <c r="D20" s="15" t="str" cm="1">
        <f t="array" ref="D20:D22">Table_Input_OrganicFertiliser[Organic fertiliser type (select)]</f>
        <v>Manure - Other</v>
      </c>
      <c r="E20" s="167" cm="1">
        <f t="array" ref="E20:E22">Table_Input_OrganicFertiliser[Amount applied (kg/hectare)]</f>
        <v>10</v>
      </c>
      <c r="F20" s="167" cm="1">
        <f t="array" ref="F20:F22">Table_Input_OrganicFertiliser[Application area (ha)]</f>
        <v>1000</v>
      </c>
      <c r="G20" s="15" cm="1">
        <f t="array" ref="G20:G22">Table_Input_OrganicFertiliser[Amount applied (kg/hectare)]*Table_Input_OrganicFertiliser[Application area (ha)]</f>
        <v>10000</v>
      </c>
      <c r="H20" s="126" cm="1">
        <f t="array" ref="H20:H22">Table_Input_OrganicFertiliser[Percentage of N in fertiliser]</f>
        <v>0.3</v>
      </c>
      <c r="I20" s="15">
        <f>(G20 * H20)</f>
        <v>3000</v>
      </c>
    </row>
    <row r="21" spans="1:10" ht="20.100000000000001" customHeight="1" x14ac:dyDescent="0.2">
      <c r="A21" s="5" t="str">
        <f>HYPERLINK("#'Input - Livestock farm Inputs'!A1", "Livestock farm Inputs")</f>
        <v>Livestock farm Inputs</v>
      </c>
      <c r="D21" s="15" t="str">
        <v>Manure - Poultry</v>
      </c>
      <c r="E21" s="15">
        <v>10</v>
      </c>
      <c r="F21" s="15">
        <v>1000</v>
      </c>
      <c r="G21" s="15">
        <v>10000</v>
      </c>
      <c r="H21" s="15">
        <v>0.25</v>
      </c>
      <c r="I21" s="15">
        <f>(G21 * H21)</f>
        <v>2500</v>
      </c>
    </row>
    <row r="22" spans="1:10" ht="20.100000000000001" customHeight="1" x14ac:dyDescent="0.2">
      <c r="A22" s="5" t="str">
        <f>HYPERLINK("#'Input - Freight'!A1", "Freight")</f>
        <v>Freight</v>
      </c>
      <c r="D22" s="15" t="str">
        <v>Other organic fertiliser</v>
      </c>
      <c r="E22" s="15">
        <v>10</v>
      </c>
      <c r="F22" s="15">
        <v>1000</v>
      </c>
      <c r="G22" s="15">
        <v>10000</v>
      </c>
      <c r="H22" s="15">
        <v>0.16</v>
      </c>
      <c r="I22" s="15">
        <f>(G22 * H22)</f>
        <v>1600</v>
      </c>
    </row>
    <row r="23" spans="1:10" ht="20.100000000000001" customHeight="1" x14ac:dyDescent="0.2">
      <c r="A23" s="5" t="str">
        <f>HYPERLINK("#'Input - Solid waste'!A1", "Solid waste")</f>
        <v>Solid waste</v>
      </c>
      <c r="D23" s="15"/>
      <c r="E23" s="15"/>
      <c r="F23" s="15"/>
      <c r="G23" s="15"/>
      <c r="H23" s="15"/>
      <c r="I23" s="15">
        <f>(G23 * H23)</f>
        <v>0</v>
      </c>
    </row>
    <row r="24" spans="1:10" ht="20.100000000000001" customHeight="1" x14ac:dyDescent="0.2">
      <c r="A24" s="5" t="str">
        <f>HYPERLINK("#'Input - Manure sent off-site'!A1", "Manure sent off-site")</f>
        <v>Manure sent off-site</v>
      </c>
      <c r="D24" s="15"/>
      <c r="E24" s="15"/>
      <c r="F24" s="15"/>
      <c r="G24" s="15"/>
      <c r="H24" s="15"/>
      <c r="I24" s="15">
        <f>(G24 * H24)</f>
        <v>0</v>
      </c>
    </row>
    <row r="25" spans="1:10" ht="20.100000000000001" customHeight="1" x14ac:dyDescent="0.2">
      <c r="A25" s="5" t="str">
        <f>HYPERLINK("#'Input - Data quality'!A1", "Data quality")</f>
        <v>Data quality</v>
      </c>
      <c r="D25" s="15"/>
      <c r="E25" s="15"/>
      <c r="F25" s="15"/>
      <c r="G25" s="15"/>
      <c r="H25" s="15"/>
      <c r="I25" s="15">
        <f>(G25 * H25)</f>
        <v>0</v>
      </c>
    </row>
    <row r="26" spans="1:10" ht="20.100000000000001" customHeight="1" x14ac:dyDescent="0.2">
      <c r="D26" s="15"/>
      <c r="E26" s="15"/>
      <c r="F26" s="15"/>
      <c r="G26" s="15"/>
      <c r="H26" s="15"/>
      <c r="I26" s="15">
        <f>(G26 * H26)</f>
        <v>0</v>
      </c>
    </row>
    <row r="27" spans="1:10" ht="20.100000000000001" customHeight="1" x14ac:dyDescent="0.2">
      <c r="D27" s="15"/>
      <c r="E27" s="15"/>
      <c r="F27" s="15"/>
      <c r="G27" s="15"/>
      <c r="H27" s="15"/>
      <c r="I27" s="15">
        <f>(G27 * H27)</f>
        <v>0</v>
      </c>
    </row>
    <row r="28" spans="1:10" ht="20.100000000000001" customHeight="1" x14ac:dyDescent="0.2">
      <c r="A28" s="6" t="s">
        <v>2</v>
      </c>
      <c r="D28" s="15"/>
      <c r="E28" s="15"/>
      <c r="F28" s="15"/>
      <c r="G28" s="15"/>
      <c r="H28" s="15"/>
      <c r="I28" s="15">
        <f>(G28 * H28)</f>
        <v>0</v>
      </c>
    </row>
    <row r="29" spans="1:10" ht="20.100000000000001" customHeight="1" x14ac:dyDescent="0.2">
      <c r="A29" s="5" t="str">
        <f>HYPERLINK("#'3.2.1.1-2 Enteric Methane'!A1", "3.2.1.1-2 Enteric Methane")</f>
        <v>3.2.1.1-2 Enteric Methane</v>
      </c>
      <c r="D29" s="15"/>
      <c r="E29" s="15"/>
      <c r="F29" s="15"/>
      <c r="G29" s="15"/>
      <c r="H29" s="15"/>
      <c r="I29" s="15">
        <f>(G29 * H29)</f>
        <v>0</v>
      </c>
    </row>
    <row r="30" spans="1:10" ht="20.100000000000001" customHeight="1" x14ac:dyDescent="0.2">
      <c r="A30" s="5" t="str">
        <f>HYPERLINK("#'4.2.1.1-2 Methane'!A1", "4.2.1.1-2 Manure methane")</f>
        <v>4.2.1.1-2 Manure methane</v>
      </c>
      <c r="D30" s="15"/>
      <c r="E30" s="15"/>
      <c r="F30" s="15"/>
      <c r="G30" s="15"/>
      <c r="H30" s="15"/>
      <c r="I30" s="15">
        <f>(G30 * H30)</f>
        <v>0</v>
      </c>
    </row>
    <row r="31" spans="1:10" ht="20.100000000000001" customHeight="1" x14ac:dyDescent="0.2">
      <c r="A31" s="5" t="str">
        <f>HYPERLINK("#'4.2.1.3-4 Soil direct N20'!A1", "4.2.1.3-4 Soil direct N2O")</f>
        <v>4.2.1.3-4 Soil direct N2O</v>
      </c>
      <c r="D31" s="168"/>
      <c r="E31" s="168"/>
      <c r="F31" s="168"/>
      <c r="G31" s="168"/>
      <c r="H31" s="168"/>
      <c r="I31" s="168"/>
      <c r="J31" s="168"/>
    </row>
    <row r="32" spans="1:10" ht="20.100000000000001" customHeight="1" x14ac:dyDescent="0.2">
      <c r="A32" s="5" t="str">
        <f>HYPERLINK("#'4.2.1.5-6 Soil Atmos Dep'!A1", "4.2.1.5-6 Soil atm. deposition")</f>
        <v>4.2.1.5-6 Soil atm. deposition</v>
      </c>
      <c r="D32" s="94" t="s">
        <v>702</v>
      </c>
      <c r="E32" s="94">
        <f>SUM(I20:I30)</f>
        <v>7100</v>
      </c>
      <c r="F32" s="169" t="str">
        <f>$E$11</f>
        <v>kg N</v>
      </c>
      <c r="G32" s="168"/>
      <c r="H32" s="168"/>
      <c r="I32" s="168"/>
      <c r="J32" s="168"/>
    </row>
    <row r="33" spans="1:12" ht="20.100000000000001" customHeight="1" x14ac:dyDescent="0.2">
      <c r="A33" s="5" t="str">
        <f>HYPERLINK("#'4.2.1.7-8 Soil leach runoff'!A1", "4.2.1.7-8 Soil leach &amp; runoff")</f>
        <v>4.2.1.7-8 Soil leach &amp; runoff</v>
      </c>
    </row>
    <row r="34" spans="1:12" ht="20.100000000000001" customHeight="1" x14ac:dyDescent="0.2">
      <c r="A34" s="5" t="str">
        <f>HYPERLINK("#'5.1.1.1-2 Inorganic fert N2O'!A1", "5.1.1.1-2 Inorganic fert N2O")</f>
        <v>5.1.1.1-2 Inorganic fert N2O</v>
      </c>
    </row>
    <row r="35" spans="1:12" ht="20.100000000000001" customHeight="1" x14ac:dyDescent="0.2">
      <c r="A35" s="5" t="str">
        <f>HYPERLINK("#'5.1.1.3-4 Inorganic fert CO2'!A1", "5.1.1.3-4 Inorganic fert CO2")</f>
        <v>5.1.1.3-4 Inorganic fert CO2</v>
      </c>
      <c r="C35" s="170"/>
      <c r="D35" s="170"/>
      <c r="E35" s="170"/>
      <c r="F35" s="170"/>
      <c r="G35" s="170"/>
      <c r="H35" s="170"/>
      <c r="I35" s="170"/>
      <c r="J35" s="170"/>
      <c r="K35" s="170"/>
      <c r="L35" s="170"/>
    </row>
    <row r="36" spans="1:12" ht="20.100000000000001" customHeight="1" x14ac:dyDescent="0.2">
      <c r="A36" s="105" t="str">
        <f>HYPERLINK("#'5.2.1.1-2 Organic Fert N2O'!A1", "5.2.1.1-2 Organic fert N2O")</f>
        <v>5.2.1.1-2 Organic fert N2O</v>
      </c>
      <c r="D36" s="2" t="s">
        <v>1541</v>
      </c>
    </row>
    <row r="37" spans="1:12" ht="20.100000000000001" customHeight="1" x14ac:dyDescent="0.2">
      <c r="A37" s="5" t="str">
        <f>HYPERLINK("#'5.3.1.1-2 Lime CO2'!A1", "5.3.1.1-2 Lime CO2")</f>
        <v>5.3.1.1-2 Lime CO2</v>
      </c>
      <c r="D37" s="17" t="s">
        <v>1542</v>
      </c>
    </row>
    <row r="38" spans="1:12" ht="20.100000000000001" customHeight="1" x14ac:dyDescent="0.2">
      <c r="A38" s="5" t="str">
        <f>HYPERLINK("#'5.4.1.1-4 Atmos deposition'!A1", "5.4.1.1-4 Atmos. deposition")</f>
        <v>5.4.1.1-4 Atmos. deposition</v>
      </c>
      <c r="D38" s="104"/>
      <c r="E38" s="104"/>
    </row>
    <row r="39" spans="1:12" ht="20.100000000000001" customHeight="1" x14ac:dyDescent="0.2">
      <c r="A39" s="5" t="str">
        <f>HYPERLINK("#'5.5.1.1-2 Leaching and runoff'!A1", "5.5.1.1-2 Leaching &amp; runoff")</f>
        <v>5.5.1.1-2 Leaching &amp; runoff</v>
      </c>
    </row>
    <row r="40" spans="1:12" ht="20.100000000000001" customHeight="1" x14ac:dyDescent="0.2">
      <c r="A40" s="5" t="str">
        <f>HYPERLINK("#'6.2.1.1-2 Pasture residue N2O'!A1", "6.2.1.1-2 Pasture residue N2O")</f>
        <v>6.2.1.1-2 Pasture residue N2O</v>
      </c>
    </row>
    <row r="41" spans="1:12" ht="20.100000000000001" customHeight="1" x14ac:dyDescent="0.2">
      <c r="A41" s="5" t="str">
        <f>HYPERLINK("#'6.3.1.1-2 Leach runoff pasture'!A1", "6.3.1.1-2 Leach &amp; runoff (pasture)")</f>
        <v>6.3.1.1-2 Leach &amp; runoff (pasture)</v>
      </c>
      <c r="D41" s="77" t="s">
        <v>374</v>
      </c>
      <c r="E41" s="1" t="s">
        <v>1013</v>
      </c>
    </row>
    <row r="42" spans="1:12" ht="20.100000000000001" customHeight="1" x14ac:dyDescent="0.2">
      <c r="A42" s="5" t="str">
        <f>HYPERLINK("#'8.1.1.1-2 Transport fuel'!A1", "8.1.1.1-2 Transport fuel")</f>
        <v>8.1.1.1-2 Transport fuel</v>
      </c>
      <c r="D42" s="77" t="s">
        <v>126</v>
      </c>
      <c r="E42" s="9" t="s">
        <v>12</v>
      </c>
    </row>
    <row r="43" spans="1:12" ht="20.100000000000001" customHeight="1" x14ac:dyDescent="0.2">
      <c r="A43" s="5" t="str">
        <f>HYPERLINK("#'8.2.1.1-2 Stationary fuel'!A1", "8.2.1.1-2 Stationary fuel")</f>
        <v>8.2.1.1-2 Stationary fuel</v>
      </c>
    </row>
    <row r="44" spans="1:12" ht="20.100000000000001" customHeight="1" x14ac:dyDescent="0.2">
      <c r="A44" s="5" t="str">
        <f>HYPERLINK("#'10.1.1-2 Solid waste treatment'!A1", "10.1.1.1-2 Solid waste")</f>
        <v>10.1.1.1-2 Solid waste</v>
      </c>
      <c r="D44" s="106" t="s">
        <v>1536</v>
      </c>
      <c r="E44" s="107" t="s">
        <v>1543</v>
      </c>
      <c r="F44" s="108"/>
      <c r="G44" s="108"/>
      <c r="H44" s="109"/>
      <c r="I44" s="106" t="s">
        <v>1162</v>
      </c>
      <c r="J44" s="111" t="s">
        <v>1546</v>
      </c>
      <c r="K44" s="106">
        <f>$E$32</f>
        <v>7100</v>
      </c>
    </row>
    <row r="45" spans="1:12" ht="20.100000000000001" customHeight="1" x14ac:dyDescent="0.2">
      <c r="A45" s="5" t="str">
        <f>HYPERLINK("#'14.1.1-2 Purchased electricity'!A1", "14.1.1-2 Purchased electricity")</f>
        <v>14.1.1-2 Purchased electricity</v>
      </c>
      <c r="D45" s="106" t="s">
        <v>1544</v>
      </c>
      <c r="E45" s="107" t="s">
        <v>1545</v>
      </c>
      <c r="F45" s="108"/>
      <c r="G45" s="108"/>
      <c r="H45" s="109"/>
      <c r="I45" s="106" t="s">
        <v>1462</v>
      </c>
      <c r="J45" s="111" t="s">
        <v>1523</v>
      </c>
      <c r="K45" s="106">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
      <c r="A46" s="5" t="str">
        <f>HYPERLINK("#'15 Scope 3'!A1", "15 Scope 3")</f>
        <v>15 Scope 3</v>
      </c>
      <c r="D46" s="106" t="s">
        <v>1454</v>
      </c>
      <c r="E46" s="107" t="s">
        <v>1502</v>
      </c>
      <c r="F46" s="108"/>
      <c r="G46" s="108"/>
      <c r="H46" s="109"/>
      <c r="I46" s="106"/>
      <c r="J46" s="111" t="s">
        <v>1326</v>
      </c>
      <c r="K46" s="117">
        <f>Common_InputFunctions.Utility_LookupValueInTableNumber("N2O",Table_GasToMolecularConversionFactor[Gas],Table_GasToMolecularConversionFactor[Conversion factor combined])</f>
        <v>1.5714285714285714</v>
      </c>
    </row>
    <row r="47" spans="1:12" ht="20.100000000000001" customHeight="1" x14ac:dyDescent="0.2">
      <c r="A47" s="5" t="str">
        <f>HYPERLINK("#'Calcs - Manure sent off-site'!A1", "Calcs - Manure sent off-site")</f>
        <v>Calcs - Manure sent off-site</v>
      </c>
      <c r="D47" s="106" t="s">
        <v>1456</v>
      </c>
      <c r="E47" s="107" t="s">
        <v>176</v>
      </c>
      <c r="F47" s="108"/>
      <c r="G47" s="108"/>
      <c r="H47" s="109"/>
      <c r="I47" s="106"/>
      <c r="J47" s="110" t="s">
        <v>1325</v>
      </c>
      <c r="K47" s="106" t="str">
        <f>X_Cell_Fertiliser_ProductionSystem</f>
        <v>Pasture</v>
      </c>
    </row>
    <row r="48" spans="1:12" ht="20.100000000000001" customHeight="1" x14ac:dyDescent="0.2">
      <c r="D48" s="106" t="s">
        <v>1373</v>
      </c>
      <c r="E48" s="107" t="s">
        <v>123</v>
      </c>
      <c r="F48" s="108"/>
      <c r="G48" s="108"/>
      <c r="H48" s="109"/>
      <c r="I48" s="106"/>
      <c r="J48" s="110" t="s">
        <v>1325</v>
      </c>
      <c r="K48" s="106" t="str">
        <f>X_Cell_Site_WetOrDryClimateZone</f>
        <v>Dry climate zone</v>
      </c>
    </row>
    <row r="50" spans="1:7" ht="20.100000000000001" customHeight="1" x14ac:dyDescent="0.2">
      <c r="A50" s="86" t="s">
        <v>1</v>
      </c>
      <c r="D50" s="91" t="s">
        <v>676</v>
      </c>
      <c r="E50" s="92">
        <f>((K44 * K45 * K46) * 10 ^ -3)</f>
        <v>5.5785714285714286E-2</v>
      </c>
      <c r="F50" s="96" t="str">
        <f>$E$42</f>
        <v>t N2O</v>
      </c>
    </row>
    <row r="51" spans="1:7" ht="20.100000000000001" customHeight="1" x14ac:dyDescent="0.2">
      <c r="A51" s="5" t="str">
        <f>HYPERLINK("#'Constants - Pasture Beef'!A1", "Constants - Pasture Beef")</f>
        <v>Constants - Pasture Beef</v>
      </c>
    </row>
    <row r="52" spans="1:7" ht="20.100000000000001" customHeight="1" x14ac:dyDescent="0.2">
      <c r="A52" s="5" t="str">
        <f>HYPERLINK("#'Constants - Ag Residue'!A1", "Constants - Ag residue")</f>
        <v>Constants - Ag residue</v>
      </c>
      <c r="D52" s="117" t="str" cm="1">
        <f t="array" ref="D52:E53">Common_Equations.Common_ConvertN2OToCO2e_Arguments()</f>
        <v>EN2O</v>
      </c>
      <c r="E52" s="118" t="str">
        <v>Nitrous oxide emissions (t N2O)</v>
      </c>
      <c r="F52" s="119"/>
      <c r="G52" s="15">
        <f>VEERG_5_2_1_1__2_MassOfNitrogenInOrganicFertiliser_Result_Method1</f>
        <v>5.5785714285714286E-2</v>
      </c>
    </row>
    <row r="53" spans="1:7" ht="20.100000000000001" customHeight="1" x14ac:dyDescent="0.2">
      <c r="A53" s="5" t="str">
        <f>HYPERLINK("#'Constants - Common Livestock'!A1", "Constants - Common Livestock")</f>
        <v>Constants - Common Livestock</v>
      </c>
      <c r="D53" s="117" t="str">
        <v>GWPN2O</v>
      </c>
      <c r="E53" s="118" t="str">
        <v>Global warming potential for nitrous oxide (t CO2-e / t N2O)</v>
      </c>
      <c r="F53" s="119"/>
      <c r="G53" s="15">
        <f>Common_InputFunctions.Utility_LookupValueInTableNumber("N2O",Table_GWPData[Gas],Table_GWPData[CO2-e factor])</f>
        <v>265</v>
      </c>
    </row>
    <row r="54" spans="1:7" ht="20.100000000000001" customHeight="1" x14ac:dyDescent="0.2">
      <c r="A54" s="5" t="str">
        <f>HYPERLINK("#'Constants - Electricity'!A1", "Constants - Electricity")</f>
        <v>Constants - Electricity</v>
      </c>
    </row>
    <row r="55" spans="1:7" ht="20.100000000000001" customHeight="1" x14ac:dyDescent="0.2">
      <c r="A55" s="5" t="str">
        <f>HYPERLINK("#'Constants - Fertiliser'!A1", "Constants - Fertiliser")</f>
        <v>Constants - Fertiliser</v>
      </c>
      <c r="D55" s="88" t="s">
        <v>436</v>
      </c>
      <c r="E55" s="88" cm="1">
        <f t="array" ref="E55">Common_Equations.Common_ConvertN2OToCO2e(G52,G53)</f>
        <v>14.783214285714285</v>
      </c>
      <c r="F55" s="95" t="str" cm="1">
        <f t="array" ref="F55">Common_Equations.Common_ConvertN2OToCO2e_Unit()</f>
        <v>t CO2e</v>
      </c>
    </row>
    <row r="56" spans="1:7" ht="20.100000000000001" customHeight="1" x14ac:dyDescent="0.2">
      <c r="A56" s="5" t="str">
        <f>HYPERLINK("#'Constants - Fuel'!A1", "Constants - Fuel")</f>
        <v>Constants - Fuel</v>
      </c>
    </row>
    <row r="57" spans="1:7" ht="20.100000000000001" customHeight="1" x14ac:dyDescent="0.2">
      <c r="A57" s="5" t="str">
        <f>HYPERLINK("#'Constants - Scope 3'!A1", "Constants - Scope 3")</f>
        <v>Constants - Scope 3</v>
      </c>
    </row>
    <row r="58" spans="1:7" ht="20.100000000000001" customHeight="1" x14ac:dyDescent="0.2">
      <c r="A58" s="5" t="str">
        <f>HYPERLINK("#'Constants - Solid Waste'!A1", "Constants - Solid Waste")</f>
        <v>Constants - Solid Waste</v>
      </c>
    </row>
    <row r="59" spans="1:7" ht="20.100000000000001" customHeight="1" x14ac:dyDescent="0.2">
      <c r="A59" s="5" t="str">
        <f>HYPERLINK("#'Constants - Common'!A1", "Constants - Common")</f>
        <v>Constants - Common</v>
      </c>
    </row>
    <row r="60" spans="1:7" ht="20.100000000000001" customHeight="1" x14ac:dyDescent="0.2">
      <c r="A60" s="5" t="str">
        <f>HYPERLINK("#'Acknowledgements'!A1", "Acknowledgements")</f>
        <v>Acknowledgements</v>
      </c>
    </row>
  </sheetData>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E2FE4-13B0-4606-A075-183FD73445C4}">
  <sheetPr>
    <tabColor rgb="FF008000"/>
  </sheetPr>
  <dimension ref="A1:U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703</v>
      </c>
    </row>
    <row r="2" spans="1:21" s="3" customFormat="1" ht="20.100000000000001" customHeight="1" x14ac:dyDescent="0.2">
      <c r="A2"/>
    </row>
    <row r="3" spans="1:21" ht="20.100000000000001" customHeight="1" x14ac:dyDescent="0.2">
      <c r="A3" s="5" t="str">
        <f>HYPERLINK("#'Home'!A1", "Home")</f>
        <v>Home</v>
      </c>
      <c r="C3" s="23"/>
      <c r="D3" s="23" t="s">
        <v>141</v>
      </c>
      <c r="E3" s="23"/>
      <c r="F3" s="23"/>
      <c r="G3" s="23"/>
      <c r="H3" s="23"/>
      <c r="I3" s="23"/>
      <c r="J3" s="23"/>
      <c r="K3" s="23"/>
      <c r="L3" s="23"/>
      <c r="N3" s="23"/>
      <c r="O3" s="23" t="s">
        <v>142</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1547</v>
      </c>
    </row>
    <row r="6" spans="1:21" ht="20.100000000000001" customHeight="1" x14ac:dyDescent="0.2">
      <c r="D6" s="17" t="s">
        <v>1548</v>
      </c>
    </row>
    <row r="7" spans="1:21" ht="20.100000000000001" customHeight="1" x14ac:dyDescent="0.2">
      <c r="D7" s="104"/>
      <c r="E7" s="104"/>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374</v>
      </c>
      <c r="E10" s="1" t="s">
        <v>1549</v>
      </c>
    </row>
    <row r="11" spans="1:21" ht="20.100000000000001" customHeight="1" x14ac:dyDescent="0.2">
      <c r="A11" s="5" t="str">
        <f>HYPERLINK("#'Input - Pasture Beef'!A1", "Pasture Beef")</f>
        <v>Pasture Beef</v>
      </c>
      <c r="D11" s="77" t="s">
        <v>126</v>
      </c>
      <c r="E11" s="9" t="s">
        <v>138</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06" t="s">
        <v>1550</v>
      </c>
      <c r="E13" s="107" t="s">
        <v>1551</v>
      </c>
      <c r="F13" s="109"/>
      <c r="G13" s="106" t="s">
        <v>653</v>
      </c>
      <c r="H13" s="110" t="s">
        <v>1325</v>
      </c>
      <c r="I13" s="112" t="str" cm="1">
        <f t="array" aca="1" ref="I13" ca="1">HYPERLINK(Common_InputFunctions.Utility_SourceHyperlink($D$22), $D$22)</f>
        <v>Table_E_lime</v>
      </c>
    </row>
    <row r="14" spans="1:21" ht="20.100000000000001" customHeight="1" x14ac:dyDescent="0.2">
      <c r="A14" s="5" t="str">
        <f>HYPERLINK("#'Input - Pasture'!A1", "Pasture")</f>
        <v>Pasture</v>
      </c>
      <c r="D14" s="106" t="s">
        <v>707</v>
      </c>
      <c r="E14" s="107" t="s">
        <v>1552</v>
      </c>
      <c r="F14" s="109"/>
      <c r="G14" s="106" t="s">
        <v>347</v>
      </c>
      <c r="H14" s="110" t="s">
        <v>1325</v>
      </c>
      <c r="I14" s="112" t="str" cm="1">
        <f t="array" aca="1" ref="I14" ca="1">HYPERLINK(Common_InputFunctions.Utility_SourceHyperlink($D$22), $D$22)</f>
        <v>Table_E_lime</v>
      </c>
    </row>
    <row r="15" spans="1:21" ht="20.100000000000001" customHeight="1" x14ac:dyDescent="0.2">
      <c r="A15" s="5" t="str">
        <f>HYPERLINK("#'Input - Fert Prod System'!A1", "Fert Prod System")</f>
        <v>Fert Prod System</v>
      </c>
      <c r="D15" s="106" t="s">
        <v>1553</v>
      </c>
      <c r="E15" s="107" t="s">
        <v>1554</v>
      </c>
      <c r="F15" s="109"/>
      <c r="G15" s="106" t="s">
        <v>347</v>
      </c>
      <c r="H15" s="111" t="s">
        <v>1326</v>
      </c>
      <c r="I15" s="106">
        <f>'Constants - Fertiliser'!$E$66</f>
        <v>0.9</v>
      </c>
    </row>
    <row r="16" spans="1:21" ht="20.100000000000001" customHeight="1" x14ac:dyDescent="0.2">
      <c r="A16" s="5" t="str">
        <f>HYPERLINK("#'Input - Fertiliser'!A1", "Fertiliser")</f>
        <v>Fertiliser</v>
      </c>
      <c r="D16" s="106" t="s">
        <v>1555</v>
      </c>
      <c r="E16" s="107" t="s">
        <v>1556</v>
      </c>
      <c r="F16" s="109"/>
      <c r="G16" s="106" t="s">
        <v>1563</v>
      </c>
      <c r="H16" s="111" t="s">
        <v>1326</v>
      </c>
      <c r="I16" s="106">
        <f>'Constants - Fertiliser'!$F$66</f>
        <v>0.12</v>
      </c>
    </row>
    <row r="17" spans="1:9" ht="20.100000000000001" customHeight="1" x14ac:dyDescent="0.2">
      <c r="A17" s="5" t="str">
        <f>HYPERLINK("#'Input - Fuel'!A1", "Fuel")</f>
        <v>Fuel</v>
      </c>
      <c r="D17" s="106" t="s">
        <v>708</v>
      </c>
      <c r="E17" s="107" t="s">
        <v>1557</v>
      </c>
      <c r="F17" s="109"/>
      <c r="G17" s="106" t="s">
        <v>347</v>
      </c>
      <c r="H17" s="110" t="s">
        <v>1325</v>
      </c>
      <c r="I17" s="112" t="str" cm="1">
        <f t="array" aca="1" ref="I17" ca="1">HYPERLINK(Common_InputFunctions.Utility_SourceHyperlink($D$22), $D$22)</f>
        <v>Table_E_lime</v>
      </c>
    </row>
    <row r="18" spans="1:9" ht="20.100000000000001" customHeight="1" x14ac:dyDescent="0.2">
      <c r="A18" s="5" t="str">
        <f>HYPERLINK("#'Input - Electricity'!A1", "Electricity")</f>
        <v>Electricity</v>
      </c>
      <c r="D18" s="106" t="s">
        <v>1558</v>
      </c>
      <c r="E18" s="107" t="s">
        <v>1559</v>
      </c>
      <c r="F18" s="109"/>
      <c r="G18" s="106" t="s">
        <v>347</v>
      </c>
      <c r="H18" s="111" t="s">
        <v>1326</v>
      </c>
      <c r="I18" s="106">
        <f>'Constants - Fertiliser'!$E$67</f>
        <v>0.95</v>
      </c>
    </row>
    <row r="19" spans="1:9" ht="20.100000000000001" customHeight="1" x14ac:dyDescent="0.2">
      <c r="A19" s="5" t="str">
        <f>HYPERLINK("#'Input - Common farm inputs'!A1", "Common farm inputs")</f>
        <v>Common farm inputs</v>
      </c>
      <c r="D19" s="106" t="s">
        <v>1560</v>
      </c>
      <c r="E19" s="107" t="s">
        <v>1561</v>
      </c>
      <c r="F19" s="109"/>
      <c r="G19" s="106" t="s">
        <v>1563</v>
      </c>
      <c r="H19" s="111" t="s">
        <v>1326</v>
      </c>
      <c r="I19" s="106">
        <f>'Constants - Fertiliser'!$F$67</f>
        <v>0.13</v>
      </c>
    </row>
    <row r="20" spans="1:9" ht="20.100000000000001" customHeight="1" x14ac:dyDescent="0.2">
      <c r="A20" s="5" t="str">
        <f>HYPERLINK("#'Input - Crop pasture farm input'!A1", "Crop pasture farm input")</f>
        <v>Crop pasture farm input</v>
      </c>
      <c r="D20" s="106" t="s">
        <v>1530</v>
      </c>
      <c r="E20" s="107" t="s">
        <v>1562</v>
      </c>
      <c r="F20" s="109"/>
      <c r="G20" s="106"/>
      <c r="H20" s="111" t="s">
        <v>1326</v>
      </c>
      <c r="I20" s="117">
        <f>Common_InputFunctions.Utility_LookupValueInTableNumber("CO2",Table_GasToMolecularConversionFactor[Gas], Table_GasToMolecularConversionFactor[Conversion factor combined])</f>
        <v>3.6666666666666665</v>
      </c>
    </row>
    <row r="21" spans="1:9" ht="20.100000000000001" customHeight="1" x14ac:dyDescent="0.2">
      <c r="A21" s="5" t="str">
        <f>HYPERLINK("#'Input - Livestock farm Inputs'!A1", "Livestock farm Inputs")</f>
        <v>Livestock farm Inputs</v>
      </c>
    </row>
    <row r="22" spans="1:9" ht="20.100000000000001" customHeight="1" x14ac:dyDescent="0.2">
      <c r="A22" s="5" t="str">
        <f>HYPERLINK("#'Input - Freight'!A1", "Freight")</f>
        <v>Freight</v>
      </c>
      <c r="D22" s="113" t="s">
        <v>704</v>
      </c>
    </row>
    <row r="23" spans="1:9" ht="20.100000000000001" customHeight="1" x14ac:dyDescent="0.2">
      <c r="A23" s="5" t="str">
        <f>HYPERLINK("#'Input - Solid waste'!A1", "Solid waste")</f>
        <v>Solid waste</v>
      </c>
      <c r="D23" s="114" t="s">
        <v>624</v>
      </c>
    </row>
    <row r="24" spans="1:9" ht="20.100000000000001" customHeight="1" x14ac:dyDescent="0.2">
      <c r="A24" s="5" t="str">
        <f>HYPERLINK("#'Input - Manure sent off-site'!A1", "Manure sent off-site")</f>
        <v>Manure sent off-site</v>
      </c>
      <c r="D24" s="82" t="s">
        <v>705</v>
      </c>
      <c r="E24" s="82" t="s">
        <v>706</v>
      </c>
      <c r="F24" s="82" t="s">
        <v>707</v>
      </c>
      <c r="G24" s="82" t="s">
        <v>708</v>
      </c>
      <c r="H24" s="115" t="s">
        <v>709</v>
      </c>
    </row>
    <row r="25" spans="1:9" ht="20.100000000000001" customHeight="1" x14ac:dyDescent="0.2">
      <c r="A25" s="5" t="str">
        <f>HYPERLINK("#'Input - Data quality'!A1", "Data quality")</f>
        <v>Data quality</v>
      </c>
      <c r="D25" s="15" t="str" cm="1">
        <f t="array" ref="D25:D27">Table_Input_Lime[Product]</f>
        <v>Lime product 1</v>
      </c>
      <c r="E25" s="171" cm="1">
        <f t="array" ref="E25:E27">Table_Input_Lime[Total amount applied (t)]*10^3</f>
        <v>1000000</v>
      </c>
      <c r="F25" s="172" cm="1">
        <f t="array" ref="F25:F27">Table_Input_Lime[Percent Lime CaCO3]</f>
        <v>0.8</v>
      </c>
      <c r="G25" s="172" cm="1">
        <f t="array" ref="G25:G27">Table_Input_Lime[Percent Dolomite CaMg(CO3)2]</f>
        <v>0.1</v>
      </c>
      <c r="H25" s="15">
        <f>(((E25 * F25 * $I$15 * $I$16) + (E25 * G25 * $I$18 * $I$19)) * $I$20 * 10 ^ -3)</f>
        <v>362.08333333333331</v>
      </c>
    </row>
    <row r="26" spans="1:9" ht="20.100000000000001" customHeight="1" x14ac:dyDescent="0.2">
      <c r="D26" s="15" t="str">
        <v>Lime product 2</v>
      </c>
      <c r="E26" s="15">
        <v>1000000</v>
      </c>
      <c r="F26" s="15">
        <v>1</v>
      </c>
      <c r="G26" s="15">
        <v>0</v>
      </c>
      <c r="H26" s="15">
        <f>(((E26 * F26 * $I$15 * $I$16) + (E26 * G26 * $I$18 * $I$19)) * $I$20 * 10 ^ -3)</f>
        <v>396</v>
      </c>
    </row>
    <row r="27" spans="1:9" ht="20.100000000000001" customHeight="1" x14ac:dyDescent="0.2">
      <c r="D27" s="15" t="str">
        <v>Lime product 3</v>
      </c>
      <c r="E27" s="15">
        <v>1000000</v>
      </c>
      <c r="F27" s="15">
        <v>0</v>
      </c>
      <c r="G27" s="15">
        <v>0</v>
      </c>
      <c r="H27" s="15">
        <f>(((E27 * F27 * $I$15 * $I$16) + (E27 * G27 * $I$18 * $I$19)) * $I$20 * 10 ^ -3)</f>
        <v>0</v>
      </c>
    </row>
    <row r="28" spans="1:9" ht="20.100000000000001" customHeight="1" x14ac:dyDescent="0.2">
      <c r="A28" s="6" t="s">
        <v>2</v>
      </c>
      <c r="D28" s="15"/>
      <c r="E28" s="15"/>
      <c r="F28" s="15"/>
      <c r="G28" s="15"/>
      <c r="H28" s="15">
        <f>(((E28 * F28 * $I$15 * $I$16) + (E28 * G28 * $I$18 * $I$19)) * $I$20 * 10 ^ -3)</f>
        <v>0</v>
      </c>
    </row>
    <row r="29" spans="1:9" ht="20.100000000000001" customHeight="1" x14ac:dyDescent="0.2">
      <c r="A29" s="5" t="str">
        <f>HYPERLINK("#'3.2.1.1-2 Enteric Methane'!A1", "3.2.1.1-2 Enteric Methane")</f>
        <v>3.2.1.1-2 Enteric Methane</v>
      </c>
      <c r="D29" s="15"/>
      <c r="E29" s="15"/>
      <c r="F29" s="15"/>
      <c r="G29" s="15"/>
      <c r="H29" s="15">
        <f>(((E29 * F29 * $I$15 * $I$16) + (E29 * G29 * $I$18 * $I$19)) * $I$20 * 10 ^ -3)</f>
        <v>0</v>
      </c>
    </row>
    <row r="30" spans="1:9" ht="20.100000000000001" customHeight="1" x14ac:dyDescent="0.2">
      <c r="A30" s="5" t="str">
        <f>HYPERLINK("#'4.2.1.1-2 Methane'!A1", "4.2.1.1-2 Manure methane")</f>
        <v>4.2.1.1-2 Manure methane</v>
      </c>
    </row>
    <row r="31" spans="1:9" ht="20.100000000000001" customHeight="1" x14ac:dyDescent="0.2">
      <c r="A31" s="5" t="str">
        <f>HYPERLINK("#'4.2.1.3-4 Soil direct N20'!A1", "4.2.1.3-4 Soil direct N2O")</f>
        <v>4.2.1.3-4 Soil direct N2O</v>
      </c>
      <c r="D31" s="91" t="s">
        <v>710</v>
      </c>
      <c r="E31" s="92">
        <f>SUM(H25:H29)</f>
        <v>758.08333333333326</v>
      </c>
      <c r="F31" s="173" t="s">
        <v>138</v>
      </c>
    </row>
    <row r="32" spans="1:9"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10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0F92F-64C7-4241-AA60-B87AC9E5C255}">
  <sheetPr>
    <tabColor rgb="FF008000"/>
  </sheetPr>
  <dimension ref="A1:U151"/>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711</v>
      </c>
    </row>
    <row r="2" spans="1:21" s="3" customFormat="1" ht="20.100000000000001" customHeight="1" x14ac:dyDescent="0.2">
      <c r="A2"/>
    </row>
    <row r="3" spans="1:21" ht="20.100000000000001" customHeight="1" x14ac:dyDescent="0.2">
      <c r="A3" s="5" t="str">
        <f>HYPERLINK("#'Home'!A1", "Home")</f>
        <v>Home</v>
      </c>
      <c r="C3" s="23"/>
      <c r="D3" s="23" t="s">
        <v>141</v>
      </c>
      <c r="E3" s="23"/>
      <c r="F3" s="23"/>
      <c r="G3" s="23"/>
      <c r="H3" s="23"/>
      <c r="I3" s="23"/>
      <c r="J3" s="23"/>
      <c r="K3" s="23"/>
      <c r="L3" s="23"/>
      <c r="N3" s="23"/>
      <c r="O3" s="23" t="s">
        <v>142</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1564</v>
      </c>
    </row>
    <row r="6" spans="1:21" ht="20.100000000000001" customHeight="1" x14ac:dyDescent="0.2">
      <c r="D6" s="17" t="s">
        <v>1565</v>
      </c>
    </row>
    <row r="7" spans="1:21" ht="20.100000000000001" customHeight="1" x14ac:dyDescent="0.2">
      <c r="D7" s="104"/>
      <c r="E7" s="104"/>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374</v>
      </c>
      <c r="E10" s="1" t="s">
        <v>1566</v>
      </c>
    </row>
    <row r="11" spans="1:21" ht="20.100000000000001" customHeight="1" x14ac:dyDescent="0.2">
      <c r="A11" s="5" t="str">
        <f>HYPERLINK("#'Input - Pasture Beef'!A1", "Pasture Beef")</f>
        <v>Pasture Beef</v>
      </c>
      <c r="D11" s="77" t="s">
        <v>126</v>
      </c>
      <c r="E11" s="9" t="s">
        <v>1162</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06" t="s">
        <v>1482</v>
      </c>
      <c r="E13" s="107" t="s">
        <v>1567</v>
      </c>
      <c r="F13" s="109"/>
      <c r="G13" s="106" t="s">
        <v>1162</v>
      </c>
      <c r="H13" s="111" t="s">
        <v>1503</v>
      </c>
      <c r="I13" s="112" t="str" cm="1">
        <f t="array" aca="1" ref="I13" ca="1">HYPERLINK(Common_InputFunctions.Utility_SourceHyperlink($D$16),$D$16)</f>
        <v>Table_M_vol_inorganic_j_f</v>
      </c>
    </row>
    <row r="14" spans="1:21" ht="20.100000000000001" customHeight="1" x14ac:dyDescent="0.2">
      <c r="A14" s="5" t="str">
        <f>HYPERLINK("#'Input - Pasture'!A1", "Pasture")</f>
        <v>Pasture</v>
      </c>
      <c r="D14" s="106" t="s">
        <v>1568</v>
      </c>
      <c r="E14" s="107" t="s">
        <v>1569</v>
      </c>
      <c r="F14" s="109"/>
      <c r="G14" s="106" t="s">
        <v>1570</v>
      </c>
      <c r="H14" s="111" t="s">
        <v>1326</v>
      </c>
      <c r="I14" s="112" t="str" cm="1">
        <f t="array" aca="1" ref="I14" ca="1">HYPERLINK(Common_InputFunctions.Utility_SourceHyperlink($D$16),$D$16)</f>
        <v>Table_M_vol_inorganic_j_f</v>
      </c>
    </row>
    <row r="15" spans="1:21" ht="20.100000000000001" customHeight="1" x14ac:dyDescent="0.2">
      <c r="A15" s="5" t="str">
        <f>HYPERLINK("#'Input - Fert Prod System'!A1", "Fert Prod System")</f>
        <v>Fert Prod System</v>
      </c>
    </row>
    <row r="16" spans="1:21" ht="20.100000000000001" customHeight="1" x14ac:dyDescent="0.2">
      <c r="A16" s="5" t="str">
        <f>HYPERLINK("#'Input - Fertiliser'!A1", "Fertiliser")</f>
        <v>Fertiliser</v>
      </c>
      <c r="D16" s="113" t="s">
        <v>712</v>
      </c>
    </row>
    <row r="17" spans="1:8" ht="20.100000000000001" customHeight="1" x14ac:dyDescent="0.2">
      <c r="A17" s="5" t="str">
        <f>HYPERLINK("#'Input - Fuel'!A1", "Fuel")</f>
        <v>Fuel</v>
      </c>
      <c r="D17" s="114" t="s">
        <v>713</v>
      </c>
    </row>
    <row r="18" spans="1:8" ht="20.100000000000001" customHeight="1" x14ac:dyDescent="0.2">
      <c r="A18" s="5" t="str">
        <f>HYPERLINK("#'Input - Electricity'!A1", "Electricity")</f>
        <v>Electricity</v>
      </c>
      <c r="D18" s="115" t="s">
        <v>714</v>
      </c>
      <c r="E18" s="115" t="s">
        <v>715</v>
      </c>
      <c r="F18" s="115" t="s">
        <v>716</v>
      </c>
      <c r="G18" s="174" t="s">
        <v>717</v>
      </c>
      <c r="H18" s="174" t="s">
        <v>718</v>
      </c>
    </row>
    <row r="19" spans="1:8" ht="20.100000000000001" customHeight="1" x14ac:dyDescent="0.2">
      <c r="A19" s="5" t="str">
        <f>HYPERLINK("#'Input - Common farm inputs'!A1", "Common farm inputs")</f>
        <v>Common farm inputs</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f>(E19 * G19)</f>
        <v>0</v>
      </c>
    </row>
    <row r="20" spans="1:8" ht="20.100000000000001" customHeight="1" x14ac:dyDescent="0.2">
      <c r="A20" s="5" t="str">
        <f>HYPERLINK("#'Input - Crop pasture farm input'!A1", "Crop pasture farm input")</f>
        <v>Crop pasture farm input</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f>(E20 * G20)</f>
        <v>0</v>
      </c>
    </row>
    <row r="21" spans="1:8" ht="20.100000000000001" customHeight="1" x14ac:dyDescent="0.2">
      <c r="A21" s="5" t="str">
        <f>HYPERLINK("#'Input - Livestock farm Inputs'!A1", "Livestock farm Inputs")</f>
        <v>Livestock farm Inputs</v>
      </c>
      <c r="D21" s="15" t="str">
        <v>Urea</v>
      </c>
      <c r="E21" s="15">
        <f>INDEX(Table_MN_j_f,4,4)</f>
        <v>115999.99400000001</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f>(E21 * G21)</f>
        <v>17399.999100000001</v>
      </c>
    </row>
    <row r="22" spans="1:8" ht="20.100000000000001" customHeight="1" x14ac:dyDescent="0.2">
      <c r="A22" s="5" t="str">
        <f>HYPERLINK("#'Input - Freight'!A1", "Freight")</f>
        <v>Freight</v>
      </c>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f>(E22 * G22)</f>
        <v>0</v>
      </c>
    </row>
    <row r="23" spans="1:8" ht="20.100000000000001" customHeight="1" x14ac:dyDescent="0.2">
      <c r="A23" s="5" t="str">
        <f>HYPERLINK("#'Input - Solid waste'!A1", "Solid waste")</f>
        <v>Solid waste</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f>(E23 * G23)</f>
        <v>0</v>
      </c>
    </row>
    <row r="24" spans="1:8" ht="20.100000000000001" customHeight="1" x14ac:dyDescent="0.2">
      <c r="A24" s="5" t="str">
        <f>HYPERLINK("#'Input - Manure sent off-site'!A1", "Manure sent off-site")</f>
        <v>Manure sent off-site</v>
      </c>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f>(E24 * G24)</f>
        <v>0</v>
      </c>
    </row>
    <row r="25" spans="1:8" ht="20.100000000000001" customHeight="1" x14ac:dyDescent="0.2">
      <c r="A25" s="5" t="str">
        <f>HYPERLINK("#'Input - Data quality'!A1", "Data quality")</f>
        <v>Data quality</v>
      </c>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f>(E25 * G25)</f>
        <v>0</v>
      </c>
    </row>
    <row r="26" spans="1:8" ht="20.100000000000001" customHeight="1" x14ac:dyDescent="0.2">
      <c r="D26" s="15" t="str">
        <v>Nitrogen - Ammoniacal</v>
      </c>
      <c r="E26" s="15">
        <f>INDEX(Table_MN_j_f,9,4)</f>
        <v>12400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f>(E26 * G26)</f>
        <v>992</v>
      </c>
    </row>
    <row r="27" spans="1:8" ht="20.100000000000001" customHeight="1" x14ac:dyDescent="0.2">
      <c r="D27" s="15" t="str">
        <v>Nitrogen - Nitrate</v>
      </c>
      <c r="E27" s="15">
        <f>INDEX(Table_MN_j_f,10,4)</f>
        <v>5500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f>(E27 * G27)</f>
        <v>55</v>
      </c>
    </row>
    <row r="28" spans="1:8" ht="20.100000000000001" customHeight="1" x14ac:dyDescent="0.2">
      <c r="A28" s="6" t="s">
        <v>2</v>
      </c>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f>(E28 * G28)</f>
        <v>0</v>
      </c>
    </row>
    <row r="29" spans="1:8" ht="20.100000000000001" customHeight="1" x14ac:dyDescent="0.2">
      <c r="A29" s="5" t="str">
        <f>HYPERLINK("#'3.2.1.1-2 Enteric Methane'!A1", "3.2.1.1-2 Enteric Methane")</f>
        <v>3.2.1.1-2 Enteric Methane</v>
      </c>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f>(E29 * G29)</f>
        <v>0</v>
      </c>
    </row>
    <row r="30" spans="1:8" ht="20.100000000000001" customHeight="1" x14ac:dyDescent="0.2">
      <c r="A30" s="5" t="str">
        <f>HYPERLINK("#'4.2.1.1-2 Methane'!A1", "4.2.1.1-2 Manure methane")</f>
        <v>4.2.1.1-2 Manure methane</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f>(E30 * G30)</f>
        <v>0</v>
      </c>
    </row>
    <row r="31" spans="1:8" ht="20.100000000000001" customHeight="1" x14ac:dyDescent="0.2">
      <c r="A31" s="5" t="str">
        <f>HYPERLINK("#'4.2.1.3-4 Soil direct N20'!A1", "4.2.1.3-4 Soil direct N2O")</f>
        <v>4.2.1.3-4 Soil direct N2O</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f>(E31 * G31)</f>
        <v>0</v>
      </c>
    </row>
    <row r="32" spans="1:8" ht="20.100000000000001" customHeight="1" x14ac:dyDescent="0.2">
      <c r="A32" s="5" t="str">
        <f>HYPERLINK("#'4.2.1.5-6 Soil Atmos Dep'!A1", "4.2.1.5-6 Soil atm. deposition")</f>
        <v>4.2.1.5-6 Soil atm. deposition</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f>(E32 * G32)</f>
        <v>0</v>
      </c>
    </row>
    <row r="33" spans="1:12" ht="20.100000000000001" customHeight="1" x14ac:dyDescent="0.2">
      <c r="A33" s="5" t="str">
        <f>HYPERLINK("#'4.2.1.7-8 Soil leach runoff'!A1", "4.2.1.7-8 Soil leach &amp; runoff")</f>
        <v>4.2.1.7-8 Soil leach &amp; runoff</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f>(E33 * G33)</f>
        <v>0</v>
      </c>
    </row>
    <row r="34" spans="1:12" ht="20.100000000000001" customHeight="1" x14ac:dyDescent="0.2">
      <c r="A34" s="5" t="str">
        <f>HYPERLINK("#'5.1.1.1-2 Inorganic fert N2O'!A1", "5.1.1.1-2 Inorganic fert N2O")</f>
        <v>5.1.1.1-2 Inorganic fert N2O</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f>(E34 * G34)</f>
        <v>0</v>
      </c>
    </row>
    <row r="35" spans="1:12" ht="20.100000000000001" customHeight="1" x14ac:dyDescent="0.2">
      <c r="A35" s="5" t="str">
        <f>HYPERLINK("#'5.1.1.3-4 Inorganic fert CO2'!A1", "5.1.1.3-4 Inorganic fert CO2")</f>
        <v>5.1.1.3-4 Inorganic fert CO2</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f>(E35 * G35)</f>
        <v>0</v>
      </c>
    </row>
    <row r="36" spans="1:12" ht="20.100000000000001" customHeight="1" x14ac:dyDescent="0.2">
      <c r="A36" s="5" t="str">
        <f>HYPERLINK("#'5.2.1.1-2 Organic Fert N2O'!A1", "5.2.1.1-2 Organic fert N2O")</f>
        <v>5.2.1.1-2 Organic fert N2O</v>
      </c>
      <c r="D36" s="15" t="str">
        <v>Ammonia</v>
      </c>
      <c r="E36" s="15">
        <f>INDEX(Table_MN_j_f,19,4)</f>
        <v>41175</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f>(E36 * G36)</f>
        <v>3294</v>
      </c>
    </row>
    <row r="37" spans="1:12" ht="20.100000000000001" customHeight="1" x14ac:dyDescent="0.2">
      <c r="A37" s="5" t="str">
        <f>HYPERLINK("#'5.3.1.1-2 Lime CO2'!A1", "5.3.1.1-2 Lime CO2")</f>
        <v>5.3.1.1-2 Lime CO2</v>
      </c>
      <c r="D37" s="15" t="str">
        <v>Calcium nitrate</v>
      </c>
      <c r="E37" s="15">
        <f>INDEX(Table_MN_j_f,20,4)</f>
        <v>7750</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f>(E37 * G37)</f>
        <v>77.5</v>
      </c>
    </row>
    <row r="38" spans="1:12" ht="20.100000000000001" customHeight="1" x14ac:dyDescent="0.2">
      <c r="A38" s="105" t="str">
        <f>HYPERLINK("#'5.4.1.1-4 Atmos deposition'!A1", "5.4.1.1-4 Atmos. deposition")</f>
        <v>5.4.1.1-4 Atmos. deposition</v>
      </c>
    </row>
    <row r="39" spans="1:12" ht="20.100000000000001" customHeight="1" x14ac:dyDescent="0.2">
      <c r="A39" s="5" t="str">
        <f>HYPERLINK("#'5.5.1.1-2 Leaching and runoff'!A1", "5.5.1.1-2 Leaching &amp; runoff")</f>
        <v>5.5.1.1-2 Leaching &amp; runoff</v>
      </c>
    </row>
    <row r="40" spans="1:12" ht="20.100000000000001" customHeight="1" x14ac:dyDescent="0.2">
      <c r="A40" s="5" t="str">
        <f>HYPERLINK("#'6.2.1.1-2 Pasture residue N2O'!A1", "6.2.1.1-2 Pasture residue N2O")</f>
        <v>6.2.1.1-2 Pasture residue N2O</v>
      </c>
      <c r="C40" s="170"/>
      <c r="D40" s="170"/>
      <c r="E40" s="170"/>
      <c r="F40" s="170"/>
      <c r="G40" s="170"/>
      <c r="H40" s="170"/>
      <c r="I40" s="170"/>
      <c r="J40" s="170"/>
      <c r="K40" s="170"/>
      <c r="L40" s="170"/>
    </row>
    <row r="41" spans="1:12" ht="20.100000000000001" customHeight="1" x14ac:dyDescent="0.2">
      <c r="A41" s="5" t="str">
        <f>HYPERLINK("#'6.3.1.1-2 Leach runoff pasture'!A1", "6.3.1.1-2 Leach &amp; runoff (pasture)")</f>
        <v>6.3.1.1-2 Leach &amp; runoff (pasture)</v>
      </c>
      <c r="D41" s="2" t="s">
        <v>1571</v>
      </c>
    </row>
    <row r="42" spans="1:12" ht="20.100000000000001" customHeight="1" x14ac:dyDescent="0.2">
      <c r="A42" s="5" t="str">
        <f>HYPERLINK("#'8.1.1.1-2 Transport fuel'!A1", "8.1.1.1-2 Transport fuel")</f>
        <v>8.1.1.1-2 Transport fuel</v>
      </c>
      <c r="D42" s="17" t="s">
        <v>1572</v>
      </c>
    </row>
    <row r="43" spans="1:12" ht="20.100000000000001" customHeight="1" x14ac:dyDescent="0.2">
      <c r="A43" s="5" t="str">
        <f>HYPERLINK("#'8.2.1.1-2 Stationary fuel'!A1", "8.2.1.1-2 Stationary fuel")</f>
        <v>8.2.1.1-2 Stationary fuel</v>
      </c>
      <c r="D43" s="104"/>
      <c r="E43" s="104"/>
    </row>
    <row r="44" spans="1:12" ht="20.100000000000001" customHeight="1" x14ac:dyDescent="0.2">
      <c r="A44" s="5" t="str">
        <f>HYPERLINK("#'10.1.1-2 Solid waste treatment'!A1", "10.1.1.1-2 Solid waste")</f>
        <v>10.1.1.1-2 Solid waste</v>
      </c>
    </row>
    <row r="45" spans="1:12" ht="20.100000000000001" customHeight="1" x14ac:dyDescent="0.2">
      <c r="A45" s="5" t="str">
        <f>HYPERLINK("#'14.1.1-2 Purchased electricity'!A1", "14.1.1-2 Purchased electricity")</f>
        <v>14.1.1-2 Purchased electricity</v>
      </c>
    </row>
    <row r="46" spans="1:12" ht="20.100000000000001" customHeight="1" x14ac:dyDescent="0.2">
      <c r="A46" s="5" t="str">
        <f>HYPERLINK("#'15 Scope 3'!A1", "15 Scope 3")</f>
        <v>15 Scope 3</v>
      </c>
      <c r="D46" s="77" t="s">
        <v>374</v>
      </c>
      <c r="E46" s="1" t="s">
        <v>1573</v>
      </c>
    </row>
    <row r="47" spans="1:12" ht="20.100000000000001" customHeight="1" x14ac:dyDescent="0.2">
      <c r="A47" s="5" t="str">
        <f>HYPERLINK("#'Calcs - Manure sent off-site'!A1", "Calcs - Manure sent off-site")</f>
        <v>Calcs - Manure sent off-site</v>
      </c>
      <c r="D47" s="77" t="s">
        <v>126</v>
      </c>
      <c r="E47" s="9" t="s">
        <v>12</v>
      </c>
    </row>
    <row r="49" spans="1:10" ht="20.100000000000001" customHeight="1" x14ac:dyDescent="0.2">
      <c r="D49" s="106" t="s">
        <v>1566</v>
      </c>
      <c r="E49" s="107" t="s">
        <v>1574</v>
      </c>
      <c r="F49" s="108"/>
      <c r="G49" s="109"/>
      <c r="H49" s="106" t="s">
        <v>1162</v>
      </c>
      <c r="I49" s="111" t="s">
        <v>1578</v>
      </c>
      <c r="J49" s="112" t="str" cm="1">
        <f t="array" aca="1" ref="J49" ca="1">HYPERLINK(Common_InputFunctions.Utility_SourceHyperlink($D$16),$D$16)</f>
        <v>Table_M_vol_inorganic_j_f</v>
      </c>
    </row>
    <row r="50" spans="1:10" ht="20.100000000000001" customHeight="1" x14ac:dyDescent="0.2">
      <c r="A50" s="86" t="s">
        <v>1</v>
      </c>
      <c r="D50" s="106" t="s">
        <v>1575</v>
      </c>
      <c r="E50" s="107" t="s">
        <v>1576</v>
      </c>
      <c r="F50" s="108"/>
      <c r="G50" s="109"/>
      <c r="H50" s="106" t="s">
        <v>1462</v>
      </c>
      <c r="I50" s="111" t="s">
        <v>1326</v>
      </c>
      <c r="J50" s="106">
        <f>Common_InputFunctions.Utility_LookupN2OEFFromProdIrrigationRainfall(J52,J53,J54,Table_SourceData_Common_EFN2O[Production system only],Table_SourceData_Common_EFN2O[Irrigation method],Table_SourceData_Common_EFN2O[Rainfall zone],Table_SourceData_Common_EFN2O[EFN2O])</f>
        <v>5.8999999999999999E-3</v>
      </c>
    </row>
    <row r="51" spans="1:10" ht="20.100000000000001" customHeight="1" x14ac:dyDescent="0.2">
      <c r="A51" s="5" t="str">
        <f>HYPERLINK("#'Constants - Pasture Beef'!A1", "Constants - Pasture Beef")</f>
        <v>Constants - Pasture Beef</v>
      </c>
      <c r="D51" s="106" t="s">
        <v>1454</v>
      </c>
      <c r="E51" s="107" t="s">
        <v>1502</v>
      </c>
      <c r="F51" s="108"/>
      <c r="G51" s="109"/>
      <c r="H51" s="106"/>
      <c r="I51" s="111" t="s">
        <v>1326</v>
      </c>
      <c r="J51" s="117">
        <f>Common_InputFunctions.Utility_LookupValueInTableNumber("N2O",Table_GasToMolecularConversionFactor[Gas],Table_GasToMolecularConversionFactor[Conversion factor combined])</f>
        <v>1.5714285714285714</v>
      </c>
    </row>
    <row r="52" spans="1:10" ht="20.100000000000001" customHeight="1" x14ac:dyDescent="0.2">
      <c r="A52" s="5" t="str">
        <f>HYPERLINK("#'Constants - Ag Residue'!A1", "Constants - Ag residue")</f>
        <v>Constants - Ag residue</v>
      </c>
      <c r="D52" s="106" t="s">
        <v>1456</v>
      </c>
      <c r="E52" s="107" t="s">
        <v>176</v>
      </c>
      <c r="F52" s="108"/>
      <c r="G52" s="109"/>
      <c r="H52" s="106"/>
      <c r="I52" s="110" t="s">
        <v>1325</v>
      </c>
      <c r="J52" s="106" t="str">
        <f>X_Cell_Fertiliser_ProductionSystem</f>
        <v>Pasture</v>
      </c>
    </row>
    <row r="53" spans="1:10" ht="20.100000000000001" customHeight="1" x14ac:dyDescent="0.2">
      <c r="A53" s="5" t="str">
        <f>HYPERLINK("#'Constants - Common Livestock'!A1", "Constants - Common Livestock")</f>
        <v>Constants - Common Livestock</v>
      </c>
      <c r="D53" s="106" t="s">
        <v>1472</v>
      </c>
      <c r="E53" s="107" t="s">
        <v>1458</v>
      </c>
      <c r="F53" s="108"/>
      <c r="G53" s="109"/>
      <c r="H53" s="106"/>
      <c r="I53" s="110" t="s">
        <v>1325</v>
      </c>
      <c r="J53" s="106" t="str">
        <f>X_Cell_Fertiliser_IrrigationMethod</f>
        <v>Surface irrigation</v>
      </c>
    </row>
    <row r="54" spans="1:10" ht="20.100000000000001" customHeight="1" x14ac:dyDescent="0.2">
      <c r="A54" s="5" t="str">
        <f>HYPERLINK("#'Constants - Electricity'!A1", "Constants - Electricity")</f>
        <v>Constants - Electricity</v>
      </c>
      <c r="D54" s="106" t="s">
        <v>1459</v>
      </c>
      <c r="E54" s="107" t="s">
        <v>1577</v>
      </c>
      <c r="F54" s="108"/>
      <c r="G54" s="109"/>
      <c r="H54" s="106"/>
      <c r="I54" s="110" t="s">
        <v>1325</v>
      </c>
      <c r="J54" s="106" t="str">
        <f>X_Cell_Site_RainfallZone</f>
        <v>High rainfall</v>
      </c>
    </row>
    <row r="55" spans="1:10" ht="20.100000000000001" customHeight="1" x14ac:dyDescent="0.2">
      <c r="A55" s="5" t="str">
        <f>HYPERLINK("#'Constants - Fertiliser'!A1", "Constants - Fertiliser")</f>
        <v>Constants - Fertiliser</v>
      </c>
    </row>
    <row r="56" spans="1:10" ht="20.100000000000001" customHeight="1" x14ac:dyDescent="0.2">
      <c r="A56" s="5" t="str">
        <f>HYPERLINK("#'Constants - Fuel'!A1", "Constants - Fuel")</f>
        <v>Constants - Fuel</v>
      </c>
      <c r="D56" s="113" t="s">
        <v>719</v>
      </c>
    </row>
    <row r="57" spans="1:10" ht="20.100000000000001" customHeight="1" x14ac:dyDescent="0.2">
      <c r="A57" s="5" t="str">
        <f>HYPERLINK("#'Constants - Scope 3'!A1", "Constants - Scope 3")</f>
        <v>Constants - Scope 3</v>
      </c>
      <c r="D57" s="114" t="s">
        <v>720</v>
      </c>
    </row>
    <row r="58" spans="1:10" ht="20.100000000000001" customHeight="1" x14ac:dyDescent="0.2">
      <c r="A58" s="5" t="str">
        <f>HYPERLINK("#'Constants - Solid Waste'!A1", "Constants - Solid Waste")</f>
        <v>Constants - Solid Waste</v>
      </c>
      <c r="D58" s="115" t="s">
        <v>714</v>
      </c>
      <c r="E58" s="174" t="s">
        <v>718</v>
      </c>
      <c r="F58" s="174" t="s">
        <v>721</v>
      </c>
    </row>
    <row r="59" spans="1:10" ht="20.100000000000001" customHeight="1" x14ac:dyDescent="0.2">
      <c r="A59" s="5" t="str">
        <f>HYPERLINK("#'Constants - Common'!A1", "Constants - Common")</f>
        <v>Constants - Common</v>
      </c>
      <c r="D59" s="15" t="str" cm="1">
        <f t="array" ref="D59:D77">Table_Fertiliser_ChemicalCompounds[Fertiliser type f]</f>
        <v>Monoammonium phosphate (MAP)</v>
      </c>
      <c r="E59" s="15">
        <f t="shared" ref="E59:E77" si="0">H19</f>
        <v>0</v>
      </c>
      <c r="F59" s="15">
        <f>((E59 * $J$50) * $J$51 * 10 ^ -3)</f>
        <v>0</v>
      </c>
      <c r="G59" s="16" t="str">
        <f>E47</f>
        <v>t N2O</v>
      </c>
    </row>
    <row r="60" spans="1:10" ht="20.100000000000001" customHeight="1" x14ac:dyDescent="0.2">
      <c r="A60" s="5" t="str">
        <f>HYPERLINK("#'Acknowledgements'!A1", "Acknowledgements")</f>
        <v>Acknowledgements</v>
      </c>
      <c r="D60" s="15" t="str">
        <v>Diammonium phosphate (DAP)</v>
      </c>
      <c r="E60" s="15">
        <f t="shared" si="0"/>
        <v>0</v>
      </c>
      <c r="F60" s="15">
        <f>((E60 * $J$50) * $J$51 * 10 ^ -3)</f>
        <v>0</v>
      </c>
    </row>
    <row r="61" spans="1:10" ht="20.100000000000001" customHeight="1" x14ac:dyDescent="0.2">
      <c r="D61" s="15" t="str">
        <v>Urea</v>
      </c>
      <c r="E61" s="15">
        <f t="shared" si="0"/>
        <v>17399.999100000001</v>
      </c>
      <c r="F61" s="15">
        <f>((E61 * $J$50) * $J$51 * 10 ^ -3)</f>
        <v>0.16132284879857145</v>
      </c>
    </row>
    <row r="62" spans="1:10" ht="20.100000000000001" customHeight="1" x14ac:dyDescent="0.2">
      <c r="D62" s="15" t="str">
        <v>Sulphate of ammonia (SOA)</v>
      </c>
      <c r="E62" s="15">
        <f t="shared" si="0"/>
        <v>0</v>
      </c>
      <c r="F62" s="15">
        <f>((E62 * $J$50) * $J$51 * 10 ^ -3)</f>
        <v>0</v>
      </c>
    </row>
    <row r="63" spans="1:10" ht="20.100000000000001" customHeight="1" x14ac:dyDescent="0.2">
      <c r="D63" s="15" t="str">
        <v>Urea-ammonium nitrate (UAN)</v>
      </c>
      <c r="E63" s="15">
        <f t="shared" si="0"/>
        <v>0</v>
      </c>
      <c r="F63" s="15">
        <f>((E63 * $J$50) * $J$51 * 10 ^ -3)</f>
        <v>0</v>
      </c>
    </row>
    <row r="64" spans="1:10" ht="20.100000000000001" customHeight="1" x14ac:dyDescent="0.2">
      <c r="D64" s="15" t="str">
        <v>Ammonium nitrate (AN)</v>
      </c>
      <c r="E64" s="15">
        <f t="shared" si="0"/>
        <v>0</v>
      </c>
      <c r="F64" s="15">
        <f>((E64 * $J$50) * $J$51 * 10 ^ -3)</f>
        <v>0</v>
      </c>
    </row>
    <row r="65" spans="1:6" ht="20.100000000000001" customHeight="1" x14ac:dyDescent="0.2">
      <c r="D65" s="15" t="str">
        <v>Calcium ammonium nitrate (CAN)</v>
      </c>
      <c r="E65" s="15">
        <f t="shared" si="0"/>
        <v>0</v>
      </c>
      <c r="F65" s="15">
        <f>((E65 * $J$50) * $J$51 * 10 ^ -3)</f>
        <v>0</v>
      </c>
    </row>
    <row r="66" spans="1:6" ht="20.100000000000001" customHeight="1" x14ac:dyDescent="0.2">
      <c r="D66" s="15" t="str">
        <v>Nitrogen - Ammoniacal</v>
      </c>
      <c r="E66" s="15">
        <f t="shared" si="0"/>
        <v>992</v>
      </c>
      <c r="F66" s="15">
        <f>((E66 * $J$50) * $J$51 * 10 ^ -3)</f>
        <v>9.1972571428571431E-3</v>
      </c>
    </row>
    <row r="67" spans="1:6" ht="20.100000000000001" customHeight="1" x14ac:dyDescent="0.2">
      <c r="D67" s="15" t="str">
        <v>Nitrogen - Nitrate</v>
      </c>
      <c r="E67" s="15">
        <f t="shared" si="0"/>
        <v>55</v>
      </c>
      <c r="F67" s="15">
        <f>((E67 * $J$50) * $J$51 * 10 ^ -3)</f>
        <v>5.0992857142857144E-4</v>
      </c>
    </row>
    <row r="68" spans="1:6" ht="20.100000000000001" customHeight="1" x14ac:dyDescent="0.2">
      <c r="D68" s="15" t="str">
        <v>Nitrogen - Generic</v>
      </c>
      <c r="E68" s="15">
        <f t="shared" si="0"/>
        <v>0</v>
      </c>
      <c r="F68" s="15">
        <f>((E68 * $J$50) * $J$51 * 10 ^ -3)</f>
        <v>0</v>
      </c>
    </row>
    <row r="69" spans="1:6" ht="20.100000000000001" customHeight="1" x14ac:dyDescent="0.2">
      <c r="D69" s="15" t="str">
        <v>Phosphorus - Generic</v>
      </c>
      <c r="E69" s="15">
        <f t="shared" si="0"/>
        <v>0</v>
      </c>
      <c r="F69" s="15">
        <f>((E69 * $J$50) * $J$51 * 10 ^ -3)</f>
        <v>0</v>
      </c>
    </row>
    <row r="70" spans="1:6" ht="20.100000000000001" customHeight="1" x14ac:dyDescent="0.2">
      <c r="D70" s="15" t="str">
        <v>Potassium - Generic</v>
      </c>
      <c r="E70" s="15">
        <f t="shared" si="0"/>
        <v>0</v>
      </c>
      <c r="F70" s="15">
        <f>((E70 * $J$50) * $J$51 * 10 ^ -3)</f>
        <v>0</v>
      </c>
    </row>
    <row r="71" spans="1:6" ht="20.100000000000001" customHeight="1" x14ac:dyDescent="0.2">
      <c r="A71" s="85" t="str">
        <f>HYPERLINK("#A1", "▲ Back to top")</f>
        <v>▲ Back to top</v>
      </c>
      <c r="D71" s="15" t="str">
        <v>Sulfur - Generic</v>
      </c>
      <c r="E71" s="15">
        <f t="shared" si="0"/>
        <v>0</v>
      </c>
      <c r="F71" s="15">
        <f>((E71 * $J$50) * $J$51 * 10 ^ -3)</f>
        <v>0</v>
      </c>
    </row>
    <row r="72" spans="1:6" ht="20.100000000000001" customHeight="1" x14ac:dyDescent="0.2">
      <c r="D72" s="15" t="str">
        <v>Zinc - Generic</v>
      </c>
      <c r="E72" s="15">
        <f t="shared" si="0"/>
        <v>0</v>
      </c>
      <c r="F72" s="15">
        <f>((E72 * $J$50) * $J$51 * 10 ^ -3)</f>
        <v>0</v>
      </c>
    </row>
    <row r="73" spans="1:6" ht="20.100000000000001" customHeight="1" x14ac:dyDescent="0.2">
      <c r="D73" s="15" t="str">
        <v>Muriate of potash (MOP)</v>
      </c>
      <c r="E73" s="15">
        <f t="shared" si="0"/>
        <v>0</v>
      </c>
      <c r="F73" s="15">
        <f>((E73 * $J$50) * $J$51 * 10 ^ -3)</f>
        <v>0</v>
      </c>
    </row>
    <row r="74" spans="1:6" ht="20.100000000000001" customHeight="1" x14ac:dyDescent="0.2">
      <c r="D74" s="15" t="str">
        <v>Double superphosphate</v>
      </c>
      <c r="E74" s="15">
        <f t="shared" si="0"/>
        <v>0</v>
      </c>
      <c r="F74" s="15">
        <f>((E74 * $J$50) * $J$51 * 10 ^ -3)</f>
        <v>0</v>
      </c>
    </row>
    <row r="75" spans="1:6" ht="20.100000000000001" customHeight="1" x14ac:dyDescent="0.2">
      <c r="D75" s="15" t="str">
        <v>Single superphosphate (SSP)</v>
      </c>
      <c r="E75" s="15">
        <f t="shared" si="0"/>
        <v>0</v>
      </c>
      <c r="F75" s="15">
        <f>((E75 * $J$50) * $J$51 * 10 ^ -3)</f>
        <v>0</v>
      </c>
    </row>
    <row r="76" spans="1:6" ht="20.100000000000001" customHeight="1" x14ac:dyDescent="0.2">
      <c r="D76" s="15" t="str">
        <v>Ammonia</v>
      </c>
      <c r="E76" s="15">
        <f t="shared" si="0"/>
        <v>3294</v>
      </c>
      <c r="F76" s="15">
        <f>((E76 * $J$50) * $J$51 * 10 ^ -3)</f>
        <v>3.0540085714285712E-2</v>
      </c>
    </row>
    <row r="77" spans="1:6" ht="20.100000000000001" customHeight="1" x14ac:dyDescent="0.2">
      <c r="D77" s="15" t="str">
        <v>Calcium nitrate</v>
      </c>
      <c r="E77" s="15">
        <f t="shared" si="0"/>
        <v>77.5</v>
      </c>
      <c r="F77" s="15">
        <f>((E77 * $J$50) * $J$51 * 10 ^ -3)</f>
        <v>7.1853571428571431E-4</v>
      </c>
    </row>
    <row r="79" spans="1:6" ht="20.100000000000001" customHeight="1" x14ac:dyDescent="0.2">
      <c r="D79" s="91" t="s">
        <v>722</v>
      </c>
      <c r="E79" s="92">
        <f>SUM(F59:F77)</f>
        <v>0.20228865594142856</v>
      </c>
      <c r="F79" s="96" t="str">
        <f>$E$47</f>
        <v>t N2O</v>
      </c>
    </row>
    <row r="81" spans="3:12" ht="20.100000000000001" customHeight="1" x14ac:dyDescent="0.2">
      <c r="D81" s="117" t="str" cm="1">
        <f t="array" ref="D81:E82">Common_Equations.Common_ConvertN2OToCO2e_Arguments()</f>
        <v>EN2O</v>
      </c>
      <c r="E81" s="118" t="str">
        <v>Nitrous oxide emissions (t N2O)</v>
      </c>
      <c r="F81" s="119"/>
      <c r="G81" s="15">
        <f>VEERG_5_4_1_1__1_InorganicFertiliserAtmosphericDepositionN2OEmissions_Result_Method1</f>
        <v>0.20228865594142856</v>
      </c>
    </row>
    <row r="82" spans="3:12" ht="20.100000000000001" customHeight="1" x14ac:dyDescent="0.2">
      <c r="D82" s="117" t="str">
        <v>GWPN2O</v>
      </c>
      <c r="E82" s="118" t="str">
        <v>Global warming potential for nitrous oxide (t CO2-e / t N2O)</v>
      </c>
      <c r="F82" s="119"/>
      <c r="G82" s="15">
        <f>Common_InputFunctions.Utility_LookupValueInTableNumber("N2O",Table_GWPData[Gas],Table_GWPData[CO2-e factor])</f>
        <v>265</v>
      </c>
    </row>
    <row r="84" spans="3:12" ht="20.100000000000001" customHeight="1" x14ac:dyDescent="0.2">
      <c r="D84" s="88" t="s">
        <v>436</v>
      </c>
      <c r="E84" s="88" cm="1">
        <f t="array" ref="E84">Common_Equations.Common_ConvertN2OToCO2e(G81,G82)</f>
        <v>53.606493824478569</v>
      </c>
      <c r="F84" s="95" t="str" cm="1">
        <f t="array" ref="F84">Common_Equations.Common_ConvertN2OToCO2e_Unit()</f>
        <v>t CO2e</v>
      </c>
    </row>
    <row r="87" spans="3:12" ht="20.100000000000001" customHeight="1" x14ac:dyDescent="0.2">
      <c r="C87" s="170"/>
      <c r="D87" s="170"/>
      <c r="E87" s="170"/>
      <c r="F87" s="170"/>
      <c r="G87" s="170"/>
      <c r="H87" s="170"/>
      <c r="I87" s="170"/>
      <c r="J87" s="170"/>
      <c r="K87" s="170"/>
      <c r="L87" s="170"/>
    </row>
    <row r="88" spans="3:12" ht="20.100000000000001" customHeight="1" x14ac:dyDescent="0.2">
      <c r="D88" s="2" t="s">
        <v>1579</v>
      </c>
    </row>
    <row r="89" spans="3:12" ht="20.100000000000001" customHeight="1" x14ac:dyDescent="0.2">
      <c r="D89" s="17" t="s">
        <v>1580</v>
      </c>
    </row>
    <row r="90" spans="3:12" ht="20.100000000000001" customHeight="1" x14ac:dyDescent="0.2">
      <c r="D90" s="104"/>
      <c r="E90" s="104"/>
    </row>
    <row r="93" spans="3:12" ht="20.100000000000001" customHeight="1" x14ac:dyDescent="0.2">
      <c r="D93" s="77" t="s">
        <v>374</v>
      </c>
      <c r="E93" s="1" t="s">
        <v>1581</v>
      </c>
    </row>
    <row r="94" spans="3:12" ht="20.100000000000001" customHeight="1" x14ac:dyDescent="0.2">
      <c r="D94" s="77" t="s">
        <v>126</v>
      </c>
      <c r="E94" s="9" t="s">
        <v>1162</v>
      </c>
    </row>
    <row r="96" spans="3:12" ht="20.100000000000001" customHeight="1" x14ac:dyDescent="0.2">
      <c r="D96" s="106" t="s">
        <v>1536</v>
      </c>
      <c r="E96" s="106" t="s">
        <v>1543</v>
      </c>
      <c r="F96" s="106"/>
      <c r="G96" s="106" t="s">
        <v>1162</v>
      </c>
      <c r="H96" s="111" t="s">
        <v>1546</v>
      </c>
      <c r="I96" s="112" t="str" cm="1">
        <f t="array" aca="1" ref="I96" ca="1">HYPERLINK(Common_InputFunctions.Utility_SourceHyperlink($D$99), $D$99)</f>
        <v>Table_M_vol_organic_j_f</v>
      </c>
    </row>
    <row r="97" spans="1:9" ht="20.100000000000001" customHeight="1" x14ac:dyDescent="0.2">
      <c r="D97" s="106" t="s">
        <v>1582</v>
      </c>
      <c r="E97" s="106" t="s">
        <v>1583</v>
      </c>
      <c r="F97" s="106"/>
      <c r="G97" s="106" t="s">
        <v>1570</v>
      </c>
      <c r="H97" s="111" t="s">
        <v>1326</v>
      </c>
      <c r="I97" s="106">
        <f>Fertiliser_FracGASMSoil_Data</f>
        <v>0.21</v>
      </c>
    </row>
    <row r="99" spans="1:9" ht="20.100000000000001" customHeight="1" x14ac:dyDescent="0.2">
      <c r="D99" s="113" t="s">
        <v>723</v>
      </c>
    </row>
    <row r="100" spans="1:9" ht="20.100000000000001" customHeight="1" x14ac:dyDescent="0.2">
      <c r="D100" s="114" t="s">
        <v>724</v>
      </c>
    </row>
    <row r="101" spans="1:9" ht="20.100000000000001" customHeight="1" x14ac:dyDescent="0.2">
      <c r="A101" s="85" t="str">
        <f>HYPERLINK("#A1", "▲ Back to top")</f>
        <v>▲ Back to top</v>
      </c>
      <c r="D101" s="82" t="s">
        <v>697</v>
      </c>
      <c r="E101" s="166" t="s">
        <v>701</v>
      </c>
      <c r="F101" s="166" t="s">
        <v>725</v>
      </c>
    </row>
    <row r="102" spans="1:9" ht="20.100000000000001" customHeight="1" x14ac:dyDescent="0.2">
      <c r="D102" s="15" t="str" cm="1">
        <f t="array" ref="D102:D104">Table_Input_OrganicFertiliser[Organic fertiliser type (select)]</f>
        <v>Manure - Other</v>
      </c>
      <c r="E102" s="15">
        <f>INDEX(Table_MNSoil_j_f,2,6)</f>
        <v>3000</v>
      </c>
      <c r="F102" s="15">
        <f>(E102 * $I$97)</f>
        <v>630</v>
      </c>
      <c r="G102" s="16" t="str">
        <f>$E$94</f>
        <v>kg N</v>
      </c>
    </row>
    <row r="103" spans="1:9" ht="20.100000000000001" customHeight="1" x14ac:dyDescent="0.2">
      <c r="D103" s="15" t="str">
        <v>Manure - Poultry</v>
      </c>
      <c r="E103" s="15">
        <f>INDEX(Table_MNSoil_j_f,3,6)</f>
        <v>2500</v>
      </c>
      <c r="F103" s="15">
        <f>(E103 * $I$97)</f>
        <v>525</v>
      </c>
    </row>
    <row r="104" spans="1:9" ht="20.100000000000001" customHeight="1" x14ac:dyDescent="0.2">
      <c r="D104" s="15" t="str">
        <v>Other organic fertiliser</v>
      </c>
      <c r="E104" s="15">
        <f>INDEX(Table_MNSoil_j_f,4,6)</f>
        <v>1600</v>
      </c>
      <c r="F104" s="15">
        <f>(E104 * $I$97)</f>
        <v>336</v>
      </c>
    </row>
    <row r="105" spans="1:9" ht="20.100000000000001" customHeight="1" x14ac:dyDescent="0.2">
      <c r="D105" s="15"/>
      <c r="E105" s="15">
        <f>'5.2.1.1-2 Organic Fert N2O'!I23</f>
        <v>0</v>
      </c>
      <c r="F105" s="15">
        <f>(E105 * $I$97)</f>
        <v>0</v>
      </c>
    </row>
    <row r="106" spans="1:9" ht="20.100000000000001" customHeight="1" x14ac:dyDescent="0.2">
      <c r="D106" s="15"/>
      <c r="E106" s="15">
        <f>'5.2.1.1-2 Organic Fert N2O'!I24</f>
        <v>0</v>
      </c>
      <c r="F106" s="15">
        <f>(E106 * $I$97)</f>
        <v>0</v>
      </c>
    </row>
    <row r="107" spans="1:9" ht="20.100000000000001" customHeight="1" x14ac:dyDescent="0.2">
      <c r="D107" s="15"/>
      <c r="E107" s="15">
        <f>'5.2.1.1-2 Organic Fert N2O'!I25</f>
        <v>0</v>
      </c>
      <c r="F107" s="15">
        <f>(E107 * $I$97)</f>
        <v>0</v>
      </c>
    </row>
    <row r="108" spans="1:9" ht="20.100000000000001" customHeight="1" x14ac:dyDescent="0.2">
      <c r="D108" s="15"/>
      <c r="E108" s="15">
        <f>'5.2.1.1-2 Organic Fert N2O'!I26</f>
        <v>0</v>
      </c>
      <c r="F108" s="15">
        <f>(E108 * $I$97)</f>
        <v>0</v>
      </c>
    </row>
    <row r="109" spans="1:9" ht="20.100000000000001" customHeight="1" x14ac:dyDescent="0.2">
      <c r="D109" s="15"/>
      <c r="E109" s="15">
        <f>'5.2.1.1-2 Organic Fert N2O'!I27</f>
        <v>0</v>
      </c>
      <c r="F109" s="15">
        <f>(E109 * $I$97)</f>
        <v>0</v>
      </c>
    </row>
    <row r="110" spans="1:9" ht="20.100000000000001" customHeight="1" x14ac:dyDescent="0.2">
      <c r="D110" s="15"/>
      <c r="E110" s="15">
        <f>'5.2.1.1-2 Organic Fert N2O'!I28</f>
        <v>0</v>
      </c>
      <c r="F110" s="15">
        <f>(E110 * $I$97)</f>
        <v>0</v>
      </c>
    </row>
    <row r="111" spans="1:9" ht="20.100000000000001" customHeight="1" x14ac:dyDescent="0.2">
      <c r="D111" s="15"/>
      <c r="E111" s="15">
        <f>'5.2.1.1-2 Organic Fert N2O'!I29</f>
        <v>0</v>
      </c>
      <c r="F111" s="15">
        <f>(E111 * $I$97)</f>
        <v>0</v>
      </c>
    </row>
    <row r="112" spans="1:9" ht="20.100000000000001" customHeight="1" x14ac:dyDescent="0.2">
      <c r="D112" s="15"/>
      <c r="E112" s="15">
        <f>'5.2.1.1-2 Organic Fert N2O'!I30</f>
        <v>0</v>
      </c>
      <c r="F112" s="15">
        <f>(E112 * $I$97)</f>
        <v>0</v>
      </c>
    </row>
    <row r="115" spans="3:12" ht="20.100000000000001" customHeight="1" x14ac:dyDescent="0.2">
      <c r="C115" s="170"/>
      <c r="D115" s="170"/>
      <c r="E115" s="170"/>
      <c r="F115" s="170"/>
      <c r="G115" s="170"/>
      <c r="H115" s="170"/>
      <c r="I115" s="170"/>
      <c r="J115" s="170"/>
      <c r="K115" s="170"/>
      <c r="L115" s="170"/>
    </row>
    <row r="116" spans="3:12" ht="20.100000000000001" customHeight="1" x14ac:dyDescent="0.2">
      <c r="D116" s="2" t="s">
        <v>1584</v>
      </c>
    </row>
    <row r="117" spans="3:12" ht="20.100000000000001" customHeight="1" x14ac:dyDescent="0.2">
      <c r="D117" s="17" t="s">
        <v>1585</v>
      </c>
    </row>
    <row r="118" spans="3:12" ht="20.100000000000001" customHeight="1" x14ac:dyDescent="0.2">
      <c r="D118" s="104"/>
      <c r="E118" s="104"/>
    </row>
    <row r="121" spans="3:12" ht="20.100000000000001" customHeight="1" x14ac:dyDescent="0.2">
      <c r="D121" s="77" t="s">
        <v>374</v>
      </c>
      <c r="E121" s="1" t="s">
        <v>1586</v>
      </c>
    </row>
    <row r="122" spans="3:12" ht="20.100000000000001" customHeight="1" x14ac:dyDescent="0.2">
      <c r="D122" s="77" t="s">
        <v>126</v>
      </c>
      <c r="E122" s="9" t="s">
        <v>12</v>
      </c>
    </row>
    <row r="124" spans="3:12" ht="20.100000000000001" customHeight="1" x14ac:dyDescent="0.2">
      <c r="D124" s="106" t="s">
        <v>1581</v>
      </c>
      <c r="E124" s="107" t="s">
        <v>1587</v>
      </c>
      <c r="F124" s="109"/>
      <c r="G124" s="106" t="s">
        <v>1162</v>
      </c>
      <c r="H124" s="111" t="s">
        <v>1589</v>
      </c>
      <c r="I124" s="112" t="str" cm="1">
        <f t="array" aca="1" ref="I124" ca="1">HYPERLINK(Common_InputFunctions.Utility_SourceHyperlink($D$99), $D$99)</f>
        <v>Table_M_vol_organic_j_f</v>
      </c>
    </row>
    <row r="125" spans="3:12" ht="20.100000000000001" customHeight="1" x14ac:dyDescent="0.2">
      <c r="D125" s="106" t="s">
        <v>1575</v>
      </c>
      <c r="E125" s="107" t="s">
        <v>1588</v>
      </c>
      <c r="F125" s="109"/>
      <c r="G125" s="106" t="s">
        <v>1462</v>
      </c>
      <c r="H125" s="111" t="s">
        <v>1326</v>
      </c>
      <c r="I125" s="106">
        <f>Common_InputFunctions.Utility_LookupN2OEFFromProdIrrigationRainfall(I127,I128,I129,Table_SourceData_Common_EFN2O[Production system only],Table_SourceData_Common_EFN2O[Irrigation method],Table_SourceData_Common_EFN2O[Rainfall zone],Table_SourceData_Common_EFN2O[EFN2O])</f>
        <v>5.8999999999999999E-3</v>
      </c>
    </row>
    <row r="126" spans="3:12" ht="20.100000000000001" customHeight="1" x14ac:dyDescent="0.2">
      <c r="D126" s="106" t="s">
        <v>1454</v>
      </c>
      <c r="E126" s="107" t="s">
        <v>1502</v>
      </c>
      <c r="F126" s="109"/>
      <c r="G126" s="106"/>
      <c r="H126" s="111" t="s">
        <v>1326</v>
      </c>
      <c r="I126" s="117">
        <f>Common_InputFunctions.Utility_LookupValueInTableNumber("N2O",Table_GasToMolecularConversionFactor[Gas],Table_GasToMolecularConversionFactor[Conversion factor combined])</f>
        <v>1.5714285714285714</v>
      </c>
    </row>
    <row r="127" spans="3:12" ht="20.100000000000001" customHeight="1" x14ac:dyDescent="0.2">
      <c r="D127" s="106" t="s">
        <v>1456</v>
      </c>
      <c r="E127" s="107" t="s">
        <v>176</v>
      </c>
      <c r="F127" s="109"/>
      <c r="G127" s="106"/>
      <c r="H127" s="110" t="s">
        <v>1325</v>
      </c>
      <c r="I127" s="106" t="str">
        <f>X_Cell_Fertiliser_ProductionSystem</f>
        <v>Pasture</v>
      </c>
    </row>
    <row r="128" spans="3:12" ht="20.100000000000001" customHeight="1" x14ac:dyDescent="0.2">
      <c r="D128" s="106" t="s">
        <v>1472</v>
      </c>
      <c r="E128" s="107" t="s">
        <v>1458</v>
      </c>
      <c r="F128" s="109"/>
      <c r="G128" s="106"/>
      <c r="H128" s="110" t="s">
        <v>1325</v>
      </c>
      <c r="I128" s="106" t="str">
        <f>X_Cell_Fertiliser_IrrigationMethod</f>
        <v>Surface irrigation</v>
      </c>
    </row>
    <row r="129" spans="1:9" ht="20.100000000000001" customHeight="1" x14ac:dyDescent="0.2">
      <c r="D129" s="106" t="s">
        <v>1459</v>
      </c>
      <c r="E129" s="107" t="s">
        <v>1577</v>
      </c>
      <c r="F129" s="109"/>
      <c r="G129" s="106"/>
      <c r="H129" s="110" t="s">
        <v>1325</v>
      </c>
      <c r="I129" s="106" t="str">
        <f>X_Cell_Site_RainfallZone</f>
        <v>High rainfall</v>
      </c>
    </row>
    <row r="131" spans="1:9" ht="20.100000000000001" customHeight="1" x14ac:dyDescent="0.2">
      <c r="A131" s="85" t="str">
        <f>HYPERLINK("#A1", "▲ Back to top")</f>
        <v>▲ Back to top</v>
      </c>
      <c r="D131" s="113" t="s">
        <v>726</v>
      </c>
    </row>
    <row r="132" spans="1:9" ht="20.100000000000001" customHeight="1" x14ac:dyDescent="0.2">
      <c r="D132" s="114" t="s">
        <v>727</v>
      </c>
    </row>
    <row r="133" spans="1:9" ht="20.100000000000001" customHeight="1" x14ac:dyDescent="0.2">
      <c r="D133" s="82" t="s">
        <v>697</v>
      </c>
      <c r="E133" s="166" t="s">
        <v>725</v>
      </c>
      <c r="F133" s="166" t="s">
        <v>728</v>
      </c>
    </row>
    <row r="134" spans="1:9" ht="20.100000000000001" customHeight="1" x14ac:dyDescent="0.2">
      <c r="D134" s="15" t="str" cm="1">
        <f t="array" ref="D134:D136">Table_Input_OrganicFertiliser[Organic fertiliser type (select)]</f>
        <v>Manure - Other</v>
      </c>
      <c r="E134" s="15">
        <f>F102</f>
        <v>630</v>
      </c>
      <c r="F134" s="15">
        <f>((E134 * $I$125) * $I$126 * 10 ^ -3)</f>
        <v>5.8410000000000007E-3</v>
      </c>
    </row>
    <row r="135" spans="1:9" ht="20.100000000000001" customHeight="1" x14ac:dyDescent="0.2">
      <c r="D135" s="15" t="str">
        <v>Manure - Poultry</v>
      </c>
      <c r="E135" s="15">
        <f t="shared" ref="E135:E144" si="1">F103</f>
        <v>525</v>
      </c>
      <c r="F135" s="15">
        <f>((E135 * $I$125) * $I$126 * 10 ^ -3)</f>
        <v>4.8674999999999994E-3</v>
      </c>
    </row>
    <row r="136" spans="1:9" ht="20.100000000000001" customHeight="1" x14ac:dyDescent="0.2">
      <c r="D136" s="15" t="str">
        <v>Other organic fertiliser</v>
      </c>
      <c r="E136" s="15">
        <f t="shared" si="1"/>
        <v>336</v>
      </c>
      <c r="F136" s="15">
        <f>((E136 * $I$125) * $I$126 * 10 ^ -3)</f>
        <v>3.1151999999999998E-3</v>
      </c>
    </row>
    <row r="137" spans="1:9" ht="20.100000000000001" customHeight="1" x14ac:dyDescent="0.2">
      <c r="D137" s="15"/>
      <c r="E137" s="15">
        <f t="shared" si="1"/>
        <v>0</v>
      </c>
      <c r="F137" s="15">
        <f>((E137 * $I$125) * $I$126 * 10 ^ -3)</f>
        <v>0</v>
      </c>
    </row>
    <row r="138" spans="1:9" ht="20.100000000000001" customHeight="1" x14ac:dyDescent="0.2">
      <c r="D138" s="15"/>
      <c r="E138" s="15">
        <f t="shared" si="1"/>
        <v>0</v>
      </c>
      <c r="F138" s="15">
        <f>((E138 * $I$125) * $I$126 * 10 ^ -3)</f>
        <v>0</v>
      </c>
    </row>
    <row r="139" spans="1:9" ht="20.100000000000001" customHeight="1" x14ac:dyDescent="0.2">
      <c r="D139" s="15"/>
      <c r="E139" s="15">
        <f t="shared" si="1"/>
        <v>0</v>
      </c>
      <c r="F139" s="15">
        <f>((E139 * $I$125) * $I$126 * 10 ^ -3)</f>
        <v>0</v>
      </c>
    </row>
    <row r="140" spans="1:9" ht="20.100000000000001" customHeight="1" x14ac:dyDescent="0.2">
      <c r="D140" s="15"/>
      <c r="E140" s="15">
        <f t="shared" si="1"/>
        <v>0</v>
      </c>
      <c r="F140" s="15">
        <f>((E140 * $I$125) * $I$126 * 10 ^ -3)</f>
        <v>0</v>
      </c>
    </row>
    <row r="141" spans="1:9" ht="20.100000000000001" customHeight="1" x14ac:dyDescent="0.2">
      <c r="D141" s="15"/>
      <c r="E141" s="15">
        <f t="shared" si="1"/>
        <v>0</v>
      </c>
      <c r="F141" s="15">
        <f>((E141 * $I$125) * $I$126 * 10 ^ -3)</f>
        <v>0</v>
      </c>
    </row>
    <row r="142" spans="1:9" ht="20.100000000000001" customHeight="1" x14ac:dyDescent="0.2">
      <c r="D142" s="15"/>
      <c r="E142" s="15">
        <f t="shared" si="1"/>
        <v>0</v>
      </c>
      <c r="F142" s="15">
        <f>((E142 * $I$125) * $I$126 * 10 ^ -3)</f>
        <v>0</v>
      </c>
    </row>
    <row r="143" spans="1:9" ht="20.100000000000001" customHeight="1" x14ac:dyDescent="0.2">
      <c r="D143" s="15"/>
      <c r="E143" s="15">
        <f t="shared" si="1"/>
        <v>0</v>
      </c>
      <c r="F143" s="15">
        <f>((E143 * $I$125) * $I$126 * 10 ^ -3)</f>
        <v>0</v>
      </c>
    </row>
    <row r="144" spans="1:9" ht="20.100000000000001" customHeight="1" x14ac:dyDescent="0.2">
      <c r="D144" s="15"/>
      <c r="E144" s="15">
        <f t="shared" si="1"/>
        <v>0</v>
      </c>
      <c r="F144" s="15">
        <f>((E144 * $I$125) * $I$126 * 10 ^ -3)</f>
        <v>0</v>
      </c>
    </row>
    <row r="146" spans="4:7" ht="20.100000000000001" customHeight="1" x14ac:dyDescent="0.2">
      <c r="D146" s="91" t="s">
        <v>729</v>
      </c>
      <c r="E146" s="92">
        <f>SUM(F134:F144)</f>
        <v>1.38237E-2</v>
      </c>
      <c r="F146" s="96" t="str">
        <f>$E$122</f>
        <v>t N2O</v>
      </c>
    </row>
    <row r="148" spans="4:7" ht="20.100000000000001" customHeight="1" x14ac:dyDescent="0.2">
      <c r="D148" s="117" t="str" cm="1">
        <f t="array" ref="D148:E149">Common_Equations.Common_ConvertN2OToCO2e_Arguments()</f>
        <v>EN2O</v>
      </c>
      <c r="E148" s="118" t="str">
        <v>Nitrous oxide emissions (t N2O)</v>
      </c>
      <c r="F148" s="119"/>
      <c r="G148" s="15">
        <f>VEERG_5_4_1_3__1_OrganicFertiliserAtmosphericDepositionN2OEmissions_Result_Method1</f>
        <v>1.38237E-2</v>
      </c>
    </row>
    <row r="149" spans="4:7" ht="20.100000000000001" customHeight="1" x14ac:dyDescent="0.2">
      <c r="D149" s="117" t="str">
        <v>GWPN2O</v>
      </c>
      <c r="E149" s="118" t="str">
        <v>Global warming potential for nitrous oxide (t CO2-e / t N2O)</v>
      </c>
      <c r="F149" s="119"/>
      <c r="G149" s="15">
        <f>Common_InputFunctions.Utility_LookupValueInTableNumber("N2O",Table_GWPData[Gas],Table_GWPData[CO2-e factor])</f>
        <v>265</v>
      </c>
    </row>
    <row r="151" spans="4:7" ht="20.100000000000001" customHeight="1" x14ac:dyDescent="0.2">
      <c r="D151" s="88" t="s">
        <v>436</v>
      </c>
      <c r="E151" s="88" cm="1">
        <f t="array" ref="E151">Common_Equations.Common_ConvertN2OToCO2e(G148,G149)</f>
        <v>3.6632804999999999</v>
      </c>
      <c r="F151" s="95" t="str" cm="1">
        <f t="array" ref="F151">Common_Equations.Common_ConvertN2OToCO2e_Unit()</f>
        <v>t CO2e</v>
      </c>
    </row>
  </sheetData>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FE085-2677-444E-8CCB-DD9B860F6C48}">
  <sheetPr>
    <tabColor rgb="FF008000"/>
  </sheetPr>
  <dimension ref="A1:T99"/>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730</v>
      </c>
    </row>
    <row r="2" spans="1:20" s="3" customFormat="1" ht="20.100000000000001" customHeight="1" x14ac:dyDescent="0.2">
      <c r="A2"/>
    </row>
    <row r="3" spans="1:20" ht="20.100000000000001" customHeight="1" x14ac:dyDescent="0.2">
      <c r="A3" s="5" t="str">
        <f>HYPERLINK("#'Home'!A1", "Home")</f>
        <v>Home</v>
      </c>
      <c r="C3" s="23"/>
      <c r="D3" s="23" t="s">
        <v>141</v>
      </c>
      <c r="E3" s="23"/>
      <c r="F3" s="23"/>
      <c r="G3" s="23"/>
      <c r="H3" s="23"/>
      <c r="I3" s="23"/>
      <c r="J3" s="23"/>
      <c r="K3" s="23"/>
      <c r="M3" s="23"/>
      <c r="N3" s="23" t="s">
        <v>142</v>
      </c>
      <c r="O3" s="23"/>
      <c r="P3" s="23"/>
      <c r="Q3" s="23"/>
      <c r="R3" s="23"/>
      <c r="S3" s="23"/>
      <c r="T3" s="23"/>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Emissions Intensity")</f>
        <v>Results - Product Emissions Intensity</v>
      </c>
      <c r="D5" s="2" t="s">
        <v>1590</v>
      </c>
    </row>
    <row r="6" spans="1:20" ht="20.100000000000001" customHeight="1" x14ac:dyDescent="0.2">
      <c r="D6" s="17" t="s">
        <v>1591</v>
      </c>
    </row>
    <row r="7" spans="1:20" ht="20.100000000000001" customHeight="1" x14ac:dyDescent="0.2">
      <c r="D7" s="104"/>
      <c r="E7" s="104"/>
    </row>
    <row r="8" spans="1:20" ht="20.100000000000001" customHeight="1" x14ac:dyDescent="0.2">
      <c r="A8" s="7" t="s">
        <v>0</v>
      </c>
    </row>
    <row r="9" spans="1:20" ht="20.100000000000001" customHeight="1" x14ac:dyDescent="0.2">
      <c r="A9" s="5" t="str">
        <f>HYPERLINK("#'Input - Enterprise'!A1", "Enterprise")</f>
        <v>Enterprise</v>
      </c>
    </row>
    <row r="10" spans="1:20" ht="20.100000000000001" customHeight="1" x14ac:dyDescent="0.2">
      <c r="A10" s="5" t="str">
        <f>HYPERLINK("#'Input - Site'!A1", "Site")</f>
        <v>Site</v>
      </c>
      <c r="D10" s="77" t="s">
        <v>374</v>
      </c>
      <c r="E10" s="1" t="s">
        <v>1592</v>
      </c>
    </row>
    <row r="11" spans="1:20" ht="20.100000000000001" customHeight="1" x14ac:dyDescent="0.2">
      <c r="A11" s="5" t="str">
        <f>HYPERLINK("#'Input - Pasture Beef'!A1", "Pasture Beef")</f>
        <v>Pasture Beef</v>
      </c>
      <c r="D11" s="77" t="s">
        <v>126</v>
      </c>
      <c r="E11" s="9" t="s">
        <v>1162</v>
      </c>
    </row>
    <row r="12" spans="1:20" ht="20.100000000000001" customHeight="1" x14ac:dyDescent="0.2">
      <c r="A12" s="5" t="str">
        <f>HYPERLINK("#'Input - Livestock sales'!A1", "Livestock sales")</f>
        <v>Livestock sales</v>
      </c>
    </row>
    <row r="13" spans="1:20" ht="20.100000000000001" customHeight="1" x14ac:dyDescent="0.2">
      <c r="A13" s="5" t="str">
        <f>HYPERLINK("#'Input - Beef cattle purchases'!A1", "Beef cattle purchases")</f>
        <v>Beef cattle purchases</v>
      </c>
      <c r="D13" s="106" t="s">
        <v>1482</v>
      </c>
      <c r="E13" s="107" t="s">
        <v>1593</v>
      </c>
      <c r="F13" s="109"/>
      <c r="G13" s="106" t="s">
        <v>1162</v>
      </c>
      <c r="H13" s="111" t="s">
        <v>1503</v>
      </c>
      <c r="I13" s="112" t="str" cm="1">
        <f t="array" aca="1" ref="I13" ca="1">HYPERLINK(Common_InputFunctions.Utility_SourceHyperlink(D20), D20)</f>
        <v>Table_M_leach_inorganic_j</v>
      </c>
    </row>
    <row r="14" spans="1:20" ht="20.100000000000001" customHeight="1" x14ac:dyDescent="0.2">
      <c r="A14" s="5" t="str">
        <f>HYPERLINK("#'Input - Pasture'!A1", "Pasture")</f>
        <v>Pasture</v>
      </c>
      <c r="D14" s="106" t="s">
        <v>1594</v>
      </c>
      <c r="E14" s="107" t="s">
        <v>1467</v>
      </c>
      <c r="F14" s="109"/>
      <c r="G14" s="106" t="s">
        <v>347</v>
      </c>
      <c r="H14" s="111" t="s">
        <v>1326</v>
      </c>
      <c r="I14" s="106">
        <f>Common_InputFunctions.CommonCropping_GetFracWET(I16,I18,Table_SourceData_FracWET[Is in leaching zone],Table_SourceData_FracWET[FracWET],Table_SourceData_FracWETIrrigation[Irrigation type i],Table_SourceData_FracWETIrrigation[FracWET])</f>
        <v>1</v>
      </c>
    </row>
    <row r="15" spans="1:20" ht="20.100000000000001" customHeight="1" x14ac:dyDescent="0.2">
      <c r="A15" s="5" t="str">
        <f>HYPERLINK("#'Input - Fert Prod System'!A1", "Fert Prod System")</f>
        <v>Fert Prod System</v>
      </c>
      <c r="D15" s="106" t="s">
        <v>1468</v>
      </c>
      <c r="E15" s="107" t="s">
        <v>1595</v>
      </c>
      <c r="F15" s="109"/>
      <c r="G15" s="106" t="s">
        <v>347</v>
      </c>
      <c r="H15" s="111" t="s">
        <v>1326</v>
      </c>
      <c r="I15" s="106">
        <f>Fertiliser_FracLEACH_Data</f>
        <v>0.24</v>
      </c>
    </row>
    <row r="16" spans="1:20" ht="20.100000000000001" customHeight="1" x14ac:dyDescent="0.2">
      <c r="A16" s="5" t="str">
        <f>HYPERLINK("#'Input - Fertiliser'!A1", "Fertiliser")</f>
        <v>Fertiliser</v>
      </c>
      <c r="D16" s="106" t="s">
        <v>1470</v>
      </c>
      <c r="E16" s="107" t="s">
        <v>1471</v>
      </c>
      <c r="F16" s="109"/>
      <c r="G16" s="106"/>
      <c r="H16" s="110" t="s">
        <v>1325</v>
      </c>
      <c r="I16" s="106" t="str">
        <f>X_Cell_Site_LeachingZone</f>
        <v>NO - Not in leaching zone</v>
      </c>
    </row>
    <row r="17" spans="1:9" ht="20.100000000000001" customHeight="1" x14ac:dyDescent="0.2">
      <c r="A17" s="5" t="str">
        <f>HYPERLINK("#'Input - Fuel'!A1", "Fuel")</f>
        <v>Fuel</v>
      </c>
      <c r="D17" s="106" t="s">
        <v>1456</v>
      </c>
      <c r="E17" s="107" t="s">
        <v>1457</v>
      </c>
      <c r="F17" s="109"/>
      <c r="G17" s="106"/>
      <c r="H17" s="110" t="s">
        <v>1325</v>
      </c>
      <c r="I17" s="106" t="str">
        <f>X_Cell_Fertiliser_ProductionSystem</f>
        <v>Pasture</v>
      </c>
    </row>
    <row r="18" spans="1:9" ht="20.100000000000001" customHeight="1" x14ac:dyDescent="0.2">
      <c r="A18" s="5" t="str">
        <f>HYPERLINK("#'Input - Electricity'!A1", "Electricity")</f>
        <v>Electricity</v>
      </c>
      <c r="D18" s="106" t="s">
        <v>1472</v>
      </c>
      <c r="E18" s="107" t="s">
        <v>1458</v>
      </c>
      <c r="F18" s="109"/>
      <c r="G18" s="106"/>
      <c r="H18" s="110" t="s">
        <v>1325</v>
      </c>
      <c r="I18" s="106" t="str">
        <f>X_Cell_Fertiliser_IrrigationMethod</f>
        <v>Surface irrigation</v>
      </c>
    </row>
    <row r="19" spans="1:9" ht="20.100000000000001" customHeight="1" x14ac:dyDescent="0.2">
      <c r="A19" s="5" t="str">
        <f>HYPERLINK("#'Input - Common farm inputs'!A1", "Common farm inputs")</f>
        <v>Common farm inputs</v>
      </c>
    </row>
    <row r="20" spans="1:9" ht="20.100000000000001" customHeight="1" x14ac:dyDescent="0.2">
      <c r="A20" s="5" t="str">
        <f>HYPERLINK("#'Input - Crop pasture farm input'!A1", "Crop pasture farm input")</f>
        <v>Crop pasture farm input</v>
      </c>
      <c r="D20" s="113" t="s">
        <v>731</v>
      </c>
    </row>
    <row r="21" spans="1:9" ht="20.100000000000001" customHeight="1" x14ac:dyDescent="0.2">
      <c r="A21" s="5" t="str">
        <f>HYPERLINK("#'Input - Livestock farm Inputs'!A1", "Livestock farm Inputs")</f>
        <v>Livestock farm Inputs</v>
      </c>
      <c r="D21" s="114" t="s">
        <v>732</v>
      </c>
    </row>
    <row r="22" spans="1:9" ht="20.100000000000001" customHeight="1" x14ac:dyDescent="0.2">
      <c r="A22" s="5" t="str">
        <f>HYPERLINK("#'Input - Freight'!A1", "Freight")</f>
        <v>Freight</v>
      </c>
      <c r="D22" s="115" t="s">
        <v>661</v>
      </c>
      <c r="E22" s="115" t="s">
        <v>715</v>
      </c>
      <c r="F22" s="115" t="s">
        <v>733</v>
      </c>
    </row>
    <row r="23" spans="1:9" ht="20.100000000000001" customHeight="1" x14ac:dyDescent="0.2">
      <c r="A23" s="5" t="str">
        <f>HYPERLINK("#'Input - Solid waste'!A1", "Solid waste")</f>
        <v>Solid waste</v>
      </c>
      <c r="D23" s="15" t="str" cm="1">
        <f t="array" ref="D23:D41">Table_Fertiliser_ChemicalCompounds[Fertiliser type f]</f>
        <v>Monoammonium phosphate (MAP)</v>
      </c>
      <c r="E23" s="15">
        <f>INDEX(Table_MN_j_f,2,4)</f>
        <v>0</v>
      </c>
      <c r="F23" s="15">
        <f>(E23 * $I$14 * $I$15)</f>
        <v>0</v>
      </c>
    </row>
    <row r="24" spans="1:9" ht="20.100000000000001" customHeight="1" x14ac:dyDescent="0.2">
      <c r="A24" s="5" t="str">
        <f>HYPERLINK("#'Input - Manure sent off-site'!A1", "Manure sent off-site")</f>
        <v>Manure sent off-site</v>
      </c>
      <c r="D24" s="15" t="str">
        <v>Diammonium phosphate (DAP)</v>
      </c>
      <c r="E24" s="15">
        <f>INDEX(Table_MN_j_f,3,4)</f>
        <v>0</v>
      </c>
      <c r="F24" s="15">
        <f>(E24 * $I$14 * $I$15)</f>
        <v>0</v>
      </c>
    </row>
    <row r="25" spans="1:9" ht="20.100000000000001" customHeight="1" x14ac:dyDescent="0.2">
      <c r="A25" s="5" t="str">
        <f>HYPERLINK("#'Input - Data quality'!A1", "Data quality")</f>
        <v>Data quality</v>
      </c>
      <c r="D25" s="15" t="str">
        <v>Urea</v>
      </c>
      <c r="E25" s="15">
        <f>INDEX(Table_MN_j_f,4,4)</f>
        <v>115999.99400000001</v>
      </c>
      <c r="F25" s="15">
        <f>(E25 * $I$14 * $I$15)</f>
        <v>27839.99856</v>
      </c>
    </row>
    <row r="26" spans="1:9" ht="20.100000000000001" customHeight="1" x14ac:dyDescent="0.2">
      <c r="D26" s="15" t="str">
        <v>Sulphate of ammonia (SOA)</v>
      </c>
      <c r="E26" s="15">
        <f>INDEX(Table_MN_j_f,5,4)</f>
        <v>0</v>
      </c>
      <c r="F26" s="15">
        <f>(E26 * $I$14 * $I$15)</f>
        <v>0</v>
      </c>
    </row>
    <row r="27" spans="1:9" ht="20.100000000000001" customHeight="1" x14ac:dyDescent="0.2">
      <c r="D27" s="15" t="str">
        <v>Urea-ammonium nitrate (UAN)</v>
      </c>
      <c r="E27" s="15">
        <f>INDEX(Table_MN_j_f,6,4)</f>
        <v>0</v>
      </c>
      <c r="F27" s="15">
        <f>(E27 * $I$14 * $I$15)</f>
        <v>0</v>
      </c>
    </row>
    <row r="28" spans="1:9" ht="20.100000000000001" customHeight="1" x14ac:dyDescent="0.2">
      <c r="A28" s="6" t="s">
        <v>2</v>
      </c>
      <c r="D28" s="15" t="str">
        <v>Ammonium nitrate (AN)</v>
      </c>
      <c r="E28" s="15">
        <f>INDEX(Table_MN_j_f,7,4)</f>
        <v>0</v>
      </c>
      <c r="F28" s="15">
        <f>(E28 * $I$14 * $I$15)</f>
        <v>0</v>
      </c>
    </row>
    <row r="29" spans="1:9" ht="20.100000000000001" customHeight="1" x14ac:dyDescent="0.2">
      <c r="A29" s="5" t="str">
        <f>HYPERLINK("#'3.2.1.1-2 Enteric Methane'!A1", "3.2.1.1-2 Enteric Methane")</f>
        <v>3.2.1.1-2 Enteric Methane</v>
      </c>
      <c r="D29" s="15" t="str">
        <v>Calcium ammonium nitrate (CAN)</v>
      </c>
      <c r="E29" s="15">
        <f>INDEX(Table_MN_j_f,8,4)</f>
        <v>0</v>
      </c>
      <c r="F29" s="15">
        <f>(E29 * $I$14 * $I$15)</f>
        <v>0</v>
      </c>
    </row>
    <row r="30" spans="1:9" ht="20.100000000000001" customHeight="1" x14ac:dyDescent="0.2">
      <c r="A30" s="5" t="str">
        <f>HYPERLINK("#'4.2.1.1-2 Methane'!A1", "4.2.1.1-2 Manure methane")</f>
        <v>4.2.1.1-2 Manure methane</v>
      </c>
      <c r="D30" s="15" t="str">
        <v>Nitrogen - Ammoniacal</v>
      </c>
      <c r="E30" s="15">
        <f>INDEX(Table_MN_j_f,9,4)</f>
        <v>12400</v>
      </c>
      <c r="F30" s="15">
        <f>(E30 * $I$14 * $I$15)</f>
        <v>2976</v>
      </c>
    </row>
    <row r="31" spans="1:9" ht="20.100000000000001" customHeight="1" x14ac:dyDescent="0.2">
      <c r="A31" s="5" t="str">
        <f>HYPERLINK("#'4.2.1.3-4 Soil direct N20'!A1", "4.2.1.3-4 Soil direct N2O")</f>
        <v>4.2.1.3-4 Soil direct N2O</v>
      </c>
      <c r="D31" s="15" t="str">
        <v>Nitrogen - Nitrate</v>
      </c>
      <c r="E31" s="15">
        <f>INDEX(Table_MN_j_f,10,4)</f>
        <v>5500</v>
      </c>
      <c r="F31" s="15">
        <f>(E31 * $I$14 * $I$15)</f>
        <v>1320</v>
      </c>
    </row>
    <row r="32" spans="1:9" ht="20.100000000000001" customHeight="1" x14ac:dyDescent="0.2">
      <c r="A32" s="5" t="str">
        <f>HYPERLINK("#'4.2.1.5-6 Soil Atmos Dep'!A1", "4.2.1.5-6 Soil atm. deposition")</f>
        <v>4.2.1.5-6 Soil atm. deposition</v>
      </c>
      <c r="D32" s="15" t="str">
        <v>Nitrogen - Generic</v>
      </c>
      <c r="E32" s="15">
        <f>INDEX(Table_MN_j_f,11,4)</f>
        <v>0</v>
      </c>
      <c r="F32" s="15">
        <f>(E32 * $I$14 * $I$15)</f>
        <v>0</v>
      </c>
    </row>
    <row r="33" spans="1:11" ht="20.100000000000001" customHeight="1" x14ac:dyDescent="0.2">
      <c r="A33" s="5" t="str">
        <f>HYPERLINK("#'4.2.1.7-8 Soil leach runoff'!A1", "4.2.1.7-8 Soil leach &amp; runoff")</f>
        <v>4.2.1.7-8 Soil leach &amp; runoff</v>
      </c>
      <c r="D33" s="15" t="str">
        <v>Phosphorus - Generic</v>
      </c>
      <c r="E33" s="15">
        <f>INDEX(Table_MN_j_f,12,4)</f>
        <v>0</v>
      </c>
      <c r="F33" s="15">
        <f>(E33 * $I$14 * $I$15)</f>
        <v>0</v>
      </c>
    </row>
    <row r="34" spans="1:11" ht="20.100000000000001" customHeight="1" x14ac:dyDescent="0.2">
      <c r="A34" s="5" t="str">
        <f>HYPERLINK("#'5.1.1.1-2 Inorganic fert N2O'!A1", "5.1.1.1-2 Inorganic fert N2O")</f>
        <v>5.1.1.1-2 Inorganic fert N2O</v>
      </c>
      <c r="D34" s="15" t="str">
        <v>Potassium - Generic</v>
      </c>
      <c r="E34" s="15">
        <f>INDEX(Table_MN_j_f,13,4)</f>
        <v>0</v>
      </c>
      <c r="F34" s="15">
        <f>(E34 * $I$14 * $I$15)</f>
        <v>0</v>
      </c>
    </row>
    <row r="35" spans="1:11" ht="20.100000000000001" customHeight="1" x14ac:dyDescent="0.2">
      <c r="A35" s="5" t="str">
        <f>HYPERLINK("#'5.1.1.3-4 Inorganic fert CO2'!A1", "5.1.1.3-4 Inorganic fert CO2")</f>
        <v>5.1.1.3-4 Inorganic fert CO2</v>
      </c>
      <c r="D35" s="15" t="str">
        <v>Sulfur - Generic</v>
      </c>
      <c r="E35" s="15">
        <f>INDEX(Table_MN_j_f,14,4)</f>
        <v>0</v>
      </c>
      <c r="F35" s="15">
        <f>(E35 * $I$14 * $I$15)</f>
        <v>0</v>
      </c>
    </row>
    <row r="36" spans="1:11" ht="20.100000000000001" customHeight="1" x14ac:dyDescent="0.2">
      <c r="A36" s="5" t="str">
        <f>HYPERLINK("#'5.2.1.1-2 Organic Fert N2O'!A1", "5.2.1.1-2 Organic fert N2O")</f>
        <v>5.2.1.1-2 Organic fert N2O</v>
      </c>
      <c r="D36" s="15" t="str">
        <v>Zinc - Generic</v>
      </c>
      <c r="E36" s="15">
        <f>INDEX(Table_MN_j_f,15,4)</f>
        <v>0</v>
      </c>
      <c r="F36" s="15">
        <f>(E36 * $I$14 * $I$15)</f>
        <v>0</v>
      </c>
    </row>
    <row r="37" spans="1:11" ht="20.100000000000001" customHeight="1" x14ac:dyDescent="0.2">
      <c r="A37" s="5" t="str">
        <f>HYPERLINK("#'5.3.1.1-2 Lime CO2'!A1", "5.3.1.1-2 Lime CO2")</f>
        <v>5.3.1.1-2 Lime CO2</v>
      </c>
      <c r="D37" s="15" t="str">
        <v>Muriate of potash (MOP)</v>
      </c>
      <c r="E37" s="15">
        <f>INDEX(Table_MN_j_f,16,4)</f>
        <v>0</v>
      </c>
      <c r="F37" s="15">
        <f>(E37 * $I$14 * $I$15)</f>
        <v>0</v>
      </c>
    </row>
    <row r="38" spans="1:11" ht="20.100000000000001" customHeight="1" x14ac:dyDescent="0.2">
      <c r="A38" s="5" t="str">
        <f>HYPERLINK("#'5.4.1.1-4 Atmos deposition'!A1", "5.4.1.1-4 Atmos. deposition")</f>
        <v>5.4.1.1-4 Atmos. deposition</v>
      </c>
      <c r="D38" s="15" t="str">
        <v>Double superphosphate</v>
      </c>
      <c r="E38" s="15">
        <f>INDEX(Table_MN_j_f,17,4)</f>
        <v>0</v>
      </c>
      <c r="F38" s="15">
        <f>(E38 * $I$14 * $I$15)</f>
        <v>0</v>
      </c>
    </row>
    <row r="39" spans="1:11" ht="20.100000000000001" customHeight="1" x14ac:dyDescent="0.2">
      <c r="A39" s="105" t="str">
        <f>HYPERLINK("#'5.5.1.1-2 Leaching and runoff'!A1", "5.5.1.1-2 Leaching &amp; runoff")</f>
        <v>5.5.1.1-2 Leaching &amp; runoff</v>
      </c>
      <c r="D39" s="15" t="str">
        <v>Single superphosphate (SSP)</v>
      </c>
      <c r="E39" s="15">
        <f>INDEX(Table_MN_j_f,18,4)</f>
        <v>0</v>
      </c>
      <c r="F39" s="15">
        <f>(E39 * $I$14 * $I$15)</f>
        <v>0</v>
      </c>
    </row>
    <row r="40" spans="1:11" ht="20.100000000000001" customHeight="1" x14ac:dyDescent="0.2">
      <c r="A40" s="5" t="str">
        <f>HYPERLINK("#'6.2.1.1-2 Pasture residue N2O'!A1", "6.2.1.1-2 Pasture residue N2O")</f>
        <v>6.2.1.1-2 Pasture residue N2O</v>
      </c>
      <c r="D40" s="15" t="str">
        <v>Ammonia</v>
      </c>
      <c r="E40" s="15">
        <f>INDEX(Table_MN_j_f,19,4)</f>
        <v>41175</v>
      </c>
      <c r="F40" s="15">
        <f>(E40 * $I$14 * $I$15)</f>
        <v>9882</v>
      </c>
    </row>
    <row r="41" spans="1:11" ht="20.100000000000001" customHeight="1" x14ac:dyDescent="0.2">
      <c r="A41" s="5" t="str">
        <f>HYPERLINK("#'6.3.1.1-2 Leach runoff pasture'!A1", "6.3.1.1-2 Leach &amp; runoff (pasture)")</f>
        <v>6.3.1.1-2 Leach &amp; runoff (pasture)</v>
      </c>
      <c r="D41" s="15" t="str">
        <v>Calcium nitrate</v>
      </c>
      <c r="E41" s="15">
        <f>INDEX(Table_MN_j_f,20,4)</f>
        <v>7750</v>
      </c>
      <c r="F41" s="15">
        <f>(E41 * $I$14 * $I$15)</f>
        <v>1860</v>
      </c>
    </row>
    <row r="42" spans="1:11" ht="20.100000000000001" customHeight="1" x14ac:dyDescent="0.2">
      <c r="A42" s="5" t="str">
        <f>HYPERLINK("#'8.1.1.1-2 Transport fuel'!A1", "8.1.1.1-2 Transport fuel")</f>
        <v>8.1.1.1-2 Transport fuel</v>
      </c>
    </row>
    <row r="43" spans="1:11" ht="20.100000000000001" customHeight="1" x14ac:dyDescent="0.2">
      <c r="A43" s="5" t="str">
        <f>HYPERLINK("#'8.2.1.1-2 Stationary fuel'!A1", "8.2.1.1-2 Stationary fuel")</f>
        <v>8.2.1.1-2 Stationary fuel</v>
      </c>
      <c r="D43" s="94" t="s">
        <v>734</v>
      </c>
      <c r="E43" s="88">
        <f>SUM(F23:F41)</f>
        <v>43877.99856</v>
      </c>
      <c r="F43" s="95" t="str">
        <f>$E$11</f>
        <v>kg N</v>
      </c>
    </row>
    <row r="44" spans="1:11" ht="20.100000000000001" customHeight="1" x14ac:dyDescent="0.2">
      <c r="A44" s="5" t="str">
        <f>HYPERLINK("#'10.1.1-2 Solid waste treatment'!A1", "10.1.1.1-2 Solid waste")</f>
        <v>10.1.1.1-2 Solid waste</v>
      </c>
    </row>
    <row r="45" spans="1:11" ht="20.100000000000001" customHeight="1" x14ac:dyDescent="0.2">
      <c r="A45" s="5" t="str">
        <f>HYPERLINK("#'14.1.1-2 Purchased electricity'!A1", "14.1.1-2 Purchased electricity")</f>
        <v>14.1.1-2 Purchased electricity</v>
      </c>
      <c r="C45" s="175"/>
      <c r="D45" s="175"/>
      <c r="E45" s="175"/>
      <c r="F45" s="175"/>
      <c r="G45" s="175"/>
      <c r="H45" s="175"/>
      <c r="I45" s="175"/>
      <c r="J45" s="175"/>
      <c r="K45" s="175"/>
    </row>
    <row r="46" spans="1:11" ht="20.100000000000001" customHeight="1" x14ac:dyDescent="0.2">
      <c r="A46" s="5" t="str">
        <f>HYPERLINK("#'15 Scope 3'!A1", "15 Scope 3")</f>
        <v>15 Scope 3</v>
      </c>
    </row>
    <row r="47" spans="1:11" ht="20.100000000000001" customHeight="1" x14ac:dyDescent="0.2">
      <c r="A47" s="5" t="str">
        <f>HYPERLINK("#'Calcs - Manure sent off-site'!A1", "Calcs - Manure sent off-site")</f>
        <v>Calcs - Manure sent off-site</v>
      </c>
      <c r="D47" s="2" t="s">
        <v>1596</v>
      </c>
    </row>
    <row r="48" spans="1:11" ht="20.100000000000001" customHeight="1" x14ac:dyDescent="0.2">
      <c r="D48" s="17" t="s">
        <v>1597</v>
      </c>
    </row>
    <row r="49" spans="1:9" ht="20.100000000000001" customHeight="1" x14ac:dyDescent="0.2">
      <c r="D49" s="104"/>
      <c r="E49" s="104"/>
    </row>
    <row r="50" spans="1:9" ht="20.100000000000001" customHeight="1" x14ac:dyDescent="0.2">
      <c r="A50" s="86" t="s">
        <v>1</v>
      </c>
    </row>
    <row r="51" spans="1:9" ht="20.100000000000001" customHeight="1" x14ac:dyDescent="0.2">
      <c r="A51" s="5" t="str">
        <f>HYPERLINK("#'Constants - Pasture Beef'!A1", "Constants - Pasture Beef")</f>
        <v>Constants - Pasture Beef</v>
      </c>
    </row>
    <row r="52" spans="1:9" ht="20.100000000000001" customHeight="1" x14ac:dyDescent="0.2">
      <c r="A52" s="5" t="str">
        <f>HYPERLINK("#'Constants - Ag Residue'!A1", "Constants - Ag residue")</f>
        <v>Constants - Ag residue</v>
      </c>
      <c r="D52" s="77" t="s">
        <v>374</v>
      </c>
      <c r="E52" s="1" t="s">
        <v>1598</v>
      </c>
    </row>
    <row r="53" spans="1:9" ht="20.100000000000001" customHeight="1" x14ac:dyDescent="0.2">
      <c r="A53" s="5" t="str">
        <f>HYPERLINK("#'Constants - Common Livestock'!A1", "Constants - Common Livestock")</f>
        <v>Constants - Common Livestock</v>
      </c>
      <c r="D53" s="77" t="s">
        <v>126</v>
      </c>
      <c r="E53" s="9" t="s">
        <v>1162</v>
      </c>
    </row>
    <row r="54" spans="1:9" ht="20.100000000000001" customHeight="1" x14ac:dyDescent="0.2">
      <c r="A54" s="5" t="str">
        <f>HYPERLINK("#'Constants - Electricity'!A1", "Constants - Electricity")</f>
        <v>Constants - Electricity</v>
      </c>
    </row>
    <row r="55" spans="1:9" ht="20.100000000000001" customHeight="1" x14ac:dyDescent="0.2">
      <c r="A55" s="5" t="str">
        <f>HYPERLINK("#'Constants - Fertiliser'!A1", "Constants - Fertiliser")</f>
        <v>Constants - Fertiliser</v>
      </c>
      <c r="D55" s="106" t="s">
        <v>1536</v>
      </c>
      <c r="E55" s="107" t="s">
        <v>1599</v>
      </c>
      <c r="F55" s="109"/>
      <c r="G55" s="106" t="s">
        <v>1162</v>
      </c>
      <c r="H55" s="111" t="s">
        <v>1546</v>
      </c>
      <c r="I55" s="112" t="str" cm="1">
        <f t="array" aca="1" ref="I55" ca="1">HYPERLINK(Common_InputFunctions.Utility_SourceHyperlink(D62), D62)</f>
        <v>Table_M_leach_organic_j</v>
      </c>
    </row>
    <row r="56" spans="1:9" ht="20.100000000000001" customHeight="1" x14ac:dyDescent="0.2">
      <c r="A56" s="5" t="str">
        <f>HYPERLINK("#'Constants - Fuel'!A1", "Constants - Fuel")</f>
        <v>Constants - Fuel</v>
      </c>
      <c r="D56" s="106" t="s">
        <v>1594</v>
      </c>
      <c r="E56" s="107" t="s">
        <v>1467</v>
      </c>
      <c r="F56" s="109"/>
      <c r="G56" s="106" t="s">
        <v>347</v>
      </c>
      <c r="H56" s="111" t="s">
        <v>1326</v>
      </c>
      <c r="I56" s="106">
        <f>Common_InputFunctions.CommonCropping_GetFracWET(I58,I60,Table_SourceData_FracWET[Is in leaching zone],Table_SourceData_FracWET[FracWET],Table_SourceData_FracWETIrrigation[Irrigation type i],Table_SourceData_FracWETIrrigation[FracWET])</f>
        <v>1</v>
      </c>
    </row>
    <row r="57" spans="1:9" ht="20.100000000000001" customHeight="1" x14ac:dyDescent="0.2">
      <c r="A57" s="5" t="str">
        <f>HYPERLINK("#'Constants - Scope 3'!A1", "Constants - Scope 3")</f>
        <v>Constants - Scope 3</v>
      </c>
      <c r="D57" s="106" t="s">
        <v>1468</v>
      </c>
      <c r="E57" s="107" t="s">
        <v>1595</v>
      </c>
      <c r="F57" s="109"/>
      <c r="G57" s="106" t="s">
        <v>347</v>
      </c>
      <c r="H57" s="111" t="s">
        <v>1326</v>
      </c>
      <c r="I57" s="106">
        <f>Fertiliser_FracLEACH_Data</f>
        <v>0.24</v>
      </c>
    </row>
    <row r="58" spans="1:9" ht="20.100000000000001" customHeight="1" x14ac:dyDescent="0.2">
      <c r="A58" s="5" t="str">
        <f>HYPERLINK("#'Constants - Solid Waste'!A1", "Constants - Solid Waste")</f>
        <v>Constants - Solid Waste</v>
      </c>
      <c r="D58" s="106" t="s">
        <v>1470</v>
      </c>
      <c r="E58" s="107" t="s">
        <v>1471</v>
      </c>
      <c r="F58" s="109"/>
      <c r="G58" s="106"/>
      <c r="H58" s="110" t="s">
        <v>1325</v>
      </c>
      <c r="I58" s="106" t="str">
        <f>X_Cell_Site_LeachingZone</f>
        <v>NO - Not in leaching zone</v>
      </c>
    </row>
    <row r="59" spans="1:9" ht="20.100000000000001" customHeight="1" x14ac:dyDescent="0.2">
      <c r="A59" s="5" t="str">
        <f>HYPERLINK("#'Constants - Common'!A1", "Constants - Common")</f>
        <v>Constants - Common</v>
      </c>
      <c r="D59" s="106" t="s">
        <v>1456</v>
      </c>
      <c r="E59" s="107" t="s">
        <v>1457</v>
      </c>
      <c r="F59" s="109"/>
      <c r="G59" s="106"/>
      <c r="H59" s="110" t="s">
        <v>1325</v>
      </c>
      <c r="I59" s="106" t="str">
        <f>X_Cell_Fertiliser_ProductionSystem</f>
        <v>Pasture</v>
      </c>
    </row>
    <row r="60" spans="1:9" ht="20.100000000000001" customHeight="1" x14ac:dyDescent="0.2">
      <c r="A60" s="5" t="str">
        <f>HYPERLINK("#'Acknowledgements'!A1", "Acknowledgements")</f>
        <v>Acknowledgements</v>
      </c>
      <c r="D60" s="106" t="s">
        <v>1472</v>
      </c>
      <c r="E60" s="107" t="s">
        <v>1458</v>
      </c>
      <c r="F60" s="109"/>
      <c r="G60" s="106"/>
      <c r="H60" s="110" t="s">
        <v>1325</v>
      </c>
      <c r="I60" s="106" t="str">
        <f>X_Cell_Fertiliser_IrrigationMethod</f>
        <v>Surface irrigation</v>
      </c>
    </row>
    <row r="62" spans="1:9" ht="20.100000000000001" customHeight="1" x14ac:dyDescent="0.2">
      <c r="D62" s="113" t="s">
        <v>735</v>
      </c>
    </row>
    <row r="63" spans="1:9" ht="20.100000000000001" customHeight="1" x14ac:dyDescent="0.2">
      <c r="D63" s="114" t="s">
        <v>736</v>
      </c>
    </row>
    <row r="64" spans="1:9" ht="20.100000000000001" customHeight="1" x14ac:dyDescent="0.2">
      <c r="D64" s="82" t="s">
        <v>697</v>
      </c>
      <c r="E64" s="176" t="s">
        <v>701</v>
      </c>
      <c r="F64" s="115" t="s">
        <v>737</v>
      </c>
    </row>
    <row r="65" spans="1:11" ht="20.100000000000001" customHeight="1" x14ac:dyDescent="0.2">
      <c r="D65" s="15" t="str">
        <f>INDEX(Table_MNSoil_j_f,2,1)</f>
        <v>Manure - Other</v>
      </c>
      <c r="E65" s="15">
        <f>INDEX(Table_MNSoil_j_f,2,6)</f>
        <v>3000</v>
      </c>
      <c r="F65" s="15">
        <f>(E65 * $I$56 * $I$57)</f>
        <v>720</v>
      </c>
    </row>
    <row r="66" spans="1:11" ht="20.100000000000001" customHeight="1" x14ac:dyDescent="0.2">
      <c r="D66" s="15" t="str">
        <f>INDEX(Table_MNSoil_j_f,3,1)</f>
        <v>Manure - Poultry</v>
      </c>
      <c r="E66" s="15">
        <f>INDEX(Table_MNSoil_j_f,3,6)</f>
        <v>2500</v>
      </c>
      <c r="F66" s="15">
        <f>(E66 * $I$56 * $I$57)</f>
        <v>600</v>
      </c>
    </row>
    <row r="67" spans="1:11" ht="20.100000000000001" customHeight="1" x14ac:dyDescent="0.2">
      <c r="D67" s="15" t="str">
        <f>INDEX(Table_MNSoil_j_f,4,1)</f>
        <v>Other organic fertiliser</v>
      </c>
      <c r="E67" s="15">
        <f>INDEX(Table_MNSoil_j_f,4,6)</f>
        <v>1600</v>
      </c>
      <c r="F67" s="15">
        <f>(E67 * $I$56 * $I$57)</f>
        <v>384</v>
      </c>
    </row>
    <row r="68" spans="1:11" ht="20.100000000000001" customHeight="1" x14ac:dyDescent="0.2">
      <c r="D68" s="15">
        <f>'5.2.1.1-2 Organic Fert N2O'!D23</f>
        <v>0</v>
      </c>
      <c r="E68" s="15">
        <f>'5.2.1.1-2 Organic Fert N2O'!I23</f>
        <v>0</v>
      </c>
      <c r="F68" s="15">
        <f>(E68 * $I$56 * $I$57)</f>
        <v>0</v>
      </c>
    </row>
    <row r="69" spans="1:11" ht="20.100000000000001" customHeight="1" x14ac:dyDescent="0.2">
      <c r="D69" s="15">
        <f>'5.2.1.1-2 Organic Fert N2O'!D24</f>
        <v>0</v>
      </c>
      <c r="E69" s="15">
        <f>'5.2.1.1-2 Organic Fert N2O'!I24</f>
        <v>0</v>
      </c>
      <c r="F69" s="15">
        <f>(E69 * $I$56 * $I$57)</f>
        <v>0</v>
      </c>
    </row>
    <row r="70" spans="1:11" ht="20.100000000000001" customHeight="1" x14ac:dyDescent="0.2">
      <c r="D70" s="15">
        <f>'5.2.1.1-2 Organic Fert N2O'!D25</f>
        <v>0</v>
      </c>
      <c r="E70" s="15">
        <f>'5.2.1.1-2 Organic Fert N2O'!I25</f>
        <v>0</v>
      </c>
      <c r="F70" s="15">
        <f>(E70 * $I$56 * $I$57)</f>
        <v>0</v>
      </c>
    </row>
    <row r="71" spans="1:11" ht="20.100000000000001" customHeight="1" x14ac:dyDescent="0.2">
      <c r="A71" s="85" t="str">
        <f>HYPERLINK("#A1", "▲ Back to top")</f>
        <v>▲ Back to top</v>
      </c>
      <c r="D71" s="15">
        <f>'5.2.1.1-2 Organic Fert N2O'!D26</f>
        <v>0</v>
      </c>
      <c r="E71" s="15">
        <f>'5.2.1.1-2 Organic Fert N2O'!I26</f>
        <v>0</v>
      </c>
      <c r="F71" s="15">
        <f>(E71 * $I$56 * $I$57)</f>
        <v>0</v>
      </c>
    </row>
    <row r="72" spans="1:11" ht="20.100000000000001" customHeight="1" x14ac:dyDescent="0.2">
      <c r="D72" s="15">
        <f>'5.2.1.1-2 Organic Fert N2O'!D27</f>
        <v>0</v>
      </c>
      <c r="E72" s="15">
        <f>'5.2.1.1-2 Organic Fert N2O'!I27</f>
        <v>0</v>
      </c>
      <c r="F72" s="15">
        <f>(E72 * $I$56 * $I$57)</f>
        <v>0</v>
      </c>
    </row>
    <row r="73" spans="1:11" ht="20.100000000000001" customHeight="1" x14ac:dyDescent="0.2">
      <c r="D73" s="15">
        <f>'5.2.1.1-2 Organic Fert N2O'!D28</f>
        <v>0</v>
      </c>
      <c r="E73" s="15">
        <f>'5.2.1.1-2 Organic Fert N2O'!I28</f>
        <v>0</v>
      </c>
      <c r="F73" s="15">
        <f>(E73 * $I$56 * $I$57)</f>
        <v>0</v>
      </c>
    </row>
    <row r="74" spans="1:11" ht="20.100000000000001" customHeight="1" x14ac:dyDescent="0.2">
      <c r="D74" s="15">
        <f>'5.2.1.1-2 Organic Fert N2O'!D29</f>
        <v>0</v>
      </c>
      <c r="E74" s="15">
        <f>'5.2.1.1-2 Organic Fert N2O'!I29</f>
        <v>0</v>
      </c>
      <c r="F74" s="15">
        <f>(E74 * $I$56 * $I$57)</f>
        <v>0</v>
      </c>
    </row>
    <row r="75" spans="1:11" ht="20.100000000000001" customHeight="1" x14ac:dyDescent="0.2">
      <c r="D75" s="15">
        <f>'5.2.1.1-2 Organic Fert N2O'!D30</f>
        <v>0</v>
      </c>
      <c r="E75" s="15">
        <f>'5.2.1.1-2 Organic Fert N2O'!I30</f>
        <v>0</v>
      </c>
      <c r="F75" s="15">
        <f>(E75 * $I$56 * $I$57)</f>
        <v>0</v>
      </c>
    </row>
    <row r="77" spans="1:11" ht="20.100000000000001" customHeight="1" x14ac:dyDescent="0.2">
      <c r="D77" s="94" t="s">
        <v>738</v>
      </c>
      <c r="E77" s="88">
        <f>SUM(F65:F75)</f>
        <v>1704</v>
      </c>
      <c r="F77" s="95" t="str">
        <f>$E$53</f>
        <v>kg N</v>
      </c>
    </row>
    <row r="79" spans="1:11" ht="20.100000000000001" customHeight="1" x14ac:dyDescent="0.2">
      <c r="C79" s="175"/>
      <c r="D79" s="175"/>
      <c r="E79" s="175"/>
      <c r="F79" s="175"/>
      <c r="G79" s="175"/>
      <c r="H79" s="175"/>
      <c r="I79" s="175"/>
      <c r="J79" s="175"/>
      <c r="K79" s="175"/>
    </row>
    <row r="81" spans="4:10" ht="20.100000000000001" customHeight="1" x14ac:dyDescent="0.2">
      <c r="D81" s="2" t="s">
        <v>1600</v>
      </c>
    </row>
    <row r="82" spans="4:10" ht="20.100000000000001" customHeight="1" x14ac:dyDescent="0.2">
      <c r="D82" s="17" t="s">
        <v>1601</v>
      </c>
    </row>
    <row r="83" spans="4:10" ht="20.100000000000001" customHeight="1" x14ac:dyDescent="0.2">
      <c r="D83" s="104"/>
      <c r="E83" s="104"/>
    </row>
    <row r="86" spans="4:10" ht="20.100000000000001" customHeight="1" x14ac:dyDescent="0.2">
      <c r="D86" s="77" t="s">
        <v>374</v>
      </c>
      <c r="E86" s="1" t="s">
        <v>1602</v>
      </c>
    </row>
    <row r="87" spans="4:10" ht="20.100000000000001" customHeight="1" x14ac:dyDescent="0.2">
      <c r="D87" s="77" t="s">
        <v>126</v>
      </c>
      <c r="E87" s="9" t="s">
        <v>12</v>
      </c>
    </row>
    <row r="89" spans="4:10" ht="20.100000000000001" customHeight="1" x14ac:dyDescent="0.2">
      <c r="D89" s="106" t="s">
        <v>1592</v>
      </c>
      <c r="E89" s="107" t="s">
        <v>1603</v>
      </c>
      <c r="F89" s="108"/>
      <c r="G89" s="109"/>
      <c r="H89" s="106" t="s">
        <v>1162</v>
      </c>
      <c r="I89" s="111" t="s">
        <v>1606</v>
      </c>
      <c r="J89" s="106">
        <f>$E$43</f>
        <v>43877.99856</v>
      </c>
    </row>
    <row r="90" spans="4:10" ht="20.100000000000001" customHeight="1" x14ac:dyDescent="0.2">
      <c r="D90" s="106" t="s">
        <v>1598</v>
      </c>
      <c r="E90" s="107" t="s">
        <v>1604</v>
      </c>
      <c r="F90" s="108"/>
      <c r="G90" s="109"/>
      <c r="H90" s="106" t="s">
        <v>1162</v>
      </c>
      <c r="I90" s="111" t="s">
        <v>1607</v>
      </c>
      <c r="J90" s="106">
        <f>$E$77</f>
        <v>1704</v>
      </c>
    </row>
    <row r="91" spans="4:10" ht="20.100000000000001" customHeight="1" x14ac:dyDescent="0.2">
      <c r="D91" s="106" t="s">
        <v>1477</v>
      </c>
      <c r="E91" s="107" t="s">
        <v>1605</v>
      </c>
      <c r="F91" s="108"/>
      <c r="G91" s="109"/>
      <c r="H91" s="106" t="s">
        <v>1462</v>
      </c>
      <c r="I91" s="111" t="s">
        <v>1326</v>
      </c>
      <c r="J91" s="106">
        <f>Fertiliser_EFLeach_Data</f>
        <v>1.0999999999999999E-2</v>
      </c>
    </row>
    <row r="92" spans="4:10" ht="20.100000000000001" customHeight="1" x14ac:dyDescent="0.2">
      <c r="D92" s="106" t="s">
        <v>1454</v>
      </c>
      <c r="E92" s="107" t="s">
        <v>1502</v>
      </c>
      <c r="F92" s="108"/>
      <c r="G92" s="109"/>
      <c r="H92" s="106"/>
      <c r="I92" s="111" t="s">
        <v>1326</v>
      </c>
      <c r="J92" s="117">
        <f>Common_InputFunctions.Utility_LookupValueInTableNumber("N2O",Table_GasToMolecularConversionFactor[Gas],Table_GasToMolecularConversionFactor[Conversion factor combined])</f>
        <v>1.5714285714285714</v>
      </c>
    </row>
    <row r="94" spans="4:10" ht="20.100000000000001" customHeight="1" x14ac:dyDescent="0.2">
      <c r="D94" s="91" t="s">
        <v>739</v>
      </c>
      <c r="E94" s="92">
        <f>((J89 + J90) * J91 * J92 * 10 ^ -3)</f>
        <v>0.78791740368000007</v>
      </c>
      <c r="F94" s="96" t="str">
        <f>$E$87</f>
        <v>t N2O</v>
      </c>
    </row>
    <row r="96" spans="4:10" ht="20.100000000000001" customHeight="1" x14ac:dyDescent="0.2">
      <c r="D96" s="117" t="str" cm="1">
        <f t="array" ref="D96:E97">Common_Equations.Common_ConvertN2OToCO2e_Arguments()</f>
        <v>EN2O</v>
      </c>
      <c r="E96" s="118" t="str">
        <v>Nitrous oxide emissions (t N2O)</v>
      </c>
      <c r="F96" s="119"/>
      <c r="G96" s="15">
        <f>VEERG_5_5_1_1__1_FertiliserLeachingAndRunoffN2OEmissions_Result_Method1</f>
        <v>0.78791740368000007</v>
      </c>
    </row>
    <row r="97" spans="4:7" ht="20.100000000000001" customHeight="1" x14ac:dyDescent="0.2">
      <c r="D97" s="117" t="str">
        <v>GWPN2O</v>
      </c>
      <c r="E97" s="118" t="str">
        <v>Global warming potential for nitrous oxide (t CO2-e / t N2O)</v>
      </c>
      <c r="F97" s="119"/>
      <c r="G97" s="15">
        <f>Common_InputFunctions.Utility_LookupValueInTableNumber("N2O",Table_GWPData[Gas],Table_GWPData[CO2-e factor])</f>
        <v>265</v>
      </c>
    </row>
    <row r="99" spans="4:7" ht="20.100000000000001" customHeight="1" x14ac:dyDescent="0.2">
      <c r="D99" s="88" t="s">
        <v>436</v>
      </c>
      <c r="E99" s="88" cm="1">
        <f t="array" ref="E99">Common_Equations.Common_ConvertN2OToCO2e(G96,G97)</f>
        <v>208.79811197520002</v>
      </c>
      <c r="F99" s="95" t="str" cm="1">
        <f t="array" ref="F99">Common_Equations.Common_ConvertN2OToCO2e_Unit()</f>
        <v>t CO2e</v>
      </c>
    </row>
  </sheetData>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F0A88-B10B-45A5-B49B-5F9ABF07AC4E}">
  <sheetPr>
    <tabColor rgb="FF008000"/>
  </sheetPr>
  <dimension ref="A1:U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21" customFormat="1" ht="30" customHeight="1" x14ac:dyDescent="0.35">
      <c r="A1" s="10" t="e" vm="1">
        <v>#VALUE!</v>
      </c>
      <c r="C1" s="21" t="s">
        <v>999</v>
      </c>
    </row>
    <row r="2" spans="1:21" s="3" customFormat="1" ht="20.100000000000001" customHeight="1" x14ac:dyDescent="0.2">
      <c r="A2"/>
    </row>
    <row r="3" spans="1:21" ht="20.100000000000001" customHeight="1" x14ac:dyDescent="0.2">
      <c r="A3" s="5" t="str">
        <f>HYPERLINK("#'Home'!A1", "Home")</f>
        <v>Home</v>
      </c>
      <c r="C3" s="23"/>
      <c r="D3" s="23" t="s">
        <v>141</v>
      </c>
      <c r="E3" s="23"/>
      <c r="F3" s="23"/>
      <c r="G3" s="23"/>
      <c r="H3" s="23"/>
      <c r="I3" s="23"/>
      <c r="J3" s="23"/>
      <c r="K3" s="23"/>
      <c r="M3" s="23"/>
      <c r="N3" s="23" t="s">
        <v>142</v>
      </c>
      <c r="O3" s="23"/>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1608</v>
      </c>
    </row>
    <row r="6" spans="1:21" ht="20.100000000000001" customHeight="1" x14ac:dyDescent="0.2">
      <c r="D6" s="17" t="s">
        <v>1609</v>
      </c>
    </row>
    <row r="7" spans="1:21" ht="20.100000000000001" customHeight="1" x14ac:dyDescent="0.2">
      <c r="D7" s="104"/>
      <c r="E7" s="104"/>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25" t="s">
        <v>374</v>
      </c>
      <c r="E10" s="1" t="s">
        <v>1610</v>
      </c>
    </row>
    <row r="11" spans="1:21" ht="20.100000000000001" customHeight="1" x14ac:dyDescent="0.2">
      <c r="A11" s="5" t="str">
        <f>HYPERLINK("#'Input - Pasture Beef'!A1", "Pasture Beef")</f>
        <v>Pasture Beef</v>
      </c>
      <c r="D11" s="25" t="s">
        <v>126</v>
      </c>
      <c r="E11" s="9" t="s">
        <v>1162</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06" t="s">
        <v>1611</v>
      </c>
      <c r="E13" s="107" t="s">
        <v>1612</v>
      </c>
      <c r="F13" s="108"/>
      <c r="G13" s="109"/>
      <c r="H13" s="106" t="s">
        <v>1624</v>
      </c>
      <c r="I13" s="110" t="s">
        <v>1325</v>
      </c>
      <c r="J13" s="106">
        <f>X_Cell_Pasture_AreaRemovedOrRenewed</f>
        <v>500</v>
      </c>
      <c r="N13" s="106" t="s">
        <v>1611</v>
      </c>
      <c r="O13" s="107" t="s">
        <v>1612</v>
      </c>
      <c r="P13" s="108"/>
      <c r="Q13" s="109"/>
      <c r="R13" s="106" t="s">
        <v>1624</v>
      </c>
      <c r="S13" s="110" t="s">
        <v>1325</v>
      </c>
      <c r="T13" s="106"/>
    </row>
    <row r="14" spans="1:21" ht="20.100000000000001" customHeight="1" x14ac:dyDescent="0.2">
      <c r="A14" s="5" t="str">
        <f>HYPERLINK("#'Input - Pasture'!A1", "Pasture")</f>
        <v>Pasture</v>
      </c>
      <c r="D14" s="106" t="s">
        <v>1613</v>
      </c>
      <c r="E14" s="107" t="s">
        <v>1614</v>
      </c>
      <c r="F14" s="108"/>
      <c r="G14" s="109"/>
      <c r="H14" s="106" t="s">
        <v>1625</v>
      </c>
      <c r="I14" s="111" t="s">
        <v>1326</v>
      </c>
      <c r="J14" s="106" cm="1">
        <f t="array" ref="J14">Common_InputFunctions.Utility_LookupValueInTableNumber($J$19,Table_SourceData_PastureAttributes[Pasture type],Table_SourceData_PastureAttributes[Average Yield (t DM ha) Yp])</f>
        <v>8.34</v>
      </c>
      <c r="N14" s="106" t="s">
        <v>1613</v>
      </c>
      <c r="O14" s="107" t="s">
        <v>1614</v>
      </c>
      <c r="P14" s="108"/>
      <c r="Q14" s="109"/>
      <c r="R14" s="106" t="s">
        <v>1625</v>
      </c>
      <c r="S14" s="110" t="s">
        <v>1325</v>
      </c>
      <c r="T14" s="106">
        <f>X_Cell_Pasture_YieldPerHectare</f>
        <v>8.34</v>
      </c>
    </row>
    <row r="15" spans="1:21" ht="20.100000000000001" customHeight="1" x14ac:dyDescent="0.2">
      <c r="A15" s="5" t="str">
        <f>HYPERLINK("#'Input - Fert Prod System'!A1", "Fert Prod System")</f>
        <v>Fert Prod System</v>
      </c>
      <c r="D15" s="106" t="s">
        <v>1615</v>
      </c>
      <c r="E15" s="107" t="s">
        <v>1616</v>
      </c>
      <c r="F15" s="108"/>
      <c r="G15" s="109"/>
      <c r="H15" s="106" t="s">
        <v>1626</v>
      </c>
      <c r="I15" s="111" t="s">
        <v>1326</v>
      </c>
      <c r="J15" s="106" cm="1">
        <f t="array" ref="J15">Common_InputFunctions.Utility_LookupValueInTableNumber($J$19,Table_SourceData_PastureAttributes[Pasture type],Table_SourceData_PastureAttributes[N content Above-ground NCAGp])</f>
        <v>2.5000000000000001E-2</v>
      </c>
      <c r="N15" s="106" t="s">
        <v>1615</v>
      </c>
      <c r="O15" s="107" t="s">
        <v>1616</v>
      </c>
      <c r="P15" s="108"/>
      <c r="Q15" s="109"/>
      <c r="R15" s="106" t="s">
        <v>1626</v>
      </c>
      <c r="S15" s="111" t="s">
        <v>1326</v>
      </c>
      <c r="T15" s="106"/>
    </row>
    <row r="16" spans="1:21" ht="20.100000000000001" customHeight="1" x14ac:dyDescent="0.2">
      <c r="A16" s="5" t="str">
        <f>HYPERLINK("#'Input - Fertiliser'!A1", "Fertiliser")</f>
        <v>Fertiliser</v>
      </c>
      <c r="D16" s="106" t="s">
        <v>1617</v>
      </c>
      <c r="E16" s="107" t="s">
        <v>1618</v>
      </c>
      <c r="F16" s="108"/>
      <c r="G16" s="109"/>
      <c r="H16" s="106"/>
      <c r="I16" s="111" t="s">
        <v>1326</v>
      </c>
      <c r="J16" s="106" cm="1">
        <f t="array" ref="J16">Common_InputFunctions.Utility_LookupValueInTableNumber($J$19,Table_SourceData_PastureAttributes[Pasture type],Table_SourceData_PastureAttributes[Below-ground: above-ground residue ratio RBGp])</f>
        <v>0.8</v>
      </c>
      <c r="N16" s="106" t="s">
        <v>1617</v>
      </c>
      <c r="O16" s="107" t="s">
        <v>1618</v>
      </c>
      <c r="P16" s="108"/>
      <c r="Q16" s="109"/>
      <c r="R16" s="106"/>
      <c r="S16" s="111" t="s">
        <v>1326</v>
      </c>
      <c r="T16" s="106"/>
    </row>
    <row r="17" spans="1:21" ht="20.100000000000001" customHeight="1" x14ac:dyDescent="0.2">
      <c r="A17" s="5" t="str">
        <f>HYPERLINK("#'Input - Fuel'!A1", "Fuel")</f>
        <v>Fuel</v>
      </c>
      <c r="D17" s="106" t="s">
        <v>1619</v>
      </c>
      <c r="E17" s="107" t="s">
        <v>1620</v>
      </c>
      <c r="F17" s="108"/>
      <c r="G17" s="109"/>
      <c r="H17" s="106" t="s">
        <v>1626</v>
      </c>
      <c r="I17" s="111" t="s">
        <v>1326</v>
      </c>
      <c r="J17" s="106" cm="1">
        <f t="array" ref="J17">Common_InputFunctions.Utility_LookupValueInTableNumber($J$19,Table_SourceData_PastureAttributes[Pasture type],Table_SourceData_PastureAttributes[N content Below-ground NCBGp])</f>
        <v>1.6E-2</v>
      </c>
      <c r="N17" s="106" t="s">
        <v>1619</v>
      </c>
      <c r="O17" s="107" t="s">
        <v>1620</v>
      </c>
      <c r="P17" s="108"/>
      <c r="Q17" s="109"/>
      <c r="R17" s="106" t="s">
        <v>1626</v>
      </c>
      <c r="S17" s="111" t="s">
        <v>1326</v>
      </c>
      <c r="T17" s="106"/>
    </row>
    <row r="18" spans="1:21" ht="20.100000000000001" customHeight="1" x14ac:dyDescent="0.2">
      <c r="A18" s="5" t="str">
        <f>HYPERLINK("#'Input - Electricity'!A1", "Electricity")</f>
        <v>Electricity</v>
      </c>
      <c r="D18" s="106" t="s">
        <v>1621</v>
      </c>
      <c r="E18" s="107" t="s">
        <v>1622</v>
      </c>
      <c r="F18" s="108"/>
      <c r="G18" s="109"/>
      <c r="H18" s="106" t="s">
        <v>347</v>
      </c>
      <c r="I18" s="111" t="s">
        <v>1326</v>
      </c>
      <c r="J18" s="106" cm="1">
        <f t="array" ref="J18">Common_InputFunctions.Utility_LookupValueInTableNumber($J$19,Table_SourceData_PastureAttributes[Pasture type],Table_SourceData_PastureAttributes[Fraction of pasture yield that is removed FFODp])</f>
        <v>0.8</v>
      </c>
      <c r="N18" s="106" t="s">
        <v>1621</v>
      </c>
      <c r="O18" s="107" t="s">
        <v>1622</v>
      </c>
      <c r="P18" s="108"/>
      <c r="Q18" s="109"/>
      <c r="R18" s="106" t="s">
        <v>347</v>
      </c>
      <c r="S18" s="111" t="s">
        <v>1326</v>
      </c>
      <c r="T18" s="106"/>
    </row>
    <row r="19" spans="1:21" ht="20.100000000000001" customHeight="1" x14ac:dyDescent="0.2">
      <c r="A19" s="5" t="str">
        <f>HYPERLINK("#'Input - Common farm inputs'!A1", "Common farm inputs")</f>
        <v>Common farm inputs</v>
      </c>
      <c r="D19" s="106" t="s">
        <v>1623</v>
      </c>
      <c r="E19" s="107" t="s">
        <v>985</v>
      </c>
      <c r="F19" s="108"/>
      <c r="G19" s="109"/>
      <c r="H19" s="106"/>
      <c r="I19" s="110" t="s">
        <v>1325</v>
      </c>
      <c r="J19" s="106" t="str">
        <f>X_Cell_Pasture_PastureType</f>
        <v>Grass clover mixture</v>
      </c>
      <c r="N19" s="106" t="s">
        <v>1623</v>
      </c>
      <c r="O19" s="107" t="s">
        <v>985</v>
      </c>
      <c r="P19" s="108"/>
      <c r="Q19" s="109"/>
      <c r="R19" s="106"/>
      <c r="S19" s="110" t="s">
        <v>1325</v>
      </c>
      <c r="T19" s="106"/>
    </row>
    <row r="20" spans="1:21" ht="20.100000000000001" customHeight="1" x14ac:dyDescent="0.2">
      <c r="A20" s="5" t="str">
        <f>HYPERLINK("#'Input - Crop pasture farm input'!A1", "Crop pasture farm input")</f>
        <v>Crop pasture farm input</v>
      </c>
    </row>
    <row r="21" spans="1:21" ht="20.100000000000001" customHeight="1" x14ac:dyDescent="0.2">
      <c r="A21" s="5" t="str">
        <f>HYPERLINK("#'Input - Livestock farm Inputs'!A1", "Livestock farm Inputs")</f>
        <v>Livestock farm Inputs</v>
      </c>
      <c r="D21" s="94" t="s">
        <v>1000</v>
      </c>
      <c r="E21" s="88">
        <f>((J13 * (J14 * 10 ^ (-3)) * (1 - J18) * J15) + (J13 * (J14 * 10 ^ (-3)) * J16 * J17))</f>
        <v>7.4226E-2</v>
      </c>
      <c r="F21" s="95" t="s">
        <v>1162</v>
      </c>
      <c r="N21" s="94" t="s">
        <v>1000</v>
      </c>
      <c r="O21" s="88">
        <f>((J13 * (T14 * 10 ^ (-3)) * (1 - J18) * J15) + (J13 * (T14 * 10 ^ (-3)) * J16 * J17))</f>
        <v>7.4226E-2</v>
      </c>
      <c r="P21" s="95" t="s">
        <v>1162</v>
      </c>
    </row>
    <row r="22" spans="1:21" ht="20.100000000000001" customHeight="1" x14ac:dyDescent="0.2">
      <c r="A22" s="5" t="str">
        <f>HYPERLINK("#'Input - Freight'!A1", "Freight")</f>
        <v>Freight</v>
      </c>
    </row>
    <row r="23" spans="1:21" ht="20.100000000000001" customHeight="1" x14ac:dyDescent="0.2">
      <c r="A23" s="5" t="str">
        <f>HYPERLINK("#'Input - Solid waste'!A1", "Solid waste")</f>
        <v>Solid waste</v>
      </c>
    </row>
    <row r="24" spans="1:21" ht="20.100000000000001" customHeight="1" x14ac:dyDescent="0.2">
      <c r="A24" s="5" t="str">
        <f>HYPERLINK("#'Input - Manure sent off-site'!A1", "Manure sent off-site")</f>
        <v>Manure sent off-site</v>
      </c>
      <c r="C24" s="88"/>
      <c r="D24" s="88"/>
      <c r="E24" s="88"/>
      <c r="F24" s="88"/>
      <c r="G24" s="88"/>
      <c r="H24" s="88"/>
      <c r="I24" s="88"/>
      <c r="J24" s="88"/>
      <c r="K24" s="88"/>
      <c r="M24" s="88"/>
      <c r="N24" s="88"/>
      <c r="O24" s="88"/>
      <c r="P24" s="88"/>
      <c r="Q24" s="88"/>
      <c r="R24" s="88"/>
      <c r="S24" s="88"/>
      <c r="T24" s="88"/>
      <c r="U24" s="88"/>
    </row>
    <row r="25" spans="1:21" ht="20.100000000000001" customHeight="1" x14ac:dyDescent="0.2">
      <c r="A25" s="5" t="str">
        <f>HYPERLINK("#'Input - Data quality'!A1", "Data quality")</f>
        <v>Data quality</v>
      </c>
      <c r="D25" s="2" t="s">
        <v>1627</v>
      </c>
      <c r="N25" s="2" t="s">
        <v>1627</v>
      </c>
    </row>
    <row r="26" spans="1:21" ht="20.100000000000001" customHeight="1" x14ac:dyDescent="0.2">
      <c r="D26" s="17" t="s">
        <v>1628</v>
      </c>
      <c r="N26" s="17" t="s">
        <v>1628</v>
      </c>
    </row>
    <row r="27" spans="1:21" ht="20.100000000000001" customHeight="1" x14ac:dyDescent="0.2">
      <c r="D27" s="104"/>
      <c r="E27" s="104"/>
      <c r="N27" s="104"/>
      <c r="O27" s="104"/>
    </row>
    <row r="28" spans="1:21" ht="20.100000000000001" customHeight="1" x14ac:dyDescent="0.2">
      <c r="A28" s="6" t="s">
        <v>2</v>
      </c>
    </row>
    <row r="29" spans="1:21" ht="20.100000000000001" customHeight="1" x14ac:dyDescent="0.2">
      <c r="A29" s="5" t="str">
        <f>HYPERLINK("#'3.2.1.1-2 Enteric Methane'!A1", "3.2.1.1-2 Enteric Methane")</f>
        <v>3.2.1.1-2 Enteric Methane</v>
      </c>
    </row>
    <row r="30" spans="1:21" ht="20.100000000000001" customHeight="1" x14ac:dyDescent="0.2">
      <c r="A30" s="5" t="str">
        <f>HYPERLINK("#'4.2.1.1-2 Methane'!A1", "4.2.1.1-2 Manure methane")</f>
        <v>4.2.1.1-2 Manure methane</v>
      </c>
      <c r="D30" s="25" t="s">
        <v>374</v>
      </c>
      <c r="E30" s="1" t="s">
        <v>1629</v>
      </c>
      <c r="N30" s="25" t="s">
        <v>374</v>
      </c>
      <c r="O30" s="1" t="s">
        <v>1629</v>
      </c>
    </row>
    <row r="31" spans="1:21" ht="20.100000000000001" customHeight="1" x14ac:dyDescent="0.2">
      <c r="A31" s="5" t="str">
        <f>HYPERLINK("#'4.2.1.3-4 Soil direct N20'!A1", "4.2.1.3-4 Soil direct N2O")</f>
        <v>4.2.1.3-4 Soil direct N2O</v>
      </c>
      <c r="D31" s="25" t="s">
        <v>126</v>
      </c>
      <c r="E31" s="9" t="s">
        <v>12</v>
      </c>
      <c r="N31" s="25" t="s">
        <v>126</v>
      </c>
      <c r="O31" s="9" t="s">
        <v>12</v>
      </c>
    </row>
    <row r="32" spans="1:21" ht="20.100000000000001" customHeight="1" x14ac:dyDescent="0.2">
      <c r="A32" s="5" t="str">
        <f>HYPERLINK("#'4.2.1.5-6 Soil Atmos Dep'!A1", "4.2.1.5-6 Soil atm. deposition")</f>
        <v>4.2.1.5-6 Soil atm. deposition</v>
      </c>
    </row>
    <row r="33" spans="1:20" ht="20.100000000000001" customHeight="1" x14ac:dyDescent="0.2">
      <c r="A33" s="5" t="str">
        <f>HYPERLINK("#'4.2.1.7-8 Soil leach runoff'!A1", "4.2.1.7-8 Soil leach &amp; runoff")</f>
        <v>4.2.1.7-8 Soil leach &amp; runoff</v>
      </c>
      <c r="D33" s="106" t="s">
        <v>1630</v>
      </c>
      <c r="E33" s="107" t="s">
        <v>1631</v>
      </c>
      <c r="F33" s="108"/>
      <c r="G33" s="109"/>
      <c r="H33" s="106" t="s">
        <v>1162</v>
      </c>
      <c r="I33" s="111" t="s">
        <v>1634</v>
      </c>
      <c r="J33" s="106">
        <f>$E$21</f>
        <v>7.4226E-2</v>
      </c>
      <c r="N33" s="106" t="s">
        <v>1630</v>
      </c>
      <c r="O33" s="107" t="s">
        <v>1631</v>
      </c>
      <c r="P33" s="108"/>
      <c r="Q33" s="109"/>
      <c r="R33" s="106" t="s">
        <v>1162</v>
      </c>
      <c r="S33" s="111" t="s">
        <v>1634</v>
      </c>
      <c r="T33" s="106">
        <f>$O$21</f>
        <v>7.4226E-2</v>
      </c>
    </row>
    <row r="34" spans="1:20" ht="20.100000000000001" customHeight="1" x14ac:dyDescent="0.2">
      <c r="A34" s="5" t="str">
        <f>HYPERLINK("#'5.1.1.1-2 Inorganic fert N2O'!A1", "5.1.1.1-2 Inorganic fert N2O")</f>
        <v>5.1.1.1-2 Inorganic fert N2O</v>
      </c>
      <c r="D34" s="106" t="s">
        <v>1632</v>
      </c>
      <c r="E34" s="107" t="s">
        <v>1633</v>
      </c>
      <c r="F34" s="108"/>
      <c r="G34" s="109"/>
      <c r="H34" s="106" t="s">
        <v>1462</v>
      </c>
      <c r="I34" s="111" t="s">
        <v>1326</v>
      </c>
      <c r="J34" s="106" cm="1">
        <f t="array" ref="J34">Common_InputFunctions.Utility_LookupValueInTableNumber(J37,Table_SourceData_N2OEFOrganicFert[Climate zone type i],Table_SourceData_N2OEFOrganicFert[EF i N2O])</f>
        <v>5.0000000000000001E-3</v>
      </c>
      <c r="N34" s="106" t="s">
        <v>1632</v>
      </c>
      <c r="O34" s="107" t="s">
        <v>1633</v>
      </c>
      <c r="P34" s="108"/>
      <c r="Q34" s="109"/>
      <c r="R34" s="106" t="s">
        <v>1462</v>
      </c>
      <c r="S34" s="111" t="s">
        <v>1326</v>
      </c>
      <c r="T34" s="106"/>
    </row>
    <row r="35" spans="1:20" ht="20.100000000000001" customHeight="1" x14ac:dyDescent="0.2">
      <c r="A35" s="5" t="str">
        <f>HYPERLINK("#'5.1.1.3-4 Inorganic fert CO2'!A1", "5.1.1.3-4 Inorganic fert CO2")</f>
        <v>5.1.1.3-4 Inorganic fert CO2</v>
      </c>
      <c r="D35" s="106" t="s">
        <v>1454</v>
      </c>
      <c r="E35" s="107" t="s">
        <v>1502</v>
      </c>
      <c r="F35" s="108"/>
      <c r="G35" s="109"/>
      <c r="H35" s="106" t="s">
        <v>1635</v>
      </c>
      <c r="I35" s="111" t="s">
        <v>1326</v>
      </c>
      <c r="J35" s="106">
        <f>Common_InputFunctions.Utility_LookupValueInTableNumber("N2O",Table_GasToMolecularConversionFactor[Gas],Table_GasToMolecularConversionFactor[Conversion factor combined])</f>
        <v>1.5714285714285714</v>
      </c>
      <c r="N35" s="106" t="s">
        <v>1454</v>
      </c>
      <c r="O35" s="107" t="s">
        <v>1502</v>
      </c>
      <c r="P35" s="108"/>
      <c r="Q35" s="109"/>
      <c r="R35" s="106" t="s">
        <v>1635</v>
      </c>
      <c r="S35" s="111" t="s">
        <v>1326</v>
      </c>
      <c r="T35" s="106"/>
    </row>
    <row r="36" spans="1:20" ht="20.100000000000001" customHeight="1" x14ac:dyDescent="0.2">
      <c r="A36" s="5" t="str">
        <f>HYPERLINK("#'5.2.1.1-2 Organic Fert N2O'!A1", "5.2.1.1-2 Organic fert N2O")</f>
        <v>5.2.1.1-2 Organic fert N2O</v>
      </c>
      <c r="D36" s="106" t="s">
        <v>1623</v>
      </c>
      <c r="E36" s="107" t="s">
        <v>985</v>
      </c>
      <c r="F36" s="108"/>
      <c r="G36" s="109"/>
      <c r="H36" s="106"/>
      <c r="I36" s="110" t="s">
        <v>1325</v>
      </c>
      <c r="J36" s="106" t="str">
        <f>X_Cell_Pasture_PastureType</f>
        <v>Grass clover mixture</v>
      </c>
      <c r="N36" s="106" t="s">
        <v>1623</v>
      </c>
      <c r="O36" s="107" t="s">
        <v>985</v>
      </c>
      <c r="P36" s="108"/>
      <c r="Q36" s="109"/>
      <c r="R36" s="106"/>
      <c r="S36" s="110" t="s">
        <v>1325</v>
      </c>
      <c r="T36" s="106"/>
    </row>
    <row r="37" spans="1:20" ht="20.100000000000001" customHeight="1" x14ac:dyDescent="0.2">
      <c r="A37" s="5" t="str">
        <f>HYPERLINK("#'5.3.1.1-2 Lime CO2'!A1", "5.3.1.1-2 Lime CO2")</f>
        <v>5.3.1.1-2 Lime CO2</v>
      </c>
      <c r="D37" s="106" t="s">
        <v>1373</v>
      </c>
      <c r="E37" s="107" t="s">
        <v>123</v>
      </c>
      <c r="F37" s="108"/>
      <c r="G37" s="109"/>
      <c r="H37" s="106"/>
      <c r="I37" s="110" t="s">
        <v>1325</v>
      </c>
      <c r="J37" s="106" t="str">
        <f>X_Cell_Site_WetOrDryClimateZone</f>
        <v>Dry climate zone</v>
      </c>
      <c r="N37" s="106" t="s">
        <v>1373</v>
      </c>
      <c r="O37" s="107" t="s">
        <v>123</v>
      </c>
      <c r="P37" s="108"/>
      <c r="Q37" s="109"/>
      <c r="R37" s="106"/>
      <c r="S37" s="110" t="s">
        <v>1325</v>
      </c>
      <c r="T37" s="106"/>
    </row>
    <row r="38" spans="1:20" ht="20.100000000000001" customHeight="1" x14ac:dyDescent="0.2">
      <c r="A38" s="5" t="str">
        <f>HYPERLINK("#'5.4.1.1-4 Atmos deposition'!A1", "5.4.1.1-4 Atmos. deposition")</f>
        <v>5.4.1.1-4 Atmos. deposition</v>
      </c>
    </row>
    <row r="39" spans="1:20" ht="20.100000000000001" customHeight="1" x14ac:dyDescent="0.2">
      <c r="A39" s="5" t="str">
        <f>HYPERLINK("#'5.5.1.1-2 Leaching and runoff'!A1", "5.5.1.1-2 Leaching &amp; runoff")</f>
        <v>5.5.1.1-2 Leaching &amp; runoff</v>
      </c>
    </row>
    <row r="40" spans="1:20" ht="20.100000000000001" customHeight="1" x14ac:dyDescent="0.2">
      <c r="A40" s="105" t="str">
        <f>HYPERLINK("#'6.2.1.1-2 Pasture residue N2O'!A1", "6.2.1.1-2 Pasture residue N2O")</f>
        <v>6.2.1.1-2 Pasture residue N2O</v>
      </c>
      <c r="D40" s="91" t="s">
        <v>676</v>
      </c>
      <c r="E40" s="92">
        <f>((J33 * J34) * J35 * 10 ^ (-3))</f>
        <v>5.8320428571428569E-7</v>
      </c>
      <c r="F40" s="96" t="s">
        <v>12</v>
      </c>
      <c r="N40" s="91" t="s">
        <v>676</v>
      </c>
      <c r="O40" s="92">
        <f>((T33 * J34) * J35 * 10 ^ (-3))</f>
        <v>5.8320428571428569E-7</v>
      </c>
      <c r="P40" s="96" t="s">
        <v>12</v>
      </c>
    </row>
    <row r="41" spans="1:20" ht="20.100000000000001" customHeight="1" x14ac:dyDescent="0.2">
      <c r="A41" s="5" t="str">
        <f>HYPERLINK("#'6.3.1.1-2 Leach runoff pasture'!A1", "6.3.1.1-2 Leach &amp; runoff (pasture)")</f>
        <v>6.3.1.1-2 Leach &amp; runoff (pasture)</v>
      </c>
    </row>
    <row r="42" spans="1:20" ht="20.100000000000001" customHeight="1" x14ac:dyDescent="0.2">
      <c r="A42" s="5" t="str">
        <f>HYPERLINK("#'8.1.1.1-2 Transport fuel'!A1", "8.1.1.1-2 Transport fuel")</f>
        <v>8.1.1.1-2 Transport fuel</v>
      </c>
      <c r="D42" s="117" t="str" cm="1">
        <f t="array" ref="D42:E43">Common_Equations.Common_ConvertN2OToCO2e_Arguments()</f>
        <v>EN2O</v>
      </c>
      <c r="E42" s="118" t="str">
        <v>Nitrous oxide emissions (t N2O)</v>
      </c>
      <c r="F42" s="162"/>
      <c r="G42" s="117">
        <f>VEERG_6_2_1_1__1__NitrousOxideEmissionsFromPastureResidues_Result_Method1</f>
        <v>5.8320428571428569E-7</v>
      </c>
      <c r="N42" s="117" t="str" cm="1">
        <f t="array" ref="N42:O43">Common_Equations.Common_ConvertN2OToCO2e_Arguments()</f>
        <v>EN2O</v>
      </c>
      <c r="O42" s="118" t="str">
        <v>Nitrous oxide emissions (t N2O)</v>
      </c>
      <c r="P42" s="162"/>
      <c r="Q42" s="117">
        <f>VEERG_6_2_1_1__1__NitrousOxideEmissionsFromPastureResidues_Result_Method2</f>
        <v>5.8320428571428569E-7</v>
      </c>
    </row>
    <row r="43" spans="1:20" ht="20.100000000000001" customHeight="1" x14ac:dyDescent="0.2">
      <c r="A43" s="5" t="str">
        <f>HYPERLINK("#'8.2.1.1-2 Stationary fuel'!A1", "8.2.1.1-2 Stationary fuel")</f>
        <v>8.2.1.1-2 Stationary fuel</v>
      </c>
      <c r="D43" s="117" t="str">
        <v>GWPN2O</v>
      </c>
      <c r="E43" s="118" t="str">
        <v>Global warming potential for nitrous oxide (t CO2-e / t N2O)</v>
      </c>
      <c r="F43" s="162"/>
      <c r="G43" s="15">
        <f>Common_InputFunctions.Utility_LookupValueInTableNumber("N2O",Table_GWPData[Gas],Table_GWPData[CO2-e factor])</f>
        <v>265</v>
      </c>
      <c r="N43" s="117" t="str">
        <v>GWPN2O</v>
      </c>
      <c r="O43" s="118" t="str">
        <v>Global warming potential for nitrous oxide (t CO2-e / t N2O)</v>
      </c>
      <c r="P43" s="162"/>
      <c r="Q43" s="15">
        <f>Common_InputFunctions.Utility_LookupValueInTableNumber("N2O",Table_GWPData[Gas],Table_GWPData[CO2-e factor])</f>
        <v>265</v>
      </c>
    </row>
    <row r="44" spans="1:20" ht="20.100000000000001" customHeight="1" x14ac:dyDescent="0.2">
      <c r="A44" s="5" t="str">
        <f>HYPERLINK("#'10.1.1-2 Solid waste treatment'!A1", "10.1.1.1-2 Solid waste")</f>
        <v>10.1.1.1-2 Solid waste</v>
      </c>
    </row>
    <row r="45" spans="1:20" ht="20.100000000000001" customHeight="1" x14ac:dyDescent="0.2">
      <c r="A45" s="5" t="str">
        <f>HYPERLINK("#'14.1.1-2 Purchased electricity'!A1", "14.1.1-2 Purchased electricity")</f>
        <v>14.1.1-2 Purchased electricity</v>
      </c>
      <c r="D45" s="1" t="s">
        <v>1001</v>
      </c>
      <c r="E45" s="1" cm="1">
        <f t="array" ref="E45">Common_Equations.Common_ConvertN2OToCO2e(G42,G43)</f>
        <v>1.545491357142857E-4</v>
      </c>
      <c r="F45" s="9" t="str" cm="1">
        <f t="array" ref="F45">Common_Equations.Common_ConvertN2OToCO2e_Unit()</f>
        <v>t CO2e</v>
      </c>
      <c r="N45" s="1" t="s">
        <v>1001</v>
      </c>
      <c r="O45" s="1" cm="1">
        <f t="array" ref="O45">Common_Equations.Common_ConvertN2OToCO2e(Q42,Q43)</f>
        <v>1.545491357142857E-4</v>
      </c>
      <c r="P45" s="9" t="str" cm="1">
        <f t="array" ref="P45">Common_Equations.Common_ConvertN2OToCO2e_Unit()</f>
        <v>t CO2e</v>
      </c>
    </row>
    <row r="46" spans="1:20" ht="20.100000000000001" customHeight="1" x14ac:dyDescent="0.2">
      <c r="A46" s="5" t="str">
        <f>HYPERLINK("#'15 Scope 3'!A1", "15 Scope 3")</f>
        <v>15 Scope 3</v>
      </c>
    </row>
    <row r="47" spans="1:20"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F17B3-356E-4E5F-BFC9-72B9627BF945}">
  <sheetPr>
    <tabColor rgb="FF008000"/>
  </sheetPr>
  <dimension ref="A1:T61"/>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1002</v>
      </c>
    </row>
    <row r="2" spans="1:20" s="3" customFormat="1" ht="20.100000000000001" customHeight="1" x14ac:dyDescent="0.2">
      <c r="A2"/>
    </row>
    <row r="3" spans="1:20" ht="20.100000000000001" customHeight="1" x14ac:dyDescent="0.2">
      <c r="A3" s="5" t="str">
        <f>HYPERLINK("#'Home'!A1", "Home")</f>
        <v>Home</v>
      </c>
      <c r="C3" s="23"/>
      <c r="D3" s="23" t="s">
        <v>141</v>
      </c>
      <c r="E3" s="23"/>
      <c r="F3" s="23"/>
      <c r="G3" s="23"/>
      <c r="H3" s="23"/>
      <c r="I3" s="23"/>
      <c r="J3" s="23"/>
      <c r="K3" s="23"/>
      <c r="M3" s="23"/>
      <c r="N3" s="23" t="s">
        <v>142</v>
      </c>
      <c r="O3" s="23"/>
      <c r="P3" s="23"/>
      <c r="Q3" s="23"/>
      <c r="R3" s="23"/>
      <c r="S3" s="23"/>
      <c r="T3" s="23"/>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Emissions Intensity")</f>
        <v>Results - Product Emissions Intensity</v>
      </c>
      <c r="C5" s="8"/>
      <c r="D5" s="2" t="s">
        <v>1636</v>
      </c>
      <c r="E5" s="8"/>
      <c r="F5" s="8"/>
      <c r="G5" s="8"/>
      <c r="H5" s="8"/>
      <c r="I5" s="8"/>
      <c r="J5" s="8"/>
      <c r="K5" s="8"/>
    </row>
    <row r="6" spans="1:20" ht="20.100000000000001" customHeight="1" x14ac:dyDescent="0.2">
      <c r="C6" s="8"/>
      <c r="D6" s="17" t="s">
        <v>1637</v>
      </c>
      <c r="E6" s="8"/>
      <c r="F6" s="8"/>
      <c r="G6" s="8"/>
      <c r="H6" s="8"/>
      <c r="I6" s="8"/>
      <c r="J6" s="8"/>
      <c r="K6" s="8"/>
    </row>
    <row r="7" spans="1:20" ht="20.100000000000001" customHeight="1" x14ac:dyDescent="0.2">
      <c r="C7" s="8"/>
      <c r="D7" s="104"/>
      <c r="E7" s="104"/>
      <c r="F7" s="104"/>
      <c r="G7" s="8"/>
      <c r="H7" s="8"/>
      <c r="I7" s="8"/>
      <c r="J7" s="8"/>
      <c r="K7" s="8"/>
    </row>
    <row r="8" spans="1:20" ht="20.100000000000001" customHeight="1" x14ac:dyDescent="0.2">
      <c r="A8" s="7" t="s">
        <v>0</v>
      </c>
      <c r="C8" s="8"/>
      <c r="F8" s="8"/>
      <c r="G8" s="8"/>
      <c r="H8" s="8"/>
      <c r="I8" s="8"/>
      <c r="J8" s="8"/>
      <c r="K8" s="8"/>
    </row>
    <row r="9" spans="1:20" ht="20.100000000000001" customHeight="1" x14ac:dyDescent="0.2">
      <c r="A9" s="5" t="str">
        <f>HYPERLINK("#'Input - Enterprise'!A1", "Enterprise")</f>
        <v>Enterprise</v>
      </c>
      <c r="C9" s="8"/>
      <c r="D9" s="8"/>
      <c r="E9" s="8"/>
      <c r="F9" s="8"/>
      <c r="G9" s="8"/>
      <c r="H9" s="8"/>
      <c r="I9" s="8"/>
      <c r="J9" s="8"/>
      <c r="K9" s="8"/>
    </row>
    <row r="10" spans="1:20" ht="20.100000000000001" customHeight="1" x14ac:dyDescent="0.2">
      <c r="A10" s="5" t="str">
        <f>HYPERLINK("#'Input - Site'!A1", "Site")</f>
        <v>Site</v>
      </c>
      <c r="C10" s="8"/>
      <c r="D10" s="60" t="s">
        <v>374</v>
      </c>
      <c r="E10" s="8" t="s">
        <v>1011</v>
      </c>
      <c r="F10" s="8"/>
      <c r="G10" s="17"/>
      <c r="H10" s="8"/>
      <c r="I10" s="8"/>
      <c r="J10" s="8"/>
      <c r="K10" s="8"/>
    </row>
    <row r="11" spans="1:20" ht="20.100000000000001" customHeight="1" x14ac:dyDescent="0.2">
      <c r="A11" s="5" t="str">
        <f>HYPERLINK("#'Input - Pasture Beef'!A1", "Pasture Beef")</f>
        <v>Pasture Beef</v>
      </c>
      <c r="C11" s="8"/>
      <c r="D11" s="60" t="s">
        <v>126</v>
      </c>
      <c r="E11" s="9" t="s">
        <v>1162</v>
      </c>
      <c r="F11" s="8"/>
      <c r="G11" s="8"/>
      <c r="H11" s="8"/>
      <c r="I11" s="8"/>
      <c r="J11" s="8"/>
      <c r="K11" s="8"/>
    </row>
    <row r="12" spans="1:20" ht="20.100000000000001" customHeight="1" x14ac:dyDescent="0.2">
      <c r="A12" s="5" t="str">
        <f>HYPERLINK("#'Input - Livestock sales'!A1", "Livestock sales")</f>
        <v>Livestock sales</v>
      </c>
      <c r="C12" s="8"/>
      <c r="D12" s="8"/>
      <c r="E12" s="8"/>
      <c r="F12" s="8"/>
      <c r="G12" s="8"/>
      <c r="H12" s="8"/>
      <c r="I12" s="8"/>
      <c r="J12" s="8"/>
      <c r="K12" s="8"/>
    </row>
    <row r="13" spans="1:20" ht="20.100000000000001" customHeight="1" x14ac:dyDescent="0.2">
      <c r="A13" s="5" t="str">
        <f>HYPERLINK("#'Input - Beef cattle purchases'!A1", "Beef cattle purchases")</f>
        <v>Beef cattle purchases</v>
      </c>
      <c r="C13" s="8"/>
      <c r="D13" s="106" t="s">
        <v>1008</v>
      </c>
      <c r="E13" s="107" t="s">
        <v>1638</v>
      </c>
      <c r="F13" s="108"/>
      <c r="G13" s="109"/>
      <c r="H13" s="106" t="s">
        <v>1162</v>
      </c>
      <c r="I13" s="111" t="s">
        <v>1644</v>
      </c>
      <c r="J13" s="112" t="str" cm="1">
        <f t="array" aca="1" ref="J13" ca="1">HYPERLINK(Common_InputFunctions.Utility_SourceHyperlink($D$21), $D$21)</f>
        <v>M1_Table_M_leach_cp</v>
      </c>
      <c r="K13" s="8"/>
    </row>
    <row r="14" spans="1:20" ht="20.100000000000001" customHeight="1" x14ac:dyDescent="0.2">
      <c r="A14" s="5" t="str">
        <f>HYPERLINK("#'Input - Pasture'!A1", "Pasture")</f>
        <v>Pasture</v>
      </c>
      <c r="C14" s="8"/>
      <c r="D14" s="106" t="s">
        <v>1010</v>
      </c>
      <c r="E14" s="107" t="s">
        <v>1639</v>
      </c>
      <c r="F14" s="108"/>
      <c r="G14" s="109"/>
      <c r="H14" s="106" t="s">
        <v>347</v>
      </c>
      <c r="I14" s="111" t="s">
        <v>1326</v>
      </c>
      <c r="J14" s="112" t="str" cm="1">
        <f t="array" aca="1" ref="J14" ca="1">HYPERLINK(Common_InputFunctions.Utility_SourceHyperlink($D$21), $D$21)</f>
        <v>M1_Table_M_leach_cp</v>
      </c>
      <c r="K14" s="8"/>
    </row>
    <row r="15" spans="1:20" ht="20.100000000000001" customHeight="1" x14ac:dyDescent="0.2">
      <c r="A15" s="5" t="str">
        <f>HYPERLINK("#'Input - Fert Prod System'!A1", "Fert Prod System")</f>
        <v>Fert Prod System</v>
      </c>
      <c r="C15" s="8"/>
      <c r="D15" s="106" t="s">
        <v>1468</v>
      </c>
      <c r="E15" s="107" t="s">
        <v>1595</v>
      </c>
      <c r="F15" s="108"/>
      <c r="G15" s="109"/>
      <c r="H15" s="106" t="s">
        <v>347</v>
      </c>
      <c r="I15" s="111" t="s">
        <v>1326</v>
      </c>
      <c r="J15" s="106">
        <f>'Constants - Common'!$E$164</f>
        <v>0.24</v>
      </c>
      <c r="K15" s="8"/>
    </row>
    <row r="16" spans="1:20" ht="20.100000000000001" customHeight="1" x14ac:dyDescent="0.2">
      <c r="A16" s="5" t="str">
        <f>HYPERLINK("#'Input - Fertiliser'!A1", "Fertiliser")</f>
        <v>Fertiliser</v>
      </c>
      <c r="C16" s="8"/>
      <c r="D16" s="106" t="s">
        <v>1470</v>
      </c>
      <c r="E16" s="107" t="s">
        <v>1640</v>
      </c>
      <c r="F16" s="108"/>
      <c r="G16" s="109"/>
      <c r="H16" s="106"/>
      <c r="I16" s="110" t="s">
        <v>1325</v>
      </c>
      <c r="J16" s="112" t="str" cm="1">
        <f t="array" aca="1" ref="J16" ca="1">HYPERLINK(Common_InputFunctions.Utility_SourceHyperlink($D$21), $D$21)</f>
        <v>M1_Table_M_leach_cp</v>
      </c>
      <c r="K16" s="8"/>
    </row>
    <row r="17" spans="1:20" ht="20.100000000000001" customHeight="1" x14ac:dyDescent="0.2">
      <c r="A17" s="5" t="str">
        <f>HYPERLINK("#'Input - Fuel'!A1", "Fuel")</f>
        <v>Fuel</v>
      </c>
      <c r="C17" s="8"/>
      <c r="D17" s="106" t="s">
        <v>1514</v>
      </c>
      <c r="E17" s="107" t="s">
        <v>1641</v>
      </c>
      <c r="F17" s="108"/>
      <c r="G17" s="109"/>
      <c r="H17" s="106"/>
      <c r="I17" s="110" t="s">
        <v>1325</v>
      </c>
      <c r="J17" s="106" t="s">
        <v>135</v>
      </c>
      <c r="K17" s="8"/>
    </row>
    <row r="18" spans="1:20" ht="20.100000000000001" customHeight="1" x14ac:dyDescent="0.2">
      <c r="A18" s="5" t="str">
        <f>HYPERLINK("#'Input - Electricity'!A1", "Electricity")</f>
        <v>Electricity</v>
      </c>
      <c r="C18" s="8"/>
      <c r="D18" s="106" t="s">
        <v>1623</v>
      </c>
      <c r="E18" s="107" t="s">
        <v>1642</v>
      </c>
      <c r="F18" s="108"/>
      <c r="G18" s="109"/>
      <c r="H18" s="106"/>
      <c r="I18" s="110" t="s">
        <v>1325</v>
      </c>
      <c r="J18" s="106" t="str">
        <f>X_Cell_Pasture_PastureType</f>
        <v>Grass clover mixture</v>
      </c>
      <c r="K18" s="8"/>
    </row>
    <row r="19" spans="1:20" ht="20.100000000000001" customHeight="1" x14ac:dyDescent="0.2">
      <c r="A19" s="5" t="str">
        <f>HYPERLINK("#'Input - Common farm inputs'!A1", "Common farm inputs")</f>
        <v>Common farm inputs</v>
      </c>
      <c r="C19" s="8"/>
      <c r="D19" s="106" t="s">
        <v>1472</v>
      </c>
      <c r="E19" s="107" t="s">
        <v>1643</v>
      </c>
      <c r="F19" s="108"/>
      <c r="G19" s="109"/>
      <c r="H19" s="106"/>
      <c r="I19" s="110" t="s">
        <v>1325</v>
      </c>
      <c r="J19" s="112" t="str" cm="1">
        <f t="array" aca="1" ref="J19" ca="1">HYPERLINK(Common_InputFunctions.Utility_SourceHyperlink($D$21), $D$21)</f>
        <v>M1_Table_M_leach_cp</v>
      </c>
      <c r="K19" s="8"/>
    </row>
    <row r="20" spans="1:20" ht="20.100000000000001" customHeight="1" x14ac:dyDescent="0.2">
      <c r="A20" s="5" t="str">
        <f>HYPERLINK("#'Input - Crop pasture farm input'!A1", "Crop pasture farm input")</f>
        <v>Crop pasture farm input</v>
      </c>
      <c r="C20" s="8"/>
      <c r="D20" s="8"/>
      <c r="E20" s="8"/>
      <c r="F20" s="8"/>
      <c r="G20" s="8"/>
      <c r="H20" s="8"/>
      <c r="I20" s="8"/>
      <c r="J20" s="8"/>
      <c r="K20" s="8"/>
    </row>
    <row r="21" spans="1:20" ht="20.100000000000001" customHeight="1" x14ac:dyDescent="0.2">
      <c r="A21" s="5" t="str">
        <f>HYPERLINK("#'Input - Livestock farm Inputs'!A1", "Livestock farm Inputs")</f>
        <v>Livestock farm Inputs</v>
      </c>
      <c r="C21" s="8"/>
      <c r="D21" s="113" t="s">
        <v>1003</v>
      </c>
      <c r="E21" s="8"/>
      <c r="F21" s="8"/>
      <c r="G21" s="8"/>
      <c r="H21" s="8"/>
      <c r="I21" s="8"/>
      <c r="J21" s="8"/>
      <c r="K21" s="8"/>
      <c r="N21" s="113" t="s">
        <v>1004</v>
      </c>
      <c r="O21" s="8"/>
      <c r="P21" s="8"/>
      <c r="Q21" s="8"/>
      <c r="R21" s="8"/>
      <c r="S21" s="8"/>
    </row>
    <row r="22" spans="1:20" ht="20.100000000000001" customHeight="1" x14ac:dyDescent="0.2">
      <c r="A22" s="5" t="str">
        <f>HYPERLINK("#'Input - Freight'!A1", "Freight")</f>
        <v>Freight</v>
      </c>
      <c r="C22" s="8"/>
      <c r="D22" s="114" t="s">
        <v>1005</v>
      </c>
      <c r="E22" s="8"/>
      <c r="F22" s="8"/>
      <c r="G22" s="8"/>
      <c r="H22" s="8"/>
      <c r="I22" s="8"/>
      <c r="J22" s="8"/>
      <c r="K22" s="8"/>
      <c r="N22" s="114" t="s">
        <v>1006</v>
      </c>
      <c r="O22" s="8"/>
      <c r="P22" s="8"/>
      <c r="Q22" s="8"/>
      <c r="R22" s="8"/>
      <c r="S22" s="8"/>
    </row>
    <row r="23" spans="1:20" ht="20.100000000000001" customHeight="1" x14ac:dyDescent="0.2">
      <c r="A23" s="5" t="str">
        <f>HYPERLINK("#'Input - Solid waste'!A1", "Solid waste")</f>
        <v>Solid waste</v>
      </c>
      <c r="C23" s="8"/>
      <c r="D23" s="82" t="s">
        <v>1007</v>
      </c>
      <c r="E23" s="115" t="s">
        <v>1008</v>
      </c>
      <c r="F23" s="82" t="s">
        <v>1009</v>
      </c>
      <c r="G23" s="82" t="s">
        <v>112</v>
      </c>
      <c r="H23" s="115" t="s">
        <v>1010</v>
      </c>
      <c r="I23" s="115" t="s">
        <v>1011</v>
      </c>
      <c r="J23" s="8"/>
      <c r="K23" s="8"/>
      <c r="N23" s="82" t="s">
        <v>1007</v>
      </c>
      <c r="O23" s="115" t="s">
        <v>1008</v>
      </c>
      <c r="P23" s="82" t="s">
        <v>1009</v>
      </c>
      <c r="Q23" s="82" t="s">
        <v>112</v>
      </c>
      <c r="R23" s="115" t="s">
        <v>1010</v>
      </c>
      <c r="S23" s="115" t="s">
        <v>1011</v>
      </c>
    </row>
    <row r="24" spans="1:20" ht="20.100000000000001" customHeight="1" x14ac:dyDescent="0.2">
      <c r="A24" s="5" t="str">
        <f>HYPERLINK("#'Input - Manure sent off-site'!A1", "Manure sent off-site")</f>
        <v>Manure sent off-site</v>
      </c>
      <c r="D24" s="15" t="s">
        <v>750</v>
      </c>
      <c r="E24" s="15" t="s">
        <v>135</v>
      </c>
      <c r="F24" s="15" t="s">
        <v>135</v>
      </c>
      <c r="G24" s="15" t="s">
        <v>135</v>
      </c>
      <c r="H24" s="15" t="s">
        <v>135</v>
      </c>
      <c r="I24" s="15" t="s">
        <v>135</v>
      </c>
      <c r="N24" s="15"/>
      <c r="O24" s="15" t="s">
        <v>135</v>
      </c>
      <c r="P24" s="15"/>
      <c r="Q24" s="15"/>
      <c r="R24" s="15"/>
      <c r="S24" s="15" t="s">
        <v>135</v>
      </c>
    </row>
    <row r="25" spans="1:20" ht="20.100000000000001" customHeight="1" x14ac:dyDescent="0.2">
      <c r="A25" s="5" t="str">
        <f>HYPERLINK("#'Input - Data quality'!A1", "Data quality")</f>
        <v>Data quality</v>
      </c>
      <c r="D25" s="15" t="s">
        <v>179</v>
      </c>
      <c r="E25" s="15">
        <f>'6.2.1.1-2 Pasture residue N2O'!$E$21</f>
        <v>7.4226E-2</v>
      </c>
      <c r="F25" s="15" t="str">
        <f>X_Cell_Pasture_IrrigationMethod</f>
        <v>Surface irrigation</v>
      </c>
      <c r="G25" s="15" t="str">
        <f>X_Cell_Site_LeachingZone</f>
        <v>NO - Not in leaching zone</v>
      </c>
      <c r="H25" s="15">
        <f>CommonCropping_InputFunctions.CommonCropping_GetFracWET(G25,F25,Table_SourceData_FracWET[Is in leaching zone],Table_SourceData_FracWET[FracWET], Table_SourceData_FracWETIrrigation[Irrigation type i],Table_SourceData_FracWETIrrigation[FracWET])</f>
        <v>1</v>
      </c>
      <c r="I25" s="15">
        <f>(E25 * H25 * $J$15)</f>
        <v>1.7814239999999999E-2</v>
      </c>
      <c r="N25" s="15"/>
      <c r="O25" s="15">
        <f>'6.2.1.1-2 Pasture residue N2O'!$O$21</f>
        <v>7.4226E-2</v>
      </c>
      <c r="P25" s="15"/>
      <c r="Q25" s="15"/>
      <c r="R25" s="15"/>
      <c r="S25" s="15">
        <f>(O25 * H25 * $J$15)</f>
        <v>1.7814239999999999E-2</v>
      </c>
    </row>
    <row r="27" spans="1:20" ht="20.100000000000001" customHeight="1" x14ac:dyDescent="0.2">
      <c r="C27" s="232"/>
      <c r="D27" s="232"/>
      <c r="E27" s="232"/>
      <c r="F27" s="232"/>
      <c r="G27" s="232"/>
      <c r="H27" s="232"/>
      <c r="I27" s="232"/>
      <c r="J27" s="232"/>
      <c r="K27" s="232"/>
      <c r="M27" s="232"/>
      <c r="N27" s="232"/>
      <c r="O27" s="232"/>
      <c r="P27" s="232"/>
      <c r="Q27" s="232"/>
      <c r="R27" s="232"/>
      <c r="S27" s="232"/>
      <c r="T27" s="232"/>
    </row>
    <row r="28" spans="1:20" ht="20.100000000000001" customHeight="1" x14ac:dyDescent="0.2">
      <c r="A28" s="6" t="s">
        <v>2</v>
      </c>
      <c r="C28" s="8"/>
      <c r="D28" s="2" t="s">
        <v>1645</v>
      </c>
      <c r="E28" s="8"/>
      <c r="F28" s="233"/>
      <c r="G28" s="8"/>
      <c r="H28" s="8"/>
      <c r="I28" s="8"/>
      <c r="J28" s="8"/>
      <c r="K28" s="8"/>
    </row>
    <row r="29" spans="1:20" ht="20.100000000000001" customHeight="1" x14ac:dyDescent="0.2">
      <c r="A29" s="5" t="str">
        <f>HYPERLINK("#'3.2.1.1-2 Enteric Methane'!A1", "3.2.1.1-2 Enteric Methane")</f>
        <v>3.2.1.1-2 Enteric Methane</v>
      </c>
      <c r="C29" s="8"/>
      <c r="D29" s="17" t="s">
        <v>1646</v>
      </c>
      <c r="E29" s="8"/>
      <c r="F29" s="8"/>
      <c r="G29" s="8"/>
      <c r="H29" s="8"/>
      <c r="I29" s="8"/>
      <c r="J29" s="8"/>
      <c r="K29" s="8"/>
    </row>
    <row r="30" spans="1:20" ht="20.100000000000001" customHeight="1" x14ac:dyDescent="0.2">
      <c r="A30" s="5" t="str">
        <f>HYPERLINK("#'4.2.1.1-2 Methane'!A1", "4.2.1.1-2 Manure methane")</f>
        <v>4.2.1.1-2 Manure methane</v>
      </c>
      <c r="C30" s="8"/>
      <c r="D30" s="104"/>
      <c r="E30" s="104"/>
      <c r="F30" s="8"/>
      <c r="G30" s="8"/>
      <c r="H30" s="8"/>
      <c r="I30" s="8"/>
      <c r="J30" s="8"/>
      <c r="K30" s="8"/>
    </row>
    <row r="31" spans="1:20" ht="20.100000000000001" customHeight="1" x14ac:dyDescent="0.2">
      <c r="A31" s="5" t="str">
        <f>HYPERLINK("#'4.2.1.3-4 Soil direct N20'!A1", "4.2.1.3-4 Soil direct N2O")</f>
        <v>4.2.1.3-4 Soil direct N2O</v>
      </c>
      <c r="C31" s="8"/>
      <c r="D31" s="8"/>
      <c r="E31" s="8"/>
      <c r="F31" s="8"/>
      <c r="G31" s="8"/>
      <c r="H31" s="8"/>
      <c r="I31" s="8"/>
      <c r="J31" s="8"/>
      <c r="K31" s="8"/>
    </row>
    <row r="32" spans="1:20" ht="20.100000000000001" customHeight="1" x14ac:dyDescent="0.2">
      <c r="A32" s="5" t="str">
        <f>HYPERLINK("#'4.2.1.5-6 Soil Atmos Dep'!A1", "4.2.1.5-6 Soil atm. deposition")</f>
        <v>4.2.1.5-6 Soil atm. deposition</v>
      </c>
      <c r="C32" s="8"/>
      <c r="D32" s="8"/>
      <c r="E32" s="8"/>
      <c r="F32" s="17"/>
      <c r="G32" s="8"/>
      <c r="H32" s="8"/>
      <c r="I32" s="8"/>
      <c r="J32" s="8"/>
      <c r="K32" s="8"/>
    </row>
    <row r="33" spans="1:17" ht="20.100000000000001" customHeight="1" x14ac:dyDescent="0.2">
      <c r="A33" s="5" t="str">
        <f>HYPERLINK("#'4.2.1.7-8 Soil leach runoff'!A1", "4.2.1.7-8 Soil leach &amp; runoff")</f>
        <v>4.2.1.7-8 Soil leach &amp; runoff</v>
      </c>
      <c r="C33" s="8"/>
      <c r="D33" s="60" t="s">
        <v>374</v>
      </c>
      <c r="E33" s="8" t="s">
        <v>1629</v>
      </c>
      <c r="F33" s="8"/>
      <c r="G33" s="8"/>
      <c r="H33" s="8"/>
      <c r="I33" s="8"/>
      <c r="J33" s="8"/>
      <c r="K33" s="8"/>
    </row>
    <row r="34" spans="1:17" ht="20.100000000000001" customHeight="1" x14ac:dyDescent="0.2">
      <c r="A34" s="5" t="str">
        <f>HYPERLINK("#'5.1.1.1-2 Inorganic fert N2O'!A1", "5.1.1.1-2 Inorganic fert N2O")</f>
        <v>5.1.1.1-2 Inorganic fert N2O</v>
      </c>
      <c r="C34" s="8"/>
      <c r="D34" s="60" t="s">
        <v>126</v>
      </c>
      <c r="E34" s="9" t="s">
        <v>12</v>
      </c>
      <c r="F34" s="8"/>
      <c r="G34" s="8"/>
      <c r="H34" s="8"/>
      <c r="I34" s="8"/>
      <c r="J34" s="8"/>
      <c r="K34" s="8"/>
    </row>
    <row r="35" spans="1:17" ht="20.100000000000001" customHeight="1" x14ac:dyDescent="0.2">
      <c r="A35" s="5" t="str">
        <f>HYPERLINK("#'5.1.1.3-4 Inorganic fert CO2'!A1", "5.1.1.3-4 Inorganic fert CO2")</f>
        <v>5.1.1.3-4 Inorganic fert CO2</v>
      </c>
      <c r="C35" s="8"/>
      <c r="D35" s="8"/>
      <c r="E35" s="8"/>
      <c r="F35" s="8"/>
      <c r="G35" s="8"/>
      <c r="H35" s="8"/>
      <c r="I35" s="8"/>
      <c r="J35" s="8"/>
      <c r="K35" s="8"/>
    </row>
    <row r="36" spans="1:17" ht="20.100000000000001" customHeight="1" x14ac:dyDescent="0.2">
      <c r="A36" s="5" t="str">
        <f>HYPERLINK("#'5.2.1.1-2 Organic Fert N2O'!A1", "5.2.1.1-2 Organic fert N2O")</f>
        <v>5.2.1.1-2 Organic fert N2O</v>
      </c>
      <c r="C36" s="8"/>
      <c r="D36" s="106" t="s">
        <v>1011</v>
      </c>
      <c r="E36" s="107" t="s">
        <v>1647</v>
      </c>
      <c r="F36" s="108"/>
      <c r="G36" s="109"/>
      <c r="H36" s="106" t="s">
        <v>1162</v>
      </c>
      <c r="I36" s="111" t="s">
        <v>1648</v>
      </c>
      <c r="J36" s="106" t="str" cm="1">
        <f t="array" aca="1" ref="J36" ca="1">HYPERLINK(Common_InputFunctions.Utility_SourceHyperlink($D$21), $D$21)</f>
        <v>M1_Table_M_leach_cp</v>
      </c>
      <c r="K36" s="8"/>
    </row>
    <row r="37" spans="1:17" ht="20.100000000000001" customHeight="1" x14ac:dyDescent="0.2">
      <c r="A37" s="5" t="str">
        <f>HYPERLINK("#'5.3.1.1-2 Lime CO2'!A1", "5.3.1.1-2 Lime CO2")</f>
        <v>5.3.1.1-2 Lime CO2</v>
      </c>
      <c r="C37" s="8"/>
      <c r="D37" s="106" t="s">
        <v>1477</v>
      </c>
      <c r="E37" s="107" t="s">
        <v>1478</v>
      </c>
      <c r="F37" s="108"/>
      <c r="G37" s="109"/>
      <c r="H37" s="106" t="s">
        <v>1462</v>
      </c>
      <c r="I37" s="111" t="s">
        <v>1326</v>
      </c>
      <c r="J37" s="106">
        <f>'Constants - Common'!$E$170</f>
        <v>1.0999999999999999E-2</v>
      </c>
      <c r="K37" s="8"/>
    </row>
    <row r="38" spans="1:17" ht="20.100000000000001" customHeight="1" x14ac:dyDescent="0.2">
      <c r="A38" s="5" t="str">
        <f>HYPERLINK("#'5.4.1.1-4 Atmos deposition'!A1", "5.4.1.1-4 Atmos. deposition")</f>
        <v>5.4.1.1-4 Atmos. deposition</v>
      </c>
      <c r="C38" s="8"/>
      <c r="D38" s="106" t="s">
        <v>1454</v>
      </c>
      <c r="E38" s="107" t="s">
        <v>1502</v>
      </c>
      <c r="F38" s="108"/>
      <c r="G38" s="109"/>
      <c r="H38" s="106" t="s">
        <v>1635</v>
      </c>
      <c r="I38" s="111" t="s">
        <v>1326</v>
      </c>
      <c r="J38" s="106">
        <f>Common_InputFunctions.Utility_LookupValueInTableNumber("N2O",Table_GasToMolecularConversionFactor[Gas],Table_GasToMolecularConversionFactor[Conversion factor combined])</f>
        <v>1.5714285714285714</v>
      </c>
      <c r="K38" s="8"/>
    </row>
    <row r="39" spans="1:17" ht="20.100000000000001" customHeight="1" x14ac:dyDescent="0.2">
      <c r="A39" s="5" t="str">
        <f>HYPERLINK("#'5.5.1.1-2 Leaching and runoff'!A1", "5.5.1.1-2 Leaching &amp; runoff")</f>
        <v>5.5.1.1-2 Leaching &amp; runoff</v>
      </c>
      <c r="C39" s="8"/>
      <c r="D39" s="106" t="s">
        <v>1514</v>
      </c>
      <c r="E39" s="107" t="s">
        <v>1641</v>
      </c>
      <c r="F39" s="108"/>
      <c r="G39" s="109"/>
      <c r="H39" s="106"/>
      <c r="I39" s="110" t="s">
        <v>1325</v>
      </c>
      <c r="J39" s="106" t="s">
        <v>135</v>
      </c>
      <c r="K39" s="8"/>
    </row>
    <row r="40" spans="1:17" ht="20.100000000000001" customHeight="1" x14ac:dyDescent="0.2">
      <c r="A40" s="5" t="str">
        <f>HYPERLINK("#'6.2.1.1-2 Pasture residue N2O'!A1", "6.2.1.1-2 Pasture residue N2O")</f>
        <v>6.2.1.1-2 Pasture residue N2O</v>
      </c>
      <c r="C40" s="8"/>
      <c r="D40" s="106" t="s">
        <v>1623</v>
      </c>
      <c r="E40" s="107" t="s">
        <v>1642</v>
      </c>
      <c r="F40" s="108"/>
      <c r="G40" s="109"/>
      <c r="H40" s="106"/>
      <c r="I40" s="110" t="s">
        <v>1325</v>
      </c>
      <c r="J40" s="106" t="str">
        <f>X_Cell_Pasture_PastureType</f>
        <v>Grass clover mixture</v>
      </c>
      <c r="K40" s="8"/>
    </row>
    <row r="41" spans="1:17" ht="20.100000000000001" customHeight="1" x14ac:dyDescent="0.2">
      <c r="A41" s="105" t="str">
        <f>HYPERLINK("#'6.3.1.1-2 Leach runoff pasture'!A1", "6.3.1.1-2 Leach &amp; runoff (pasture)")</f>
        <v>6.3.1.1-2 Leach &amp; runoff (pasture)</v>
      </c>
      <c r="C41" s="8"/>
      <c r="D41" s="8"/>
      <c r="E41" s="8"/>
      <c r="F41" s="8"/>
      <c r="G41" s="8"/>
      <c r="H41" s="8"/>
      <c r="I41" s="8"/>
      <c r="J41" s="8"/>
      <c r="K41" s="8"/>
    </row>
    <row r="42" spans="1:17" ht="20.100000000000001" customHeight="1" x14ac:dyDescent="0.2">
      <c r="A42" s="5" t="str">
        <f>HYPERLINK("#'8.1.1.1-2 Transport fuel'!A1", "8.1.1.1-2 Transport fuel")</f>
        <v>8.1.1.1-2 Transport fuel</v>
      </c>
      <c r="C42" s="8"/>
      <c r="D42" s="113" t="s">
        <v>671</v>
      </c>
      <c r="E42" s="8"/>
      <c r="F42" s="8"/>
      <c r="G42" s="8"/>
      <c r="H42" s="8"/>
      <c r="I42" s="8"/>
      <c r="J42" s="8"/>
      <c r="K42" s="8"/>
      <c r="N42" s="113" t="s">
        <v>671</v>
      </c>
      <c r="O42" s="8"/>
      <c r="P42" s="8"/>
      <c r="Q42" s="8"/>
    </row>
    <row r="43" spans="1:17" ht="20.100000000000001" customHeight="1" x14ac:dyDescent="0.2">
      <c r="A43" s="5" t="str">
        <f>HYPERLINK("#'8.2.1.1-2 Stationary fuel'!A1", "8.2.1.1-2 Stationary fuel")</f>
        <v>8.2.1.1-2 Stationary fuel</v>
      </c>
      <c r="C43" s="8"/>
      <c r="D43" s="114" t="s">
        <v>1012</v>
      </c>
      <c r="E43" s="8"/>
      <c r="F43" s="8"/>
      <c r="G43" s="8"/>
      <c r="H43" s="8"/>
      <c r="I43" s="8"/>
      <c r="J43" s="8"/>
      <c r="K43" s="8"/>
      <c r="N43" s="114" t="s">
        <v>1012</v>
      </c>
      <c r="O43" s="8"/>
      <c r="P43" s="8"/>
      <c r="Q43" s="8"/>
    </row>
    <row r="44" spans="1:17" ht="20.100000000000001" customHeight="1" x14ac:dyDescent="0.2">
      <c r="A44" s="5" t="str">
        <f>HYPERLINK("#'10.1.1-2 Solid waste treatment'!A1", "10.1.1.1-2 Solid waste")</f>
        <v>10.1.1.1-2 Solid waste</v>
      </c>
      <c r="C44" s="8"/>
      <c r="D44" s="115" t="s">
        <v>1011</v>
      </c>
      <c r="E44" s="115" t="s">
        <v>1013</v>
      </c>
      <c r="F44" s="8"/>
      <c r="G44" s="8"/>
      <c r="H44" s="8"/>
      <c r="I44" s="8"/>
      <c r="J44" s="8"/>
      <c r="K44" s="8"/>
      <c r="N44" s="115" t="s">
        <v>1011</v>
      </c>
      <c r="O44" s="115" t="s">
        <v>1013</v>
      </c>
      <c r="P44" s="8"/>
      <c r="Q44" s="8"/>
    </row>
    <row r="45" spans="1:17" ht="20.100000000000001" customHeight="1" x14ac:dyDescent="0.2">
      <c r="A45" s="5" t="str">
        <f>HYPERLINK("#'14.1.1-2 Purchased electricity'!A1", "14.1.1-2 Purchased electricity")</f>
        <v>14.1.1-2 Purchased electricity</v>
      </c>
      <c r="C45" s="8"/>
      <c r="D45" s="15" t="str">
        <f>I24</f>
        <v>N/A</v>
      </c>
      <c r="E45" s="15" t="s">
        <v>135</v>
      </c>
      <c r="F45" s="8"/>
      <c r="G45" s="8"/>
      <c r="H45" s="8"/>
      <c r="I45" s="8"/>
      <c r="J45" s="8"/>
      <c r="K45" s="8"/>
      <c r="N45" s="15" t="str">
        <f>S24</f>
        <v>N/A</v>
      </c>
      <c r="O45" s="15" t="s">
        <v>135</v>
      </c>
      <c r="P45" s="8"/>
      <c r="Q45" s="8"/>
    </row>
    <row r="46" spans="1:17" ht="20.100000000000001" customHeight="1" x14ac:dyDescent="0.2">
      <c r="A46" s="5" t="str">
        <f>HYPERLINK("#'15 Scope 3'!A1", "15 Scope 3")</f>
        <v>15 Scope 3</v>
      </c>
      <c r="C46" s="8"/>
      <c r="D46" s="15">
        <f>I25</f>
        <v>1.7814239999999999E-2</v>
      </c>
      <c r="E46" s="15">
        <f>((D46 * $J$37) * $J$38 * 10 ^ (-3))</f>
        <v>3.0793186285714277E-7</v>
      </c>
      <c r="F46" s="8"/>
      <c r="G46" s="8"/>
      <c r="H46" s="8"/>
      <c r="I46" s="8"/>
      <c r="J46" s="8"/>
      <c r="K46" s="8"/>
      <c r="N46" s="15">
        <f>S25</f>
        <v>1.7814239999999999E-2</v>
      </c>
      <c r="O46" s="15">
        <f>((N46 * $J$37) * $J$38 * 10 ^ (-3))</f>
        <v>3.0793186285714277E-7</v>
      </c>
      <c r="P46" s="8"/>
      <c r="Q46" s="8"/>
    </row>
    <row r="47" spans="1:17" ht="20.100000000000001" customHeight="1" x14ac:dyDescent="0.2">
      <c r="A47" s="5" t="str">
        <f>HYPERLINK("#'Calcs - Manure sent off-site'!A1", "Calcs - Manure sent off-site")</f>
        <v>Calcs - Manure sent off-site</v>
      </c>
      <c r="C47" s="8"/>
      <c r="F47" s="8"/>
      <c r="G47" s="8"/>
      <c r="H47" s="8"/>
      <c r="I47" s="8"/>
      <c r="J47" s="8"/>
      <c r="K47" s="8"/>
      <c r="P47" s="8"/>
      <c r="Q47" s="8"/>
    </row>
    <row r="48" spans="1:17" ht="20.100000000000001" customHeight="1" x14ac:dyDescent="0.35">
      <c r="C48" s="8"/>
      <c r="D48" s="234" t="s">
        <v>1014</v>
      </c>
      <c r="E48" s="235">
        <f>SUM(E45:E46)</f>
        <v>3.0793186285714277E-7</v>
      </c>
      <c r="F48" s="96" t="str">
        <f>$E$34</f>
        <v>t N2O</v>
      </c>
      <c r="G48" s="8"/>
      <c r="H48" s="8"/>
      <c r="I48" s="8"/>
      <c r="J48" s="8"/>
      <c r="K48" s="8"/>
      <c r="N48" s="234" t="s">
        <v>1014</v>
      </c>
      <c r="O48" s="235">
        <f>SUM(O45:O46)</f>
        <v>3.0793186285714277E-7</v>
      </c>
      <c r="P48" s="96" t="str">
        <f>$E$34</f>
        <v>t N2O</v>
      </c>
      <c r="Q48" s="8"/>
    </row>
    <row r="49" spans="1:17" ht="20.100000000000001" customHeight="1" x14ac:dyDescent="0.2">
      <c r="D49" s="8"/>
      <c r="E49" s="8"/>
      <c r="F49" s="8"/>
      <c r="G49" s="8"/>
      <c r="N49" s="8"/>
      <c r="O49" s="8"/>
      <c r="P49" s="8"/>
      <c r="Q49" s="8"/>
    </row>
    <row r="50" spans="1:17" ht="20.100000000000001" customHeight="1" x14ac:dyDescent="0.2">
      <c r="A50" s="86" t="s">
        <v>1</v>
      </c>
      <c r="D50" s="117" t="str" cm="1">
        <f t="array" ref="D50:E51">Common_Equations.Common_ConvertN2OToCO2e_Arguments()</f>
        <v>EN2O</v>
      </c>
      <c r="E50" s="118" t="str">
        <v>Nitrous oxide emissions (t N2O)</v>
      </c>
      <c r="F50" s="119"/>
      <c r="G50" s="15">
        <f>VEERG_6_3_1_1__1__LeachingAndRunoffEmissionsCropAndPastureResidue_PastureOnly_Result_Method1</f>
        <v>3.0793186285714277E-7</v>
      </c>
      <c r="N50" s="117" t="str" cm="1">
        <f t="array" ref="N50:O51">Common_Equations.Common_ConvertN2OToCO2e_Arguments()</f>
        <v>EN2O</v>
      </c>
      <c r="O50" s="118" t="str">
        <v>Nitrous oxide emissions (t N2O)</v>
      </c>
      <c r="P50" s="119"/>
      <c r="Q50" s="15">
        <f>VEERG_6_3_1_1__1__LeachingAndRunoffEmissionsCropAndPastureResidue_PastureOnly_Result_Method2</f>
        <v>3.0793186285714277E-7</v>
      </c>
    </row>
    <row r="51" spans="1:17" ht="20.100000000000001" customHeight="1" x14ac:dyDescent="0.2">
      <c r="A51" s="5" t="str">
        <f>HYPERLINK("#'Constants - Pasture Beef'!A1", "Constants - Pasture Beef")</f>
        <v>Constants - Pasture Beef</v>
      </c>
      <c r="D51" s="117" t="str">
        <v>GWPN2O</v>
      </c>
      <c r="E51" s="118" t="str">
        <v>Global warming potential for nitrous oxide (t CO2-e / t N2O)</v>
      </c>
      <c r="F51" s="119"/>
      <c r="G51" s="15">
        <f>Common_InputFunctions.Utility_LookupValueInTableNumber("N2O",Table_GWPData[Gas],Table_GWPData[CO2-e factor])</f>
        <v>265</v>
      </c>
      <c r="H51" s="8"/>
      <c r="I51" s="8"/>
      <c r="N51" s="117" t="str">
        <v>GWPN2O</v>
      </c>
      <c r="O51" s="118" t="str">
        <v>Global warming potential for nitrous oxide (t CO2-e / t N2O)</v>
      </c>
      <c r="P51" s="119"/>
      <c r="Q51" s="15">
        <f>Common_InputFunctions.Utility_LookupValueInTableNumber("N2O",Table_GWPData[Gas],Table_GWPData[CO2-e factor])</f>
        <v>265</v>
      </c>
    </row>
    <row r="52" spans="1:17" ht="20.100000000000001" customHeight="1" x14ac:dyDescent="0.2">
      <c r="A52" s="5" t="str">
        <f>HYPERLINK("#'Constants - Ag Residue'!A1", "Constants - Ag residue")</f>
        <v>Constants - Ag residue</v>
      </c>
      <c r="H52" s="8"/>
      <c r="I52" s="8"/>
    </row>
    <row r="53" spans="1:17" ht="20.100000000000001" customHeight="1" x14ac:dyDescent="0.2">
      <c r="A53" s="5" t="str">
        <f>HYPERLINK("#'Constants - Common Livestock'!A1", "Constants - Common Livestock")</f>
        <v>Constants - Common Livestock</v>
      </c>
      <c r="D53" s="88" t="s">
        <v>436</v>
      </c>
      <c r="E53" s="88" cm="1">
        <f t="array" ref="E53">Common_Equations.Common_ConvertN2OToCO2e(G50,G51)</f>
        <v>8.1601943657142831E-5</v>
      </c>
      <c r="F53" s="95" t="str" cm="1">
        <f t="array" ref="F53">Common_Equations.Common_ConvertN2OToCO2e_Unit()</f>
        <v>t CO2e</v>
      </c>
      <c r="I53" s="8"/>
      <c r="N53" s="88" t="s">
        <v>436</v>
      </c>
      <c r="O53" s="88" cm="1">
        <f t="array" ref="O53">Common_Equations.Common_ConvertN2OToCO2e(Q50,Q51)</f>
        <v>8.1601943657142831E-5</v>
      </c>
      <c r="P53" s="95" t="str" cm="1">
        <f t="array" ref="P53">Common_Equations.Common_ConvertN2OToCO2e_Unit()</f>
        <v>t CO2e</v>
      </c>
    </row>
    <row r="54" spans="1:17" ht="20.100000000000001" customHeight="1" x14ac:dyDescent="0.2">
      <c r="A54" s="5" t="str">
        <f>HYPERLINK("#'Constants - Electricity'!A1", "Constants - Electricity")</f>
        <v>Constants - Electricity</v>
      </c>
      <c r="I54" s="8"/>
    </row>
    <row r="55" spans="1:17" ht="20.100000000000001" customHeight="1" x14ac:dyDescent="0.2">
      <c r="A55" s="5" t="str">
        <f>HYPERLINK("#'Constants - Fertiliser'!A1", "Constants - Fertiliser")</f>
        <v>Constants - Fertiliser</v>
      </c>
    </row>
    <row r="56" spans="1:17" ht="20.100000000000001" customHeight="1" x14ac:dyDescent="0.2">
      <c r="A56" s="5" t="str">
        <f>HYPERLINK("#'Constants - Fuel'!A1", "Constants - Fuel")</f>
        <v>Constants - Fuel</v>
      </c>
    </row>
    <row r="57" spans="1:17" ht="20.100000000000001" customHeight="1" x14ac:dyDescent="0.2">
      <c r="A57" s="5" t="str">
        <f>HYPERLINK("#'Constants - Scope 3'!A1", "Constants - Scope 3")</f>
        <v>Constants - Scope 3</v>
      </c>
    </row>
    <row r="58" spans="1:17" ht="20.100000000000001" customHeight="1" x14ac:dyDescent="0.2">
      <c r="A58" s="5" t="str">
        <f>HYPERLINK("#'Constants - Solid Waste'!A1", "Constants - Solid Waste")</f>
        <v>Constants - Solid Waste</v>
      </c>
    </row>
    <row r="59" spans="1:17" ht="20.100000000000001" customHeight="1" x14ac:dyDescent="0.2">
      <c r="A59" s="5" t="str">
        <f>HYPERLINK("#'Constants - Common'!A1", "Constants - Common")</f>
        <v>Constants - Common</v>
      </c>
    </row>
    <row r="60" spans="1:17" ht="20.100000000000001" customHeight="1" x14ac:dyDescent="0.2">
      <c r="A60" s="5" t="str">
        <f>HYPERLINK("#'Acknowledgements'!A1", "Acknowledgements")</f>
        <v>Acknowledgements</v>
      </c>
      <c r="H60" s="8"/>
      <c r="I60" s="8"/>
    </row>
    <row r="61" spans="1:17" ht="20.100000000000001" customHeight="1" x14ac:dyDescent="0.2">
      <c r="H61" s="8"/>
      <c r="I61" s="8"/>
    </row>
  </sheetData>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A81E8-7350-467D-9B5B-398637FF766B}">
  <sheetPr>
    <tabColor rgb="FF008000"/>
  </sheetPr>
  <dimension ref="A1:R342"/>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1" customFormat="1" ht="30" customHeight="1" x14ac:dyDescent="0.35">
      <c r="A1" s="10" t="e" vm="1">
        <v>#VALUE!</v>
      </c>
      <c r="C1" s="21" t="s">
        <v>840</v>
      </c>
    </row>
    <row r="2" spans="1:18" s="3" customFormat="1" ht="20.100000000000001" customHeight="1" x14ac:dyDescent="0.2">
      <c r="A2"/>
    </row>
    <row r="3" spans="1:18" ht="20.100000000000001" customHeight="1" x14ac:dyDescent="0.2">
      <c r="A3" s="5" t="str">
        <f>HYPERLINK("#'Home'!A1", "Home")</f>
        <v>Home</v>
      </c>
      <c r="C3" s="23"/>
      <c r="D3" s="23" t="s">
        <v>141</v>
      </c>
      <c r="E3" s="23"/>
      <c r="F3" s="23"/>
      <c r="G3" s="23"/>
      <c r="H3" s="23"/>
      <c r="I3" s="23"/>
      <c r="J3" s="23"/>
      <c r="K3" s="23"/>
      <c r="L3" s="23"/>
      <c r="M3" s="23"/>
      <c r="N3" s="23"/>
      <c r="O3" s="23"/>
      <c r="P3" s="23"/>
      <c r="Q3" s="23"/>
      <c r="R3" s="23"/>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1649</v>
      </c>
      <c r="K5" s="2" t="s">
        <v>1651</v>
      </c>
      <c r="O5" s="168"/>
      <c r="P5" s="168"/>
      <c r="Q5" s="168"/>
    </row>
    <row r="6" spans="1:18" ht="20.100000000000001" customHeight="1" x14ac:dyDescent="0.2">
      <c r="D6" s="17" t="s">
        <v>1650</v>
      </c>
      <c r="K6" s="17" t="s">
        <v>1652</v>
      </c>
      <c r="O6" s="168"/>
      <c r="P6" s="168"/>
      <c r="Q6" s="168"/>
    </row>
    <row r="7" spans="1:18" ht="20.100000000000001" customHeight="1" x14ac:dyDescent="0.2">
      <c r="D7" s="104"/>
      <c r="E7" s="104"/>
      <c r="K7" s="104"/>
      <c r="L7" s="104"/>
      <c r="O7" s="168"/>
      <c r="P7" s="168"/>
      <c r="Q7" s="168"/>
    </row>
    <row r="8" spans="1:18" ht="20.100000000000001" customHeight="1" x14ac:dyDescent="0.2">
      <c r="A8" s="7" t="s">
        <v>0</v>
      </c>
      <c r="E8" s="104"/>
      <c r="L8" s="104"/>
      <c r="O8" s="168"/>
      <c r="P8" s="168"/>
      <c r="Q8" s="168"/>
    </row>
    <row r="9" spans="1:18" ht="20.100000000000001" customHeight="1" x14ac:dyDescent="0.2">
      <c r="A9" s="5" t="str">
        <f>HYPERLINK("#'Input - Enterprise'!A1", "Enterprise")</f>
        <v>Enterprise</v>
      </c>
      <c r="G9" s="17"/>
      <c r="O9" s="168"/>
      <c r="P9" s="168"/>
      <c r="Q9" s="168"/>
    </row>
    <row r="10" spans="1:18" ht="20.100000000000001" customHeight="1" x14ac:dyDescent="0.2">
      <c r="A10" s="5" t="str">
        <f>HYPERLINK("#'Input - Site'!A1", "Site")</f>
        <v>Site</v>
      </c>
      <c r="O10" s="168"/>
      <c r="P10" s="168"/>
      <c r="Q10" s="168"/>
    </row>
    <row r="11" spans="1:18" ht="20.100000000000001" customHeight="1" x14ac:dyDescent="0.2">
      <c r="A11" s="5" t="str">
        <f>HYPERLINK("#'Input - Pasture Beef'!A1", "Pasture Beef")</f>
        <v>Pasture Beef</v>
      </c>
      <c r="D11" s="77" t="s">
        <v>374</v>
      </c>
      <c r="E11" s="1" t="s">
        <v>1653</v>
      </c>
      <c r="K11" s="77" t="s">
        <v>374</v>
      </c>
      <c r="L11" s="1" t="s">
        <v>1654</v>
      </c>
      <c r="O11" s="168"/>
      <c r="P11" s="168"/>
      <c r="Q11" s="168"/>
    </row>
    <row r="12" spans="1:18" ht="20.100000000000001" customHeight="1" x14ac:dyDescent="0.2">
      <c r="A12" s="5" t="str">
        <f>HYPERLINK("#'Input - Livestock sales'!A1", "Livestock sales")</f>
        <v>Livestock sales</v>
      </c>
      <c r="D12" s="77" t="s">
        <v>126</v>
      </c>
      <c r="E12" s="9" t="s">
        <v>287</v>
      </c>
      <c r="K12" s="77" t="s">
        <v>126</v>
      </c>
      <c r="L12" s="9" t="s">
        <v>6</v>
      </c>
    </row>
    <row r="13" spans="1:18" ht="20.100000000000001" customHeight="1" x14ac:dyDescent="0.2">
      <c r="A13" s="5" t="str">
        <f>HYPERLINK("#'Input - Beef cattle purchases'!A1", "Beef cattle purchases")</f>
        <v>Beef cattle purchases</v>
      </c>
    </row>
    <row r="14" spans="1:18" ht="20.100000000000001" customHeight="1" x14ac:dyDescent="0.2">
      <c r="A14" s="5" t="str">
        <f>HYPERLINK("#'Input - Pasture'!A1", "Pasture")</f>
        <v>Pasture</v>
      </c>
      <c r="D14" s="106" t="s">
        <v>1655</v>
      </c>
      <c r="E14" s="107" t="s">
        <v>1656</v>
      </c>
      <c r="F14" s="109"/>
      <c r="G14" s="106" t="s">
        <v>1666</v>
      </c>
      <c r="H14" s="110" t="s">
        <v>1325</v>
      </c>
      <c r="I14" s="112" t="str" cm="1">
        <f t="array" aca="1" ref="I14" ca="1">HYPERLINK(Common_InputFunctions.Utility_SourceHyperlink($D$22), $D$22)</f>
        <v>Table_E_g</v>
      </c>
      <c r="K14" s="106" t="s">
        <v>1669</v>
      </c>
      <c r="L14" s="106" t="s">
        <v>1670</v>
      </c>
      <c r="M14" s="106"/>
      <c r="N14" s="106" t="s">
        <v>895</v>
      </c>
      <c r="O14" s="110" t="s">
        <v>1325</v>
      </c>
      <c r="P14" s="112" t="str" cm="1">
        <f t="array" aca="1" ref="P14" ca="1">HYPERLINK(Common_InputFunctions.Utility_SourceHyperlink($D$22), $D$22)</f>
        <v>Table_E_g</v>
      </c>
      <c r="Q14" s="168"/>
    </row>
    <row r="15" spans="1:18" ht="20.100000000000001" customHeight="1" x14ac:dyDescent="0.2">
      <c r="A15" s="5" t="str">
        <f>HYPERLINK("#'Input - Fert Prod System'!A1", "Fert Prod System")</f>
        <v>Fert Prod System</v>
      </c>
      <c r="D15" s="106" t="s">
        <v>1657</v>
      </c>
      <c r="E15" s="107" t="s">
        <v>1658</v>
      </c>
      <c r="F15" s="109"/>
      <c r="G15" s="106" t="s">
        <v>1667</v>
      </c>
      <c r="H15" s="111" t="s">
        <v>1326</v>
      </c>
      <c r="I15" s="112" t="str" cm="1">
        <f t="array" aca="1" ref="I15" ca="1">HYPERLINK(Common_InputFunctions.Utility_SourceHyperlink($D$22), $D$22)</f>
        <v>Table_E_g</v>
      </c>
      <c r="K15" s="106" t="s">
        <v>1657</v>
      </c>
      <c r="L15" s="106" t="s">
        <v>1671</v>
      </c>
      <c r="M15" s="106"/>
      <c r="N15" s="106" t="s">
        <v>1674</v>
      </c>
      <c r="O15" s="111" t="s">
        <v>1326</v>
      </c>
      <c r="P15" s="112" t="str" cm="1">
        <f t="array" aca="1" ref="P15" ca="1">HYPERLINK(Common_InputFunctions.Utility_SourceHyperlink($D$22), $D$22)</f>
        <v>Table_E_g</v>
      </c>
      <c r="Q15" s="168"/>
    </row>
    <row r="16" spans="1:18" ht="20.100000000000001" customHeight="1" x14ac:dyDescent="0.2">
      <c r="A16" s="5" t="str">
        <f>HYPERLINK("#'Input - Fertiliser'!A1", "Fertiliser")</f>
        <v>Fertiliser</v>
      </c>
      <c r="D16" s="106" t="s">
        <v>1659</v>
      </c>
      <c r="E16" s="107" t="s">
        <v>1660</v>
      </c>
      <c r="F16" s="109"/>
      <c r="G16" s="106" t="s">
        <v>1668</v>
      </c>
      <c r="H16" s="111" t="s">
        <v>1326</v>
      </c>
      <c r="I16" s="112" t="str" cm="1">
        <f t="array" aca="1" ref="I16" ca="1">HYPERLINK(Common_InputFunctions.Utility_SourceHyperlink($D$22), $D$22)</f>
        <v>Table_E_g</v>
      </c>
      <c r="K16" s="106" t="s">
        <v>1672</v>
      </c>
      <c r="L16" s="106" t="s">
        <v>1673</v>
      </c>
      <c r="M16" s="106"/>
      <c r="N16" s="106" t="s">
        <v>1675</v>
      </c>
      <c r="O16" s="111" t="s">
        <v>1326</v>
      </c>
      <c r="P16" s="112" t="str" cm="1">
        <f t="array" aca="1" ref="P16" ca="1">HYPERLINK(Common_InputFunctions.Utility_SourceHyperlink($D$22), $D$22)</f>
        <v>Table_E_g</v>
      </c>
      <c r="Q16" s="168"/>
    </row>
    <row r="17" spans="1:17" ht="20.100000000000001" customHeight="1" x14ac:dyDescent="0.2">
      <c r="A17" s="5" t="str">
        <f>HYPERLINK("#'Input - Fuel'!A1", "Fuel")</f>
        <v>Fuel</v>
      </c>
      <c r="D17" s="106" t="s">
        <v>1661</v>
      </c>
      <c r="E17" s="107" t="s">
        <v>893</v>
      </c>
      <c r="F17" s="109"/>
      <c r="G17" s="106"/>
      <c r="H17" s="111" t="s">
        <v>1326</v>
      </c>
      <c r="I17" s="112"/>
      <c r="J17" s="168"/>
      <c r="P17" s="168"/>
      <c r="Q17" s="168"/>
    </row>
    <row r="18" spans="1:17" ht="20.100000000000001" customHeight="1" x14ac:dyDescent="0.2">
      <c r="A18" s="5" t="str">
        <f>HYPERLINK("#'Input - Electricity'!A1", "Electricity")</f>
        <v>Electricity</v>
      </c>
      <c r="D18" s="106" t="s">
        <v>1662</v>
      </c>
      <c r="E18" s="107" t="s">
        <v>1663</v>
      </c>
      <c r="F18" s="109"/>
      <c r="G18" s="106"/>
      <c r="H18" s="111" t="s">
        <v>1326</v>
      </c>
      <c r="I18" s="112"/>
      <c r="J18" s="168"/>
      <c r="L18" s="168"/>
      <c r="M18" s="168"/>
      <c r="N18" s="168"/>
      <c r="O18" s="168"/>
      <c r="P18" s="168"/>
      <c r="Q18" s="168"/>
    </row>
    <row r="19" spans="1:17" ht="20.100000000000001" customHeight="1" x14ac:dyDescent="0.2">
      <c r="A19" s="5" t="str">
        <f>HYPERLINK("#'Input - Common farm inputs'!A1", "Common farm inputs")</f>
        <v>Common farm inputs</v>
      </c>
      <c r="D19" s="106" t="s">
        <v>1664</v>
      </c>
      <c r="E19" s="107" t="s">
        <v>1665</v>
      </c>
      <c r="F19" s="109"/>
      <c r="G19" s="106"/>
      <c r="H19" s="111" t="s">
        <v>1326</v>
      </c>
      <c r="I19" s="112"/>
      <c r="J19" s="168"/>
      <c r="L19" s="168"/>
      <c r="M19" s="168"/>
      <c r="N19" s="168"/>
      <c r="O19" s="168"/>
      <c r="P19" s="168"/>
      <c r="Q19" s="168"/>
    </row>
    <row r="20" spans="1:17" ht="20.100000000000001" customHeight="1" x14ac:dyDescent="0.2">
      <c r="A20" s="5" t="str">
        <f>HYPERLINK("#'Input - Crop pasture farm input'!A1", "Crop pasture farm input")</f>
        <v>Crop pasture farm input</v>
      </c>
      <c r="D20" s="106">
        <v>1</v>
      </c>
      <c r="E20" s="107" t="s">
        <v>292</v>
      </c>
      <c r="F20" s="109"/>
      <c r="G20" s="106"/>
      <c r="H20" s="111" t="s">
        <v>1326</v>
      </c>
      <c r="I20" s="112"/>
      <c r="J20" s="168"/>
      <c r="L20" s="168"/>
      <c r="M20" s="168"/>
      <c r="N20" s="168"/>
      <c r="O20" s="168"/>
      <c r="P20" s="168"/>
      <c r="Q20" s="168"/>
    </row>
    <row r="21" spans="1:17" ht="20.100000000000001" customHeight="1" x14ac:dyDescent="0.2">
      <c r="A21" s="5" t="str">
        <f>HYPERLINK("#'Input - Livestock farm Inputs'!A1", "Livestock farm Inputs")</f>
        <v>Livestock farm Inputs</v>
      </c>
      <c r="O21" s="168"/>
      <c r="P21" s="168"/>
      <c r="Q21" s="168"/>
    </row>
    <row r="22" spans="1:17" ht="20.100000000000001" customHeight="1" x14ac:dyDescent="0.2">
      <c r="A22" s="5" t="str">
        <f>HYPERLINK("#'Input - Freight'!A1", "Freight")</f>
        <v>Freight</v>
      </c>
      <c r="D22" s="113" t="s">
        <v>841</v>
      </c>
    </row>
    <row r="23" spans="1:17" ht="20.100000000000001" customHeight="1" x14ac:dyDescent="0.2">
      <c r="A23" s="5" t="str">
        <f>HYPERLINK("#'Input - Solid waste'!A1", "Solid waste")</f>
        <v>Solid waste</v>
      </c>
      <c r="D23" s="114" t="s">
        <v>842</v>
      </c>
    </row>
    <row r="24" spans="1:17" ht="20.100000000000001" customHeight="1" x14ac:dyDescent="0.2">
      <c r="A24" s="5" t="str">
        <f>HYPERLINK("#'Input - Manure sent off-site'!A1", "Manure sent off-site")</f>
        <v>Manure sent off-site</v>
      </c>
      <c r="D24" s="115" t="s">
        <v>843</v>
      </c>
      <c r="E24" s="115" t="s">
        <v>844</v>
      </c>
      <c r="F24" s="115" t="s">
        <v>845</v>
      </c>
      <c r="G24" s="115" t="s">
        <v>846</v>
      </c>
      <c r="H24" s="115" t="s">
        <v>847</v>
      </c>
      <c r="I24" s="115" t="s">
        <v>848</v>
      </c>
      <c r="J24" s="115" t="s">
        <v>849</v>
      </c>
      <c r="K24" s="115" t="s">
        <v>850</v>
      </c>
      <c r="L24" s="82" t="s">
        <v>851</v>
      </c>
      <c r="M24" s="115" t="s">
        <v>852</v>
      </c>
      <c r="N24" s="115" t="s">
        <v>853</v>
      </c>
      <c r="O24" s="115" t="s">
        <v>854</v>
      </c>
      <c r="P24" s="115" t="s">
        <v>855</v>
      </c>
      <c r="Q24" s="115" t="s">
        <v>856</v>
      </c>
    </row>
    <row r="25" spans="1:17" ht="20.100000000000001" customHeight="1" x14ac:dyDescent="0.2">
      <c r="A25" s="5" t="str">
        <f>HYPERLINK("#'Input - Data quality'!A1", "Data quality")</f>
        <v>Data quality</v>
      </c>
      <c r="D25" s="25" t="str">
        <f>Table_FuelTypesPerUse[[#Headers],[Cars and light commercial vehicles]]</f>
        <v>Cars and light commercial vehicles</v>
      </c>
      <c r="E25" s="192" t="str">
        <f>'Constants - Fuel'!$E$10</f>
        <v>Gasoline</v>
      </c>
      <c r="F25" s="192"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193">
        <f>((($L25 * $G25 * $H25) * 10 ^ -3))</f>
        <v>0</v>
      </c>
      <c r="O25" s="193">
        <f>((($L25 * $G25 * $I25) * 10 ^ -3))</f>
        <v>0</v>
      </c>
      <c r="P25" s="193">
        <f>((($L25 * $G25 * $J25) * 10 ^ -3))</f>
        <v>0</v>
      </c>
      <c r="Q25" s="193">
        <f>((L25 * G25 * K25) * 10 ^ -3)</f>
        <v>0</v>
      </c>
    </row>
    <row r="26" spans="1:17" ht="20.100000000000001" customHeight="1" x14ac:dyDescent="0.2">
      <c r="D26" s="194" t="str">
        <f t="shared" ref="D26:D32" si="0">$D$25</f>
        <v>Cars and light commercial vehicles</v>
      </c>
      <c r="E26" s="192" t="str">
        <f>'Constants - Fuel'!$E$11</f>
        <v>Diesel oil</v>
      </c>
      <c r="F26" s="192"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72" cm="1">
        <f t="array" ref="L26">Fuel_InputFunctions.Fuel_TotalConsumption(Table_Input_Fuel[Amount consumed], Table_Input_Fuel[Fuel use (select)], D26, Table_Input_Fuel[Fuel type (select)],F26)</f>
        <v>10</v>
      </c>
      <c r="M26" s="172" t="str" cm="1">
        <f t="array" ref="M26">Common_InputFunctions.Utility_LookupValueInTable(F26,Table_FuelTypes_Units[Fuel type],Table_FuelTypes_Units[Unit])</f>
        <v>kL</v>
      </c>
      <c r="N26" s="193">
        <f>((($L26 * $G26 * $H26) * 10 ^ -3))</f>
        <v>26.981400000000001</v>
      </c>
      <c r="O26" s="193">
        <f>((($L26 * $G26 * $I26) * 10 ^ -3))</f>
        <v>3.8600000000000001E-3</v>
      </c>
      <c r="P26" s="193">
        <f>((($L26 * $G26 * $J26) * 10 ^ -3))</f>
        <v>0.193</v>
      </c>
      <c r="Q26" s="193">
        <f>((L26 * G26 * K26) * 10 ^ -3)</f>
        <v>6.6778000000000004</v>
      </c>
    </row>
    <row r="27" spans="1:17" ht="20.100000000000001" customHeight="1" x14ac:dyDescent="0.2">
      <c r="D27" s="194" t="str">
        <f t="shared" si="0"/>
        <v>Cars and light commercial vehicles</v>
      </c>
      <c r="E27" s="192" t="str">
        <f>'Constants - Fuel'!$E$12</f>
        <v>Liquefied petroleum gas (LPG)</v>
      </c>
      <c r="F27" s="192"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193">
        <f>((($L27 * $G27 * $H27) * 10 ^ -3))</f>
        <v>0</v>
      </c>
      <c r="O27" s="193">
        <f>((($L27 * $G27 * $I27) * 10 ^ -3))</f>
        <v>0</v>
      </c>
      <c r="P27" s="193">
        <f>((($L27 * $G27 * $J27) * 10 ^ -3))</f>
        <v>0</v>
      </c>
      <c r="Q27" s="193">
        <f>((L27 * G27 * K27) * 10 ^ -3)</f>
        <v>0</v>
      </c>
    </row>
    <row r="28" spans="1:17" ht="20.100000000000001" customHeight="1" x14ac:dyDescent="0.2">
      <c r="A28" s="6" t="s">
        <v>2</v>
      </c>
      <c r="D28" s="194" t="str">
        <f t="shared" si="0"/>
        <v>Cars and light commercial vehicles</v>
      </c>
      <c r="E28" s="192" t="str">
        <f>'Constants - Fuel'!$E$13</f>
        <v>Fuel oil</v>
      </c>
      <c r="F28" s="192"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193">
        <f>((($L28 * $G28 * $H28) * 10 ^ -3))</f>
        <v>0</v>
      </c>
      <c r="O28" s="193">
        <f>((($L28 * $G28 * $I28) * 10 ^ -3))</f>
        <v>0</v>
      </c>
      <c r="P28" s="193">
        <f>((($L28 * $G28 * $J28) * 10 ^ -3))</f>
        <v>0</v>
      </c>
      <c r="Q28" s="193">
        <f>((L28 * G28 * K28) * 10 ^ -3)</f>
        <v>0</v>
      </c>
    </row>
    <row r="29" spans="1:17" ht="20.100000000000001" customHeight="1" x14ac:dyDescent="0.2">
      <c r="A29" s="5" t="str">
        <f>HYPERLINK("#'3.2.1.1-2 Enteric Methane'!A1", "3.2.1.1-2 Enteric Methane")</f>
        <v>3.2.1.1-2 Enteric Methane</v>
      </c>
      <c r="D29" s="194" t="str">
        <f t="shared" si="0"/>
        <v>Cars and light commercial vehicles</v>
      </c>
      <c r="E29" s="192" t="str">
        <f>'Constants - Fuel'!$E$14</f>
        <v>Ethanol</v>
      </c>
      <c r="F29" s="192"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193">
        <f>((($L29 * $G29 * $H29) * 10 ^ -3))</f>
        <v>0</v>
      </c>
      <c r="O29" s="193">
        <f>((($L29 * $G29 * $I29) * 10 ^ -3))</f>
        <v>0</v>
      </c>
      <c r="P29" s="193">
        <f>((($L29 * $G29 * $J29) * 10 ^ -3))</f>
        <v>0</v>
      </c>
      <c r="Q29" s="193">
        <f>((L29 * G29 * (IF(ISNUMBER(K29),K29,0))) * 10 ^ -3)</f>
        <v>0</v>
      </c>
    </row>
    <row r="30" spans="1:17" ht="20.100000000000001" customHeight="1" x14ac:dyDescent="0.2">
      <c r="A30" s="5" t="str">
        <f>HYPERLINK("#'4.2.1.1-2 Methane'!A1", "4.2.1.1-2 Manure methane")</f>
        <v>4.2.1.1-2 Manure methane</v>
      </c>
      <c r="D30" s="194" t="str">
        <f t="shared" si="0"/>
        <v>Cars and light commercial vehicles</v>
      </c>
      <c r="E30" s="192" t="str">
        <f>'Constants - Fuel'!$E$15</f>
        <v>Biodiesel</v>
      </c>
      <c r="F30" s="192"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193">
        <f>((($L30 * $G30 * $H30) * 10 ^ -3))</f>
        <v>0</v>
      </c>
      <c r="O30" s="193">
        <f>((($L30 * $G30 * $I30) * 10 ^ -3))</f>
        <v>0</v>
      </c>
      <c r="P30" s="193">
        <f>((($L30 * $G30 * $J30) * 10 ^ -3))</f>
        <v>0</v>
      </c>
      <c r="Q30" s="193">
        <f>((L30 * G30 * (IF(ISNUMBER(K30),K30,0))) * 10 ^ -3)</f>
        <v>0</v>
      </c>
    </row>
    <row r="31" spans="1:17" ht="20.100000000000001" customHeight="1" x14ac:dyDescent="0.2">
      <c r="A31" s="5" t="str">
        <f>HYPERLINK("#'4.2.1.3-4 Soil direct N20'!A1", "4.2.1.3-4 Soil direct N2O")</f>
        <v>4.2.1.3-4 Soil direct N2O</v>
      </c>
      <c r="D31" s="194" t="str">
        <f t="shared" si="0"/>
        <v>Cars and light commercial vehicles</v>
      </c>
      <c r="E31" s="192" t="str">
        <f>'Constants - Fuel'!$E$16</f>
        <v>Renewable diesel</v>
      </c>
      <c r="F31" s="192"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72" cm="1">
        <f t="array" ref="L31">Fuel_InputFunctions.Fuel_TotalConsumption(Table_Input_Fuel[Amount consumed], Table_Input_Fuel[Fuel use (select)], D31, Table_Input_Fuel[Fuel type (select)],F31)</f>
        <v>0</v>
      </c>
      <c r="M31" s="172" t="str" cm="1">
        <f t="array" ref="M31">Common_InputFunctions.Utility_LookupValueInTable(F31,Table_FuelTypes_Units[Fuel type],Table_FuelTypes_Units[Unit])</f>
        <v>kL</v>
      </c>
      <c r="N31" s="193">
        <f>((($L31 * $G31 * $H31) * 10 ^ -3))</f>
        <v>0</v>
      </c>
      <c r="O31" s="193">
        <f>((($L31 * $G31 * $I31) * 10 ^ -3))</f>
        <v>0</v>
      </c>
      <c r="P31" s="193">
        <f>((($L31 * $G31 * $J31) * 10 ^ -3))</f>
        <v>0</v>
      </c>
      <c r="Q31" s="193">
        <f>((L31 * G31 * (IF(ISNUMBER(K31),K31,0))) * 10 ^ -3)</f>
        <v>0</v>
      </c>
    </row>
    <row r="32" spans="1:17" ht="20.100000000000001" customHeight="1" x14ac:dyDescent="0.2">
      <c r="A32" s="5" t="str">
        <f>HYPERLINK("#'4.2.1.5-6 Soil Atmos Dep'!A1", "4.2.1.5-6 Soil atm. deposition")</f>
        <v>4.2.1.5-6 Soil atm. deposition</v>
      </c>
      <c r="D32" s="194" t="str">
        <f t="shared" si="0"/>
        <v>Cars and light commercial vehicles</v>
      </c>
      <c r="E32" s="192" t="str">
        <f>'Constants - Fuel'!$E$17</f>
        <v>Other biofuels</v>
      </c>
      <c r="F32" s="192"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190" t="str" cm="1">
        <f t="array" ref="K32">IFERROR(_xlfn.XLOOKUP(1, (Table_Fuel_EFs_Transport[Fuel combusted]=$E32)*(Table_Fuel_EFs_Transport[Transport type]=$D$25), Table_Fuel_EFs_Transport[Scope 3 Emission Factor (kg CO2 - e / GJ)]), 0)</f>
        <v>NE</v>
      </c>
      <c r="L32" s="195" cm="1">
        <f t="array" ref="L32">Fuel_InputFunctions.Fuel_TotalConsumption(Table_Input_Fuel[Amount consumed], Table_Input_Fuel[Fuel use (select)], D32, Table_Input_Fuel[Fuel type (select)],F32)</f>
        <v>0</v>
      </c>
      <c r="M32" s="172" t="str" cm="1">
        <f t="array" ref="M32">Common_InputFunctions.Utility_LookupValueInTable(F32,Table_FuelTypes_Units[Fuel type],Table_FuelTypes_Units[Unit])</f>
        <v>kL</v>
      </c>
      <c r="N32" s="196">
        <f>((($L32 * $G32 * $H32) * 10 ^ -3))</f>
        <v>0</v>
      </c>
      <c r="O32" s="196">
        <f>((($L32 * $G32 * $I32) * 10 ^ -3))</f>
        <v>0</v>
      </c>
      <c r="P32" s="196">
        <f>((($L32 * $G32 * $J32) * 10 ^ -3))</f>
        <v>0</v>
      </c>
      <c r="Q32" s="193">
        <f>((L32 * G32 * (IF(ISNUMBER(K32),K32,0))) * 10 ^ -3)</f>
        <v>0</v>
      </c>
    </row>
    <row r="33" spans="1:17" ht="20.100000000000001" customHeight="1" x14ac:dyDescent="0.2">
      <c r="A33" s="5" t="str">
        <f>HYPERLINK("#'4.2.1.7-8 Soil leach runoff'!A1", "4.2.1.7-8 Soil leach &amp; runoff")</f>
        <v>4.2.1.7-8 Soil leach &amp; runoff</v>
      </c>
      <c r="D33" s="197" t="str">
        <f>Table_FuelTypesPerUse[[#Headers],[Off-road Agriculture and forestry equipment]]</f>
        <v>Off-road Agriculture and forestry equipment</v>
      </c>
      <c r="E33" s="198" t="str">
        <f>'Constants - Fuel'!$E$11</f>
        <v>Diesel oil</v>
      </c>
      <c r="F33" s="198" t="str">
        <f>'Constants - Fuel'!H131</f>
        <v>Diesel</v>
      </c>
      <c r="G33" s="199" cm="1">
        <f t="array" ref="G33">IFERROR(_xlfn.XLOOKUP(1, (Table_Fuel_EFs_Transport[Fuel combusted]=$E33)*(Table_Fuel_EFs_Transport[Transport type]=$D$33), Table_Fuel_EFs_Transport[Energy Content Factor (GJ per unit of fuel)]), 0)</f>
        <v>38.6</v>
      </c>
      <c r="H33" s="199" cm="1">
        <f t="array" ref="H33">IFERROR(_xlfn.XLOOKUP(1, (Table_Fuel_EFs_Transport[Fuel combusted]=$E33)*(Table_Fuel_EFs_Transport[Transport type]=$D$33), Table_Fuel_EFs_Transport[Scope 1 Emission Factor (kg CO2 - e / GJ) CO2]), 0)</f>
        <v>69.900000000000006</v>
      </c>
      <c r="I33" s="199" cm="1">
        <f t="array" ref="I33">IFERROR(_xlfn.XLOOKUP(1, (Table_Fuel_EFs_Transport[Fuel combusted]=$E33)*(Table_Fuel_EFs_Transport[Transport type]=$D$33), Table_Fuel_EFs_Transport[Scope 1 Emission Factor (kg CO2 - e / GJ) CH4]), 0)</f>
        <v>0.3</v>
      </c>
      <c r="J33" s="199" cm="1">
        <f t="array" ref="J33">IFERROR(_xlfn.XLOOKUP(1, (Table_Fuel_EFs_Transport[Fuel combusted]=$E33)*(Table_Fuel_EFs_Transport[Transport type]=$D$33), Table_Fuel_EFs_Transport[Scope 1 Emission Factor (kg CO2 - e / GJ) N2O]), 0)</f>
        <v>0.5</v>
      </c>
      <c r="K33" s="200" cm="1">
        <f t="array" ref="K33">IFERROR(_xlfn.XLOOKUP(1, (Table_Fuel_EFs_Transport[Fuel combusted]=$E33)*(Table_Fuel_EFs_Transport[Transport type]=$D$25), Table_Fuel_EFs_Transport[Scope 3 Emission Factor (kg CO2 - e / GJ)]), 0)</f>
        <v>17.3</v>
      </c>
      <c r="L33" s="201" cm="1">
        <f t="array" ref="L33">Fuel_InputFunctions.Fuel_TotalConsumption(Table_Input_Fuel[Amount consumed], Table_Input_Fuel[Fuel use (select)], D33, Table_Input_Fuel[Fuel type (select)],F33)</f>
        <v>10</v>
      </c>
      <c r="M33" s="202" t="str" cm="1">
        <f t="array" ref="M33">Common_InputFunctions.Utility_LookupValueInTable(F33,Table_FuelTypes_Units[Fuel type],Table_FuelTypes_Units[Unit])</f>
        <v>kL</v>
      </c>
      <c r="N33" s="203">
        <f>((($L33 * $G33 * $H33) * 10 ^ -3))</f>
        <v>26.981400000000001</v>
      </c>
      <c r="O33" s="203">
        <f>((($L33 * $G33 * $I33) * 10 ^ -3))</f>
        <v>0.1158</v>
      </c>
      <c r="P33" s="203">
        <f>((($L33 * $G33 * $J33) * 10 ^ -3))</f>
        <v>0.193</v>
      </c>
      <c r="Q33" s="204">
        <f>((L33 * G33 * K33) * 10 ^ -3)</f>
        <v>6.6778000000000004</v>
      </c>
    </row>
    <row r="34" spans="1:17" ht="20.100000000000001" customHeight="1" x14ac:dyDescent="0.2">
      <c r="A34" s="5" t="str">
        <f>HYPERLINK("#'5.1.1.1-2 Inorganic fert N2O'!A1", "5.1.1.1-2 Inorganic fert N2O")</f>
        <v>5.1.1.1-2 Inorganic fert N2O</v>
      </c>
      <c r="D34" s="197" t="str">
        <f>Table_FuelTypesPerUse[[#Headers],[Aviation]]</f>
        <v>Aviation</v>
      </c>
      <c r="E34" s="198" t="str">
        <f>'Constants - Fuel'!$E$28</f>
        <v>Gasoline for use as fuel in an aircraft</v>
      </c>
      <c r="F34" s="198" t="str">
        <f>'Constants - Fuel'!$F$131</f>
        <v>Avgas</v>
      </c>
      <c r="G34" s="205" cm="1">
        <f t="array" ref="G34">IFERROR(_xlfn.XLOOKUP(1, (Table_Fuel_EFs_Transport[Fuel combusted]=$E34)*(Table_Fuel_EFs_Transport[Transport type]=$D$34), Table_Fuel_EFs_Transport[Energy Content Factor (GJ per unit of fuel)]), 0)</f>
        <v>33.1</v>
      </c>
      <c r="H34" s="205" cm="1">
        <f t="array" ref="H34">IFERROR(_xlfn.XLOOKUP(1, (Table_Fuel_EFs_Transport[Fuel combusted]=$E34)*(Table_Fuel_EFs_Transport[Transport type]=$D$34), Table_Fuel_EFs_Transport[Scope 1 Emission Factor (kg CO2 - e / GJ) CO2]), 0)</f>
        <v>67</v>
      </c>
      <c r="I34" s="205" cm="1">
        <f t="array" ref="I34">IFERROR(_xlfn.XLOOKUP(1, (Table_Fuel_EFs_Transport[Fuel combusted]=$E34)*(Table_Fuel_EFs_Transport[Transport type]=$D$34), Table_Fuel_EFs_Transport[Scope 1 Emission Factor (kg CO2 - e / GJ) CH4]), 0)</f>
        <v>0.06</v>
      </c>
      <c r="J34" s="205" cm="1">
        <f t="array" ref="J34">IFERROR(_xlfn.XLOOKUP(1, (Table_Fuel_EFs_Transport[Fuel combusted]=$E34)*(Table_Fuel_EFs_Transport[Transport type]=$D$34), Table_Fuel_EFs_Transport[Scope 1 Emission Factor (kg CO2 - e / GJ) N2O]), 0)</f>
        <v>0.6</v>
      </c>
      <c r="K34" s="205" cm="1">
        <f t="array" ref="K34">IFERROR(_xlfn.XLOOKUP(1, (Table_Fuel_EFs_Transport[Fuel combusted]=$E34)*(Table_Fuel_EFs_Transport[Transport type]=$D$25), Table_Fuel_EFs_Transport[Scope 3 Emission Factor (kg CO2 - e / GJ)]), 0)</f>
        <v>0</v>
      </c>
      <c r="L34" s="202" cm="1">
        <f t="array" ref="L34">Fuel_InputFunctions.Fuel_TotalConsumption(Table_Input_Fuel[Amount consumed], Table_Input_Fuel[Fuel use (select)], D34, Table_Input_Fuel[Fuel type (select)],F34)</f>
        <v>0</v>
      </c>
      <c r="M34" s="202" t="str" cm="1">
        <f t="array" ref="M34">Common_InputFunctions.Utility_LookupValueInTable(F34,Table_FuelTypes_Units[Fuel type],Table_FuelTypes_Units[Unit])</f>
        <v>kL</v>
      </c>
      <c r="N34" s="203">
        <f>((($L34 * $G34 * $H34) * 10 ^ -3))</f>
        <v>0</v>
      </c>
      <c r="O34" s="203">
        <f>((($L34 * $G34 * $I34) * 10 ^ -3))</f>
        <v>0</v>
      </c>
      <c r="P34" s="203">
        <f>((($L34 * $G34 * $J34) * 10 ^ -3))</f>
        <v>0</v>
      </c>
      <c r="Q34" s="203">
        <f>((L34 * G34 * K34) * 10 ^ -3)</f>
        <v>0</v>
      </c>
    </row>
    <row r="35" spans="1:17" ht="20.100000000000001" customHeight="1" x14ac:dyDescent="0.2">
      <c r="A35" s="5" t="str">
        <f>HYPERLINK("#'5.1.1.3-4 Inorganic fert CO2'!A1", "5.1.1.3-4 Inorganic fert CO2")</f>
        <v>5.1.1.3-4 Inorganic fert CO2</v>
      </c>
      <c r="D35" s="194" t="str">
        <f>$D$34</f>
        <v>Aviation</v>
      </c>
      <c r="E35" s="192" t="str">
        <f>'Constants - Fuel'!$E$29</f>
        <v>Kerosene for use as fuel in an aircraft</v>
      </c>
      <c r="F35" s="192"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72" cm="1">
        <f t="array" ref="L35">Fuel_InputFunctions.Fuel_TotalConsumption(Table_Input_Fuel[Amount consumed], Table_Input_Fuel[Fuel use (select)], D35, Table_Input_Fuel[Fuel type (select)],F35)</f>
        <v>0</v>
      </c>
      <c r="M35" s="172" t="str" cm="1">
        <f t="array" ref="M35">Common_InputFunctions.Utility_LookupValueInTable(F35,Table_FuelTypes_Units[Fuel type],Table_FuelTypes_Units[Unit])</f>
        <v>kL</v>
      </c>
      <c r="N35" s="193">
        <f>((($L35 * $G35 * $H35) * 10 ^ -3))</f>
        <v>0</v>
      </c>
      <c r="O35" s="193">
        <f>((($L35 * $G35 * $I35) * 10 ^ -3))</f>
        <v>0</v>
      </c>
      <c r="P35" s="193">
        <f>((($L35 * $G35 * $J35) * 10 ^ -3))</f>
        <v>0</v>
      </c>
      <c r="Q35" s="193">
        <f>((L35 * G35 * K35) * 10 ^ -3)</f>
        <v>0</v>
      </c>
    </row>
    <row r="36" spans="1:17" ht="20.100000000000001" customHeight="1" x14ac:dyDescent="0.2">
      <c r="A36" s="5" t="str">
        <f>HYPERLINK("#'5.2.1.1-2 Organic Fert N2O'!A1", "5.2.1.1-2 Organic fert N2O")</f>
        <v>5.2.1.1-2 Organic fert N2O</v>
      </c>
      <c r="D36" s="194" t="str">
        <f>$D$34</f>
        <v>Aviation</v>
      </c>
      <c r="E36" s="192" t="str">
        <f>'Constants - Fuel'!$E$30</f>
        <v>Renewable aviation kerosene</v>
      </c>
      <c r="F36" s="192" t="str">
        <f>'Constants - Fuel'!$F$133</f>
        <v>Renewable aviation kerosene</v>
      </c>
      <c r="G36" s="190" cm="1">
        <f t="array" ref="G36">IFERROR(_xlfn.XLOOKUP(1, (Table_Fuel_EFs_Transport[Fuel combusted]=$E36)*(Table_Fuel_EFs_Transport[Transport type]=$D$34), Table_Fuel_EFs_Transport[Energy Content Factor (GJ per unit of fuel)]), 0)</f>
        <v>36.799999999999997</v>
      </c>
      <c r="H36" s="190" cm="1">
        <f t="array" ref="H36">IFERROR(_xlfn.XLOOKUP(1, (Table_Fuel_EFs_Transport[Fuel combusted]=$E36)*(Table_Fuel_EFs_Transport[Transport type]=$D$34), Table_Fuel_EFs_Transport[Scope 1 Emission Factor (kg CO2 - e / GJ) CO2]), 0)</f>
        <v>0</v>
      </c>
      <c r="I36" s="190" cm="1">
        <f t="array" ref="I36">IFERROR(_xlfn.XLOOKUP(1, (Table_Fuel_EFs_Transport[Fuel combusted]=$E36)*(Table_Fuel_EFs_Transport[Transport type]=$D$34), Table_Fuel_EFs_Transport[Scope 1 Emission Factor (kg CO2 - e / GJ) CH4]), 0)</f>
        <v>0.01</v>
      </c>
      <c r="J36" s="190" cm="1">
        <f t="array" ref="J36">IFERROR(_xlfn.XLOOKUP(1, (Table_Fuel_EFs_Transport[Fuel combusted]=$E36)*(Table_Fuel_EFs_Transport[Transport type]=$D$34), Table_Fuel_EFs_Transport[Scope 1 Emission Factor (kg CO2 - e / GJ) N2O]), 0)</f>
        <v>0.6</v>
      </c>
      <c r="K36" s="190" cm="1">
        <f t="array" ref="K36">IFERROR(_xlfn.XLOOKUP(1, (Table_Fuel_EFs_Transport[Fuel combusted]=$E36)*(Table_Fuel_EFs_Transport[Transport type]=$D$25), Table_Fuel_EFs_Transport[Scope 3 Emission Factor (kg CO2 - e / GJ)]), 0)</f>
        <v>0</v>
      </c>
      <c r="L36" s="195" cm="1">
        <f t="array" ref="L36">Fuel_InputFunctions.Fuel_TotalConsumption(Table_Input_Fuel[Amount consumed], Table_Input_Fuel[Fuel use (select)], D36, Table_Input_Fuel[Fuel type (select)],F36)</f>
        <v>0</v>
      </c>
      <c r="M36" s="172" t="str" cm="1">
        <f t="array" ref="M36">Common_InputFunctions.Utility_LookupValueInTable(F36,Table_FuelTypes_Units[Fuel type],Table_FuelTypes_Units[Unit])</f>
        <v>kL</v>
      </c>
      <c r="N36" s="193">
        <f>((($L36 * $G36 * $H36) * 10 ^ -3))</f>
        <v>0</v>
      </c>
      <c r="O36" s="193">
        <f>((($L36 * $G36 * $I36) * 10 ^ -3))</f>
        <v>0</v>
      </c>
      <c r="P36" s="193">
        <f>((($L36 * $G36 * $J36) * 10 ^ -3))</f>
        <v>0</v>
      </c>
      <c r="Q36" s="196">
        <f>((L36 * G36 * K36) * 10 ^ -3)</f>
        <v>0</v>
      </c>
    </row>
    <row r="37" spans="1:17" ht="20.100000000000001" customHeight="1" x14ac:dyDescent="0.2">
      <c r="A37" s="5" t="str">
        <f>HYPERLINK("#'5.3.1.1-2 Lime CO2'!A1", "5.3.1.1-2 Lime CO2")</f>
        <v>5.3.1.1-2 Lime CO2</v>
      </c>
      <c r="D37" s="197" t="str">
        <f>Table_FuelTypesPerUse[[#Headers],[Vessels]]</f>
        <v>Vessels</v>
      </c>
      <c r="E37" s="198" t="str">
        <f>'Constants - Fuel'!$E$10</f>
        <v>Gasoline</v>
      </c>
      <c r="F37" s="198" t="str">
        <f>'Constants - Fuel'!$I$131</f>
        <v>Petrol</v>
      </c>
      <c r="G37" s="205" cm="1">
        <f t="array" ref="G37">IFERROR(_xlfn.XLOOKUP(1, (Table_Fuel_EFs_Transport[Fuel combusted]=$E37)*(Table_Fuel_EFs_Transport[Transport type]=$D$37), Table_Fuel_EFs_Transport[Energy Content Factor (GJ per unit of fuel)]), 0)</f>
        <v>34.200000000000003</v>
      </c>
      <c r="H37" s="205" cm="1">
        <f t="array" ref="H37">IFERROR(_xlfn.XLOOKUP(1, (Table_Fuel_EFs_Transport[Fuel combusted]=$E37)*(Table_Fuel_EFs_Transport[Transport type]=$D$37), Table_Fuel_EFs_Transport[Scope 1 Emission Factor (kg CO2 - e / GJ) CO2]), 0)</f>
        <v>67.400000000000006</v>
      </c>
      <c r="I37" s="205" cm="1">
        <f t="array" ref="I37">IFERROR(_xlfn.XLOOKUP(1, (Table_Fuel_EFs_Transport[Fuel combusted]=$E37)*(Table_Fuel_EFs_Transport[Transport type]=$D$37), Table_Fuel_EFs_Transport[Scope 1 Emission Factor (kg CO2 - e / GJ) CH4]), 0)</f>
        <v>10.1</v>
      </c>
      <c r="J37" s="205" cm="1">
        <f t="array" ref="J37">IFERROR(_xlfn.XLOOKUP(1, (Table_Fuel_EFs_Transport[Fuel combusted]=$E37)*(Table_Fuel_EFs_Transport[Transport type]=$D$37), Table_Fuel_EFs_Transport[Scope 1 Emission Factor (kg CO2 - e / GJ) N2O]), 0)</f>
        <v>0.3</v>
      </c>
      <c r="K37" s="205" cm="1">
        <f t="array" ref="K37">IFERROR(_xlfn.XLOOKUP(1, (Table_Fuel_EFs_Transport[Fuel combusted]=$E37)*(Table_Fuel_EFs_Transport[Transport type]=$D$25), Table_Fuel_EFs_Transport[Scope 3 Emission Factor (kg CO2 - e / GJ)]), 0)</f>
        <v>17.2</v>
      </c>
      <c r="L37" s="202" cm="1">
        <f t="array" ref="L37">Fuel_InputFunctions.Fuel_TotalConsumption(Table_Input_Fuel[Amount consumed], Table_Input_Fuel[Fuel use (select)], D37, Table_Input_Fuel[Fuel type (select)],F37)</f>
        <v>0</v>
      </c>
      <c r="M37" s="206" t="str" cm="1">
        <f t="array" ref="M37">Common_InputFunctions.Utility_LookupValueInTable(F37,Table_FuelTypes_Units[Fuel type],Table_FuelTypes_Units[Unit])</f>
        <v>kL</v>
      </c>
      <c r="N37" s="203">
        <f>((($L37 * $G37 * $H37) * 10 ^ -3))</f>
        <v>0</v>
      </c>
      <c r="O37" s="203">
        <f>((($L37 * $G37 * $I37) * 10 ^ -3))</f>
        <v>0</v>
      </c>
      <c r="P37" s="203">
        <f>((($L37 * $G37 * $J37) * 10 ^ -3))</f>
        <v>0</v>
      </c>
      <c r="Q37" s="203">
        <f>((L37 * G37 * K37) * 10 ^ -3)</f>
        <v>0</v>
      </c>
    </row>
    <row r="38" spans="1:17" ht="20.100000000000001" customHeight="1" x14ac:dyDescent="0.2">
      <c r="A38" s="5" t="str">
        <f>HYPERLINK("#'5.4.1.1-4 Atmos deposition'!A1", "5.4.1.1-4 Atmos. deposition")</f>
        <v>5.4.1.1-4 Atmos. deposition</v>
      </c>
      <c r="D38" s="194" t="str">
        <f>$D$37</f>
        <v>Vessels</v>
      </c>
      <c r="E38" s="192" t="str">
        <f>'Constants - Fuel'!$E$11</f>
        <v>Diesel oil</v>
      </c>
      <c r="F38" s="192"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72" cm="1">
        <f t="array" ref="L38">Fuel_InputFunctions.Fuel_TotalConsumption(Table_Input_Fuel[Amount consumed], Table_Input_Fuel[Fuel use (select)], D38, Table_Input_Fuel[Fuel type (select)],F38)</f>
        <v>0</v>
      </c>
      <c r="M38" s="172" t="str" cm="1">
        <f t="array" ref="M38">Common_InputFunctions.Utility_LookupValueInTable(F38,Table_FuelTypes_Units[Fuel type],Table_FuelTypes_Units[Unit])</f>
        <v>kL</v>
      </c>
      <c r="N38" s="193">
        <f>((($L38 * $G38 * $H38) * 10 ^ -3))</f>
        <v>0</v>
      </c>
      <c r="O38" s="193">
        <f>((($L38 * $G38 * $I38) * 10 ^ -3))</f>
        <v>0</v>
      </c>
      <c r="P38" s="193">
        <f>((($L38 * $G38 * $J38) * 10 ^ -3))</f>
        <v>0</v>
      </c>
      <c r="Q38" s="193">
        <f>((L38 * G38 * K38) * 10 ^ -3)</f>
        <v>0</v>
      </c>
    </row>
    <row r="39" spans="1:17" ht="20.100000000000001" customHeight="1" x14ac:dyDescent="0.2">
      <c r="A39" s="5" t="str">
        <f>HYPERLINK("#'5.5.1.1-2 Leaching and runoff'!A1", "5.5.1.1-2 Leaching &amp; runoff")</f>
        <v>5.5.1.1-2 Leaching &amp; runoff</v>
      </c>
      <c r="D39" s="194" t="str">
        <f>$D$37</f>
        <v>Vessels</v>
      </c>
      <c r="E39" s="192" t="str">
        <f>'Constants - Fuel'!E33</f>
        <v>Fuel Oil</v>
      </c>
      <c r="F39" s="192"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72" cm="1">
        <f t="array" ref="L39">Fuel_InputFunctions.Fuel_TotalConsumption(Table_Input_Fuel[Amount consumed], Table_Input_Fuel[Fuel use (select)], D39, Table_Input_Fuel[Fuel type (select)],F39)</f>
        <v>10</v>
      </c>
      <c r="M39" s="172" t="str" cm="1">
        <f t="array" ref="M39">Common_InputFunctions.Utility_LookupValueInTable(F39,Table_FuelTypes_Units[Fuel type],Table_FuelTypes_Units[Unit])</f>
        <v>kL</v>
      </c>
      <c r="N39" s="193">
        <f>((($L39 * $G39 * $H39) * 10 ^ -3))</f>
        <v>29.219199999999997</v>
      </c>
      <c r="O39" s="193">
        <f>((($L39 * $G39 * $I39) * 10 ^ -3))</f>
        <v>7.9400000000000012E-2</v>
      </c>
      <c r="P39" s="193">
        <f>((($L39 * $G39 * $J39) * 10 ^ -3))</f>
        <v>0.19850000000000001</v>
      </c>
      <c r="Q39" s="193">
        <f>((L39 * G39 * K39) * 10 ^ -3)</f>
        <v>7.1459999999999999</v>
      </c>
    </row>
    <row r="40" spans="1:17" ht="20.100000000000001" customHeight="1" x14ac:dyDescent="0.2">
      <c r="A40" s="5" t="str">
        <f>HYPERLINK("#'6.2.1.1-2 Pasture residue N2O'!A1", "6.2.1.1-2 Pasture residue N2O")</f>
        <v>6.2.1.1-2 Pasture residue N2O</v>
      </c>
      <c r="H40" s="168"/>
      <c r="I40" s="168"/>
      <c r="J40" s="168"/>
      <c r="L40" s="168"/>
      <c r="M40" s="168"/>
      <c r="N40" s="168"/>
      <c r="O40" s="168"/>
      <c r="P40" s="168"/>
      <c r="Q40" s="168"/>
    </row>
    <row r="41" spans="1:17" ht="20.100000000000001" customHeight="1" x14ac:dyDescent="0.2">
      <c r="A41" s="5" t="str">
        <f>HYPERLINK("#'6.3.1.1-2 Leach runoff pasture'!A1", "6.3.1.1-2 Leach &amp; runoff (pasture)")</f>
        <v>6.3.1.1-2 Leach &amp; runoff (pasture)</v>
      </c>
      <c r="H41" s="168"/>
      <c r="I41" s="168"/>
      <c r="J41" s="168"/>
      <c r="L41" s="168"/>
      <c r="M41" s="168"/>
      <c r="N41" s="168"/>
      <c r="O41" s="168"/>
      <c r="P41" s="168"/>
      <c r="Q41" s="168"/>
    </row>
    <row r="42" spans="1:17" ht="20.100000000000001" customHeight="1" x14ac:dyDescent="0.2">
      <c r="A42" s="105" t="str">
        <f>HYPERLINK("#'8.1.1.1-2 Transport fuel'!A1", "8.1.1.1-2 Transport fuel")</f>
        <v>8.1.1.1-2 Transport fuel</v>
      </c>
      <c r="D42" s="207" t="str">
        <f>"Total scope 1 - " &amp; D25</f>
        <v>Total scope 1 - Cars and light commercial vehicles</v>
      </c>
      <c r="E42" s="208"/>
      <c r="F42" s="209"/>
    </row>
    <row r="43" spans="1:17" ht="20.100000000000001" customHeight="1" x14ac:dyDescent="0.2">
      <c r="A43" s="5" t="str">
        <f>HYPERLINK("#'8.2.1.1-2 Stationary fuel'!A1", "8.2.1.1-2 Stationary fuel")</f>
        <v>8.2.1.1-2 Stationary fuel</v>
      </c>
      <c r="D43" s="25" t="s">
        <v>857</v>
      </c>
      <c r="E43" s="210">
        <f>SUM(N25:N32)+N("Partial sum")</f>
        <v>26.981400000000001</v>
      </c>
      <c r="F43" s="16" t="str">
        <f>$E$12</f>
        <v>t CO2-e</v>
      </c>
    </row>
    <row r="44" spans="1:17" ht="20.100000000000001" customHeight="1" x14ac:dyDescent="0.2">
      <c r="A44" s="5" t="str">
        <f>HYPERLINK("#'10.1.1-2 Solid waste treatment'!A1", "10.1.1.1-2 Solid waste")</f>
        <v>10.1.1.1-2 Solid waste</v>
      </c>
      <c r="D44" s="25" t="s">
        <v>858</v>
      </c>
      <c r="E44" s="210">
        <f>SUM(O25:O32)+N("Partial sum")</f>
        <v>3.8600000000000001E-3</v>
      </c>
      <c r="F44" s="16" t="str">
        <f t="shared" ref="F44:F46" si="1">$E$12</f>
        <v>t CO2-e</v>
      </c>
    </row>
    <row r="45" spans="1:17" ht="20.100000000000001" customHeight="1" x14ac:dyDescent="0.2">
      <c r="A45" s="5" t="str">
        <f>HYPERLINK("#'14.1.1-2 Purchased electricity'!A1", "14.1.1-2 Purchased electricity")</f>
        <v>14.1.1-2 Purchased electricity</v>
      </c>
      <c r="D45" s="25" t="s">
        <v>859</v>
      </c>
      <c r="E45" s="210">
        <f>SUM(P25:P32)+N("Partial sum")</f>
        <v>0.193</v>
      </c>
      <c r="F45" s="16" t="str">
        <f t="shared" si="1"/>
        <v>t CO2-e</v>
      </c>
    </row>
    <row r="46" spans="1:17" ht="20.100000000000001" customHeight="1" x14ac:dyDescent="0.2">
      <c r="A46" s="5" t="str">
        <f>HYPERLINK("#'15 Scope 3'!A1", "15 Scope 3")</f>
        <v>15 Scope 3</v>
      </c>
      <c r="D46" s="25" t="s">
        <v>293</v>
      </c>
      <c r="E46" s="210">
        <f>SUM(Q25:Q32)+N("Partial sum")</f>
        <v>6.6778000000000004</v>
      </c>
      <c r="F46" s="16" t="str">
        <f t="shared" si="1"/>
        <v>t CO2-e</v>
      </c>
    </row>
    <row r="47" spans="1:17" ht="20.100000000000001" customHeight="1" x14ac:dyDescent="0.2">
      <c r="A47" s="5" t="str">
        <f>HYPERLINK("#'Calcs - Manure sent off-site'!A1", "Calcs - Manure sent off-site")</f>
        <v>Calcs - Manure sent off-site</v>
      </c>
      <c r="D47" s="168"/>
      <c r="E47" s="168"/>
      <c r="F47" s="168"/>
    </row>
    <row r="48" spans="1:17" ht="20.100000000000001" customHeight="1" x14ac:dyDescent="0.2">
      <c r="D48" s="207" t="str">
        <f>"Total scope 1 - " &amp; D33</f>
        <v>Total scope 1 - Off-road Agriculture and forestry equipment</v>
      </c>
      <c r="E48" s="211"/>
      <c r="F48" s="209"/>
      <c r="H48" s="168"/>
      <c r="I48" s="168"/>
      <c r="J48" s="168"/>
      <c r="L48" s="168"/>
      <c r="M48" s="168"/>
      <c r="N48" s="168"/>
      <c r="O48" s="168"/>
      <c r="P48" s="168"/>
      <c r="Q48" s="168"/>
    </row>
    <row r="49" spans="1:17" ht="20.100000000000001" customHeight="1" x14ac:dyDescent="0.2">
      <c r="D49" s="25" t="s">
        <v>857</v>
      </c>
      <c r="E49" s="210">
        <f>SUM(N33:N33)+N("Partial sum")</f>
        <v>26.981400000000001</v>
      </c>
      <c r="F49" s="16" t="str">
        <f t="shared" ref="F49:F52" si="2">$E$12</f>
        <v>t CO2-e</v>
      </c>
      <c r="H49" s="168"/>
      <c r="I49" s="168"/>
      <c r="J49" s="168"/>
      <c r="L49" s="168"/>
      <c r="M49" s="168"/>
      <c r="N49" s="168"/>
      <c r="O49" s="168"/>
      <c r="P49" s="168"/>
      <c r="Q49" s="168"/>
    </row>
    <row r="50" spans="1:17" ht="20.100000000000001" customHeight="1" x14ac:dyDescent="0.2">
      <c r="A50" s="86" t="s">
        <v>1</v>
      </c>
      <c r="D50" s="25" t="s">
        <v>858</v>
      </c>
      <c r="E50" s="210">
        <f>SUM(O33:O33)+N("Partial sum")</f>
        <v>0.1158</v>
      </c>
      <c r="F50" s="16" t="str">
        <f t="shared" si="2"/>
        <v>t CO2-e</v>
      </c>
      <c r="H50" s="168"/>
      <c r="I50" s="168"/>
      <c r="J50" s="168"/>
      <c r="L50" s="168"/>
      <c r="M50" s="168"/>
      <c r="N50" s="168"/>
      <c r="O50" s="168"/>
      <c r="P50" s="168"/>
      <c r="Q50" s="168"/>
    </row>
    <row r="51" spans="1:17" ht="20.100000000000001" customHeight="1" x14ac:dyDescent="0.2">
      <c r="A51" s="5" t="str">
        <f>HYPERLINK("#'Constants - Pasture Beef'!A1", "Constants - Pasture Beef")</f>
        <v>Constants - Pasture Beef</v>
      </c>
      <c r="D51" s="25" t="s">
        <v>859</v>
      </c>
      <c r="E51" s="210">
        <f>SUM(P33:P33)+N("Partial sum")</f>
        <v>0.193</v>
      </c>
      <c r="F51" s="16" t="str">
        <f t="shared" si="2"/>
        <v>t CO2-e</v>
      </c>
      <c r="H51" s="168"/>
      <c r="I51" s="168"/>
      <c r="J51" s="168"/>
      <c r="L51" s="168"/>
      <c r="M51" s="168"/>
      <c r="N51" s="168"/>
      <c r="O51" s="168"/>
      <c r="P51" s="168"/>
      <c r="Q51" s="168"/>
    </row>
    <row r="52" spans="1:17" ht="20.100000000000001" customHeight="1" x14ac:dyDescent="0.2">
      <c r="A52" s="5" t="str">
        <f>HYPERLINK("#'Constants - Ag Residue'!A1", "Constants - Ag residue")</f>
        <v>Constants - Ag residue</v>
      </c>
      <c r="D52" s="25" t="s">
        <v>293</v>
      </c>
      <c r="E52" s="210">
        <f>SUM(Q33)+N("Partial sum")</f>
        <v>6.6778000000000004</v>
      </c>
      <c r="F52" s="16" t="str">
        <f t="shared" si="2"/>
        <v>t CO2-e</v>
      </c>
      <c r="H52" s="168"/>
      <c r="I52" s="168"/>
      <c r="J52" s="168"/>
      <c r="L52" s="168"/>
      <c r="M52" s="168"/>
      <c r="N52" s="168"/>
      <c r="O52" s="168"/>
      <c r="P52" s="168"/>
      <c r="Q52" s="168"/>
    </row>
    <row r="53" spans="1:17" ht="20.100000000000001" customHeight="1" x14ac:dyDescent="0.2">
      <c r="A53" s="5" t="str">
        <f>HYPERLINK("#'Constants - Common Livestock'!A1", "Constants - Common Livestock")</f>
        <v>Constants - Common Livestock</v>
      </c>
      <c r="D53" s="168"/>
      <c r="E53" s="212"/>
      <c r="F53" s="168"/>
      <c r="G53" s="168"/>
      <c r="H53" s="168"/>
      <c r="I53" s="168"/>
      <c r="J53" s="168"/>
      <c r="L53" s="168"/>
      <c r="M53" s="168"/>
      <c r="N53" s="168"/>
      <c r="O53" s="168"/>
      <c r="P53" s="168"/>
      <c r="Q53" s="168"/>
    </row>
    <row r="54" spans="1:17" ht="20.100000000000001" customHeight="1" x14ac:dyDescent="0.2">
      <c r="A54" s="5" t="str">
        <f>HYPERLINK("#'Constants - Electricity'!A1", "Constants - Electricity")</f>
        <v>Constants - Electricity</v>
      </c>
      <c r="D54" s="207" t="str">
        <f>"Total scope 1 - " &amp; D34</f>
        <v>Total scope 1 - Aviation</v>
      </c>
      <c r="E54" s="211"/>
      <c r="F54" s="209"/>
      <c r="G54" s="168"/>
      <c r="H54" s="168"/>
      <c r="I54" s="168"/>
      <c r="J54" s="168"/>
      <c r="L54" s="168"/>
      <c r="M54" s="168"/>
      <c r="N54" s="168"/>
      <c r="O54" s="168"/>
      <c r="P54" s="168"/>
      <c r="Q54" s="168"/>
    </row>
    <row r="55" spans="1:17" ht="20.100000000000001" customHeight="1" x14ac:dyDescent="0.2">
      <c r="A55" s="5" t="str">
        <f>HYPERLINK("#'Constants - Fertiliser'!A1", "Constants - Fertiliser")</f>
        <v>Constants - Fertiliser</v>
      </c>
      <c r="D55" s="25" t="s">
        <v>857</v>
      </c>
      <c r="E55" s="210">
        <f>SUM(N34:N36)+N("Partial sum")</f>
        <v>0</v>
      </c>
      <c r="F55" s="16" t="str">
        <f t="shared" ref="F55:F58" si="3">$E$12</f>
        <v>t CO2-e</v>
      </c>
      <c r="G55" s="168"/>
      <c r="H55" s="168"/>
      <c r="I55" s="168"/>
      <c r="J55" s="168"/>
      <c r="L55" s="168"/>
      <c r="M55" s="168"/>
      <c r="N55" s="168"/>
      <c r="O55" s="168"/>
      <c r="P55" s="168"/>
      <c r="Q55" s="168"/>
    </row>
    <row r="56" spans="1:17" ht="20.100000000000001" customHeight="1" x14ac:dyDescent="0.2">
      <c r="A56" s="5" t="str">
        <f>HYPERLINK("#'Constants - Fuel'!A1", "Constants - Fuel")</f>
        <v>Constants - Fuel</v>
      </c>
      <c r="D56" s="25" t="s">
        <v>858</v>
      </c>
      <c r="E56" s="210">
        <f>SUM(O34:O36)+N("Partial sum")</f>
        <v>0</v>
      </c>
      <c r="F56" s="16" t="str">
        <f t="shared" si="3"/>
        <v>t CO2-e</v>
      </c>
      <c r="G56" s="168"/>
      <c r="H56" s="168"/>
      <c r="I56" s="168"/>
      <c r="J56" s="168"/>
      <c r="L56" s="168"/>
      <c r="M56" s="168"/>
      <c r="N56" s="168"/>
      <c r="O56" s="168"/>
      <c r="P56" s="168"/>
      <c r="Q56" s="168"/>
    </row>
    <row r="57" spans="1:17" ht="20.100000000000001" customHeight="1" x14ac:dyDescent="0.2">
      <c r="A57" s="5" t="str">
        <f>HYPERLINK("#'Constants - Scope 3'!A1", "Constants - Scope 3")</f>
        <v>Constants - Scope 3</v>
      </c>
      <c r="D57" s="25" t="s">
        <v>859</v>
      </c>
      <c r="E57" s="210">
        <f>SUM(P34:P36)+N("Partial sum")</f>
        <v>0</v>
      </c>
      <c r="F57" s="16" t="str">
        <f t="shared" si="3"/>
        <v>t CO2-e</v>
      </c>
      <c r="G57" s="168"/>
      <c r="H57" s="168"/>
      <c r="I57" s="168"/>
      <c r="J57" s="168"/>
      <c r="L57" s="168"/>
      <c r="M57" s="168"/>
      <c r="N57" s="168"/>
      <c r="O57" s="168"/>
      <c r="P57" s="168"/>
      <c r="Q57" s="168"/>
    </row>
    <row r="58" spans="1:17" ht="20.100000000000001" customHeight="1" x14ac:dyDescent="0.2">
      <c r="A58" s="5" t="str">
        <f>HYPERLINK("#'Constants - Solid Waste'!A1", "Constants - Solid Waste")</f>
        <v>Constants - Solid Waste</v>
      </c>
      <c r="D58" s="25" t="s">
        <v>293</v>
      </c>
      <c r="E58" s="210">
        <f>SUM(Q34:Q36)+N("Partial sum")</f>
        <v>0</v>
      </c>
      <c r="F58" s="16" t="str">
        <f t="shared" si="3"/>
        <v>t CO2-e</v>
      </c>
      <c r="G58" s="168"/>
      <c r="H58" s="168"/>
      <c r="I58" s="168"/>
      <c r="J58" s="168"/>
      <c r="L58" s="168"/>
      <c r="M58" s="168"/>
      <c r="N58" s="168"/>
      <c r="O58" s="168"/>
      <c r="P58" s="168"/>
      <c r="Q58" s="168"/>
    </row>
    <row r="59" spans="1:17" ht="20.100000000000001" customHeight="1" x14ac:dyDescent="0.2">
      <c r="A59" s="5" t="str">
        <f>HYPERLINK("#'Constants - Common'!A1", "Constants - Common")</f>
        <v>Constants - Common</v>
      </c>
      <c r="D59" s="168"/>
      <c r="E59" s="212"/>
      <c r="F59" s="168"/>
      <c r="G59" s="168"/>
      <c r="H59" s="168"/>
      <c r="I59" s="168"/>
      <c r="J59" s="168"/>
      <c r="L59" s="168"/>
      <c r="M59" s="168"/>
      <c r="N59" s="168"/>
      <c r="O59" s="168"/>
      <c r="P59" s="168"/>
      <c r="Q59" s="168"/>
    </row>
    <row r="60" spans="1:17" ht="20.100000000000001" customHeight="1" x14ac:dyDescent="0.2">
      <c r="A60" s="5" t="str">
        <f>HYPERLINK("#'Acknowledgements'!A1", "Acknowledgements")</f>
        <v>Acknowledgements</v>
      </c>
      <c r="D60" s="207" t="str">
        <f>"Total scope 1 - " &amp; D37</f>
        <v>Total scope 1 - Vessels</v>
      </c>
      <c r="E60" s="211"/>
      <c r="F60" s="209"/>
      <c r="G60" s="168"/>
      <c r="H60" s="168"/>
      <c r="I60" s="168"/>
      <c r="J60" s="168"/>
      <c r="L60" s="168"/>
      <c r="M60" s="168"/>
      <c r="N60" s="168"/>
      <c r="O60" s="168"/>
      <c r="P60" s="168"/>
      <c r="Q60" s="168"/>
    </row>
    <row r="61" spans="1:17" ht="20.100000000000001" customHeight="1" x14ac:dyDescent="0.2">
      <c r="D61" s="25" t="s">
        <v>857</v>
      </c>
      <c r="E61" s="210">
        <f>SUM(N37:N39)+N("Partial sum")</f>
        <v>29.219199999999997</v>
      </c>
      <c r="F61" s="16" t="str">
        <f t="shared" ref="F61:F64" si="4">$E$12</f>
        <v>t CO2-e</v>
      </c>
      <c r="G61" s="168"/>
      <c r="H61" s="168"/>
      <c r="I61" s="168"/>
      <c r="J61" s="168"/>
      <c r="L61" s="168"/>
      <c r="M61" s="168"/>
      <c r="N61" s="168"/>
      <c r="O61" s="168"/>
      <c r="P61" s="168"/>
      <c r="Q61" s="168"/>
    </row>
    <row r="62" spans="1:17" ht="20.100000000000001" customHeight="1" x14ac:dyDescent="0.2">
      <c r="D62" s="25" t="s">
        <v>858</v>
      </c>
      <c r="E62" s="210">
        <f>SUM(O37:O39)+N("Partial sum")</f>
        <v>7.9400000000000012E-2</v>
      </c>
      <c r="F62" s="16" t="str">
        <f t="shared" si="4"/>
        <v>t CO2-e</v>
      </c>
      <c r="G62" s="168"/>
      <c r="H62" s="168"/>
      <c r="I62" s="168"/>
      <c r="J62" s="168"/>
      <c r="L62" s="168"/>
      <c r="M62" s="168"/>
      <c r="N62" s="168"/>
      <c r="O62" s="168"/>
      <c r="P62" s="168"/>
      <c r="Q62" s="168"/>
    </row>
    <row r="63" spans="1:17" ht="20.100000000000001" customHeight="1" x14ac:dyDescent="0.2">
      <c r="D63" s="25" t="s">
        <v>859</v>
      </c>
      <c r="E63" s="210">
        <f>SUM(P37:P39)+N("Partial sum")</f>
        <v>0.19850000000000001</v>
      </c>
      <c r="F63" s="16" t="str">
        <f t="shared" si="4"/>
        <v>t CO2-e</v>
      </c>
      <c r="G63" s="168"/>
      <c r="H63" s="168"/>
      <c r="I63" s="168"/>
      <c r="J63" s="168"/>
      <c r="L63" s="168"/>
      <c r="M63" s="168"/>
      <c r="N63" s="168"/>
      <c r="O63" s="168"/>
      <c r="P63" s="168"/>
      <c r="Q63" s="168"/>
    </row>
    <row r="64" spans="1:17" ht="20.100000000000001" customHeight="1" x14ac:dyDescent="0.2">
      <c r="D64" s="25" t="s">
        <v>293</v>
      </c>
      <c r="E64" s="210">
        <f>SUM(Q37:Q39)+N("Partial sum")</f>
        <v>7.1459999999999999</v>
      </c>
      <c r="F64" s="16" t="str">
        <f t="shared" si="4"/>
        <v>t CO2-e</v>
      </c>
      <c r="G64" s="168"/>
      <c r="H64" s="168"/>
      <c r="I64" s="168"/>
      <c r="J64" s="168"/>
      <c r="L64" s="168"/>
      <c r="M64" s="168"/>
      <c r="N64" s="168"/>
      <c r="O64" s="168"/>
      <c r="P64" s="168"/>
      <c r="Q64" s="168"/>
    </row>
    <row r="65" spans="4:17" ht="20.100000000000001" customHeight="1" x14ac:dyDescent="0.2">
      <c r="G65" s="168"/>
      <c r="H65" s="168"/>
      <c r="I65" s="168"/>
      <c r="J65" s="168"/>
      <c r="L65" s="168"/>
      <c r="M65" s="168"/>
      <c r="N65" s="168"/>
      <c r="O65" s="168"/>
      <c r="P65" s="168"/>
      <c r="Q65" s="168"/>
    </row>
    <row r="66" spans="4:17" ht="20.100000000000001" customHeight="1" x14ac:dyDescent="0.2">
      <c r="D66" s="207" t="s">
        <v>860</v>
      </c>
      <c r="E66" s="213"/>
      <c r="F66" s="209"/>
      <c r="G66" s="168"/>
      <c r="H66" s="168"/>
      <c r="I66" s="168"/>
      <c r="J66" s="168"/>
      <c r="L66" s="168"/>
      <c r="M66" s="168"/>
      <c r="N66" s="168"/>
      <c r="O66" s="168"/>
      <c r="P66" s="168"/>
      <c r="Q66" s="168"/>
    </row>
    <row r="67" spans="4:17" ht="20.100000000000001" customHeight="1" x14ac:dyDescent="0.2">
      <c r="D67" s="25" t="s">
        <v>857</v>
      </c>
      <c r="E67" s="210">
        <f>E43+E49+E55+E61</f>
        <v>83.182000000000002</v>
      </c>
      <c r="F67" s="16" t="str">
        <f t="shared" ref="F67:F70" si="5">$E$12</f>
        <v>t CO2-e</v>
      </c>
      <c r="G67" s="168"/>
    </row>
    <row r="68" spans="4:17" ht="20.100000000000001" customHeight="1" x14ac:dyDescent="0.2">
      <c r="D68" s="25" t="s">
        <v>858</v>
      </c>
      <c r="E68" s="210">
        <f t="shared" ref="E68:E70" si="6">E44+E50+E56+E62</f>
        <v>0.19906000000000001</v>
      </c>
      <c r="F68" s="16" t="str">
        <f t="shared" si="5"/>
        <v>t CO2-e</v>
      </c>
      <c r="G68" s="168"/>
    </row>
    <row r="69" spans="4:17" ht="20.100000000000001" customHeight="1" x14ac:dyDescent="0.2">
      <c r="D69" s="25" t="s">
        <v>859</v>
      </c>
      <c r="E69" s="210">
        <f t="shared" si="6"/>
        <v>0.58450000000000002</v>
      </c>
      <c r="F69" s="16" t="str">
        <f t="shared" si="5"/>
        <v>t CO2-e</v>
      </c>
      <c r="G69" s="168"/>
    </row>
    <row r="70" spans="4:17" ht="20.100000000000001" customHeight="1" x14ac:dyDescent="0.2">
      <c r="D70" s="25" t="s">
        <v>293</v>
      </c>
      <c r="E70" s="210">
        <f t="shared" si="6"/>
        <v>20.5016</v>
      </c>
      <c r="F70" s="16" t="str">
        <f t="shared" si="5"/>
        <v>t CO2-e</v>
      </c>
      <c r="G70" s="168"/>
    </row>
    <row r="71" spans="4:17" ht="20.100000000000001" customHeight="1" x14ac:dyDescent="0.2">
      <c r="G71" s="168"/>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Q172 O150:Q150 E269 N166:Q166 O143:Q144 E228 O167:Q167 G132 I129:I133 F134:I134 F129:F132 H128:H132 G129 F148:I148 I149 F150:I150" xr:uid="{5D69BFA3-C10F-4B92-BF10-DB1D42048376}"/>
  </dataValidations>
  <pageMargins left="0.7" right="0.7" top="0.75" bottom="0.75" header="0.3" footer="0.3"/>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FA30B-78BD-45A1-AC35-9ABE2DD379DF}">
  <sheetPr>
    <tabColor rgb="FF008000"/>
  </sheetPr>
  <dimension ref="A1:R71"/>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1" customFormat="1" ht="30" customHeight="1" x14ac:dyDescent="0.35">
      <c r="A1" s="10" t="e" vm="1">
        <v>#VALUE!</v>
      </c>
      <c r="C1" s="21" t="s">
        <v>861</v>
      </c>
    </row>
    <row r="2" spans="1:18" s="3" customFormat="1" ht="20.100000000000001" customHeight="1" x14ac:dyDescent="0.2">
      <c r="A2"/>
    </row>
    <row r="3" spans="1:18" ht="20.100000000000001" customHeight="1" x14ac:dyDescent="0.2">
      <c r="A3" s="5" t="str">
        <f>HYPERLINK("#'Home'!A1", "Home")</f>
        <v>Home</v>
      </c>
      <c r="C3" s="23"/>
      <c r="D3" s="23" t="s">
        <v>141</v>
      </c>
      <c r="E3" s="23"/>
      <c r="F3" s="23"/>
      <c r="G3" s="23"/>
      <c r="H3" s="23"/>
      <c r="I3" s="23"/>
      <c r="J3" s="23"/>
      <c r="K3" s="23"/>
      <c r="L3" s="23"/>
      <c r="M3" s="23"/>
      <c r="N3" s="23"/>
      <c r="O3" s="23"/>
      <c r="P3" s="23"/>
      <c r="Q3" s="23"/>
      <c r="R3" s="23"/>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Emissions Intensity")</f>
        <v>Results - Product Emissions Intensity</v>
      </c>
      <c r="D5" s="2" t="s">
        <v>1676</v>
      </c>
      <c r="K5" s="2" t="s">
        <v>1678</v>
      </c>
      <c r="O5" s="168"/>
      <c r="P5" s="168"/>
      <c r="Q5" s="168"/>
      <c r="R5" s="168"/>
    </row>
    <row r="6" spans="1:18" ht="20.100000000000001" customHeight="1" x14ac:dyDescent="0.2">
      <c r="D6" s="17" t="s">
        <v>1677</v>
      </c>
      <c r="K6" s="17" t="s">
        <v>1679</v>
      </c>
      <c r="O6" s="168"/>
      <c r="P6" s="168"/>
      <c r="Q6" s="168"/>
      <c r="R6" s="168"/>
    </row>
    <row r="7" spans="1:18" ht="20.100000000000001" customHeight="1" x14ac:dyDescent="0.2">
      <c r="D7" s="104"/>
      <c r="E7" s="104"/>
      <c r="K7" s="26" t="s">
        <v>1680</v>
      </c>
      <c r="O7" s="168"/>
      <c r="P7" s="168"/>
      <c r="Q7" s="168"/>
      <c r="R7" s="168"/>
    </row>
    <row r="8" spans="1:18" ht="20.100000000000001" customHeight="1" x14ac:dyDescent="0.2">
      <c r="A8" s="7" t="s">
        <v>0</v>
      </c>
      <c r="K8" s="104"/>
      <c r="L8" s="104"/>
      <c r="O8" s="168"/>
      <c r="P8" s="168"/>
      <c r="Q8" s="168"/>
      <c r="R8" s="168"/>
    </row>
    <row r="9" spans="1:18" ht="20.100000000000001" customHeight="1" x14ac:dyDescent="0.2">
      <c r="A9" s="5" t="str">
        <f>HYPERLINK("#'Input - Enterprise'!A1", "Enterprise")</f>
        <v>Enterprise</v>
      </c>
      <c r="G9" s="17"/>
      <c r="O9" s="168"/>
      <c r="P9" s="168"/>
      <c r="Q9" s="168"/>
      <c r="R9" s="168"/>
    </row>
    <row r="10" spans="1:18" ht="20.100000000000001" customHeight="1" x14ac:dyDescent="0.2">
      <c r="A10" s="5" t="str">
        <f>HYPERLINK("#'Input - Site'!A1", "Site")</f>
        <v>Site</v>
      </c>
      <c r="O10" s="168"/>
      <c r="P10" s="168"/>
      <c r="Q10" s="168"/>
      <c r="R10" s="168"/>
    </row>
    <row r="11" spans="1:18" ht="20.100000000000001" customHeight="1" x14ac:dyDescent="0.2">
      <c r="A11" s="5" t="str">
        <f>HYPERLINK("#'Input - Pasture Beef'!A1", "Pasture Beef")</f>
        <v>Pasture Beef</v>
      </c>
      <c r="D11" s="77" t="s">
        <v>374</v>
      </c>
      <c r="E11" s="1" t="s">
        <v>1653</v>
      </c>
      <c r="K11" s="77" t="s">
        <v>374</v>
      </c>
      <c r="L11" s="1" t="s">
        <v>1681</v>
      </c>
      <c r="O11" s="168"/>
      <c r="P11" s="168"/>
      <c r="Q11" s="168"/>
      <c r="R11" s="168"/>
    </row>
    <row r="12" spans="1:18" ht="20.100000000000001" customHeight="1" x14ac:dyDescent="0.2">
      <c r="A12" s="5" t="str">
        <f>HYPERLINK("#'Input - Livestock sales'!A1", "Livestock sales")</f>
        <v>Livestock sales</v>
      </c>
      <c r="D12" s="77" t="s">
        <v>126</v>
      </c>
      <c r="E12" s="9" t="s">
        <v>287</v>
      </c>
      <c r="K12" s="77" t="s">
        <v>126</v>
      </c>
      <c r="L12" s="9" t="s">
        <v>6</v>
      </c>
    </row>
    <row r="13" spans="1:18" ht="20.100000000000001" customHeight="1" x14ac:dyDescent="0.2">
      <c r="A13" s="5" t="str">
        <f>HYPERLINK("#'Input - Beef cattle purchases'!A1", "Beef cattle purchases")</f>
        <v>Beef cattle purchases</v>
      </c>
    </row>
    <row r="14" spans="1:18" ht="20.100000000000001" customHeight="1" x14ac:dyDescent="0.2">
      <c r="A14" s="5" t="str">
        <f>HYPERLINK("#'Input - Pasture'!A1", "Pasture")</f>
        <v>Pasture</v>
      </c>
      <c r="D14" s="106" t="s">
        <v>1682</v>
      </c>
      <c r="E14" s="107" t="s">
        <v>1683</v>
      </c>
      <c r="F14" s="109"/>
      <c r="G14" s="106" t="s">
        <v>1666</v>
      </c>
      <c r="H14" s="110" t="s">
        <v>1325</v>
      </c>
      <c r="I14" s="112" t="str" cm="1">
        <f t="array" aca="1" ref="I14" ca="1">HYPERLINK(Common_InputFunctions.Utility_SourceHyperlink($D$22), $D$22)</f>
        <v>Table_E_g</v>
      </c>
      <c r="K14" s="106" t="s">
        <v>1682</v>
      </c>
      <c r="L14" s="106" t="s">
        <v>1690</v>
      </c>
      <c r="M14" s="106"/>
      <c r="N14" s="106" t="s">
        <v>895</v>
      </c>
      <c r="O14" s="110" t="s">
        <v>1325</v>
      </c>
      <c r="P14" s="112" t="str" cm="1">
        <f t="array" aca="1" ref="P14" ca="1">HYPERLINK(Common_InputFunctions.Utility_SourceHyperlink($D$22), $D$22)</f>
        <v>Table_E_g</v>
      </c>
      <c r="Q14" s="168"/>
    </row>
    <row r="15" spans="1:18" ht="20.100000000000001" customHeight="1" x14ac:dyDescent="0.2">
      <c r="A15" s="5" t="str">
        <f>HYPERLINK("#'Input - Fert Prod System'!A1", "Fert Prod System")</f>
        <v>Fert Prod System</v>
      </c>
      <c r="D15" s="106" t="s">
        <v>1684</v>
      </c>
      <c r="E15" s="107" t="s">
        <v>1685</v>
      </c>
      <c r="F15" s="109"/>
      <c r="G15" s="106" t="s">
        <v>1667</v>
      </c>
      <c r="H15" s="111" t="s">
        <v>1326</v>
      </c>
      <c r="I15" s="112" t="str" cm="1">
        <f t="array" aca="1" ref="I15" ca="1">HYPERLINK(Common_InputFunctions.Utility_SourceHyperlink($D$22), $D$22)</f>
        <v>Table_E_g</v>
      </c>
      <c r="K15" s="106" t="s">
        <v>1684</v>
      </c>
      <c r="L15" s="106" t="s">
        <v>1691</v>
      </c>
      <c r="M15" s="106"/>
      <c r="N15" s="106" t="s">
        <v>1696</v>
      </c>
      <c r="O15" s="111" t="s">
        <v>1326</v>
      </c>
      <c r="P15" s="112" t="str" cm="1">
        <f t="array" aca="1" ref="P15" ca="1">HYPERLINK(Common_InputFunctions.Utility_SourceHyperlink($D$22), $D$22)</f>
        <v>Table_E_g</v>
      </c>
      <c r="Q15" s="168"/>
    </row>
    <row r="16" spans="1:18" ht="20.100000000000001" customHeight="1" x14ac:dyDescent="0.2">
      <c r="A16" s="5" t="str">
        <f>HYPERLINK("#'Input - Fertiliser'!A1", "Fertiliser")</f>
        <v>Fertiliser</v>
      </c>
      <c r="D16" s="106" t="s">
        <v>1686</v>
      </c>
      <c r="E16" s="107" t="s">
        <v>1687</v>
      </c>
      <c r="F16" s="109"/>
      <c r="G16" s="106" t="s">
        <v>1668</v>
      </c>
      <c r="H16" s="111" t="s">
        <v>1326</v>
      </c>
      <c r="I16" s="112" t="str" cm="1">
        <f t="array" aca="1" ref="I16" ca="1">HYPERLINK(Common_InputFunctions.Utility_SourceHyperlink($D$22), $D$22)</f>
        <v>Table_E_g</v>
      </c>
      <c r="K16" s="106" t="s">
        <v>1692</v>
      </c>
      <c r="L16" s="106" t="s">
        <v>1693</v>
      </c>
      <c r="M16" s="106"/>
      <c r="N16" s="106" t="s">
        <v>1675</v>
      </c>
      <c r="O16" s="111" t="s">
        <v>1326</v>
      </c>
      <c r="P16" s="112" t="str" cm="1">
        <f t="array" aca="1" ref="P16" ca="1">HYPERLINK(Common_InputFunctions.Utility_SourceHyperlink($D$22), $D$22)</f>
        <v>Table_E_g</v>
      </c>
      <c r="Q16" s="168"/>
    </row>
    <row r="17" spans="1:17" ht="20.100000000000001" customHeight="1" x14ac:dyDescent="0.2">
      <c r="A17" s="5" t="str">
        <f>HYPERLINK("#'Input - Fuel'!A1", "Fuel")</f>
        <v>Fuel</v>
      </c>
      <c r="D17" s="106" t="s">
        <v>1661</v>
      </c>
      <c r="E17" s="107" t="s">
        <v>893</v>
      </c>
      <c r="F17" s="109"/>
      <c r="G17" s="106"/>
      <c r="H17" s="111" t="s">
        <v>1326</v>
      </c>
      <c r="I17" s="112"/>
      <c r="J17" s="168"/>
      <c r="K17" s="106" t="s">
        <v>1373</v>
      </c>
      <c r="L17" s="107" t="s">
        <v>1374</v>
      </c>
      <c r="M17" s="109"/>
      <c r="N17" s="106"/>
      <c r="O17" s="110" t="s">
        <v>1325</v>
      </c>
      <c r="P17" s="106" t="str">
        <f>X_Cell_Site_State</f>
        <v>Western Australia</v>
      </c>
      <c r="Q17" s="168"/>
    </row>
    <row r="18" spans="1:17" ht="20.100000000000001" customHeight="1" x14ac:dyDescent="0.2">
      <c r="A18" s="5" t="str">
        <f>HYPERLINK("#'Input - Electricity'!A1", "Electricity")</f>
        <v>Electricity</v>
      </c>
      <c r="D18" s="106" t="s">
        <v>1688</v>
      </c>
      <c r="E18" s="107" t="s">
        <v>1689</v>
      </c>
      <c r="F18" s="109"/>
      <c r="G18" s="106"/>
      <c r="H18" s="111" t="s">
        <v>1326</v>
      </c>
      <c r="I18" s="112"/>
      <c r="J18" s="168"/>
      <c r="K18" s="106" t="s">
        <v>1694</v>
      </c>
      <c r="L18" s="107" t="s">
        <v>1695</v>
      </c>
      <c r="M18" s="109"/>
      <c r="N18" s="106"/>
      <c r="O18" s="110" t="s">
        <v>1325</v>
      </c>
      <c r="P18" s="106" t="str">
        <f>X_Cell_Fuel_IsMetroLocation</f>
        <v>Metro</v>
      </c>
      <c r="Q18" s="168"/>
    </row>
    <row r="19" spans="1:17" ht="20.100000000000001" customHeight="1" x14ac:dyDescent="0.2">
      <c r="A19" s="5" t="str">
        <f>HYPERLINK("#'Input - Common farm inputs'!A1", "Common farm inputs")</f>
        <v>Common farm inputs</v>
      </c>
      <c r="D19" s="106" t="s">
        <v>1664</v>
      </c>
      <c r="E19" s="107" t="s">
        <v>1665</v>
      </c>
      <c r="F19" s="109"/>
      <c r="G19" s="106"/>
      <c r="H19" s="111" t="s">
        <v>1326</v>
      </c>
      <c r="I19" s="112"/>
      <c r="J19" s="168"/>
      <c r="L19" s="168"/>
      <c r="N19" s="168"/>
      <c r="O19" s="168"/>
      <c r="P19" s="168"/>
      <c r="Q19" s="168"/>
    </row>
    <row r="20" spans="1:17" ht="20.100000000000001" customHeight="1" x14ac:dyDescent="0.2">
      <c r="A20" s="5" t="str">
        <f>HYPERLINK("#'Input - Crop pasture farm input'!A1", "Crop pasture farm input")</f>
        <v>Crop pasture farm input</v>
      </c>
      <c r="D20" s="106">
        <v>1</v>
      </c>
      <c r="E20" s="107" t="s">
        <v>292</v>
      </c>
      <c r="F20" s="109"/>
      <c r="G20" s="106"/>
      <c r="H20" s="111" t="s">
        <v>1326</v>
      </c>
      <c r="I20" s="112"/>
      <c r="J20" s="168"/>
      <c r="L20" s="168"/>
      <c r="N20" s="168"/>
      <c r="O20" s="168"/>
      <c r="P20" s="168"/>
      <c r="Q20" s="168"/>
    </row>
    <row r="21" spans="1:17" ht="20.100000000000001" customHeight="1" x14ac:dyDescent="0.2">
      <c r="A21" s="5" t="str">
        <f>HYPERLINK("#'Input - Livestock farm Inputs'!A1", "Livestock farm Inputs")</f>
        <v>Livestock farm Inputs</v>
      </c>
      <c r="O21" s="168"/>
      <c r="P21" s="168"/>
      <c r="Q21" s="168"/>
    </row>
    <row r="22" spans="1:17" ht="20.100000000000001" customHeight="1" x14ac:dyDescent="0.2">
      <c r="A22" s="5" t="str">
        <f>HYPERLINK("#'Input - Freight'!A1", "Freight")</f>
        <v>Freight</v>
      </c>
      <c r="D22" s="113" t="s">
        <v>841</v>
      </c>
    </row>
    <row r="23" spans="1:17" ht="20.100000000000001" customHeight="1" x14ac:dyDescent="0.2">
      <c r="A23" s="5" t="str">
        <f>HYPERLINK("#'Input - Solid waste'!A1", "Solid waste")</f>
        <v>Solid waste</v>
      </c>
      <c r="D23" s="114" t="s">
        <v>862</v>
      </c>
    </row>
    <row r="24" spans="1:17" ht="20.100000000000001" customHeight="1" x14ac:dyDescent="0.2">
      <c r="A24" s="5" t="str">
        <f>HYPERLINK("#'Input - Manure sent off-site'!A1", "Manure sent off-site")</f>
        <v>Manure sent off-site</v>
      </c>
      <c r="D24" s="115" t="s">
        <v>843</v>
      </c>
      <c r="E24" s="115" t="s">
        <v>844</v>
      </c>
      <c r="F24" s="115" t="s">
        <v>845</v>
      </c>
      <c r="G24" s="115" t="s">
        <v>863</v>
      </c>
      <c r="H24" s="115" t="s">
        <v>864</v>
      </c>
      <c r="I24" s="115" t="s">
        <v>865</v>
      </c>
      <c r="J24" s="115" t="s">
        <v>866</v>
      </c>
      <c r="K24" s="115" t="s">
        <v>867</v>
      </c>
      <c r="L24" s="82" t="s">
        <v>868</v>
      </c>
      <c r="M24" s="115" t="s">
        <v>852</v>
      </c>
      <c r="N24" s="115" t="s">
        <v>853</v>
      </c>
      <c r="O24" s="115" t="s">
        <v>854</v>
      </c>
      <c r="P24" s="115" t="s">
        <v>855</v>
      </c>
      <c r="Q24" s="115" t="s">
        <v>869</v>
      </c>
    </row>
    <row r="25" spans="1:17" ht="20.100000000000001" customHeight="1" x14ac:dyDescent="0.2">
      <c r="A25" s="5" t="str">
        <f>HYPERLINK("#'Input - Data quality'!A1", "Data quality")</f>
        <v>Data quality</v>
      </c>
      <c r="D25" s="25" t="str">
        <f>Table_FuelTypesPerUse[[#Headers],[Generators]]</f>
        <v>Generators</v>
      </c>
      <c r="E25" s="192" t="str">
        <f>'Constants - Fuel'!$D$58</f>
        <v>Automotive gasoline / petrol (other than for use as fuel in an aircraft)</v>
      </c>
      <c r="F25" s="192"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72" cm="1">
        <f t="array" ref="L25">Fuel_InputFunctions.Fuel_TotalConsumption(Table_Input_Fuel[Amount consumed], Table_Input_Fuel[Fuel use (select)], D25, Table_Input_Fuel[Fuel type (select)],F25)</f>
        <v>0</v>
      </c>
      <c r="M25" s="172" t="str" cm="1">
        <f t="array" ref="M25">Common_InputFunctions.Utility_LookupValueInTable(F25,Table_FuelTypes_Units[Fuel type],Table_FuelTypes_Units[Unit])</f>
        <v>kL</v>
      </c>
      <c r="N25" s="214">
        <f>((($L25 * $G25 * H25) * 10 ^ -3))</f>
        <v>0</v>
      </c>
      <c r="O25" s="214">
        <f>((($L25 * $G25 * I25) * 10 ^ -3))</f>
        <v>0</v>
      </c>
      <c r="P25" s="214">
        <f>((($L25 * $G25 * J25) * 10 ^ -3))</f>
        <v>0</v>
      </c>
      <c r="Q25" s="214">
        <f>((($L25 * $G25 * ((IF(ISNUMBER(K25), K25, 0)))) * 10 ^ -3))</f>
        <v>0</v>
      </c>
    </row>
    <row r="26" spans="1:17" ht="20.100000000000001" customHeight="1" x14ac:dyDescent="0.2">
      <c r="D26" s="194" t="str">
        <f t="shared" ref="D26:D31" si="0">$D$25</f>
        <v>Generators</v>
      </c>
      <c r="E26" s="192" t="str">
        <f>'Constants - Fuel'!$D$63</f>
        <v>Diesel oil</v>
      </c>
      <c r="F26" s="192"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72" cm="1">
        <f t="array" ref="L26">Fuel_InputFunctions.Fuel_TotalConsumption(Table_Input_Fuel[Amount consumed], Table_Input_Fuel[Fuel use (select)], D26, Table_Input_Fuel[Fuel type (select)],F26)</f>
        <v>0</v>
      </c>
      <c r="M26" s="172" t="str" cm="1">
        <f t="array" ref="M26">Common_InputFunctions.Utility_LookupValueInTable(F26,Table_FuelTypes_Units[Fuel type],Table_FuelTypes_Units[Unit])</f>
        <v>kL</v>
      </c>
      <c r="N26" s="214">
        <f>((($L26 * $G26 * H26) * 10 ^ -3))</f>
        <v>0</v>
      </c>
      <c r="O26" s="214">
        <f>((($L26 * $G26 * I26) * 10 ^ -3))</f>
        <v>0</v>
      </c>
      <c r="P26" s="214">
        <f>((($L26 * $G26 * J26) * 10 ^ -3))</f>
        <v>0</v>
      </c>
      <c r="Q26" s="214">
        <f>((($L26 * $G26 * ((IF(ISNUMBER(K26), K26, 0)))) * 10 ^ -3))</f>
        <v>0</v>
      </c>
    </row>
    <row r="27" spans="1:17" ht="20.100000000000001" customHeight="1" x14ac:dyDescent="0.2">
      <c r="D27" s="194" t="str">
        <f t="shared" si="0"/>
        <v>Generators</v>
      </c>
      <c r="E27" s="192" t="str">
        <f>'Constants - Fuel'!$D$67</f>
        <v>Liquefied petroleum gas (LPG)</v>
      </c>
      <c r="F27" s="192"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72" cm="1">
        <f t="array" ref="L27">Fuel_InputFunctions.Fuel_TotalConsumption(Table_Input_Fuel[Amount consumed], Table_Input_Fuel[Fuel use (select)], D27, Table_Input_Fuel[Fuel type (select)],F27)</f>
        <v>0</v>
      </c>
      <c r="M27" s="172" t="str" cm="1">
        <f t="array" ref="M27">Common_InputFunctions.Utility_LookupValueInTable(F27,Table_FuelTypes_Units[Fuel type],Table_FuelTypes_Units[Unit])</f>
        <v>kL</v>
      </c>
      <c r="N27" s="214">
        <f>((($L27 * $G27 * H27) * 10 ^ -3))</f>
        <v>0</v>
      </c>
      <c r="O27" s="214">
        <f>((($L27 * $G27 * I27) * 10 ^ -3))</f>
        <v>0</v>
      </c>
      <c r="P27" s="214">
        <f>((($L27 * $G27 * J27) * 10 ^ -3))</f>
        <v>0</v>
      </c>
      <c r="Q27" s="214">
        <f>((($L27 * $G27 * ((IF(ISNUMBER(K27), K27, 0)))) * 10 ^ -3))</f>
        <v>0</v>
      </c>
    </row>
    <row r="28" spans="1:17" ht="20.100000000000001" customHeight="1" x14ac:dyDescent="0.2">
      <c r="A28" s="6" t="s">
        <v>2</v>
      </c>
      <c r="D28" s="194" t="str">
        <f t="shared" si="0"/>
        <v>Generators</v>
      </c>
      <c r="E28" s="192" t="str">
        <f>'Constants - Fuel'!$D$73</f>
        <v>Biodiesel</v>
      </c>
      <c r="F28" s="192"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72" cm="1">
        <f t="array" ref="L28">Fuel_InputFunctions.Fuel_TotalConsumption(Table_Input_Fuel[Amount consumed], Table_Input_Fuel[Fuel use (select)], D28, Table_Input_Fuel[Fuel type (select)],F28)</f>
        <v>0</v>
      </c>
      <c r="M28" s="172" t="str" cm="1">
        <f t="array" ref="M28">Common_InputFunctions.Utility_LookupValueInTable(F28,Table_FuelTypes_Units[Fuel type],Table_FuelTypes_Units[Unit])</f>
        <v>kL</v>
      </c>
      <c r="N28" s="214">
        <f>((($L28 * $G28 * H28) * 10 ^ -3))</f>
        <v>0</v>
      </c>
      <c r="O28" s="214">
        <f>((($L28 * $G28 * I28) * 10 ^ -3))</f>
        <v>0</v>
      </c>
      <c r="P28" s="214">
        <f>((($L28 * $G28 * J28) * 10 ^ -3))</f>
        <v>0</v>
      </c>
      <c r="Q28" s="214">
        <f>((($L28 * $G28 * ((IF(ISNUMBER(K28), K28, 0)))) * 10 ^ -3))</f>
        <v>0</v>
      </c>
    </row>
    <row r="29" spans="1:17" ht="20.100000000000001" customHeight="1" x14ac:dyDescent="0.2">
      <c r="A29" s="5" t="str">
        <f>HYPERLINK("#'3.2.1.1-2 Enteric Methane'!A1", "3.2.1.1-2 Enteric Methane")</f>
        <v>3.2.1.1-2 Enteric Methane</v>
      </c>
      <c r="D29" s="194" t="str">
        <f t="shared" si="0"/>
        <v>Generators</v>
      </c>
      <c r="E29" s="192" t="str">
        <f>'Constants - Fuel'!$D$74</f>
        <v>Ethanol for use as a fuel in an internal combustion engine</v>
      </c>
      <c r="F29" s="192"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72" cm="1">
        <f t="array" ref="L29">Fuel_InputFunctions.Fuel_TotalConsumption(Table_Input_Fuel[Amount consumed], Table_Input_Fuel[Fuel use (select)], D29, Table_Input_Fuel[Fuel type (select)],F29)</f>
        <v>0</v>
      </c>
      <c r="M29" s="172" t="str" cm="1">
        <f t="array" ref="M29">Common_InputFunctions.Utility_LookupValueInTable(F29,Table_FuelTypes_Units[Fuel type],Table_FuelTypes_Units[Unit])</f>
        <v>kL</v>
      </c>
      <c r="N29" s="214">
        <f>((($L29 * $G29 * H29) * 10 ^ -3))</f>
        <v>0</v>
      </c>
      <c r="O29" s="214">
        <f>((($L29 * $G29 * I29) * 10 ^ -3))</f>
        <v>0</v>
      </c>
      <c r="P29" s="214">
        <f>((($L29 * $G29 * J29) * 10 ^ -3))</f>
        <v>0</v>
      </c>
      <c r="Q29" s="214">
        <f>((($L29 * $G29 * ((IF(ISNUMBER(K29), K29, 0)))) * 10 ^ -3))</f>
        <v>0</v>
      </c>
    </row>
    <row r="30" spans="1:17" ht="20.100000000000001" customHeight="1" x14ac:dyDescent="0.2">
      <c r="A30" s="5" t="str">
        <f>HYPERLINK("#'4.2.1.1-2 Methane'!A1", "4.2.1.1-2 Manure methane")</f>
        <v>4.2.1.1-2 Manure methane</v>
      </c>
      <c r="D30" s="194" t="str">
        <f t="shared" si="0"/>
        <v>Generators</v>
      </c>
      <c r="E30" s="192" t="str">
        <f>'Constants - Fuel'!$D$75</f>
        <v>Biofuels other than those mentioned in the items above and below</v>
      </c>
      <c r="F30" s="192"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72" cm="1">
        <f t="array" ref="L30">Fuel_InputFunctions.Fuel_TotalConsumption(Table_Input_Fuel[Amount consumed], Table_Input_Fuel[Fuel use (select)], D30, Table_Input_Fuel[Fuel type (select)],F30)</f>
        <v>0</v>
      </c>
      <c r="M30" s="172" t="str" cm="1">
        <f t="array" ref="M30">Common_InputFunctions.Utility_LookupValueInTable(F30,Table_FuelTypes_Units[Fuel type],Table_FuelTypes_Units[Unit])</f>
        <v>kL</v>
      </c>
      <c r="N30" s="214">
        <f>((($L30 * $G30 * H30) * 10 ^ -3))</f>
        <v>0</v>
      </c>
      <c r="O30" s="214">
        <f>((($L30 * $G30 * I30) * 10 ^ -3))</f>
        <v>0</v>
      </c>
      <c r="P30" s="214">
        <f>((($L30 * $G30 * J30) * 10 ^ -3))</f>
        <v>0</v>
      </c>
      <c r="Q30" s="214">
        <f>((($L30 * $G30 * ((IF(ISNUMBER(K30), K30, 0)))) * 10 ^ -3))</f>
        <v>0</v>
      </c>
    </row>
    <row r="31" spans="1:17" ht="20.100000000000001" customHeight="1" x14ac:dyDescent="0.2">
      <c r="A31" s="5" t="str">
        <f>HYPERLINK("#'4.2.1.3-4 Soil direct N20'!A1", "4.2.1.3-4 Soil direct N2O")</f>
        <v>4.2.1.3-4 Soil direct N2O</v>
      </c>
      <c r="D31" s="194" t="str">
        <f t="shared" si="0"/>
        <v>Generators</v>
      </c>
      <c r="E31" s="192" t="str">
        <f>'Constants - Fuel'!$D$77</f>
        <v>Renewable diesel</v>
      </c>
      <c r="F31" s="192" t="str">
        <f>'Constants - Fuel'!D137</f>
        <v>Renewable diesel</v>
      </c>
      <c r="G31" s="190">
        <f>IFERROR(_xlfn.XLOOKUP($E31, Table_Fuel_EFs_StationaryLiquid[Fuel combusted], Table_Fuel_EFs_StationaryLiquid[Energy Content Factor (GJ per unit of fuel)]),0)</f>
        <v>38.6</v>
      </c>
      <c r="H31" s="190">
        <f>IFERROR(_xlfn.XLOOKUP($E31, Table_Fuel_EFs_StationaryLiquid[Fuel combusted], Table_Fuel_EFs_StationaryLiquid[Scope 1 Emission Factor (kg CO2 - e / GJ) CO2]),0)</f>
        <v>0</v>
      </c>
      <c r="I31" s="190">
        <f>IFERROR(_xlfn.XLOOKUP($E31, Table_Fuel_EFs_StationaryLiquid[Fuel combusted], Table_Fuel_EFs_StationaryLiquid[Scope 1 Emission Factor (kg CO2 - e / GJ) CH4]),0)</f>
        <v>0.1</v>
      </c>
      <c r="J31" s="190">
        <f>IFERROR(_xlfn.XLOOKUP($E31, Table_Fuel_EFs_StationaryLiquid[Fuel combusted], Table_Fuel_EFs_StationaryLiquid[Scope 1 Emission Factor (kg CO2 - e / GJ) N2O]),0)</f>
        <v>0.2</v>
      </c>
      <c r="K31" s="190" t="str">
        <f>IFERROR(_xlfn.XLOOKUP($E31, Table_Fuel_EFs_StationaryLiquid[Fuel combusted], Table_Fuel_EFs_StationaryLiquid[Scope 3 Emission Factor (kg CO2 - e / GJ)]),0)</f>
        <v>NE</v>
      </c>
      <c r="L31" s="195" cm="1">
        <f t="array" ref="L31">Fuel_InputFunctions.Fuel_TotalConsumption(Table_Input_Fuel[Amount consumed], Table_Input_Fuel[Fuel use (select)], D31, Table_Input_Fuel[Fuel type (select)],F31)</f>
        <v>0</v>
      </c>
      <c r="M31" s="195" t="str" cm="1">
        <f t="array" ref="M31">Common_InputFunctions.Utility_LookupValueInTable(F31,Table_FuelTypes_Units[Fuel type],Table_FuelTypes_Units[Unit])</f>
        <v>kL</v>
      </c>
      <c r="N31" s="215">
        <f>((($L31 * $G31 * H31) * 10 ^ -3))</f>
        <v>0</v>
      </c>
      <c r="O31" s="215">
        <f>((($L31 * $G31 * I31) * 10 ^ -3))</f>
        <v>0</v>
      </c>
      <c r="P31" s="215">
        <f>((($L31 * $G31 * J31) * 10 ^ -3))</f>
        <v>0</v>
      </c>
      <c r="Q31" s="215">
        <f>((($L31 * $G31 * ((IF(ISNUMBER(K31), K31, 0)))) * 10 ^ -3))</f>
        <v>0</v>
      </c>
    </row>
    <row r="32" spans="1:17" ht="20.100000000000001" customHeight="1" x14ac:dyDescent="0.2">
      <c r="A32" s="5" t="str">
        <f>HYPERLINK("#'4.2.1.5-6 Soil Atmos Dep'!A1", "4.2.1.5-6 Soil atm. deposition")</f>
        <v>4.2.1.5-6 Soil atm. deposition</v>
      </c>
      <c r="D32" s="197" t="str">
        <f>Table_FuelTypesPerUse[[#Headers],[Power standalone machinery or heating]]</f>
        <v>Power standalone machinery or heating</v>
      </c>
      <c r="E32" s="198" t="str">
        <f>'Constants - Fuel'!$D$58</f>
        <v>Automotive gasoline / petrol (other than for use as fuel in an aircraft)</v>
      </c>
      <c r="F32" s="198" t="str">
        <f>'Constants - Fuel'!E131</f>
        <v>Petrol</v>
      </c>
      <c r="G32" s="205">
        <f>IFERROR(_xlfn.XLOOKUP($E32, Table_Fuel_EFs_StationaryLiquid[Fuel combusted], Table_Fuel_EFs_StationaryLiquid[Energy Content Factor (GJ per unit of fuel)]),0)</f>
        <v>34.200000000000003</v>
      </c>
      <c r="H32" s="205">
        <f>IFERROR(_xlfn.XLOOKUP($E32, Table_Fuel_EFs_StationaryLiquid[Fuel combusted], Table_Fuel_EFs_StationaryLiquid[Scope 1 Emission Factor (kg CO2 - e / GJ) CO2]),0)</f>
        <v>67.400000000000006</v>
      </c>
      <c r="I32" s="205">
        <f>IFERROR(_xlfn.XLOOKUP($E32, Table_Fuel_EFs_StationaryLiquid[Fuel combusted], Table_Fuel_EFs_StationaryLiquid[Scope 1 Emission Factor (kg CO2 - e / GJ) CH4]),0)</f>
        <v>0.2</v>
      </c>
      <c r="J32" s="205">
        <f>IFERROR(_xlfn.XLOOKUP($E32, Table_Fuel_EFs_StationaryLiquid[Fuel combusted], Table_Fuel_EFs_StationaryLiquid[Scope 1 Emission Factor (kg CO2 - e / GJ) N2O]),0)</f>
        <v>0.2</v>
      </c>
      <c r="K32" s="205">
        <f>IFERROR(_xlfn.XLOOKUP($E32, Table_Fuel_EFs_StationaryLiquid[Fuel combusted], Table_Fuel_EFs_StationaryLiquid[Scope 3 Emission Factor (kg CO2 - e / GJ)]),0)</f>
        <v>17.2</v>
      </c>
      <c r="L32" s="201" cm="1">
        <f t="array" ref="L32">Fuel_InputFunctions.Fuel_TotalConsumption(Table_Input_Fuel[Amount consumed], Table_Input_Fuel[Fuel use (select)], D32, Table_Input_Fuel[Fuel type (select)],F32)</f>
        <v>10</v>
      </c>
      <c r="M32" s="202" t="str" cm="1">
        <f t="array" ref="M32">Common_InputFunctions.Utility_LookupValueInTable(F32,Table_FuelTypes_Units[Fuel type],Table_FuelTypes_Units[Unit])</f>
        <v>kL</v>
      </c>
      <c r="N32" s="216">
        <f>((($L32 * $G32 * H32) * 10 ^ -3))</f>
        <v>23.050800000000002</v>
      </c>
      <c r="O32" s="216">
        <f>((($L32 * $G32 * I32) * 10 ^ -3))</f>
        <v>6.8400000000000002E-2</v>
      </c>
      <c r="P32" s="216">
        <f>((($L32 * $G32 * J32) * 10 ^ -3))</f>
        <v>6.8400000000000002E-2</v>
      </c>
      <c r="Q32" s="216">
        <f>((($L32 * $G32 * ((IF(ISNUMBER(K32), K32, 0)))) * 10 ^ -3))</f>
        <v>5.8823999999999996</v>
      </c>
    </row>
    <row r="33" spans="1:17" ht="20.100000000000001" customHeight="1" x14ac:dyDescent="0.2">
      <c r="A33" s="5" t="str">
        <f>HYPERLINK("#'4.2.1.7-8 Soil leach runoff'!A1", "4.2.1.7-8 Soil leach &amp; runoff")</f>
        <v>4.2.1.7-8 Soil leach &amp; runoff</v>
      </c>
      <c r="D33" s="194" t="str">
        <f t="shared" ref="D33:D40" si="1">$D$32</f>
        <v>Power standalone machinery or heating</v>
      </c>
      <c r="E33" s="192" t="str">
        <f>'Constants - Fuel'!$D$63</f>
        <v>Diesel oil</v>
      </c>
      <c r="F33" s="192"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214">
        <f>((($L33 * $G33 * H33) * 10 ^ -3))</f>
        <v>0</v>
      </c>
      <c r="O33" s="214">
        <f>((($L33 * $G33 * I33) * 10 ^ -3))</f>
        <v>0</v>
      </c>
      <c r="P33" s="214">
        <f>((($L33 * $G33 * J33) * 10 ^ -3))</f>
        <v>0</v>
      </c>
      <c r="Q33" s="214">
        <f>((($L33 * $G33 * ((IF(ISNUMBER(K33), K33, 0)))) * 10 ^ -3))</f>
        <v>0</v>
      </c>
    </row>
    <row r="34" spans="1:17" ht="20.100000000000001" customHeight="1" x14ac:dyDescent="0.2">
      <c r="A34" s="5" t="str">
        <f>HYPERLINK("#'5.1.1.1-2 Inorganic fert N2O'!A1", "5.1.1.1-2 Inorganic fert N2O")</f>
        <v>5.1.1.1-2 Inorganic fert N2O</v>
      </c>
      <c r="D34" s="194" t="str">
        <f t="shared" si="1"/>
        <v>Power standalone machinery or heating</v>
      </c>
      <c r="E34" s="192" t="str">
        <f>'Constants - Fuel'!$D$67</f>
        <v>Liquefied petroleum gas (LPG)</v>
      </c>
      <c r="F34" s="192"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214">
        <f>((($L34 * $G34 * H34) * 10 ^ -3))</f>
        <v>0</v>
      </c>
      <c r="O34" s="214">
        <f>((($L34 * $G34 * I34) * 10 ^ -3))</f>
        <v>0</v>
      </c>
      <c r="P34" s="214">
        <f>((($L34 * $G34 * J34) * 10 ^ -3))</f>
        <v>0</v>
      </c>
      <c r="Q34" s="214">
        <f>((($L34 * $G34 * ((IF(ISNUMBER(K34), K34, 0)))) * 10 ^ -3))</f>
        <v>0</v>
      </c>
    </row>
    <row r="35" spans="1:17" ht="20.100000000000001" customHeight="1" x14ac:dyDescent="0.2">
      <c r="A35" s="5" t="str">
        <f>HYPERLINK("#'5.1.1.3-4 Inorganic fert CO2'!A1", "5.1.1.3-4 Inorganic fert CO2")</f>
        <v>5.1.1.3-4 Inorganic fert CO2</v>
      </c>
      <c r="D35" s="194" t="str">
        <f t="shared" si="1"/>
        <v>Power standalone machinery or heating</v>
      </c>
      <c r="E35" s="192" t="str">
        <f>'Constants - Fuel'!$D$73</f>
        <v>Biodiesel</v>
      </c>
      <c r="F35" s="192"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214">
        <f>((($L35 * $G35 * H35) * 10 ^ -3))</f>
        <v>0</v>
      </c>
      <c r="O35" s="214">
        <f>((($L35 * $G35 * I35) * 10 ^ -3))</f>
        <v>0</v>
      </c>
      <c r="P35" s="214">
        <f>((($L35 * $G35 * J35) * 10 ^ -3))</f>
        <v>0</v>
      </c>
      <c r="Q35" s="214">
        <f>((($L35 * $G35 * ((IF(ISNUMBER(K35), K35, 0)))) * 10 ^ -3))</f>
        <v>0</v>
      </c>
    </row>
    <row r="36" spans="1:17" ht="20.100000000000001" customHeight="1" x14ac:dyDescent="0.2">
      <c r="A36" s="5" t="str">
        <f>HYPERLINK("#'5.2.1.1-2 Organic Fert N2O'!A1", "5.2.1.1-2 Organic fert N2O")</f>
        <v>5.2.1.1-2 Organic fert N2O</v>
      </c>
      <c r="D36" s="194" t="str">
        <f t="shared" si="1"/>
        <v>Power standalone machinery or heating</v>
      </c>
      <c r="E36" s="192" t="str">
        <f>'Constants - Fuel'!$D$74</f>
        <v>Ethanol for use as a fuel in an internal combustion engine</v>
      </c>
      <c r="F36" s="192"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214">
        <f>((($L36 * $G36 * H36) * 10 ^ -3))</f>
        <v>0</v>
      </c>
      <c r="O36" s="214">
        <f>((($L36 * $G36 * I36) * 10 ^ -3))</f>
        <v>0</v>
      </c>
      <c r="P36" s="214">
        <f>((($L36 * $G36 * J36) * 10 ^ -3))</f>
        <v>0</v>
      </c>
      <c r="Q36" s="214">
        <f>((($L36 * $G36 * ((IF(ISNUMBER(K36), K36, 0)))) * 10 ^ -3))</f>
        <v>0</v>
      </c>
    </row>
    <row r="37" spans="1:17" ht="20.100000000000001" customHeight="1" x14ac:dyDescent="0.2">
      <c r="A37" s="5" t="str">
        <f>HYPERLINK("#'5.3.1.1-2 Lime CO2'!A1", "5.3.1.1-2 Lime CO2")</f>
        <v>5.3.1.1-2 Lime CO2</v>
      </c>
      <c r="D37" s="194" t="str">
        <f t="shared" si="1"/>
        <v>Power standalone machinery or heating</v>
      </c>
      <c r="E37" s="192" t="str">
        <f>'Constants - Fuel'!$D$75</f>
        <v>Biofuels other than those mentioned in the items above and below</v>
      </c>
      <c r="F37" s="192"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214">
        <f>((($L37 * $G37 * H37) * 10 ^ -3))</f>
        <v>0</v>
      </c>
      <c r="O37" s="214">
        <f>((($L37 * $G37 * I37) * 10 ^ -3))</f>
        <v>0</v>
      </c>
      <c r="P37" s="214">
        <f>((($L37 * $G37 * J37) * 10 ^ -3))</f>
        <v>0</v>
      </c>
      <c r="Q37" s="214">
        <f>((($L37 * $G37 * ((IF(ISNUMBER(K37), K37, 0)))) * 10 ^ -3))</f>
        <v>0</v>
      </c>
    </row>
    <row r="38" spans="1:17" ht="20.100000000000001" customHeight="1" x14ac:dyDescent="0.2">
      <c r="A38" s="5" t="str">
        <f>HYPERLINK("#'5.4.1.1-4 Atmos deposition'!A1", "5.4.1.1-4 Atmos. deposition")</f>
        <v>5.4.1.1-4 Atmos. deposition</v>
      </c>
      <c r="D38" s="194" t="str">
        <f t="shared" si="1"/>
        <v>Power standalone machinery or heating</v>
      </c>
      <c r="E38" s="192" t="str">
        <f>'Constants - Fuel'!$D$77</f>
        <v>Renewable diesel</v>
      </c>
      <c r="F38" s="192"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214">
        <f>((($L38 * $G38 * H38) * 10 ^ -3))</f>
        <v>0</v>
      </c>
      <c r="O38" s="214">
        <f>((($L38 * $G38 * I38) * 10 ^ -3))</f>
        <v>0</v>
      </c>
      <c r="P38" s="214">
        <f>((($L38 * $G38 * J38) * 10 ^ -3))</f>
        <v>0</v>
      </c>
      <c r="Q38" s="214">
        <f>((($L38 * $G38 * ((IF(ISNUMBER(K38), K38, 0)))) * 10 ^ -3))</f>
        <v>0</v>
      </c>
    </row>
    <row r="39" spans="1:17" ht="20.100000000000001" customHeight="1" x14ac:dyDescent="0.2">
      <c r="A39" s="5" t="str">
        <f>HYPERLINK("#'5.5.1.1-2 Leaching and runoff'!A1", "5.5.1.1-2 Leaching &amp; runoff")</f>
        <v>5.5.1.1-2 Leaching &amp; runoff</v>
      </c>
      <c r="D39" s="194" t="str">
        <f t="shared" si="1"/>
        <v>Power standalone machinery or heating</v>
      </c>
      <c r="E39" s="192" t="str">
        <f>'Constants - Fuel'!$D$103</f>
        <v>Natural gas distributed in a pipeline - Gigajoules</v>
      </c>
      <c r="F39" s="192"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cm="1">
        <f t="array" ref="K39">IFERROR(Common_InputFunctions.Utility_LookupValueInTableOneColumnAndHeader($P$17,$P$18,Table_Fuel_EFs_StationaryGaseous34[State or territory],Table_Fuel_EFs_StationaryGaseous34[#Headers],Table_Fuel_EFs_StationaryGaseous34[#Data]),0)</f>
        <v>4.0999999999999996</v>
      </c>
      <c r="L39" s="172" cm="1">
        <f t="array" ref="L39">Fuel_InputFunctions.Fuel_TotalConsumption(Table_Input_Fuel[Amount consumed], Table_Input_Fuel[Fuel use (select)], D39, Table_Input_Fuel[Fuel type (select)],F39)</f>
        <v>0</v>
      </c>
      <c r="M39" s="172" t="str" cm="1">
        <f t="array" ref="M39">Common_InputFunctions.Utility_LookupValueInTable(F39,Table_FuelTypes_Units[Fuel type],Table_FuelTypes_Units[Unit])</f>
        <v>GJ</v>
      </c>
      <c r="N39" s="214">
        <f>((($L39 * $G39 * H39) * 10 ^ -3))</f>
        <v>0</v>
      </c>
      <c r="O39" s="214">
        <f>((($L39 * $G39 * I39) * 10 ^ -3))</f>
        <v>0</v>
      </c>
      <c r="P39" s="214">
        <f>((($L39 * $G39 * J39) * 10 ^ -3))</f>
        <v>0</v>
      </c>
      <c r="Q39" s="214">
        <f>((($L39 * $G39 * ((IF(ISNUMBER(K39), K39, 0)))) * 10 ^ -3))</f>
        <v>0</v>
      </c>
    </row>
    <row r="40" spans="1:17" ht="20.100000000000001" customHeight="1" x14ac:dyDescent="0.2">
      <c r="A40" s="5" t="str">
        <f>HYPERLINK("#'6.2.1.1-2 Pasture residue N2O'!A1", "6.2.1.1-2 Pasture residue N2O")</f>
        <v>6.2.1.1-2 Pasture residue N2O</v>
      </c>
      <c r="D40" s="194" t="str">
        <f t="shared" si="1"/>
        <v>Power standalone machinery or heating</v>
      </c>
      <c r="E40" s="192" t="str">
        <f>'Constants - Fuel'!$D$104</f>
        <v>Town gas - Gigajoules</v>
      </c>
      <c r="F40" s="192"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cm="1">
        <f t="array" ref="K40">IFERROR(Common_InputFunctions.Utility_LookupValueInTableOneColumnAndHeader($P$17,$P$18,Table_Fuel_EFs_StationaryGaseous34[State or territory],Table_Fuel_EFs_StationaryGaseous34[#Headers],Table_Fuel_EFs_StationaryGaseous34[#Data]),0)</f>
        <v>4.0999999999999996</v>
      </c>
      <c r="L40" s="172" cm="1">
        <f t="array" ref="L40">Fuel_InputFunctions.Fuel_TotalConsumption(Table_Input_Fuel[Amount consumed], Table_Input_Fuel[Fuel use (select)], D40, Table_Input_Fuel[Fuel type (select)],F40)</f>
        <v>100</v>
      </c>
      <c r="M40" s="172" t="str" cm="1">
        <f t="array" ref="M40">Common_InputFunctions.Utility_LookupValueInTable(F40,Table_FuelTypes_Units[Fuel type],Table_FuelTypes_Units[Unit])</f>
        <v>GJ</v>
      </c>
      <c r="N40" s="214">
        <f>((($L40 * $G40 * H40) * 10 ^ -3))</f>
        <v>6.0200000000000005</v>
      </c>
      <c r="O40" s="214">
        <f>((($L40 * $G40 * I40) * 10 ^ -3))</f>
        <v>4.0000000000000001E-3</v>
      </c>
      <c r="P40" s="214">
        <f>((($L40 * $G40 * J40) * 10 ^ -3))</f>
        <v>3.0000000000000001E-3</v>
      </c>
      <c r="Q40" s="214">
        <f>((($L40 * $G40 * ((IF(ISNUMBER(K40), K40, 0)))) * 10 ^ -3))</f>
        <v>0.41</v>
      </c>
    </row>
    <row r="41" spans="1:17" ht="20.100000000000001" customHeight="1" x14ac:dyDescent="0.2">
      <c r="A41" s="5" t="str">
        <f>HYPERLINK("#'6.3.1.1-2 Leach runoff pasture'!A1", "6.3.1.1-2 Leach &amp; runoff (pasture)")</f>
        <v>6.3.1.1-2 Leach &amp; runoff (pasture)</v>
      </c>
    </row>
    <row r="42" spans="1:17" ht="20.100000000000001" customHeight="1" x14ac:dyDescent="0.2">
      <c r="A42" s="5" t="str">
        <f>HYPERLINK("#'8.1.1.1-2 Transport fuel'!A1", "8.1.1.1-2 Transport fuel")</f>
        <v>8.1.1.1-2 Transport fuel</v>
      </c>
      <c r="D42" s="207" t="str">
        <f>"Total scope 1 - " &amp; D25</f>
        <v>Total scope 1 - Generators</v>
      </c>
      <c r="E42" s="208"/>
      <c r="F42" s="209"/>
    </row>
    <row r="43" spans="1:17" ht="20.100000000000001" customHeight="1" x14ac:dyDescent="0.2">
      <c r="A43" s="105" t="str">
        <f>HYPERLINK("#'8.2.1.1-2 Stationary fuel'!A1", "8.2.1.1-2 Stationary fuel")</f>
        <v>8.2.1.1-2 Stationary fuel</v>
      </c>
      <c r="D43" s="25" t="s">
        <v>857</v>
      </c>
      <c r="E43" s="210">
        <f>SUM(N25:N31)+N("Partial sum")</f>
        <v>0</v>
      </c>
      <c r="F43" s="16" t="str">
        <f>$E$12</f>
        <v>t CO2-e</v>
      </c>
    </row>
    <row r="44" spans="1:17" ht="20.100000000000001" customHeight="1" x14ac:dyDescent="0.2">
      <c r="A44" s="5" t="str">
        <f>HYPERLINK("#'10.1.1-2 Solid waste treatment'!A1", "10.1.1.1-2 Solid waste")</f>
        <v>10.1.1.1-2 Solid waste</v>
      </c>
      <c r="D44" s="25" t="s">
        <v>858</v>
      </c>
      <c r="E44" s="210">
        <f>SUM(O25:O31)+N("Partial sum")</f>
        <v>0</v>
      </c>
      <c r="F44" s="16" t="str">
        <f t="shared" ref="F44:F46" si="2">$E$12</f>
        <v>t CO2-e</v>
      </c>
    </row>
    <row r="45" spans="1:17" ht="20.100000000000001" customHeight="1" x14ac:dyDescent="0.2">
      <c r="A45" s="5" t="str">
        <f>HYPERLINK("#'14.1.1-2 Purchased electricity'!A1", "14.1.1-2 Purchased electricity")</f>
        <v>14.1.1-2 Purchased electricity</v>
      </c>
      <c r="D45" s="25" t="s">
        <v>859</v>
      </c>
      <c r="E45" s="210">
        <f>SUM(P25:P31)+N("Partial sum")</f>
        <v>0</v>
      </c>
      <c r="F45" s="16" t="str">
        <f t="shared" si="2"/>
        <v>t CO2-e</v>
      </c>
    </row>
    <row r="46" spans="1:17" ht="20.100000000000001" customHeight="1" x14ac:dyDescent="0.2">
      <c r="A46" s="5" t="str">
        <f>HYPERLINK("#'15 Scope 3'!A1", "15 Scope 3")</f>
        <v>15 Scope 3</v>
      </c>
      <c r="D46" s="25" t="s">
        <v>293</v>
      </c>
      <c r="E46" s="210">
        <f>SUM(Q25:Q31)+N("Partial sum")</f>
        <v>0</v>
      </c>
      <c r="F46" s="16" t="str">
        <f t="shared" si="2"/>
        <v>t CO2-e</v>
      </c>
    </row>
    <row r="47" spans="1:17" ht="20.100000000000001" customHeight="1" x14ac:dyDescent="0.2">
      <c r="A47" s="5" t="str">
        <f>HYPERLINK("#'Calcs - Manure sent off-site'!A1", "Calcs - Manure sent off-site")</f>
        <v>Calcs - Manure sent off-site</v>
      </c>
      <c r="H47" s="168"/>
      <c r="I47" s="168"/>
      <c r="J47" s="168"/>
      <c r="L47" s="168"/>
      <c r="N47" s="168"/>
      <c r="O47" s="168"/>
      <c r="P47" s="168"/>
      <c r="Q47" s="168"/>
    </row>
    <row r="48" spans="1:17" ht="20.100000000000001" customHeight="1" x14ac:dyDescent="0.2">
      <c r="D48" s="207" t="str">
        <f>"Total scope 1 - " &amp; D32</f>
        <v>Total scope 1 - Power standalone machinery or heating</v>
      </c>
      <c r="E48" s="211"/>
      <c r="F48" s="209"/>
      <c r="H48" s="168"/>
      <c r="I48" s="168"/>
      <c r="J48" s="168"/>
      <c r="L48" s="168"/>
      <c r="N48" s="168"/>
      <c r="O48" s="168"/>
      <c r="P48" s="168"/>
      <c r="Q48" s="168"/>
    </row>
    <row r="49" spans="1:17" ht="20.100000000000001" customHeight="1" x14ac:dyDescent="0.2">
      <c r="D49" s="25" t="s">
        <v>857</v>
      </c>
      <c r="E49" s="210">
        <f>SUM(N32:N40)+N("Partial sum")</f>
        <v>29.070800000000002</v>
      </c>
      <c r="F49" s="16" t="str">
        <f t="shared" ref="F49:F52" si="3">$E$12</f>
        <v>t CO2-e</v>
      </c>
      <c r="H49" s="168"/>
      <c r="I49" s="168"/>
      <c r="J49" s="168"/>
      <c r="L49" s="168"/>
      <c r="N49" s="168"/>
      <c r="O49" s="168"/>
      <c r="P49" s="168"/>
      <c r="Q49" s="168"/>
    </row>
    <row r="50" spans="1:17" ht="20.100000000000001" customHeight="1" x14ac:dyDescent="0.2">
      <c r="A50" s="86" t="s">
        <v>1</v>
      </c>
      <c r="D50" s="25" t="s">
        <v>858</v>
      </c>
      <c r="E50" s="210">
        <f>SUM(O32:O40)+N("Partial sum")</f>
        <v>7.2400000000000006E-2</v>
      </c>
      <c r="F50" s="16" t="str">
        <f t="shared" si="3"/>
        <v>t CO2-e</v>
      </c>
      <c r="H50" s="168"/>
      <c r="I50" s="168"/>
      <c r="J50" s="168"/>
      <c r="L50" s="168"/>
      <c r="N50" s="168"/>
      <c r="O50" s="168"/>
      <c r="P50" s="168"/>
      <c r="Q50" s="168"/>
    </row>
    <row r="51" spans="1:17" ht="20.100000000000001" customHeight="1" x14ac:dyDescent="0.2">
      <c r="A51" s="5" t="str">
        <f>HYPERLINK("#'Constants - Pasture Beef'!A1", "Constants - Pasture Beef")</f>
        <v>Constants - Pasture Beef</v>
      </c>
      <c r="D51" s="25" t="s">
        <v>859</v>
      </c>
      <c r="E51" s="210">
        <f>SUM(P32:P40)+N("Partial sum")</f>
        <v>7.1400000000000005E-2</v>
      </c>
      <c r="F51" s="16" t="str">
        <f t="shared" si="3"/>
        <v>t CO2-e</v>
      </c>
      <c r="H51" s="168"/>
      <c r="I51" s="168"/>
      <c r="J51" s="168"/>
      <c r="L51" s="168"/>
      <c r="N51" s="168"/>
      <c r="O51" s="168"/>
      <c r="P51" s="168"/>
      <c r="Q51" s="168"/>
    </row>
    <row r="52" spans="1:17" ht="20.100000000000001" customHeight="1" x14ac:dyDescent="0.2">
      <c r="A52" s="5" t="str">
        <f>HYPERLINK("#'Constants - Ag Residue'!A1", "Constants - Ag residue")</f>
        <v>Constants - Ag residue</v>
      </c>
      <c r="D52" s="25" t="s">
        <v>293</v>
      </c>
      <c r="E52" s="210">
        <f>SUM(Q32:Q40)+N("Partial sum")</f>
        <v>6.2923999999999998</v>
      </c>
      <c r="F52" s="16" t="str">
        <f t="shared" si="3"/>
        <v>t CO2-e</v>
      </c>
      <c r="G52" s="168"/>
      <c r="H52" s="168"/>
      <c r="I52" s="168"/>
      <c r="J52" s="168"/>
      <c r="L52" s="168"/>
      <c r="N52" s="168"/>
      <c r="O52" s="168"/>
      <c r="P52" s="168"/>
      <c r="Q52" s="168"/>
    </row>
    <row r="53" spans="1:17" ht="20.100000000000001" customHeight="1" x14ac:dyDescent="0.2">
      <c r="A53" s="5" t="str">
        <f>HYPERLINK("#'Constants - Common Livestock'!A1", "Constants - Common Livestock")</f>
        <v>Constants - Common Livestock</v>
      </c>
      <c r="G53" s="168"/>
      <c r="H53" s="168"/>
      <c r="I53" s="168"/>
      <c r="J53" s="168"/>
      <c r="L53" s="168"/>
      <c r="N53" s="168"/>
      <c r="O53" s="168"/>
      <c r="P53" s="168"/>
      <c r="Q53" s="168"/>
    </row>
    <row r="54" spans="1:17" ht="20.100000000000001" customHeight="1" x14ac:dyDescent="0.2">
      <c r="A54" s="5" t="str">
        <f>HYPERLINK("#'Constants - Electricity'!A1", "Constants - Electricity")</f>
        <v>Constants - Electricity</v>
      </c>
      <c r="D54" s="207" t="s">
        <v>870</v>
      </c>
      <c r="E54" s="211"/>
      <c r="F54" s="209"/>
      <c r="G54" s="168"/>
      <c r="H54" s="168"/>
      <c r="I54" s="168"/>
      <c r="J54" s="168"/>
      <c r="L54" s="168"/>
      <c r="N54" s="168"/>
      <c r="O54" s="168"/>
      <c r="P54" s="168"/>
      <c r="Q54" s="168"/>
    </row>
    <row r="55" spans="1:17" ht="20.100000000000001" customHeight="1" x14ac:dyDescent="0.2">
      <c r="A55" s="5" t="str">
        <f>HYPERLINK("#'Constants - Fertiliser'!A1", "Constants - Fertiliser")</f>
        <v>Constants - Fertiliser</v>
      </c>
      <c r="D55" s="25" t="s">
        <v>857</v>
      </c>
      <c r="E55" s="210">
        <f>E43+E49</f>
        <v>29.070800000000002</v>
      </c>
      <c r="F55" s="16" t="str">
        <f t="shared" ref="F55:F58" si="4">$E$12</f>
        <v>t CO2-e</v>
      </c>
      <c r="G55" s="168"/>
      <c r="H55" s="168"/>
      <c r="I55" s="168"/>
      <c r="J55" s="168"/>
      <c r="L55" s="168"/>
      <c r="N55" s="168"/>
      <c r="O55" s="168"/>
      <c r="P55" s="168"/>
      <c r="Q55" s="168"/>
    </row>
    <row r="56" spans="1:17" ht="20.100000000000001" customHeight="1" x14ac:dyDescent="0.2">
      <c r="A56" s="5" t="str">
        <f>HYPERLINK("#'Constants - Fuel'!A1", "Constants - Fuel")</f>
        <v>Constants - Fuel</v>
      </c>
      <c r="D56" s="25" t="s">
        <v>858</v>
      </c>
      <c r="E56" s="210">
        <f>E44+E50</f>
        <v>7.2400000000000006E-2</v>
      </c>
      <c r="F56" s="16" t="str">
        <f t="shared" si="4"/>
        <v>t CO2-e</v>
      </c>
      <c r="H56" s="168"/>
    </row>
    <row r="57" spans="1:17" ht="20.100000000000001" customHeight="1" x14ac:dyDescent="0.2">
      <c r="A57" s="5" t="str">
        <f>HYPERLINK("#'Constants - Scope 3'!A1", "Constants - Scope 3")</f>
        <v>Constants - Scope 3</v>
      </c>
      <c r="D57" s="25" t="s">
        <v>859</v>
      </c>
      <c r="E57" s="210">
        <f>E45+E51</f>
        <v>7.1400000000000005E-2</v>
      </c>
      <c r="F57" s="16" t="str">
        <f t="shared" si="4"/>
        <v>t CO2-e</v>
      </c>
      <c r="G57" s="168"/>
      <c r="H57" s="168"/>
      <c r="I57" s="168"/>
      <c r="J57" s="168"/>
      <c r="L57" s="168"/>
      <c r="N57" s="168"/>
      <c r="O57" s="168"/>
      <c r="P57" s="168"/>
      <c r="Q57" s="168"/>
    </row>
    <row r="58" spans="1:17" ht="20.100000000000001" customHeight="1" x14ac:dyDescent="0.2">
      <c r="A58" s="5" t="str">
        <f>HYPERLINK("#'Constants - Solid Waste'!A1", "Constants - Solid Waste")</f>
        <v>Constants - Solid Waste</v>
      </c>
      <c r="D58" s="25" t="s">
        <v>293</v>
      </c>
      <c r="E58" s="210">
        <f>E46+E52</f>
        <v>6.2923999999999998</v>
      </c>
      <c r="F58" s="16" t="str">
        <f t="shared" si="4"/>
        <v>t CO2-e</v>
      </c>
      <c r="G58" s="168"/>
      <c r="H58" s="168"/>
      <c r="I58" s="168"/>
      <c r="J58" s="168"/>
      <c r="L58" s="168"/>
      <c r="N58" s="168"/>
      <c r="O58" s="168"/>
      <c r="P58" s="168"/>
      <c r="Q58" s="168"/>
    </row>
    <row r="59" spans="1:17" ht="20.100000000000001" customHeight="1" x14ac:dyDescent="0.2">
      <c r="A59" s="5" t="str">
        <f>HYPERLINK("#'Constants - Common'!A1", "Constants - Common")</f>
        <v>Constants - Common</v>
      </c>
      <c r="G59" s="168"/>
      <c r="H59" s="168"/>
      <c r="I59" s="168"/>
      <c r="J59" s="168"/>
      <c r="L59" s="168"/>
      <c r="N59" s="168"/>
      <c r="O59" s="168"/>
      <c r="P59" s="168"/>
      <c r="Q59" s="168"/>
    </row>
    <row r="60" spans="1:17" ht="20.100000000000001" customHeight="1" x14ac:dyDescent="0.2">
      <c r="A60" s="5" t="str">
        <f>HYPERLINK("#'Acknowledgements'!A1", "Acknowledgements")</f>
        <v>Acknowledgements</v>
      </c>
      <c r="G60" s="168"/>
      <c r="H60" s="168"/>
      <c r="I60" s="168"/>
      <c r="J60" s="168"/>
      <c r="L60" s="168"/>
      <c r="N60" s="168"/>
      <c r="O60" s="168"/>
      <c r="P60" s="168"/>
      <c r="Q60" s="168"/>
    </row>
    <row r="61" spans="1:17" ht="20.100000000000001" customHeight="1" x14ac:dyDescent="0.2">
      <c r="G61" s="168"/>
      <c r="H61" s="168"/>
      <c r="I61" s="168"/>
      <c r="J61" s="168"/>
      <c r="L61" s="168"/>
      <c r="N61" s="168"/>
      <c r="O61" s="168"/>
      <c r="P61" s="168"/>
      <c r="Q61" s="168"/>
    </row>
    <row r="62" spans="1:17" ht="20.100000000000001" customHeight="1" x14ac:dyDescent="0.2">
      <c r="G62" s="168"/>
      <c r="H62" s="168"/>
      <c r="I62" s="168"/>
      <c r="J62" s="168"/>
      <c r="L62" s="168"/>
      <c r="N62" s="168"/>
      <c r="O62" s="168"/>
      <c r="P62" s="168"/>
      <c r="Q62" s="168"/>
    </row>
    <row r="63" spans="1:17" ht="20.100000000000001" customHeight="1" x14ac:dyDescent="0.2">
      <c r="G63" s="168"/>
      <c r="H63" s="168"/>
      <c r="I63" s="168"/>
      <c r="J63" s="168"/>
      <c r="L63" s="168"/>
      <c r="N63" s="168"/>
      <c r="O63" s="168"/>
      <c r="P63" s="168"/>
      <c r="Q63" s="168"/>
    </row>
    <row r="64" spans="1:17" ht="20.100000000000001" customHeight="1" x14ac:dyDescent="0.2">
      <c r="G64" s="168"/>
      <c r="H64" s="168"/>
      <c r="I64" s="168"/>
      <c r="J64" s="168"/>
      <c r="L64" s="168"/>
      <c r="N64" s="168"/>
      <c r="O64" s="168"/>
      <c r="P64" s="168"/>
      <c r="Q64" s="168"/>
    </row>
    <row r="65" spans="7:17" ht="20.100000000000001" customHeight="1" x14ac:dyDescent="0.2">
      <c r="G65" s="168"/>
      <c r="H65" s="168"/>
      <c r="I65" s="168"/>
      <c r="J65" s="168"/>
      <c r="L65" s="168"/>
      <c r="N65" s="168"/>
      <c r="O65" s="168"/>
      <c r="P65" s="168"/>
      <c r="Q65" s="168"/>
    </row>
    <row r="66" spans="7:17" ht="20.100000000000001" customHeight="1" x14ac:dyDescent="0.2">
      <c r="G66" s="168"/>
      <c r="H66" s="168"/>
      <c r="I66" s="168"/>
      <c r="J66" s="168"/>
      <c r="L66" s="168"/>
      <c r="N66" s="168"/>
      <c r="O66" s="168"/>
      <c r="P66" s="168"/>
      <c r="Q66" s="168"/>
    </row>
    <row r="67" spans="7:17" ht="20.100000000000001" customHeight="1" x14ac:dyDescent="0.2">
      <c r="G67" s="168"/>
    </row>
    <row r="68" spans="7:17" ht="20.100000000000001" customHeight="1" x14ac:dyDescent="0.2">
      <c r="G68" s="168"/>
    </row>
    <row r="69" spans="7:17" ht="20.100000000000001" customHeight="1" x14ac:dyDescent="0.2">
      <c r="G69" s="168"/>
    </row>
    <row r="70" spans="7:17" ht="20.100000000000001" customHeight="1" x14ac:dyDescent="0.2">
      <c r="G70" s="168"/>
    </row>
    <row r="71" spans="7:17" ht="20.100000000000001" customHeight="1" x14ac:dyDescent="0.2">
      <c r="G71" s="168"/>
    </row>
  </sheetData>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5B423-E99C-4D1B-BB64-298E97E93D3D}">
  <sheetPr>
    <tabColor rgb="FF008000"/>
  </sheetPr>
  <dimension ref="A1:L342"/>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1" customFormat="1" ht="30" customHeight="1" x14ac:dyDescent="0.35">
      <c r="A1" s="10" t="e" vm="1">
        <v>#VALUE!</v>
      </c>
      <c r="C1" s="21" t="s">
        <v>952</v>
      </c>
    </row>
    <row r="2" spans="1:12" s="3" customFormat="1" ht="20.100000000000001" customHeight="1" x14ac:dyDescent="0.2">
      <c r="A2"/>
    </row>
    <row r="3" spans="1:12" ht="20.100000000000001" customHeight="1" x14ac:dyDescent="0.2">
      <c r="A3" s="5" t="str">
        <f>HYPERLINK("#'Home'!A1", "Home")</f>
        <v>Home</v>
      </c>
      <c r="C3" s="23"/>
      <c r="D3" s="23" t="s">
        <v>141</v>
      </c>
      <c r="E3" s="23"/>
      <c r="F3" s="23"/>
      <c r="G3" s="23"/>
      <c r="H3" s="23"/>
      <c r="I3" s="23"/>
      <c r="J3" s="23"/>
      <c r="K3" s="23"/>
      <c r="L3" s="23"/>
    </row>
    <row r="4" spans="1:12" ht="20.100000000000001" customHeight="1" x14ac:dyDescent="0.2">
      <c r="A4" s="5" t="str">
        <f>HYPERLINK("#'Results - Activity period'!A1", "Results - Activity period")</f>
        <v>Results - Activity period</v>
      </c>
    </row>
    <row r="5" spans="1:12" ht="20.100000000000001" customHeight="1" x14ac:dyDescent="0.2">
      <c r="A5" s="5" t="str">
        <f>HYPERLINK("#'Results - Product EI'!A1", "Results - Product Emissions Intensity")</f>
        <v>Results - Product Emissions Intensity</v>
      </c>
      <c r="D5" s="2" t="s">
        <v>1697</v>
      </c>
    </row>
    <row r="6" spans="1:12" ht="20.100000000000001" customHeight="1" x14ac:dyDescent="0.2">
      <c r="D6" s="17" t="s">
        <v>1698</v>
      </c>
    </row>
    <row r="7" spans="1:12" ht="20.100000000000001" customHeight="1" x14ac:dyDescent="0.2">
      <c r="D7" s="104"/>
      <c r="E7" s="104"/>
    </row>
    <row r="8" spans="1:12" ht="20.100000000000001" customHeight="1" x14ac:dyDescent="0.2">
      <c r="A8" s="7" t="s">
        <v>0</v>
      </c>
    </row>
    <row r="9" spans="1:12" ht="20.100000000000001" customHeight="1" x14ac:dyDescent="0.2">
      <c r="A9" s="5" t="str">
        <f>HYPERLINK("#'Input - Enterprise'!A1", "Enterprise")</f>
        <v>Enterprise</v>
      </c>
    </row>
    <row r="10" spans="1:12" ht="20.100000000000001" customHeight="1" x14ac:dyDescent="0.2">
      <c r="A10" s="5" t="str">
        <f>HYPERLINK("#'Input - Site'!A1", "Site")</f>
        <v>Site</v>
      </c>
      <c r="D10" s="77" t="s">
        <v>374</v>
      </c>
      <c r="E10" s="1" t="s">
        <v>1699</v>
      </c>
    </row>
    <row r="11" spans="1:12" ht="20.100000000000001" customHeight="1" x14ac:dyDescent="0.2">
      <c r="A11" s="5" t="str">
        <f>HYPERLINK("#'Input - Pasture Beef'!A1", "Pasture Beef")</f>
        <v>Pasture Beef</v>
      </c>
      <c r="D11" s="77" t="s">
        <v>126</v>
      </c>
      <c r="E11" s="9" t="s">
        <v>1700</v>
      </c>
    </row>
    <row r="12" spans="1:12" ht="20.100000000000001" customHeight="1" x14ac:dyDescent="0.2">
      <c r="A12" s="5" t="str">
        <f>HYPERLINK("#'Input - Livestock sales'!A1", "Livestock sales")</f>
        <v>Livestock sales</v>
      </c>
    </row>
    <row r="13" spans="1:12" ht="20.100000000000001" customHeight="1" x14ac:dyDescent="0.2">
      <c r="A13" s="5" t="str">
        <f>HYPERLINK("#'Input - Beef cattle purchases'!A1", "Beef cattle purchases")</f>
        <v>Beef cattle purchases</v>
      </c>
      <c r="D13" s="106" t="s">
        <v>1701</v>
      </c>
      <c r="E13" s="107" t="s">
        <v>1702</v>
      </c>
      <c r="F13" s="109"/>
      <c r="G13" s="106" t="s">
        <v>1708</v>
      </c>
      <c r="H13" s="110" t="s">
        <v>1325</v>
      </c>
      <c r="I13" s="112" t="str" cm="1">
        <f t="array" aca="1" ref="I13" ca="1">HYPERLINK(Common_InputFunctions.Utility_SourceHyperlink($D$18),$D$18)</f>
        <v>Table_V_w_t_onsite</v>
      </c>
      <c r="J13" s="112" t="str" cm="1">
        <f t="array" aca="1" ref="J13" ca="1">HYPERLINK(Common_InputFunctions.Utility_SourceHyperlink($D$56),$D$56)</f>
        <v>Table_V_w_t_offsite</v>
      </c>
    </row>
    <row r="14" spans="1:12" ht="20.100000000000001" customHeight="1" x14ac:dyDescent="0.2">
      <c r="A14" s="5" t="str">
        <f>HYPERLINK("#'Input - Pasture'!A1", "Pasture")</f>
        <v>Pasture</v>
      </c>
      <c r="D14" s="106" t="s">
        <v>1703</v>
      </c>
      <c r="E14" s="107" t="s">
        <v>1704</v>
      </c>
      <c r="F14" s="109"/>
      <c r="G14" s="106" t="s">
        <v>1709</v>
      </c>
      <c r="H14" s="111" t="s">
        <v>1326</v>
      </c>
      <c r="I14" s="112" t="str" cm="1">
        <f t="array" aca="1" ref="I14" ca="1">HYPERLINK(Common_InputFunctions.Utility_SourceHyperlink($D$18),$D$18)</f>
        <v>Table_V_w_t_onsite</v>
      </c>
      <c r="J14" s="112" t="str" cm="1">
        <f t="array" aca="1" ref="J14" ca="1">HYPERLINK(Common_InputFunctions.Utility_SourceHyperlink($D$56),$D$56)</f>
        <v>Table_V_w_t_offsite</v>
      </c>
    </row>
    <row r="15" spans="1:12" ht="20.100000000000001" customHeight="1" x14ac:dyDescent="0.2">
      <c r="A15" s="5" t="str">
        <f>HYPERLINK("#'Input - Fert Prod System'!A1", "Fert Prod System")</f>
        <v>Fert Prod System</v>
      </c>
      <c r="D15" s="106" t="s">
        <v>1705</v>
      </c>
      <c r="E15" s="107" t="s">
        <v>1706</v>
      </c>
      <c r="F15" s="109"/>
      <c r="G15" s="106"/>
      <c r="H15" s="110" t="s">
        <v>1325</v>
      </c>
      <c r="I15" s="112" t="str" cm="1">
        <f t="array" aca="1" ref="I15" ca="1">HYPERLINK(Common_InputFunctions.Utility_SourceHyperlink($D$18),$D$18)</f>
        <v>Table_V_w_t_onsite</v>
      </c>
      <c r="J15" s="112" t="str" cm="1">
        <f t="array" aca="1" ref="J15" ca="1">HYPERLINK(Common_InputFunctions.Utility_SourceHyperlink($D$56),$D$56)</f>
        <v>Table_V_w_t_offsite</v>
      </c>
    </row>
    <row r="16" spans="1:12" ht="20.100000000000001" customHeight="1" x14ac:dyDescent="0.2">
      <c r="A16" s="5" t="str">
        <f>HYPERLINK("#'Input - Fertiliser'!A1", "Fertiliser")</f>
        <v>Fertiliser</v>
      </c>
      <c r="D16" s="106" t="s">
        <v>1700</v>
      </c>
      <c r="E16" s="107" t="s">
        <v>1707</v>
      </c>
      <c r="F16" s="109"/>
      <c r="G16" s="106"/>
      <c r="H16" s="110" t="s">
        <v>1325</v>
      </c>
      <c r="I16" s="112" t="str" cm="1">
        <f t="array" aca="1" ref="I16" ca="1">HYPERLINK(Common_InputFunctions.Utility_SourceHyperlink($D$18),$D$18)</f>
        <v>Table_V_w_t_onsite</v>
      </c>
      <c r="J16" s="112" t="str" cm="1">
        <f t="array" aca="1" ref="J16" ca="1">HYPERLINK(Common_InputFunctions.Utility_SourceHyperlink($D$56),$D$56)</f>
        <v>Table_V_w_t_offsite</v>
      </c>
    </row>
    <row r="17" spans="1:9" ht="20.100000000000001" customHeight="1" x14ac:dyDescent="0.2">
      <c r="A17" s="5" t="str">
        <f>HYPERLINK("#'Input - Fuel'!A1", "Fuel")</f>
        <v>Fuel</v>
      </c>
    </row>
    <row r="18" spans="1:9" ht="20.100000000000001" customHeight="1" x14ac:dyDescent="0.2">
      <c r="A18" s="5" t="str">
        <f>HYPERLINK("#'Input - Electricity'!A1", "Electricity")</f>
        <v>Electricity</v>
      </c>
      <c r="D18" s="113" t="s">
        <v>953</v>
      </c>
    </row>
    <row r="19" spans="1:9" ht="20.100000000000001" customHeight="1" x14ac:dyDescent="0.2">
      <c r="A19" s="5" t="str">
        <f>HYPERLINK("#'Input - Common farm inputs'!A1", "Common farm inputs")</f>
        <v>Common farm inputs</v>
      </c>
      <c r="D19" s="114" t="s">
        <v>954</v>
      </c>
    </row>
    <row r="20" spans="1:9" ht="20.100000000000001" customHeight="1" x14ac:dyDescent="0.2">
      <c r="A20" s="5" t="str">
        <f>HYPERLINK("#'Input - Crop pasture farm input'!A1", "Crop pasture farm input")</f>
        <v>Crop pasture farm input</v>
      </c>
      <c r="D20" s="82" t="s">
        <v>955</v>
      </c>
      <c r="E20" s="82" t="s">
        <v>956</v>
      </c>
      <c r="F20" s="82"/>
      <c r="G20" s="82" t="s">
        <v>957</v>
      </c>
      <c r="H20" s="115" t="s">
        <v>958</v>
      </c>
      <c r="I20" s="115" t="s">
        <v>959</v>
      </c>
    </row>
    <row r="21" spans="1:9" ht="20.100000000000001" customHeight="1" x14ac:dyDescent="0.2">
      <c r="A21" s="5" t="str">
        <f>HYPERLINK("#'Input - Livestock farm Inputs'!A1", "Livestock farm Inputs")</f>
        <v>Livestock farm Inputs</v>
      </c>
      <c r="D21" s="106" t="str" cm="1">
        <f t="array" ref="D21:D54">Table_SourceData_WasteSolid_WasteTreatmentEFs[Treatment type t]</f>
        <v>Landfill</v>
      </c>
      <c r="E21" s="107" t="str" cm="1">
        <f t="array" ref="E21:E54">Table_SourceData_WasteSolid_WasteTreatmentEFs[Waste type w]</f>
        <v>Food waste (including animal carcasses, spoiled animal feed or crop)</v>
      </c>
      <c r="F21" s="164"/>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15" cm="1">
        <f t="array" ref="H21">Common_InputFunctions.Utility_LookupValueInTableNumber(E21,Table_SourceData_WasteSolid_VolumeToMassConversion[Waste type w],Table_SourceData_WasteSolid_VolumeToMassConversion[VTMw])</f>
        <v>0.5</v>
      </c>
      <c r="I21" s="15">
        <f>(G21 * H21)</f>
        <v>25</v>
      </c>
    </row>
    <row r="22" spans="1:9" ht="20.100000000000001" customHeight="1" x14ac:dyDescent="0.2">
      <c r="A22" s="5" t="str">
        <f>HYPERLINK("#'Input - Freight'!A1", "Freight")</f>
        <v>Freight</v>
      </c>
      <c r="D22" s="106" t="str">
        <v>Landfill</v>
      </c>
      <c r="E22" s="107" t="str">
        <v>Paper and cardboard</v>
      </c>
      <c r="F22" s="164"/>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15" cm="1">
        <f t="array" ref="H22">Common_InputFunctions.Utility_LookupValueInTableNumber(E22,Table_SourceData_WasteSolid_VolumeToMassConversion[Waste type w],Table_SourceData_WasteSolid_VolumeToMassConversion[VTMw])</f>
        <v>0.09</v>
      </c>
      <c r="I22" s="15">
        <f>(G22 * H22)</f>
        <v>4.5</v>
      </c>
    </row>
    <row r="23" spans="1:9" ht="20.100000000000001" customHeight="1" x14ac:dyDescent="0.2">
      <c r="A23" s="5" t="str">
        <f>HYPERLINK("#'Input - Solid waste'!A1", "Solid waste")</f>
        <v>Solid waste</v>
      </c>
      <c r="D23" s="106" t="str">
        <v>Landfill</v>
      </c>
      <c r="E23" s="107" t="str">
        <v>Green waste (including crop residues or prunings)</v>
      </c>
      <c r="F23" s="164"/>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15" cm="1">
        <f t="array" ref="H23">Common_InputFunctions.Utility_LookupValueInTableNumber(E23,Table_SourceData_WasteSolid_VolumeToMassConversion[Waste type w],Table_SourceData_WasteSolid_VolumeToMassConversion[VTMw])</f>
        <v>0.24</v>
      </c>
      <c r="I23" s="15">
        <f>(G23 * H23)</f>
        <v>12</v>
      </c>
    </row>
    <row r="24" spans="1:9" ht="20.100000000000001" customHeight="1" x14ac:dyDescent="0.2">
      <c r="A24" s="5" t="str">
        <f>HYPERLINK("#'Input - Manure sent off-site'!A1", "Manure sent off-site")</f>
        <v>Manure sent off-site</v>
      </c>
      <c r="D24" s="106" t="str">
        <v>Landfill</v>
      </c>
      <c r="E24" s="107" t="str">
        <v>Wood</v>
      </c>
      <c r="F24" s="164"/>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f>(G24 * H24)</f>
        <v>0</v>
      </c>
    </row>
    <row r="25" spans="1:9" ht="20.100000000000001" customHeight="1" x14ac:dyDescent="0.2">
      <c r="A25" s="5" t="str">
        <f>HYPERLINK("#'Input - Data quality'!A1", "Data quality")</f>
        <v>Data quality</v>
      </c>
      <c r="D25" s="106" t="str">
        <v>Landfill</v>
      </c>
      <c r="E25" s="107" t="str">
        <v>Textiles</v>
      </c>
      <c r="F25" s="164"/>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f>(G25 * H25)</f>
        <v>0</v>
      </c>
    </row>
    <row r="26" spans="1:9" ht="20.100000000000001" customHeight="1" x14ac:dyDescent="0.2">
      <c r="D26" s="106" t="str">
        <v>Landfill</v>
      </c>
      <c r="E26" s="107" t="str">
        <v>Sludge</v>
      </c>
      <c r="F26" s="164"/>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f>(G26 * H26)</f>
        <v>0</v>
      </c>
    </row>
    <row r="27" spans="1:9" ht="20.100000000000001" customHeight="1" x14ac:dyDescent="0.2">
      <c r="D27" s="106" t="str">
        <v>Landfill</v>
      </c>
      <c r="E27" s="107" t="str">
        <v>Rubber and leather</v>
      </c>
      <c r="F27" s="164"/>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f>(G27 * H27)</f>
        <v>0</v>
      </c>
    </row>
    <row r="28" spans="1:9" ht="20.100000000000001" customHeight="1" x14ac:dyDescent="0.2">
      <c r="A28" s="6" t="s">
        <v>2</v>
      </c>
      <c r="D28" s="106" t="str">
        <v>Landfill</v>
      </c>
      <c r="E28" s="107" t="str">
        <v>Inert waste (including concrete, metal, plastic or glass)</v>
      </c>
      <c r="F28" s="164"/>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f>(G28 * H28)</f>
        <v>0</v>
      </c>
    </row>
    <row r="29" spans="1:9" ht="20.100000000000001" customHeight="1" x14ac:dyDescent="0.2">
      <c r="A29" s="5" t="str">
        <f>HYPERLINK("#'3.2.1.1-2 Enteric Methane'!A1", "3.2.1.1-2 Enteric Methane")</f>
        <v>3.2.1.1-2 Enteric Methane</v>
      </c>
      <c r="D29" s="106" t="str">
        <v>Landfill</v>
      </c>
      <c r="E29" s="107" t="str">
        <v>Municipal solid waste</v>
      </c>
      <c r="F29" s="164"/>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f>(G29 * H29)</f>
        <v>0</v>
      </c>
    </row>
    <row r="30" spans="1:9" ht="20.100000000000001" customHeight="1" x14ac:dyDescent="0.2">
      <c r="A30" s="5" t="str">
        <f>HYPERLINK("#'4.2.1.1-2 Methane'!A1", "4.2.1.1-2 Manure methane")</f>
        <v>4.2.1.1-2 Manure methane</v>
      </c>
      <c r="D30" s="106" t="str">
        <v>Landfill</v>
      </c>
      <c r="E30" s="107" t="str">
        <v>Commercial and industrial waste</v>
      </c>
      <c r="F30" s="164"/>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f>(G30 * H30)</f>
        <v>0</v>
      </c>
    </row>
    <row r="31" spans="1:9" ht="20.100000000000001" customHeight="1" x14ac:dyDescent="0.2">
      <c r="A31" s="5" t="str">
        <f>HYPERLINK("#'4.2.1.3-4 Soil direct N20'!A1", "4.2.1.3-4 Soil direct N2O")</f>
        <v>4.2.1.3-4 Soil direct N2O</v>
      </c>
      <c r="D31" s="106" t="str">
        <v>Landfill</v>
      </c>
      <c r="E31" s="107" t="str">
        <v>Construction and demolition waste</v>
      </c>
      <c r="F31" s="164"/>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f>(G31 * H31)</f>
        <v>0</v>
      </c>
    </row>
    <row r="32" spans="1:9" ht="20.100000000000001" customHeight="1" x14ac:dyDescent="0.2">
      <c r="A32" s="5" t="str">
        <f>HYPERLINK("#'4.2.1.5-6 Soil Atmos Dep'!A1", "4.2.1.5-6 Soil atm. deposition")</f>
        <v>4.2.1.5-6 Soil atm. deposition</v>
      </c>
      <c r="D32" s="106" t="str">
        <v>Incineration</v>
      </c>
      <c r="E32" s="107" t="str">
        <v>Food waste, green waste, wood, sludge</v>
      </c>
      <c r="F32" s="164"/>
      <c r="G32" s="15" t="s">
        <v>677</v>
      </c>
      <c r="H32" s="15" t="s">
        <v>677</v>
      </c>
      <c r="I32" s="15" t="s">
        <v>677</v>
      </c>
    </row>
    <row r="33" spans="1:9" ht="20.100000000000001" customHeight="1" x14ac:dyDescent="0.2">
      <c r="A33" s="5" t="str">
        <f>HYPERLINK("#'4.2.1.7-8 Soil leach runoff'!A1", "4.2.1.7-8 Soil leach &amp; runoff")</f>
        <v>4.2.1.7-8 Soil leach &amp; runoff</v>
      </c>
      <c r="D33" s="106" t="str">
        <v>Incineration</v>
      </c>
      <c r="E33" s="107" t="str">
        <v>Food waste (including animal carcasses, spoiled animal feed or crop)</v>
      </c>
      <c r="F33" s="164"/>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f>(G33 * H33)</f>
        <v>0</v>
      </c>
    </row>
    <row r="34" spans="1:9" ht="20.100000000000001" customHeight="1" x14ac:dyDescent="0.2">
      <c r="A34" s="5" t="str">
        <f>HYPERLINK("#'5.1.1.1-2 Inorganic fert N2O'!A1", "5.1.1.1-2 Inorganic fert N2O")</f>
        <v>5.1.1.1-2 Inorganic fert N2O</v>
      </c>
      <c r="D34" s="106" t="str">
        <v>Incineration</v>
      </c>
      <c r="E34" s="107" t="str">
        <v>Green waste (including crop residues or prunings)</v>
      </c>
      <c r="F34" s="164"/>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15" cm="1">
        <f t="array" ref="H34">Common_InputFunctions.Utility_LookupValueInTableNumber(E34,Table_SourceData_WasteSolid_VolumeToMassConversion[Waste type w],Table_SourceData_WasteSolid_VolumeToMassConversion[VTMw])</f>
        <v>0.24</v>
      </c>
      <c r="I34" s="15">
        <f>(G34 * H34)</f>
        <v>24</v>
      </c>
    </row>
    <row r="35" spans="1:9" ht="20.100000000000001" customHeight="1" x14ac:dyDescent="0.2">
      <c r="A35" s="5" t="str">
        <f>HYPERLINK("#'5.1.1.3-4 Inorganic fert CO2'!A1", "5.1.1.3-4 Inorganic fert CO2")</f>
        <v>5.1.1.3-4 Inorganic fert CO2</v>
      </c>
      <c r="D35" s="106" t="str">
        <v>Incineration</v>
      </c>
      <c r="E35" s="107" t="str">
        <v>Wood</v>
      </c>
      <c r="F35" s="164"/>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f>(G35 * H35)</f>
        <v>0</v>
      </c>
    </row>
    <row r="36" spans="1:9" ht="20.100000000000001" customHeight="1" x14ac:dyDescent="0.2">
      <c r="A36" s="5" t="str">
        <f>HYPERLINK("#'5.2.1.1-2 Organic Fert N2O'!A1", "5.2.1.1-2 Organic fert N2O")</f>
        <v>5.2.1.1-2 Organic fert N2O</v>
      </c>
      <c r="D36" s="106" t="str">
        <v>Incineration</v>
      </c>
      <c r="E36" s="107" t="str">
        <v>Sludge</v>
      </c>
      <c r="F36" s="164"/>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f>(G36 * H36)</f>
        <v>0</v>
      </c>
    </row>
    <row r="37" spans="1:9" ht="20.100000000000001" customHeight="1" x14ac:dyDescent="0.2">
      <c r="A37" s="5" t="str">
        <f>HYPERLINK("#'5.3.1.1-2 Lime CO2'!A1", "5.3.1.1-2 Lime CO2")</f>
        <v>5.3.1.1-2 Lime CO2</v>
      </c>
      <c r="D37" s="106" t="str">
        <v>Incineration</v>
      </c>
      <c r="E37" s="107" t="str">
        <v>Paper and cardboard</v>
      </c>
      <c r="F37" s="164"/>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15" cm="1">
        <f t="array" ref="H37">Common_InputFunctions.Utility_LookupValueInTableNumber(E37,Table_SourceData_WasteSolid_VolumeToMassConversion[Waste type w],Table_SourceData_WasteSolid_VolumeToMassConversion[VTMw])</f>
        <v>0.09</v>
      </c>
      <c r="I37" s="15">
        <f>(G37 * H37)</f>
        <v>4.5</v>
      </c>
    </row>
    <row r="38" spans="1:9" ht="20.100000000000001" customHeight="1" x14ac:dyDescent="0.2">
      <c r="A38" s="5" t="str">
        <f>HYPERLINK("#'5.4.1.1-4 Atmos deposition'!A1", "5.4.1.1-4 Atmos. deposition")</f>
        <v>5.4.1.1-4 Atmos. deposition</v>
      </c>
      <c r="D38" s="106" t="str">
        <v>Incineration</v>
      </c>
      <c r="E38" s="107" t="str">
        <v>Textiles</v>
      </c>
      <c r="F38" s="164"/>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f>(G38 * H38)</f>
        <v>0</v>
      </c>
    </row>
    <row r="39" spans="1:9" ht="20.100000000000001" customHeight="1" x14ac:dyDescent="0.2">
      <c r="A39" s="5" t="str">
        <f>HYPERLINK("#'5.5.1.1-2 Leaching and runoff'!A1", "5.5.1.1-2 Leaching &amp; runoff")</f>
        <v>5.5.1.1-2 Leaching &amp; runoff</v>
      </c>
      <c r="D39" s="106" t="str">
        <v>Incineration</v>
      </c>
      <c r="E39" s="107" t="str">
        <v>Rubber and leather</v>
      </c>
      <c r="F39" s="164"/>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f>(G39 * H39)</f>
        <v>0</v>
      </c>
    </row>
    <row r="40" spans="1:9" ht="20.100000000000001" customHeight="1" x14ac:dyDescent="0.2">
      <c r="A40" s="5" t="str">
        <f>HYPERLINK("#'6.2.1.1-2 Pasture residue N2O'!A1", "6.2.1.1-2 Pasture residue N2O")</f>
        <v>6.2.1.1-2 Pasture residue N2O</v>
      </c>
      <c r="D40" s="106" t="str">
        <v>Incineration</v>
      </c>
      <c r="E40" s="106" t="str">
        <v>Inert waste (including concrete, metal, plastic or glass)</v>
      </c>
      <c r="F40" s="106"/>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f>(G40 * H40)</f>
        <v>0</v>
      </c>
    </row>
    <row r="41" spans="1:9" ht="20.100000000000001" customHeight="1" x14ac:dyDescent="0.2">
      <c r="A41" s="5" t="str">
        <f>HYPERLINK("#'6.3.1.1-2 Leach runoff pasture'!A1", "6.3.1.1-2 Leach &amp; runoff (pasture)")</f>
        <v>6.3.1.1-2 Leach &amp; runoff (pasture)</v>
      </c>
      <c r="D41" s="106" t="str">
        <v>Incineration</v>
      </c>
      <c r="E41" s="107" t="str">
        <v>Municipal solid waste</v>
      </c>
      <c r="F41" s="109"/>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f>(G41 * H41)</f>
        <v>0</v>
      </c>
    </row>
    <row r="42" spans="1:9" ht="20.100000000000001" customHeight="1" x14ac:dyDescent="0.2">
      <c r="A42" s="5" t="str">
        <f>HYPERLINK("#'8.1.1.1-2 Transport fuel'!A1", "8.1.1.1-2 Transport fuel")</f>
        <v>8.1.1.1-2 Transport fuel</v>
      </c>
      <c r="D42" s="106" t="str">
        <v>Incineration</v>
      </c>
      <c r="E42" s="107" t="str">
        <v>Commercial and industrial waste</v>
      </c>
      <c r="F42" s="109"/>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f>(G42 * H42)</f>
        <v>0</v>
      </c>
    </row>
    <row r="43" spans="1:9" ht="20.100000000000001" customHeight="1" x14ac:dyDescent="0.2">
      <c r="A43" s="5" t="str">
        <f>HYPERLINK("#'8.2.1.1-2 Stationary fuel'!A1", "8.2.1.1-2 Stationary fuel")</f>
        <v>8.2.1.1-2 Stationary fuel</v>
      </c>
      <c r="D43" s="106" t="str">
        <v>Composting</v>
      </c>
      <c r="E43" s="107" t="str">
        <v>All organic waste</v>
      </c>
      <c r="F43" s="109"/>
      <c r="G43" s="15" t="s">
        <v>677</v>
      </c>
      <c r="H43" s="15" t="s">
        <v>677</v>
      </c>
      <c r="I43" s="15" t="s">
        <v>677</v>
      </c>
    </row>
    <row r="44" spans="1:9" ht="20.100000000000001" customHeight="1" x14ac:dyDescent="0.2">
      <c r="A44" s="105" t="str">
        <f>HYPERLINK("#'10.1.1-2 Solid waste treatment'!A1", "10.1.1.1-2 Solid waste")</f>
        <v>10.1.1.1-2 Solid waste</v>
      </c>
      <c r="D44" s="106" t="str">
        <v>Composting</v>
      </c>
      <c r="E44" s="107" t="str">
        <v>Food waste (including animal carcasses, spoiled animal feed or crop)</v>
      </c>
      <c r="F44" s="109"/>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15" cm="1">
        <f t="array" ref="H44">Common_InputFunctions.Utility_LookupValueInTableNumber(E44,Table_SourceData_WasteSolid_VolumeToMassConversion[Waste type w],Table_SourceData_WasteSolid_VolumeToMassConversion[VTMw])</f>
        <v>0.5</v>
      </c>
      <c r="I44" s="15">
        <f>(G44 * H44)</f>
        <v>25</v>
      </c>
    </row>
    <row r="45" spans="1:9" ht="20.100000000000001" customHeight="1" x14ac:dyDescent="0.2">
      <c r="A45" s="5" t="str">
        <f>HYPERLINK("#'14.1.1-2 Purchased electricity'!A1", "14.1.1-2 Purchased electricity")</f>
        <v>14.1.1-2 Purchased electricity</v>
      </c>
      <c r="D45" s="106" t="str">
        <v>Composting</v>
      </c>
      <c r="E45" s="107" t="str">
        <v>Green waste (including crop residues or prunings)</v>
      </c>
      <c r="F45" s="109"/>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f>(G45 * H45)</f>
        <v>0</v>
      </c>
    </row>
    <row r="46" spans="1:9" ht="20.100000000000001" customHeight="1" x14ac:dyDescent="0.2">
      <c r="A46" s="5" t="str">
        <f>HYPERLINK("#'15 Scope 3'!A1", "15 Scope 3")</f>
        <v>15 Scope 3</v>
      </c>
      <c r="D46" s="106" t="str">
        <v>Composting</v>
      </c>
      <c r="E46" s="107" t="str">
        <v>Wood</v>
      </c>
      <c r="F46" s="109"/>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f>(G46 * H46)</f>
        <v>0</v>
      </c>
    </row>
    <row r="47" spans="1:9" ht="20.100000000000001" customHeight="1" x14ac:dyDescent="0.2">
      <c r="A47" s="5" t="str">
        <f>HYPERLINK("#'Calcs - Manure sent off-site'!A1", "Calcs - Manure sent off-site")</f>
        <v>Calcs - Manure sent off-site</v>
      </c>
      <c r="D47" s="106" t="str">
        <v>Composting</v>
      </c>
      <c r="E47" s="107" t="str">
        <v>Sludge</v>
      </c>
      <c r="F47" s="109"/>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f>(G47 * H47)</f>
        <v>0</v>
      </c>
    </row>
    <row r="48" spans="1:9" ht="20.100000000000001" customHeight="1" x14ac:dyDescent="0.2">
      <c r="D48" s="106" t="str">
        <v>Composting</v>
      </c>
      <c r="E48" s="107" t="str">
        <v>Paper and cardboard</v>
      </c>
      <c r="F48" s="109"/>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15" cm="1">
        <f t="array" ref="H48">Common_InputFunctions.Utility_LookupValueInTableNumber(E48,Table_SourceData_WasteSolid_VolumeToMassConversion[Waste type w],Table_SourceData_WasteSolid_VolumeToMassConversion[VTMw])</f>
        <v>0.09</v>
      </c>
      <c r="I48" s="15">
        <f>(G48 * H48)</f>
        <v>4.5</v>
      </c>
    </row>
    <row r="49" spans="1:9" ht="20.100000000000001" customHeight="1" x14ac:dyDescent="0.2">
      <c r="D49" s="106" t="str">
        <v>Anaerobic digestion</v>
      </c>
      <c r="E49" s="107" t="str">
        <v>All organic waste</v>
      </c>
      <c r="F49" s="109"/>
      <c r="G49" s="15" t="s">
        <v>677</v>
      </c>
      <c r="H49" s="15" t="s">
        <v>677</v>
      </c>
      <c r="I49" s="15" t="s">
        <v>677</v>
      </c>
    </row>
    <row r="50" spans="1:9" ht="20.100000000000001" customHeight="1" x14ac:dyDescent="0.2">
      <c r="A50" s="86" t="s">
        <v>1</v>
      </c>
      <c r="D50" s="106" t="str">
        <v>Anaerobic digestion</v>
      </c>
      <c r="E50" s="107" t="str">
        <v>Food waste (including animal carcasses, spoiled animal feed or crop)</v>
      </c>
      <c r="F50" s="109"/>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f>(G50 * H50)</f>
        <v>0</v>
      </c>
    </row>
    <row r="51" spans="1:9" ht="20.100000000000001" customHeight="1" x14ac:dyDescent="0.2">
      <c r="A51" s="5" t="str">
        <f>HYPERLINK("#'Constants - Pasture Beef'!A1", "Constants - Pasture Beef")</f>
        <v>Constants - Pasture Beef</v>
      </c>
      <c r="D51" s="106" t="str">
        <v>Anaerobic digestion</v>
      </c>
      <c r="E51" s="107" t="str">
        <v>Green waste (including crop residues or prunings)</v>
      </c>
      <c r="F51" s="109"/>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f>(G51 * H51)</f>
        <v>0</v>
      </c>
    </row>
    <row r="52" spans="1:9" ht="20.100000000000001" customHeight="1" x14ac:dyDescent="0.2">
      <c r="A52" s="5" t="str">
        <f>HYPERLINK("#'Constants - Ag Residue'!A1", "Constants - Ag residue")</f>
        <v>Constants - Ag residue</v>
      </c>
      <c r="D52" s="106" t="str">
        <v>Anaerobic digestion</v>
      </c>
      <c r="E52" s="107" t="str">
        <v>Wood</v>
      </c>
      <c r="F52" s="109"/>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f>(G52 * H52)</f>
        <v>0</v>
      </c>
    </row>
    <row r="53" spans="1:9" ht="20.100000000000001" customHeight="1" x14ac:dyDescent="0.2">
      <c r="A53" s="5" t="str">
        <f>HYPERLINK("#'Constants - Common Livestock'!A1", "Constants - Common Livestock")</f>
        <v>Constants - Common Livestock</v>
      </c>
      <c r="D53" s="106" t="str">
        <v>Anaerobic digestion</v>
      </c>
      <c r="E53" s="107" t="str">
        <v>Sludge</v>
      </c>
      <c r="F53" s="109"/>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f>(G53 * H53)</f>
        <v>0</v>
      </c>
    </row>
    <row r="54" spans="1:9" ht="20.100000000000001" customHeight="1" x14ac:dyDescent="0.2">
      <c r="A54" s="5" t="str">
        <f>HYPERLINK("#'Constants - Electricity'!A1", "Constants - Electricity")</f>
        <v>Constants - Electricity</v>
      </c>
      <c r="D54" s="106" t="str">
        <v>Anaerobic digestion</v>
      </c>
      <c r="E54" s="107" t="str">
        <v>Paper and cardboard</v>
      </c>
      <c r="F54" s="109"/>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f>(G54 * H54)</f>
        <v>0</v>
      </c>
    </row>
    <row r="55" spans="1:9" ht="20.100000000000001" customHeight="1" x14ac:dyDescent="0.2">
      <c r="A55" s="5" t="str">
        <f>HYPERLINK("#'Constants - Fertiliser'!A1", "Constants - Fertiliser")</f>
        <v>Constants - Fertiliser</v>
      </c>
    </row>
    <row r="56" spans="1:9" ht="20.100000000000001" customHeight="1" x14ac:dyDescent="0.2">
      <c r="A56" s="5" t="str">
        <f>HYPERLINK("#'Constants - Fuel'!A1", "Constants - Fuel")</f>
        <v>Constants - Fuel</v>
      </c>
      <c r="D56" s="113" t="s">
        <v>960</v>
      </c>
    </row>
    <row r="57" spans="1:9" ht="20.100000000000001" customHeight="1" x14ac:dyDescent="0.2">
      <c r="A57" s="5" t="str">
        <f>HYPERLINK("#'Constants - Scope 3'!A1", "Constants - Scope 3")</f>
        <v>Constants - Scope 3</v>
      </c>
      <c r="D57" s="114" t="s">
        <v>961</v>
      </c>
    </row>
    <row r="58" spans="1:9" ht="20.100000000000001" customHeight="1" x14ac:dyDescent="0.2">
      <c r="A58" s="5" t="str">
        <f>HYPERLINK("#'Constants - Solid Waste'!A1", "Constants - Solid Waste")</f>
        <v>Constants - Solid Waste</v>
      </c>
      <c r="D58" s="82" t="s">
        <v>955</v>
      </c>
      <c r="E58" s="82" t="s">
        <v>956</v>
      </c>
      <c r="F58" s="82"/>
      <c r="G58" s="82" t="s">
        <v>957</v>
      </c>
      <c r="H58" s="115" t="s">
        <v>958</v>
      </c>
      <c r="I58" s="115" t="s">
        <v>959</v>
      </c>
    </row>
    <row r="59" spans="1:9" ht="20.100000000000001" customHeight="1" x14ac:dyDescent="0.2">
      <c r="A59" s="5" t="str">
        <f>HYPERLINK("#'Constants - Common'!A1", "Constants - Common")</f>
        <v>Constants - Common</v>
      </c>
      <c r="D59" s="106" t="str" cm="1">
        <f t="array" ref="D59:D92">Table_SourceData_WasteSolid_WasteTreatmentEFs[Treatment type t]</f>
        <v>Landfill</v>
      </c>
      <c r="E59" s="107" t="str" cm="1">
        <f t="array" ref="E59:E92">Table_SourceData_WasteSolid_WasteTreatmentEFs[Waste type w]</f>
        <v>Food waste (including animal carcasses, spoiled animal feed or crop)</v>
      </c>
      <c r="F59" s="164"/>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15" cm="1">
        <f t="array" ref="H59">Common_InputFunctions.Utility_LookupValueInTableNumber(E59,Table_SourceData_WasteSolid_VolumeToMassConversion[Waste type w],Table_SourceData_WasteSolid_VolumeToMassConversion[VTMw])</f>
        <v>0.5</v>
      </c>
      <c r="I59" s="15">
        <f>(G59 * H59)</f>
        <v>25</v>
      </c>
    </row>
    <row r="60" spans="1:9" ht="20.100000000000001" customHeight="1" x14ac:dyDescent="0.2">
      <c r="A60" s="5" t="str">
        <f>HYPERLINK("#'Acknowledgements'!A1", "Acknowledgements")</f>
        <v>Acknowledgements</v>
      </c>
      <c r="D60" s="106" t="str">
        <v>Landfill</v>
      </c>
      <c r="E60" s="107" t="str">
        <v>Paper and cardboard</v>
      </c>
      <c r="F60" s="164"/>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15" cm="1">
        <f t="array" ref="H60">Common_InputFunctions.Utility_LookupValueInTableNumber(E60,Table_SourceData_WasteSolid_VolumeToMassConversion[Waste type w],Table_SourceData_WasteSolid_VolumeToMassConversion[VTMw])</f>
        <v>0.09</v>
      </c>
      <c r="I60" s="15">
        <f>(G60 * H60)</f>
        <v>4.5</v>
      </c>
    </row>
    <row r="61" spans="1:9" ht="20.100000000000001" customHeight="1" x14ac:dyDescent="0.2">
      <c r="D61" s="106" t="str">
        <v>Landfill</v>
      </c>
      <c r="E61" s="107" t="str">
        <v>Green waste (including crop residues or prunings)</v>
      </c>
      <c r="F61" s="164"/>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15" cm="1">
        <f t="array" ref="H61">Common_InputFunctions.Utility_LookupValueInTableNumber(E61,Table_SourceData_WasteSolid_VolumeToMassConversion[Waste type w],Table_SourceData_WasteSolid_VolumeToMassConversion[VTMw])</f>
        <v>0.24</v>
      </c>
      <c r="I61" s="15">
        <f>(G61 * H61)</f>
        <v>12</v>
      </c>
    </row>
    <row r="62" spans="1:9" ht="20.100000000000001" customHeight="1" x14ac:dyDescent="0.2">
      <c r="D62" s="106" t="str">
        <v>Landfill</v>
      </c>
      <c r="E62" s="107" t="str">
        <v>Wood</v>
      </c>
      <c r="F62" s="164"/>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f>(G62 * H62)</f>
        <v>0</v>
      </c>
    </row>
    <row r="63" spans="1:9" ht="20.100000000000001" customHeight="1" x14ac:dyDescent="0.2">
      <c r="D63" s="106" t="str">
        <v>Landfill</v>
      </c>
      <c r="E63" s="107" t="str">
        <v>Textiles</v>
      </c>
      <c r="F63" s="164"/>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f>(G63 * H63)</f>
        <v>0</v>
      </c>
    </row>
    <row r="64" spans="1:9" ht="20.100000000000001" customHeight="1" x14ac:dyDescent="0.2">
      <c r="D64" s="106" t="str">
        <v>Landfill</v>
      </c>
      <c r="E64" s="107" t="str">
        <v>Sludge</v>
      </c>
      <c r="F64" s="164"/>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f>(G64 * H64)</f>
        <v>0</v>
      </c>
    </row>
    <row r="65" spans="1:9" ht="20.100000000000001" customHeight="1" x14ac:dyDescent="0.2">
      <c r="D65" s="106" t="str">
        <v>Landfill</v>
      </c>
      <c r="E65" s="107" t="str">
        <v>Rubber and leather</v>
      </c>
      <c r="F65" s="164"/>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f>(G65 * H65)</f>
        <v>0</v>
      </c>
    </row>
    <row r="66" spans="1:9" ht="20.100000000000001" customHeight="1" x14ac:dyDescent="0.2">
      <c r="D66" s="106" t="str">
        <v>Landfill</v>
      </c>
      <c r="E66" s="107" t="str">
        <v>Inert waste (including concrete, metal, plastic or glass)</v>
      </c>
      <c r="F66" s="164"/>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f>(G66 * H66)</f>
        <v>0</v>
      </c>
    </row>
    <row r="67" spans="1:9" ht="20.100000000000001" customHeight="1" x14ac:dyDescent="0.2">
      <c r="D67" s="106" t="str">
        <v>Landfill</v>
      </c>
      <c r="E67" s="107" t="str">
        <v>Municipal solid waste</v>
      </c>
      <c r="F67" s="164"/>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f>(G67 * H67)</f>
        <v>0</v>
      </c>
    </row>
    <row r="68" spans="1:9" ht="20.100000000000001" customHeight="1" x14ac:dyDescent="0.2">
      <c r="D68" s="106" t="str">
        <v>Landfill</v>
      </c>
      <c r="E68" s="107" t="str">
        <v>Commercial and industrial waste</v>
      </c>
      <c r="F68" s="164"/>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f>(G68 * H68)</f>
        <v>0</v>
      </c>
    </row>
    <row r="69" spans="1:9" ht="20.100000000000001" customHeight="1" x14ac:dyDescent="0.2">
      <c r="D69" s="106" t="str">
        <v>Landfill</v>
      </c>
      <c r="E69" s="107" t="str">
        <v>Construction and demolition waste</v>
      </c>
      <c r="F69" s="164"/>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f>(G69 * H69)</f>
        <v>0</v>
      </c>
    </row>
    <row r="70" spans="1:9" ht="20.100000000000001" customHeight="1" x14ac:dyDescent="0.2">
      <c r="D70" s="106" t="str">
        <v>Incineration</v>
      </c>
      <c r="E70" s="107" t="str">
        <v>Food waste, green waste, wood, sludge</v>
      </c>
      <c r="F70" s="164"/>
      <c r="G70" s="15" t="s">
        <v>677</v>
      </c>
      <c r="H70" s="15" t="s">
        <v>677</v>
      </c>
      <c r="I70" s="15" t="s">
        <v>677</v>
      </c>
    </row>
    <row r="71" spans="1:9" ht="20.100000000000001" customHeight="1" x14ac:dyDescent="0.2">
      <c r="A71" s="85" t="str">
        <f>HYPERLINK("#A1", "▲ Back to top")</f>
        <v>▲ Back to top</v>
      </c>
      <c r="D71" s="106" t="str">
        <v>Incineration</v>
      </c>
      <c r="E71" s="107" t="str">
        <v>Food waste (including animal carcasses, spoiled animal feed or crop)</v>
      </c>
      <c r="F71" s="164"/>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f>(G71 * H71)</f>
        <v>0</v>
      </c>
    </row>
    <row r="72" spans="1:9" ht="20.100000000000001" customHeight="1" x14ac:dyDescent="0.2">
      <c r="D72" s="106" t="str">
        <v>Incineration</v>
      </c>
      <c r="E72" s="107" t="str">
        <v>Green waste (including crop residues or prunings)</v>
      </c>
      <c r="F72" s="164"/>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15" cm="1">
        <f t="array" ref="H72">Common_InputFunctions.Utility_LookupValueInTableNumber(E72,Table_SourceData_WasteSolid_VolumeToMassConversion[Waste type w],Table_SourceData_WasteSolid_VolumeToMassConversion[VTMw])</f>
        <v>0.24</v>
      </c>
      <c r="I72" s="15">
        <f>(G72 * H72)</f>
        <v>12</v>
      </c>
    </row>
    <row r="73" spans="1:9" ht="20.100000000000001" customHeight="1" x14ac:dyDescent="0.2">
      <c r="D73" s="106" t="str">
        <v>Incineration</v>
      </c>
      <c r="E73" s="107" t="str">
        <v>Wood</v>
      </c>
      <c r="F73" s="164"/>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f>(G73 * H73)</f>
        <v>0</v>
      </c>
    </row>
    <row r="74" spans="1:9" ht="20.100000000000001" customHeight="1" x14ac:dyDescent="0.2">
      <c r="D74" s="106" t="str">
        <v>Incineration</v>
      </c>
      <c r="E74" s="107" t="str">
        <v>Sludge</v>
      </c>
      <c r="F74" s="164"/>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f>(G74 * H74)</f>
        <v>0</v>
      </c>
    </row>
    <row r="75" spans="1:9" ht="20.100000000000001" customHeight="1" x14ac:dyDescent="0.2">
      <c r="D75" s="106" t="str">
        <v>Incineration</v>
      </c>
      <c r="E75" s="107" t="str">
        <v>Paper and cardboard</v>
      </c>
      <c r="F75" s="164"/>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f>(G75 * H75)</f>
        <v>0</v>
      </c>
    </row>
    <row r="76" spans="1:9" ht="20.100000000000001" customHeight="1" x14ac:dyDescent="0.2">
      <c r="D76" s="106" t="str">
        <v>Incineration</v>
      </c>
      <c r="E76" s="107" t="str">
        <v>Textiles</v>
      </c>
      <c r="F76" s="164"/>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f>(G76 * H76)</f>
        <v>0</v>
      </c>
    </row>
    <row r="77" spans="1:9" ht="20.100000000000001" customHeight="1" x14ac:dyDescent="0.2">
      <c r="D77" s="106" t="str">
        <v>Incineration</v>
      </c>
      <c r="E77" s="107" t="str">
        <v>Rubber and leather</v>
      </c>
      <c r="F77" s="164"/>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f>(G77 * H77)</f>
        <v>0</v>
      </c>
    </row>
    <row r="78" spans="1:9" ht="20.100000000000001" customHeight="1" x14ac:dyDescent="0.2">
      <c r="D78" s="106" t="str">
        <v>Incineration</v>
      </c>
      <c r="E78" s="107" t="str">
        <v>Inert waste (including concrete, metal, plastic or glass)</v>
      </c>
      <c r="F78" s="164"/>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f>(G78 * H78)</f>
        <v>0</v>
      </c>
    </row>
    <row r="79" spans="1:9" ht="20.100000000000001" customHeight="1" x14ac:dyDescent="0.2">
      <c r="D79" s="106" t="str">
        <v>Incineration</v>
      </c>
      <c r="E79" s="107" t="str">
        <v>Municipal solid waste</v>
      </c>
      <c r="F79" s="109"/>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f>(G79 * H79)</f>
        <v>0</v>
      </c>
    </row>
    <row r="80" spans="1:9" ht="20.100000000000001" customHeight="1" x14ac:dyDescent="0.2">
      <c r="D80" s="106" t="str">
        <v>Incineration</v>
      </c>
      <c r="E80" s="107" t="str">
        <v>Commercial and industrial waste</v>
      </c>
      <c r="F80" s="109"/>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f>(G80 * H80)</f>
        <v>0</v>
      </c>
    </row>
    <row r="81" spans="3:12" ht="20.100000000000001" customHeight="1" x14ac:dyDescent="0.2">
      <c r="D81" s="106" t="str">
        <v>Composting</v>
      </c>
      <c r="E81" s="107" t="str">
        <v>All organic waste</v>
      </c>
      <c r="F81" s="109"/>
      <c r="G81" s="15" t="s">
        <v>677</v>
      </c>
      <c r="H81" s="15" t="s">
        <v>677</v>
      </c>
      <c r="I81" s="15" t="s">
        <v>677</v>
      </c>
    </row>
    <row r="82" spans="3:12" ht="20.100000000000001" customHeight="1" x14ac:dyDescent="0.2">
      <c r="D82" s="106" t="str">
        <v>Composting</v>
      </c>
      <c r="E82" s="107" t="str">
        <v>Food waste (including animal carcasses, spoiled animal feed or crop)</v>
      </c>
      <c r="F82" s="109"/>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f>(G82 * H82)</f>
        <v>0</v>
      </c>
    </row>
    <row r="83" spans="3:12" ht="20.100000000000001" customHeight="1" x14ac:dyDescent="0.2">
      <c r="D83" s="106" t="str">
        <v>Composting</v>
      </c>
      <c r="E83" s="107" t="str">
        <v>Green waste (including crop residues or prunings)</v>
      </c>
      <c r="F83" s="109"/>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f>(G83 * H83)</f>
        <v>0</v>
      </c>
    </row>
    <row r="84" spans="3:12" ht="20.100000000000001" customHeight="1" x14ac:dyDescent="0.2">
      <c r="D84" s="106" t="str">
        <v>Composting</v>
      </c>
      <c r="E84" s="107" t="str">
        <v>Wood</v>
      </c>
      <c r="F84" s="109"/>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f>(G84 * H84)</f>
        <v>0</v>
      </c>
    </row>
    <row r="85" spans="3:12" ht="20.100000000000001" customHeight="1" x14ac:dyDescent="0.2">
      <c r="D85" s="106" t="str">
        <v>Composting</v>
      </c>
      <c r="E85" s="107" t="str">
        <v>Sludge</v>
      </c>
      <c r="F85" s="109"/>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f>(G85 * H85)</f>
        <v>0</v>
      </c>
    </row>
    <row r="86" spans="3:12" ht="20.100000000000001" customHeight="1" x14ac:dyDescent="0.2">
      <c r="D86" s="106" t="str">
        <v>Composting</v>
      </c>
      <c r="E86" s="107" t="str">
        <v>Paper and cardboard</v>
      </c>
      <c r="F86" s="109"/>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f>(G86 * H86)</f>
        <v>0</v>
      </c>
    </row>
    <row r="87" spans="3:12" ht="20.100000000000001" customHeight="1" x14ac:dyDescent="0.2">
      <c r="D87" s="106" t="str">
        <v>Anaerobic digestion</v>
      </c>
      <c r="E87" s="107" t="str">
        <v>All organic waste</v>
      </c>
      <c r="F87" s="109"/>
      <c r="G87" s="15" t="s">
        <v>677</v>
      </c>
      <c r="H87" s="15" t="s">
        <v>677</v>
      </c>
      <c r="I87" s="15" t="s">
        <v>677</v>
      </c>
    </row>
    <row r="88" spans="3:12" ht="20.100000000000001" customHeight="1" x14ac:dyDescent="0.2">
      <c r="D88" s="106" t="str">
        <v>Anaerobic digestion</v>
      </c>
      <c r="E88" s="107" t="str">
        <v>Food waste (including animal carcasses, spoiled animal feed or crop)</v>
      </c>
      <c r="F88" s="109"/>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f>(G88 * H88)</f>
        <v>0</v>
      </c>
    </row>
    <row r="89" spans="3:12" ht="20.100000000000001" customHeight="1" x14ac:dyDescent="0.2">
      <c r="D89" s="106" t="str">
        <v>Anaerobic digestion</v>
      </c>
      <c r="E89" s="107" t="str">
        <v>Green waste (including crop residues or prunings)</v>
      </c>
      <c r="F89" s="109"/>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f>(G89 * H89)</f>
        <v>0</v>
      </c>
    </row>
    <row r="90" spans="3:12" ht="20.100000000000001" customHeight="1" x14ac:dyDescent="0.2">
      <c r="D90" s="106" t="str">
        <v>Anaerobic digestion</v>
      </c>
      <c r="E90" s="107" t="str">
        <v>Wood</v>
      </c>
      <c r="F90" s="109"/>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f>(G90 * H90)</f>
        <v>0</v>
      </c>
    </row>
    <row r="91" spans="3:12" ht="20.100000000000001" customHeight="1" x14ac:dyDescent="0.2">
      <c r="D91" s="106" t="str">
        <v>Anaerobic digestion</v>
      </c>
      <c r="E91" s="107" t="str">
        <v>Sludge</v>
      </c>
      <c r="F91" s="109"/>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f>(G91 * H91)</f>
        <v>0</v>
      </c>
    </row>
    <row r="92" spans="3:12" ht="20.100000000000001" customHeight="1" x14ac:dyDescent="0.2">
      <c r="D92" s="106" t="str">
        <v>Anaerobic digestion</v>
      </c>
      <c r="E92" s="107" t="str">
        <v>Paper and cardboard</v>
      </c>
      <c r="F92" s="109"/>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f>(G92 * H92)</f>
        <v>0</v>
      </c>
    </row>
    <row r="95" spans="3:12" ht="20.100000000000001" customHeight="1" x14ac:dyDescent="0.2">
      <c r="C95" s="88"/>
      <c r="D95" s="88"/>
      <c r="E95" s="88"/>
      <c r="F95" s="88"/>
      <c r="G95" s="88"/>
      <c r="H95" s="88"/>
      <c r="I95" s="88"/>
      <c r="J95" s="88"/>
      <c r="K95" s="88"/>
      <c r="L95" s="88"/>
    </row>
    <row r="96" spans="3:12" ht="20.100000000000001" customHeight="1" x14ac:dyDescent="0.2">
      <c r="D96" s="2" t="s">
        <v>1710</v>
      </c>
    </row>
    <row r="97" spans="1:9" ht="20.100000000000001" customHeight="1" x14ac:dyDescent="0.2">
      <c r="D97" s="17" t="s">
        <v>1711</v>
      </c>
    </row>
    <row r="98" spans="1:9" ht="20.100000000000001" customHeight="1" x14ac:dyDescent="0.2">
      <c r="D98" s="26" t="s">
        <v>1712</v>
      </c>
    </row>
    <row r="99" spans="1:9" ht="20.100000000000001" customHeight="1" x14ac:dyDescent="0.2">
      <c r="D99" s="104"/>
      <c r="E99" s="104"/>
    </row>
    <row r="101" spans="1:9" ht="20.100000000000001" customHeight="1" x14ac:dyDescent="0.2">
      <c r="A101" s="85" t="str">
        <f>HYPERLINK("#A1", "▲ Back to top")</f>
        <v>▲ Back to top</v>
      </c>
    </row>
    <row r="102" spans="1:9" ht="20.100000000000001" customHeight="1" x14ac:dyDescent="0.2">
      <c r="D102" s="77" t="s">
        <v>374</v>
      </c>
      <c r="E102" s="1" t="s">
        <v>1653</v>
      </c>
    </row>
    <row r="103" spans="1:9" ht="20.100000000000001" customHeight="1" x14ac:dyDescent="0.2">
      <c r="D103" s="77" t="s">
        <v>126</v>
      </c>
      <c r="E103" s="9" t="s">
        <v>6</v>
      </c>
    </row>
    <row r="105" spans="1:9" ht="20.100000000000001" customHeight="1" x14ac:dyDescent="0.2">
      <c r="D105" s="106" t="s">
        <v>1699</v>
      </c>
      <c r="E105" s="107" t="s">
        <v>1713</v>
      </c>
      <c r="F105" s="108"/>
      <c r="G105" s="109"/>
      <c r="H105" s="106" t="s">
        <v>1700</v>
      </c>
      <c r="I105" s="111" t="s">
        <v>1721</v>
      </c>
    </row>
    <row r="106" spans="1:9" ht="20.100000000000001" customHeight="1" x14ac:dyDescent="0.2">
      <c r="D106" s="106" t="s">
        <v>1714</v>
      </c>
      <c r="E106" s="107" t="s">
        <v>1715</v>
      </c>
      <c r="F106" s="108"/>
      <c r="G106" s="109"/>
      <c r="H106" s="106" t="s">
        <v>1722</v>
      </c>
      <c r="I106" s="111" t="s">
        <v>1326</v>
      </c>
    </row>
    <row r="107" spans="1:9" ht="20.100000000000001" customHeight="1" x14ac:dyDescent="0.2">
      <c r="D107" s="106" t="s">
        <v>1705</v>
      </c>
      <c r="E107" s="107" t="s">
        <v>1706</v>
      </c>
      <c r="F107" s="108"/>
      <c r="G107" s="109"/>
      <c r="H107" s="106"/>
      <c r="I107" s="110" t="s">
        <v>1325</v>
      </c>
    </row>
    <row r="108" spans="1:9" ht="20.100000000000001" customHeight="1" x14ac:dyDescent="0.2">
      <c r="D108" s="106" t="s">
        <v>1700</v>
      </c>
      <c r="E108" s="107" t="s">
        <v>1707</v>
      </c>
      <c r="F108" s="108"/>
      <c r="G108" s="109"/>
      <c r="H108" s="106"/>
      <c r="I108" s="110" t="s">
        <v>1325</v>
      </c>
    </row>
    <row r="109" spans="1:9" ht="20.100000000000001" customHeight="1" x14ac:dyDescent="0.2">
      <c r="D109" s="106" t="s">
        <v>1664</v>
      </c>
      <c r="E109" s="107" t="s">
        <v>1716</v>
      </c>
      <c r="F109" s="108"/>
      <c r="G109" s="109"/>
      <c r="H109" s="106"/>
      <c r="I109" s="110" t="s">
        <v>1325</v>
      </c>
    </row>
    <row r="110" spans="1:9" ht="20.100000000000001" customHeight="1" x14ac:dyDescent="0.2">
      <c r="D110" s="106" t="s">
        <v>1717</v>
      </c>
      <c r="E110" s="107" t="s">
        <v>1718</v>
      </c>
      <c r="F110" s="108"/>
      <c r="G110" s="109"/>
      <c r="H110" s="106" t="s">
        <v>28</v>
      </c>
      <c r="I110" s="111" t="s">
        <v>1723</v>
      </c>
    </row>
    <row r="111" spans="1:9" ht="20.100000000000001" customHeight="1" x14ac:dyDescent="0.2">
      <c r="D111" s="106" t="s">
        <v>1719</v>
      </c>
      <c r="E111" s="107" t="s">
        <v>1720</v>
      </c>
      <c r="F111" s="108"/>
      <c r="G111" s="109"/>
      <c r="H111" s="106" t="s">
        <v>28</v>
      </c>
      <c r="I111" s="110" t="s">
        <v>1325</v>
      </c>
    </row>
    <row r="113" spans="4:11" ht="20.100000000000001" customHeight="1" x14ac:dyDescent="0.2">
      <c r="D113" s="113" t="s">
        <v>962</v>
      </c>
    </row>
    <row r="114" spans="4:11" ht="20.100000000000001" customHeight="1" x14ac:dyDescent="0.2">
      <c r="D114" s="114" t="s">
        <v>963</v>
      </c>
    </row>
    <row r="115" spans="4:11" ht="20.100000000000001" customHeight="1" x14ac:dyDescent="0.2">
      <c r="D115" s="82" t="s">
        <v>955</v>
      </c>
      <c r="E115" s="82" t="s">
        <v>956</v>
      </c>
      <c r="F115" s="82"/>
      <c r="G115" s="82" t="s">
        <v>964</v>
      </c>
      <c r="H115" s="115" t="s">
        <v>965</v>
      </c>
      <c r="I115" s="115" t="s">
        <v>959</v>
      </c>
      <c r="J115" s="115" t="s">
        <v>966</v>
      </c>
      <c r="K115" s="115" t="s">
        <v>967</v>
      </c>
    </row>
    <row r="116" spans="4:11" ht="20.100000000000001" customHeight="1" x14ac:dyDescent="0.2">
      <c r="D116" s="106" t="str" cm="1">
        <f t="array" ref="D116:D149">Table_SourceData_WasteSolid_WasteTreatmentEFs[Treatment type t]</f>
        <v>Landfill</v>
      </c>
      <c r="E116" s="107" t="str" cm="1">
        <f t="array" ref="E116:E149">Table_SourceData_WasteSolid_WasteTreatmentEFs[Waste type w]</f>
        <v>Food waste (including animal carcasses, spoiled animal feed or crop)</v>
      </c>
      <c r="F116" s="164"/>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15">
        <f t="shared" ref="H116:H149" si="0">I21</f>
        <v>25</v>
      </c>
      <c r="I116" s="15">
        <f>G116+H116</f>
        <v>75</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f>(I116 * J116)</f>
        <v>157.5</v>
      </c>
    </row>
    <row r="117" spans="4:11" ht="20.100000000000001" customHeight="1" x14ac:dyDescent="0.2">
      <c r="D117" s="106" t="str">
        <v>Landfill</v>
      </c>
      <c r="E117" s="107" t="str">
        <v>Paper and cardboard</v>
      </c>
      <c r="F117" s="164"/>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15">
        <f t="shared" si="0"/>
        <v>4.5</v>
      </c>
      <c r="I117" s="15">
        <f t="shared" ref="I117:I126" si="1">G117+H117</f>
        <v>54.5</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f>(I117 * J117)</f>
        <v>179.85</v>
      </c>
    </row>
    <row r="118" spans="4:11" ht="20.100000000000001" customHeight="1" x14ac:dyDescent="0.2">
      <c r="D118" s="106" t="str">
        <v>Landfill</v>
      </c>
      <c r="E118" s="107" t="str">
        <v>Green waste (including crop residues or prunings)</v>
      </c>
      <c r="F118" s="164"/>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15">
        <f t="shared" si="0"/>
        <v>12</v>
      </c>
      <c r="I118" s="15">
        <f t="shared" si="1"/>
        <v>62</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f>(I118 * J118)</f>
        <v>99.2</v>
      </c>
    </row>
    <row r="119" spans="4:11" ht="20.100000000000001" customHeight="1" x14ac:dyDescent="0.2">
      <c r="D119" s="106" t="str">
        <v>Landfill</v>
      </c>
      <c r="E119" s="107" t="str">
        <v>Wood</v>
      </c>
      <c r="F119" s="164"/>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f>(I119 * J119)</f>
        <v>0</v>
      </c>
    </row>
    <row r="120" spans="4:11" ht="20.100000000000001" customHeight="1" x14ac:dyDescent="0.2">
      <c r="D120" s="106" t="str">
        <v>Landfill</v>
      </c>
      <c r="E120" s="107" t="str">
        <v>Textiles</v>
      </c>
      <c r="F120" s="164"/>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f>(I120 * J120)</f>
        <v>0</v>
      </c>
    </row>
    <row r="121" spans="4:11" ht="20.100000000000001" customHeight="1" x14ac:dyDescent="0.2">
      <c r="D121" s="106" t="str">
        <v>Landfill</v>
      </c>
      <c r="E121" s="107" t="str">
        <v>Sludge</v>
      </c>
      <c r="F121" s="164"/>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f>(I121 * J121)</f>
        <v>0</v>
      </c>
    </row>
    <row r="122" spans="4:11" ht="20.100000000000001" customHeight="1" x14ac:dyDescent="0.2">
      <c r="D122" s="106" t="str">
        <v>Landfill</v>
      </c>
      <c r="E122" s="107" t="str">
        <v>Rubber and leather</v>
      </c>
      <c r="F122" s="164"/>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f>(I122 * J122)</f>
        <v>0</v>
      </c>
    </row>
    <row r="123" spans="4:11" ht="20.100000000000001" customHeight="1" x14ac:dyDescent="0.2">
      <c r="D123" s="106" t="str">
        <v>Landfill</v>
      </c>
      <c r="E123" s="107" t="str">
        <v>Inert waste (including concrete, metal, plastic or glass)</v>
      </c>
      <c r="F123" s="164"/>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f>(I123 * J123)</f>
        <v>0</v>
      </c>
    </row>
    <row r="124" spans="4:11" ht="20.100000000000001" customHeight="1" x14ac:dyDescent="0.2">
      <c r="D124" s="106" t="str">
        <v>Landfill</v>
      </c>
      <c r="E124" s="107" t="str">
        <v>Municipal solid waste</v>
      </c>
      <c r="F124" s="164"/>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f>(I124 * J124)</f>
        <v>0</v>
      </c>
    </row>
    <row r="125" spans="4:11" ht="20.100000000000001" customHeight="1" x14ac:dyDescent="0.2">
      <c r="D125" s="106" t="str">
        <v>Landfill</v>
      </c>
      <c r="E125" s="107" t="str">
        <v>Commercial and industrial waste</v>
      </c>
      <c r="F125" s="164"/>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f>(I125 * J125)</f>
        <v>0</v>
      </c>
    </row>
    <row r="126" spans="4:11" ht="20.100000000000001" customHeight="1" x14ac:dyDescent="0.2">
      <c r="D126" s="106" t="str">
        <v>Landfill</v>
      </c>
      <c r="E126" s="107" t="str">
        <v>Construction and demolition waste</v>
      </c>
      <c r="F126" s="164"/>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f>(I126 * J126)</f>
        <v>0</v>
      </c>
    </row>
    <row r="127" spans="4:11" ht="20.100000000000001" customHeight="1" x14ac:dyDescent="0.2">
      <c r="D127" s="106" t="str">
        <v>Incineration</v>
      </c>
      <c r="E127" s="107" t="str">
        <v>Food waste, green waste, wood, sludge</v>
      </c>
      <c r="F127" s="164"/>
      <c r="G127" s="15" t="s">
        <v>677</v>
      </c>
      <c r="H127" s="15" t="str">
        <f t="shared" si="0"/>
        <v>Not used</v>
      </c>
      <c r="I127" s="15">
        <f>SUM(G128:G131)+SUM(H128:H131)+N("Partial sum")</f>
        <v>74</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f>(I127 * J127)</f>
        <v>0</v>
      </c>
    </row>
    <row r="128" spans="4:11" ht="20.100000000000001" customHeight="1" x14ac:dyDescent="0.2">
      <c r="D128" s="106" t="str">
        <v>Incineration</v>
      </c>
      <c r="E128" s="107" t="str">
        <v>Food waste (including animal carcasses, spoiled animal feed or crop)</v>
      </c>
      <c r="F128" s="164"/>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968</v>
      </c>
      <c r="J128" s="15" t="s">
        <v>677</v>
      </c>
      <c r="K128" s="15" t="s">
        <v>677</v>
      </c>
    </row>
    <row r="129" spans="1:11" ht="20.100000000000001" customHeight="1" x14ac:dyDescent="0.2">
      <c r="D129" s="106" t="str">
        <v>Incineration</v>
      </c>
      <c r="E129" s="107" t="str">
        <v>Green waste (including crop residues or prunings)</v>
      </c>
      <c r="F129" s="164"/>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15">
        <f t="shared" si="0"/>
        <v>24</v>
      </c>
      <c r="I129" s="15" t="s">
        <v>968</v>
      </c>
      <c r="J129" s="15" t="s">
        <v>677</v>
      </c>
      <c r="K129" s="15" t="s">
        <v>677</v>
      </c>
    </row>
    <row r="130" spans="1:11" ht="20.100000000000001" customHeight="1" x14ac:dyDescent="0.2">
      <c r="D130" s="106" t="str">
        <v>Incineration</v>
      </c>
      <c r="E130" s="107" t="str">
        <v>Wood</v>
      </c>
      <c r="F130" s="164"/>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968</v>
      </c>
      <c r="J130" s="15" t="s">
        <v>677</v>
      </c>
      <c r="K130" s="15" t="s">
        <v>677</v>
      </c>
    </row>
    <row r="131" spans="1:11" ht="20.100000000000001" customHeight="1" x14ac:dyDescent="0.2">
      <c r="A131" s="85" t="str">
        <f>HYPERLINK("#A1", "▲ Back to top")</f>
        <v>▲ Back to top</v>
      </c>
      <c r="D131" s="106" t="str">
        <v>Incineration</v>
      </c>
      <c r="E131" s="107" t="str">
        <v>Sludge</v>
      </c>
      <c r="F131" s="164"/>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968</v>
      </c>
      <c r="J131" s="15" t="s">
        <v>677</v>
      </c>
      <c r="K131" s="15" t="s">
        <v>677</v>
      </c>
    </row>
    <row r="132" spans="1:11" ht="20.100000000000001" customHeight="1" x14ac:dyDescent="0.2">
      <c r="D132" s="106" t="str">
        <v>Incineration</v>
      </c>
      <c r="E132" s="107" t="str">
        <v>Paper and cardboard</v>
      </c>
      <c r="F132" s="164"/>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15">
        <f t="shared" si="0"/>
        <v>4.5</v>
      </c>
      <c r="I132" s="15">
        <f>G132+H132+N("Partial sum")</f>
        <v>54.5</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f>(I132 * J132)</f>
        <v>0.92104999999999992</v>
      </c>
    </row>
    <row r="133" spans="1:11" ht="20.100000000000001" customHeight="1" x14ac:dyDescent="0.2">
      <c r="D133" s="106" t="str">
        <v>Incineration</v>
      </c>
      <c r="E133" s="107" t="str">
        <v>Textiles</v>
      </c>
      <c r="F133" s="164"/>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f>(I133 * J133)</f>
        <v>0</v>
      </c>
    </row>
    <row r="134" spans="1:11" ht="20.100000000000001" customHeight="1" x14ac:dyDescent="0.2">
      <c r="D134" s="106" t="str">
        <v>Incineration</v>
      </c>
      <c r="E134" s="107" t="str">
        <v>Rubber and leather</v>
      </c>
      <c r="F134" s="164"/>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f>(I134 * J134)</f>
        <v>0</v>
      </c>
    </row>
    <row r="135" spans="1:11" ht="20.100000000000001" customHeight="1" x14ac:dyDescent="0.2">
      <c r="D135" s="106" t="str">
        <v>Incineration</v>
      </c>
      <c r="E135" s="107" t="str">
        <v>Inert waste (including concrete, metal, plastic or glass)</v>
      </c>
      <c r="F135" s="164"/>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f>(I135 * J135)</f>
        <v>0</v>
      </c>
    </row>
    <row r="136" spans="1:11" ht="20.100000000000001" customHeight="1" x14ac:dyDescent="0.2">
      <c r="D136" s="106" t="str">
        <v>Incineration</v>
      </c>
      <c r="E136" s="107" t="str">
        <v>Municipal solid waste</v>
      </c>
      <c r="F136" s="109"/>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f>(I136 * J136)</f>
        <v>0</v>
      </c>
    </row>
    <row r="137" spans="1:11" ht="20.100000000000001" customHeight="1" x14ac:dyDescent="0.2">
      <c r="D137" s="106" t="str">
        <v>Incineration</v>
      </c>
      <c r="E137" s="107" t="str">
        <v>Commercial and industrial waste</v>
      </c>
      <c r="F137" s="109"/>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f>(I137 * J137)</f>
        <v>0</v>
      </c>
    </row>
    <row r="138" spans="1:11" ht="20.100000000000001" customHeight="1" x14ac:dyDescent="0.2">
      <c r="D138" s="106" t="str">
        <v>Composting</v>
      </c>
      <c r="E138" s="107" t="str">
        <v>All organic waste</v>
      </c>
      <c r="F138" s="109"/>
      <c r="G138" s="15" t="s">
        <v>677</v>
      </c>
      <c r="H138" s="15" t="str">
        <f t="shared" si="0"/>
        <v>Not used</v>
      </c>
      <c r="I138" s="15">
        <f>SUM(G139:G143)+SUM(H139:H143)+N("Partial sum")</f>
        <v>29.5</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f>(I138 * J138)</f>
        <v>1.357</v>
      </c>
    </row>
    <row r="139" spans="1:11" ht="20.100000000000001" customHeight="1" x14ac:dyDescent="0.2">
      <c r="D139" s="106" t="str">
        <v>Composting</v>
      </c>
      <c r="E139" s="107" t="str">
        <v>Food waste (including animal carcasses, spoiled animal feed or crop)</v>
      </c>
      <c r="F139" s="109"/>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25</v>
      </c>
      <c r="I139" s="15" t="s">
        <v>968</v>
      </c>
      <c r="J139" s="15" t="s">
        <v>677</v>
      </c>
      <c r="K139" s="15" t="s">
        <v>677</v>
      </c>
    </row>
    <row r="140" spans="1:11" ht="20.100000000000001" customHeight="1" x14ac:dyDescent="0.2">
      <c r="D140" s="106" t="str">
        <v>Composting</v>
      </c>
      <c r="E140" s="107" t="str">
        <v>Green waste (including crop residues or prunings)</v>
      </c>
      <c r="F140" s="109"/>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968</v>
      </c>
      <c r="J140" s="15" t="s">
        <v>677</v>
      </c>
      <c r="K140" s="15" t="s">
        <v>677</v>
      </c>
    </row>
    <row r="141" spans="1:11" ht="20.100000000000001" customHeight="1" x14ac:dyDescent="0.2">
      <c r="D141" s="106" t="str">
        <v>Composting</v>
      </c>
      <c r="E141" s="107" t="str">
        <v>Wood</v>
      </c>
      <c r="F141" s="109"/>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968</v>
      </c>
      <c r="J141" s="15" t="s">
        <v>677</v>
      </c>
      <c r="K141" s="15" t="s">
        <v>677</v>
      </c>
    </row>
    <row r="142" spans="1:11" ht="20.100000000000001" customHeight="1" x14ac:dyDescent="0.2">
      <c r="D142" s="106" t="str">
        <v>Composting</v>
      </c>
      <c r="E142" s="107" t="str">
        <v>Sludge</v>
      </c>
      <c r="F142" s="109"/>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968</v>
      </c>
      <c r="J142" s="15" t="s">
        <v>677</v>
      </c>
      <c r="K142" s="15" t="s">
        <v>677</v>
      </c>
    </row>
    <row r="143" spans="1:11" ht="20.100000000000001" customHeight="1" x14ac:dyDescent="0.2">
      <c r="D143" s="106" t="str">
        <v>Composting</v>
      </c>
      <c r="E143" s="107" t="str">
        <v>Paper and cardboard</v>
      </c>
      <c r="F143" s="109"/>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4.5</v>
      </c>
      <c r="I143" s="15" t="s">
        <v>968</v>
      </c>
      <c r="J143" s="15" t="s">
        <v>677</v>
      </c>
      <c r="K143" s="15" t="s">
        <v>677</v>
      </c>
    </row>
    <row r="144" spans="1:11" ht="20.100000000000001" customHeight="1" x14ac:dyDescent="0.2">
      <c r="D144" s="106" t="str">
        <v>Anaerobic digestion</v>
      </c>
      <c r="E144" s="107" t="str">
        <v>All organic waste</v>
      </c>
      <c r="F144" s="109"/>
      <c r="G144" s="15" t="s">
        <v>677</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f>(I144 * J144)</f>
        <v>0</v>
      </c>
    </row>
    <row r="145" spans="4:11" ht="20.100000000000001" customHeight="1" x14ac:dyDescent="0.2">
      <c r="D145" s="106" t="str">
        <v>Anaerobic digestion</v>
      </c>
      <c r="E145" s="107" t="str">
        <v>Food waste (including animal carcasses, spoiled animal feed or crop)</v>
      </c>
      <c r="F145" s="109"/>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968</v>
      </c>
      <c r="J145" s="15" t="s">
        <v>677</v>
      </c>
      <c r="K145" s="15" t="s">
        <v>677</v>
      </c>
    </row>
    <row r="146" spans="4:11" ht="20.100000000000001" customHeight="1" x14ac:dyDescent="0.2">
      <c r="D146" s="106" t="str">
        <v>Anaerobic digestion</v>
      </c>
      <c r="E146" s="107" t="str">
        <v>Green waste (including crop residues or prunings)</v>
      </c>
      <c r="F146" s="109"/>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968</v>
      </c>
      <c r="J146" s="15" t="s">
        <v>677</v>
      </c>
      <c r="K146" s="15" t="s">
        <v>677</v>
      </c>
    </row>
    <row r="147" spans="4:11" ht="20.100000000000001" customHeight="1" x14ac:dyDescent="0.2">
      <c r="D147" s="106" t="str">
        <v>Anaerobic digestion</v>
      </c>
      <c r="E147" s="107" t="str">
        <v>Wood</v>
      </c>
      <c r="F147" s="109"/>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968</v>
      </c>
      <c r="J147" s="15" t="s">
        <v>677</v>
      </c>
      <c r="K147" s="15" t="s">
        <v>677</v>
      </c>
    </row>
    <row r="148" spans="4:11" ht="20.100000000000001" customHeight="1" x14ac:dyDescent="0.2">
      <c r="D148" s="106" t="str">
        <v>Anaerobic digestion</v>
      </c>
      <c r="E148" s="107" t="str">
        <v>Sludge</v>
      </c>
      <c r="F148" s="109"/>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968</v>
      </c>
      <c r="J148" s="15" t="s">
        <v>677</v>
      </c>
      <c r="K148" s="15" t="s">
        <v>677</v>
      </c>
    </row>
    <row r="149" spans="4:11" ht="20.100000000000001" customHeight="1" x14ac:dyDescent="0.2">
      <c r="D149" s="106" t="str">
        <v>Anaerobic digestion</v>
      </c>
      <c r="E149" s="107" t="str">
        <v>Paper and cardboard</v>
      </c>
      <c r="F149" s="109"/>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968</v>
      </c>
      <c r="J149" s="15" t="s">
        <v>677</v>
      </c>
      <c r="K149" s="15" t="s">
        <v>677</v>
      </c>
    </row>
    <row r="151" spans="4:11" ht="20.100000000000001" customHeight="1" x14ac:dyDescent="0.2">
      <c r="D151" s="91" t="s">
        <v>969</v>
      </c>
      <c r="E151" s="92">
        <f>SUM(K116:K149)</f>
        <v>438.82805000000002</v>
      </c>
      <c r="F151" s="96" t="str">
        <f>$E$103</f>
        <v>t CO2e</v>
      </c>
    </row>
    <row r="154" spans="4:11" ht="20.100000000000001" customHeight="1" x14ac:dyDescent="0.2">
      <c r="D154" s="113" t="s">
        <v>970</v>
      </c>
    </row>
    <row r="155" spans="4:11" ht="20.100000000000001" customHeight="1" x14ac:dyDescent="0.2">
      <c r="D155" s="114" t="s">
        <v>971</v>
      </c>
    </row>
    <row r="156" spans="4:11" ht="20.100000000000001" customHeight="1" x14ac:dyDescent="0.2">
      <c r="D156" s="82" t="s">
        <v>955</v>
      </c>
      <c r="E156" s="82" t="s">
        <v>956</v>
      </c>
      <c r="F156" s="82"/>
      <c r="G156" s="82" t="s">
        <v>964</v>
      </c>
      <c r="H156" s="115" t="s">
        <v>965</v>
      </c>
      <c r="I156" s="115" t="s">
        <v>959</v>
      </c>
      <c r="J156" s="115" t="s">
        <v>966</v>
      </c>
      <c r="K156" s="115" t="s">
        <v>967</v>
      </c>
    </row>
    <row r="157" spans="4:11" ht="20.100000000000001" customHeight="1" x14ac:dyDescent="0.2">
      <c r="D157" s="106" t="str" cm="1">
        <f t="array" ref="D157:D190">Table_SourceData_WasteSolid_WasteTreatmentEFs[Treatment type t]</f>
        <v>Landfill</v>
      </c>
      <c r="E157" s="107" t="str" cm="1">
        <f t="array" ref="E157:E190">Table_SourceData_WasteSolid_WasteTreatmentEFs[Waste type w]</f>
        <v>Food waste (including animal carcasses, spoiled animal feed or crop)</v>
      </c>
      <c r="F157" s="164"/>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15">
        <f t="shared" ref="H157:H190" si="3">I59</f>
        <v>25</v>
      </c>
      <c r="I157" s="15">
        <f>G157+H157</f>
        <v>75</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f>(I157 * J157)</f>
        <v>157.5</v>
      </c>
    </row>
    <row r="158" spans="4:11" ht="20.100000000000001" customHeight="1" x14ac:dyDescent="0.2">
      <c r="D158" s="106" t="str">
        <v>Landfill</v>
      </c>
      <c r="E158" s="107" t="str">
        <v>Paper and cardboard</v>
      </c>
      <c r="F158" s="164"/>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15">
        <f t="shared" si="3"/>
        <v>4.5</v>
      </c>
      <c r="I158" s="15">
        <f t="shared" ref="I158:I167" si="4">G158+H158</f>
        <v>54.5</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f>(I158 * J158)</f>
        <v>179.85</v>
      </c>
    </row>
    <row r="159" spans="4:11" ht="20.100000000000001" customHeight="1" x14ac:dyDescent="0.2">
      <c r="D159" s="106" t="str">
        <v>Landfill</v>
      </c>
      <c r="E159" s="107" t="str">
        <v>Green waste (including crop residues or prunings)</v>
      </c>
      <c r="F159" s="164"/>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15">
        <f t="shared" si="3"/>
        <v>12</v>
      </c>
      <c r="I159" s="15">
        <f t="shared" si="4"/>
        <v>62</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f>(I159 * J159)</f>
        <v>99.2</v>
      </c>
    </row>
    <row r="160" spans="4:11" ht="20.100000000000001" customHeight="1" x14ac:dyDescent="0.2">
      <c r="D160" s="106" t="str">
        <v>Landfill</v>
      </c>
      <c r="E160" s="107" t="str">
        <v>Wood</v>
      </c>
      <c r="F160" s="164"/>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f>(I160 * J160)</f>
        <v>0</v>
      </c>
    </row>
    <row r="161" spans="1:11" ht="20.100000000000001" customHeight="1" x14ac:dyDescent="0.2">
      <c r="A161" s="85" t="str">
        <f>HYPERLINK("#A1", "▲ Back to top")</f>
        <v>▲ Back to top</v>
      </c>
      <c r="D161" s="106" t="str">
        <v>Landfill</v>
      </c>
      <c r="E161" s="107" t="str">
        <v>Textiles</v>
      </c>
      <c r="F161" s="164"/>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f>(I161 * J161)</f>
        <v>0</v>
      </c>
    </row>
    <row r="162" spans="1:11" ht="20.100000000000001" customHeight="1" x14ac:dyDescent="0.2">
      <c r="D162" s="106" t="str">
        <v>Landfill</v>
      </c>
      <c r="E162" s="107" t="str">
        <v>Sludge</v>
      </c>
      <c r="F162" s="164"/>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f>(I162 * J162)</f>
        <v>0</v>
      </c>
    </row>
    <row r="163" spans="1:11" ht="20.100000000000001" customHeight="1" x14ac:dyDescent="0.2">
      <c r="D163" s="106" t="str">
        <v>Landfill</v>
      </c>
      <c r="E163" s="107" t="str">
        <v>Rubber and leather</v>
      </c>
      <c r="F163" s="164"/>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f>(I163 * J163)</f>
        <v>0</v>
      </c>
    </row>
    <row r="164" spans="1:11" ht="20.100000000000001" customHeight="1" x14ac:dyDescent="0.2">
      <c r="D164" s="106" t="str">
        <v>Landfill</v>
      </c>
      <c r="E164" s="107" t="str">
        <v>Inert waste (including concrete, metal, plastic or glass)</v>
      </c>
      <c r="F164" s="164"/>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f>(I164 * J164)</f>
        <v>0</v>
      </c>
    </row>
    <row r="165" spans="1:11" ht="20.100000000000001" customHeight="1" x14ac:dyDescent="0.2">
      <c r="D165" s="106" t="str">
        <v>Landfill</v>
      </c>
      <c r="E165" s="107" t="str">
        <v>Municipal solid waste</v>
      </c>
      <c r="F165" s="164"/>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f>(I165 * J165)</f>
        <v>0</v>
      </c>
    </row>
    <row r="166" spans="1:11" ht="20.100000000000001" customHeight="1" x14ac:dyDescent="0.2">
      <c r="D166" s="106" t="str">
        <v>Landfill</v>
      </c>
      <c r="E166" s="107" t="str">
        <v>Commercial and industrial waste</v>
      </c>
      <c r="F166" s="164"/>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f>(I166 * J166)</f>
        <v>0</v>
      </c>
    </row>
    <row r="167" spans="1:11" ht="20.100000000000001" customHeight="1" x14ac:dyDescent="0.2">
      <c r="D167" s="106" t="str">
        <v>Landfill</v>
      </c>
      <c r="E167" s="107" t="str">
        <v>Construction and demolition waste</v>
      </c>
      <c r="F167" s="164"/>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f>(I167 * J167)</f>
        <v>0</v>
      </c>
    </row>
    <row r="168" spans="1:11" ht="20.100000000000001" customHeight="1" x14ac:dyDescent="0.2">
      <c r="D168" s="106" t="str">
        <v>Incineration</v>
      </c>
      <c r="E168" s="107" t="str">
        <v>Food waste, green waste, wood, sludge</v>
      </c>
      <c r="F168" s="164"/>
      <c r="G168" s="15" t="s">
        <v>677</v>
      </c>
      <c r="H168" s="15" t="str">
        <f t="shared" si="3"/>
        <v>Not used</v>
      </c>
      <c r="I168" s="15">
        <f>SUM(G169:G172)+SUM(H169:H172)+N("Partial sum")</f>
        <v>62</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f>(I168 * J168)</f>
        <v>0</v>
      </c>
    </row>
    <row r="169" spans="1:11" ht="20.100000000000001" customHeight="1" x14ac:dyDescent="0.2">
      <c r="D169" s="106" t="str">
        <v>Incineration</v>
      </c>
      <c r="E169" s="107" t="str">
        <v>Food waste (including animal carcasses, spoiled animal feed or crop)</v>
      </c>
      <c r="F169" s="164"/>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968</v>
      </c>
      <c r="J169" s="15" t="s">
        <v>677</v>
      </c>
      <c r="K169" s="15" t="s">
        <v>677</v>
      </c>
    </row>
    <row r="170" spans="1:11" ht="20.100000000000001" customHeight="1" x14ac:dyDescent="0.2">
      <c r="D170" s="106" t="str">
        <v>Incineration</v>
      </c>
      <c r="E170" s="107" t="str">
        <v>Green waste (including crop residues or prunings)</v>
      </c>
      <c r="F170" s="164"/>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15">
        <f t="shared" si="3"/>
        <v>12</v>
      </c>
      <c r="I170" s="15" t="s">
        <v>968</v>
      </c>
      <c r="J170" s="15" t="s">
        <v>677</v>
      </c>
      <c r="K170" s="15" t="s">
        <v>677</v>
      </c>
    </row>
    <row r="171" spans="1:11" ht="20.100000000000001" customHeight="1" x14ac:dyDescent="0.2">
      <c r="D171" s="106" t="str">
        <v>Incineration</v>
      </c>
      <c r="E171" s="107" t="str">
        <v>Wood</v>
      </c>
      <c r="F171" s="164"/>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968</v>
      </c>
      <c r="J171" s="15" t="s">
        <v>677</v>
      </c>
      <c r="K171" s="15" t="s">
        <v>677</v>
      </c>
    </row>
    <row r="172" spans="1:11" ht="20.100000000000001" customHeight="1" x14ac:dyDescent="0.2">
      <c r="D172" s="106" t="str">
        <v>Incineration</v>
      </c>
      <c r="E172" s="107" t="str">
        <v>Sludge</v>
      </c>
      <c r="F172" s="164"/>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968</v>
      </c>
      <c r="J172" s="15" t="s">
        <v>677</v>
      </c>
      <c r="K172" s="15" t="s">
        <v>677</v>
      </c>
    </row>
    <row r="173" spans="1:11" ht="20.100000000000001" customHeight="1" x14ac:dyDescent="0.2">
      <c r="D173" s="106" t="str">
        <v>Incineration</v>
      </c>
      <c r="E173" s="107" t="str">
        <v>Paper and cardboard</v>
      </c>
      <c r="F173" s="164"/>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f>(I173 * J173)</f>
        <v>0</v>
      </c>
    </row>
    <row r="174" spans="1:11" ht="20.100000000000001" customHeight="1" x14ac:dyDescent="0.2">
      <c r="D174" s="106" t="str">
        <v>Incineration</v>
      </c>
      <c r="E174" s="107" t="str">
        <v>Textiles</v>
      </c>
      <c r="F174" s="164"/>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f>(I174 * J174)</f>
        <v>0</v>
      </c>
    </row>
    <row r="175" spans="1:11" ht="20.100000000000001" customHeight="1" x14ac:dyDescent="0.2">
      <c r="D175" s="106" t="str">
        <v>Incineration</v>
      </c>
      <c r="E175" s="107" t="str">
        <v>Rubber and leather</v>
      </c>
      <c r="F175" s="164"/>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f>(I175 * J175)</f>
        <v>0</v>
      </c>
    </row>
    <row r="176" spans="1:11" ht="20.100000000000001" customHeight="1" x14ac:dyDescent="0.2">
      <c r="D176" s="106" t="str">
        <v>Incineration</v>
      </c>
      <c r="E176" s="107" t="str">
        <v>Inert waste (including concrete, metal, plastic or glass)</v>
      </c>
      <c r="F176" s="164"/>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f>(I176 * J176)</f>
        <v>0</v>
      </c>
    </row>
    <row r="177" spans="1:11" ht="20.100000000000001" customHeight="1" x14ac:dyDescent="0.2">
      <c r="D177" s="106" t="str">
        <v>Incineration</v>
      </c>
      <c r="E177" s="107" t="str">
        <v>Municipal solid waste</v>
      </c>
      <c r="F177" s="109"/>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f>(I177 * J177)</f>
        <v>0</v>
      </c>
    </row>
    <row r="178" spans="1:11" ht="20.100000000000001" customHeight="1" x14ac:dyDescent="0.2">
      <c r="D178" s="106" t="str">
        <v>Incineration</v>
      </c>
      <c r="E178" s="107" t="str">
        <v>Commercial and industrial waste</v>
      </c>
      <c r="F178" s="109"/>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f>(I178 * J178)</f>
        <v>0</v>
      </c>
    </row>
    <row r="179" spans="1:11" ht="20.100000000000001" customHeight="1" x14ac:dyDescent="0.2">
      <c r="D179" s="106" t="str">
        <v>Composting</v>
      </c>
      <c r="E179" s="107" t="str">
        <v>All organic waste</v>
      </c>
      <c r="F179" s="109"/>
      <c r="G179" s="15" t="s">
        <v>677</v>
      </c>
      <c r="H179" s="15" t="str">
        <f t="shared" si="3"/>
        <v>Not used</v>
      </c>
      <c r="I179" s="15">
        <f>SUM(G180:G184)+SUM(H180:H184)+N("Partial sum")</f>
        <v>100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f>(I179 * J179)</f>
        <v>4.5999999999999996</v>
      </c>
    </row>
    <row r="180" spans="1:11" ht="20.100000000000001" customHeight="1" x14ac:dyDescent="0.2">
      <c r="D180" s="106" t="str">
        <v>Composting</v>
      </c>
      <c r="E180" s="107" t="str">
        <v>Food waste (including animal carcasses, spoiled animal feed or crop)</v>
      </c>
      <c r="F180" s="109"/>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15">
        <f t="shared" si="3"/>
        <v>0</v>
      </c>
      <c r="I180" s="15" t="s">
        <v>968</v>
      </c>
      <c r="J180" s="15" t="s">
        <v>677</v>
      </c>
      <c r="K180" s="15" t="s">
        <v>677</v>
      </c>
    </row>
    <row r="181" spans="1:11" ht="20.100000000000001" customHeight="1" x14ac:dyDescent="0.2">
      <c r="D181" s="106" t="str">
        <v>Composting</v>
      </c>
      <c r="E181" s="107" t="str">
        <v>Green waste (including crop residues or prunings)</v>
      </c>
      <c r="F181" s="109"/>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968</v>
      </c>
      <c r="J181" s="15" t="s">
        <v>677</v>
      </c>
      <c r="K181" s="15" t="s">
        <v>677</v>
      </c>
    </row>
    <row r="182" spans="1:11" ht="20.100000000000001" customHeight="1" x14ac:dyDescent="0.2">
      <c r="D182" s="106" t="str">
        <v>Composting</v>
      </c>
      <c r="E182" s="107" t="str">
        <v>Wood</v>
      </c>
      <c r="F182" s="109"/>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968</v>
      </c>
      <c r="J182" s="15" t="s">
        <v>677</v>
      </c>
      <c r="K182" s="15" t="s">
        <v>677</v>
      </c>
    </row>
    <row r="183" spans="1:11" ht="20.100000000000001" customHeight="1" x14ac:dyDescent="0.2">
      <c r="D183" s="106" t="str">
        <v>Composting</v>
      </c>
      <c r="E183" s="107" t="str">
        <v>Sludge</v>
      </c>
      <c r="F183" s="109"/>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968</v>
      </c>
      <c r="J183" s="15" t="s">
        <v>677</v>
      </c>
      <c r="K183" s="15" t="s">
        <v>677</v>
      </c>
    </row>
    <row r="184" spans="1:11" ht="20.100000000000001" customHeight="1" x14ac:dyDescent="0.2">
      <c r="D184" s="106" t="str">
        <v>Composting</v>
      </c>
      <c r="E184" s="107" t="str">
        <v>Paper and cardboard</v>
      </c>
      <c r="F184" s="109"/>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15">
        <f t="shared" si="3"/>
        <v>0</v>
      </c>
      <c r="I184" s="15" t="s">
        <v>968</v>
      </c>
      <c r="J184" s="15" t="s">
        <v>677</v>
      </c>
      <c r="K184" s="15" t="s">
        <v>677</v>
      </c>
    </row>
    <row r="185" spans="1:11" ht="20.100000000000001" customHeight="1" x14ac:dyDescent="0.2">
      <c r="D185" s="106" t="str">
        <v>Anaerobic digestion</v>
      </c>
      <c r="E185" s="107" t="str">
        <v>All organic waste</v>
      </c>
      <c r="F185" s="109"/>
      <c r="G185" s="15" t="s">
        <v>677</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f>(I185 * J185)</f>
        <v>0</v>
      </c>
    </row>
    <row r="186" spans="1:11" ht="20.100000000000001" customHeight="1" x14ac:dyDescent="0.2">
      <c r="D186" s="106" t="str">
        <v>Anaerobic digestion</v>
      </c>
      <c r="E186" s="107" t="str">
        <v>Food waste (including animal carcasses, spoiled animal feed or crop)</v>
      </c>
      <c r="F186" s="109"/>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968</v>
      </c>
      <c r="J186" s="15" t="s">
        <v>677</v>
      </c>
      <c r="K186" s="15" t="s">
        <v>677</v>
      </c>
    </row>
    <row r="187" spans="1:11" ht="20.100000000000001" customHeight="1" x14ac:dyDescent="0.2">
      <c r="D187" s="106" t="str">
        <v>Anaerobic digestion</v>
      </c>
      <c r="E187" s="107" t="str">
        <v>Green waste (including crop residues or prunings)</v>
      </c>
      <c r="F187" s="109"/>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968</v>
      </c>
      <c r="J187" s="15" t="s">
        <v>677</v>
      </c>
      <c r="K187" s="15" t="s">
        <v>677</v>
      </c>
    </row>
    <row r="188" spans="1:11" ht="20.100000000000001" customHeight="1" x14ac:dyDescent="0.2">
      <c r="D188" s="106" t="str">
        <v>Anaerobic digestion</v>
      </c>
      <c r="E188" s="107" t="str">
        <v>Wood</v>
      </c>
      <c r="F188" s="109"/>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968</v>
      </c>
      <c r="J188" s="15" t="s">
        <v>677</v>
      </c>
      <c r="K188" s="15" t="s">
        <v>677</v>
      </c>
    </row>
    <row r="189" spans="1:11" ht="20.100000000000001" customHeight="1" x14ac:dyDescent="0.2">
      <c r="D189" s="106" t="str">
        <v>Anaerobic digestion</v>
      </c>
      <c r="E189" s="107" t="str">
        <v>Sludge</v>
      </c>
      <c r="F189" s="109"/>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968</v>
      </c>
      <c r="J189" s="15" t="s">
        <v>677</v>
      </c>
      <c r="K189" s="15" t="s">
        <v>677</v>
      </c>
    </row>
    <row r="190" spans="1:11" ht="20.100000000000001" customHeight="1" x14ac:dyDescent="0.2">
      <c r="D190" s="106" t="str">
        <v>Anaerobic digestion</v>
      </c>
      <c r="E190" s="107" t="str">
        <v>Paper and cardboard</v>
      </c>
      <c r="F190" s="109"/>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968</v>
      </c>
      <c r="J190" s="15" t="s">
        <v>677</v>
      </c>
      <c r="K190" s="15" t="s">
        <v>677</v>
      </c>
    </row>
    <row r="191" spans="1:11" ht="20.100000000000001" customHeight="1" x14ac:dyDescent="0.2">
      <c r="A191" s="85" t="str">
        <f>HYPERLINK("#A1", "▲ Back to top")</f>
        <v>▲ Back to top</v>
      </c>
    </row>
    <row r="192" spans="1:11" ht="20.100000000000001" customHeight="1" x14ac:dyDescent="0.2">
      <c r="D192" s="91" t="s">
        <v>969</v>
      </c>
      <c r="E192" s="92">
        <f>SUM(K157:K190)</f>
        <v>441.15000000000003</v>
      </c>
      <c r="F192" s="96" t="str">
        <f>$E$103</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xr:uid="{131E3654-3EF5-4199-B062-0E4D07F9E5C7}"/>
  </dataValidations>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03B47-87D7-4234-B8A8-F1E23AA9DCCA}">
  <sheetPr>
    <tabColor rgb="FF008000"/>
  </sheetPr>
  <dimension ref="A1:K342"/>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1" customFormat="1" ht="30" customHeight="1" x14ac:dyDescent="0.35">
      <c r="A1" s="10" t="e" vm="1">
        <v>#VALUE!</v>
      </c>
      <c r="C1" s="21" t="s">
        <v>807</v>
      </c>
    </row>
    <row r="2" spans="1:11" s="3" customFormat="1" ht="20.100000000000001" customHeight="1" x14ac:dyDescent="0.2">
      <c r="A2"/>
    </row>
    <row r="3" spans="1:11" ht="20.100000000000001" customHeight="1" x14ac:dyDescent="0.2">
      <c r="A3" s="5" t="str">
        <f>HYPERLINK("#'Home'!A1", "Home")</f>
        <v>Home</v>
      </c>
      <c r="C3" s="23"/>
      <c r="D3" s="23" t="s">
        <v>141</v>
      </c>
      <c r="E3" s="23"/>
      <c r="F3" s="23"/>
      <c r="G3" s="23"/>
      <c r="H3" s="23"/>
      <c r="I3" s="23"/>
      <c r="J3" s="23"/>
      <c r="K3" s="23"/>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Emissions Intensity")</f>
        <v>Results - Product Emissions Intensity</v>
      </c>
      <c r="D5" s="2" t="s">
        <v>1724</v>
      </c>
    </row>
    <row r="6" spans="1:11" ht="20.100000000000001" customHeight="1" x14ac:dyDescent="0.2">
      <c r="D6" s="17" t="s">
        <v>1725</v>
      </c>
    </row>
    <row r="7" spans="1:11" ht="20.100000000000001" customHeight="1" x14ac:dyDescent="0.2">
      <c r="D7" s="26" t="s">
        <v>1726</v>
      </c>
    </row>
    <row r="8" spans="1:11" ht="20.100000000000001" customHeight="1" x14ac:dyDescent="0.2">
      <c r="A8" s="7" t="s">
        <v>0</v>
      </c>
      <c r="D8" s="104"/>
      <c r="E8" s="104"/>
    </row>
    <row r="9" spans="1:11" ht="20.100000000000001" customHeight="1" x14ac:dyDescent="0.2">
      <c r="A9" s="5" t="str">
        <f>HYPERLINK("#'Input - Enterprise'!A1", "Enterprise")</f>
        <v>Enterprise</v>
      </c>
    </row>
    <row r="10" spans="1:11" ht="20.100000000000001" customHeight="1" x14ac:dyDescent="0.2">
      <c r="A10" s="5" t="str">
        <f>HYPERLINK("#'Input - Site'!A1", "Site")</f>
        <v>Site</v>
      </c>
    </row>
    <row r="11" spans="1:11" ht="20.100000000000001" customHeight="1" x14ac:dyDescent="0.2">
      <c r="A11" s="5" t="str">
        <f>HYPERLINK("#'Input - Pasture Beef'!A1", "Pasture Beef")</f>
        <v>Pasture Beef</v>
      </c>
      <c r="D11" s="77" t="s">
        <v>374</v>
      </c>
      <c r="E11" s="1" t="s">
        <v>1727</v>
      </c>
    </row>
    <row r="12" spans="1:11" ht="20.100000000000001" customHeight="1" x14ac:dyDescent="0.2">
      <c r="A12" s="5" t="str">
        <f>HYPERLINK("#'Input - Livestock sales'!A1", "Livestock sales")</f>
        <v>Livestock sales</v>
      </c>
      <c r="D12" s="77" t="s">
        <v>126</v>
      </c>
      <c r="E12" s="9" t="s">
        <v>6</v>
      </c>
    </row>
    <row r="13" spans="1:11" ht="20.100000000000001" customHeight="1" x14ac:dyDescent="0.2">
      <c r="A13" s="5" t="str">
        <f>HYPERLINK("#'Input - Beef cattle purchases'!A1", "Beef cattle purchases")</f>
        <v>Beef cattle purchases</v>
      </c>
    </row>
    <row r="14" spans="1:11" ht="20.100000000000001" customHeight="1" x14ac:dyDescent="0.2">
      <c r="A14" s="5" t="str">
        <f>HYPERLINK("#'Input - Pasture'!A1", "Pasture")</f>
        <v>Pasture</v>
      </c>
      <c r="D14" s="106" t="s">
        <v>1728</v>
      </c>
      <c r="E14" s="107" t="s">
        <v>1729</v>
      </c>
      <c r="F14" s="109"/>
      <c r="G14" s="106" t="s">
        <v>778</v>
      </c>
      <c r="H14" s="110" t="s">
        <v>1325</v>
      </c>
      <c r="I14" s="107">
        <f>X_Cell_Electricity_Location_AmountPurchasedInkWh</f>
        <v>30000</v>
      </c>
      <c r="J14" s="109"/>
    </row>
    <row r="15" spans="1:11" ht="20.100000000000001" customHeight="1" x14ac:dyDescent="0.2">
      <c r="A15" s="5" t="str">
        <f>HYPERLINK("#'Input - Fert Prod System'!A1", "Fert Prod System")</f>
        <v>Fert Prod System</v>
      </c>
      <c r="D15" s="106" t="s">
        <v>1730</v>
      </c>
      <c r="E15" s="107" t="s">
        <v>1731</v>
      </c>
      <c r="F15" s="109"/>
      <c r="G15" s="106" t="s">
        <v>1733</v>
      </c>
      <c r="H15" s="111" t="s">
        <v>1326</v>
      </c>
      <c r="I15" s="107" cm="1">
        <f t="array" ref="I15">Common_InputFunctions.Utility_LookupValueInTableNumber(I16,Table_SourceData_ElectricityEFs[State, Territory or grid description],Table_SourceData_ElectricityEFs[Scope 2 Emission Factors (kg CO2-e/kWh)])</f>
        <v>0.56000000000000005</v>
      </c>
      <c r="J15" s="109"/>
    </row>
    <row r="16" spans="1:11" ht="20.100000000000001" customHeight="1" x14ac:dyDescent="0.2">
      <c r="A16" s="5" t="str">
        <f>HYPERLINK("#'Input - Fertiliser'!A1", "Fertiliser")</f>
        <v>Fertiliser</v>
      </c>
      <c r="D16" s="106" t="s">
        <v>1664</v>
      </c>
      <c r="E16" s="107" t="s">
        <v>1732</v>
      </c>
      <c r="F16" s="109"/>
      <c r="G16" s="106"/>
      <c r="H16" s="110" t="s">
        <v>1325</v>
      </c>
      <c r="I16" s="107" t="str">
        <f>X_Cell_Electricity_Location_GridElectricityPurchasedFrom</f>
        <v>Western Australia - North Western Interconnected System (NWIS)</v>
      </c>
      <c r="J16" s="109"/>
    </row>
    <row r="17" spans="1:11" ht="20.100000000000001" customHeight="1" x14ac:dyDescent="0.2">
      <c r="A17" s="5" t="str">
        <f>HYPERLINK("#'Input - Fuel'!A1", "Fuel")</f>
        <v>Fuel</v>
      </c>
    </row>
    <row r="18" spans="1:11" ht="20.100000000000001" customHeight="1" x14ac:dyDescent="0.2">
      <c r="A18" s="5" t="str">
        <f>HYPERLINK("#'Input - Electricity'!A1", "Electricity")</f>
        <v>Electricity</v>
      </c>
      <c r="D18" s="91" t="s">
        <v>808</v>
      </c>
      <c r="E18" s="92">
        <f>(I14 * I15 * 10 ^ -3)</f>
        <v>16.8</v>
      </c>
      <c r="F18" s="96" t="str">
        <f>$E$12</f>
        <v>t CO2e</v>
      </c>
    </row>
    <row r="19" spans="1:11" ht="20.100000000000001" customHeight="1" x14ac:dyDescent="0.2">
      <c r="A19" s="5" t="str">
        <f>HYPERLINK("#'Input - Common farm inputs'!A1", "Common farm inputs")</f>
        <v>Common farm inputs</v>
      </c>
    </row>
    <row r="20" spans="1:11" ht="20.100000000000001" customHeight="1" x14ac:dyDescent="0.2">
      <c r="A20" s="5" t="str">
        <f>HYPERLINK("#'Input - Crop pasture farm input'!A1", "Crop pasture farm input")</f>
        <v>Crop pasture farm input</v>
      </c>
    </row>
    <row r="21" spans="1:11" ht="20.100000000000001" customHeight="1" x14ac:dyDescent="0.2">
      <c r="A21" s="5" t="str">
        <f>HYPERLINK("#'Input - Livestock farm Inputs'!A1", "Livestock farm Inputs")</f>
        <v>Livestock farm Inputs</v>
      </c>
      <c r="C21" s="88"/>
      <c r="D21" s="88"/>
      <c r="E21" s="88"/>
      <c r="F21" s="88"/>
      <c r="G21" s="88"/>
      <c r="H21" s="88"/>
      <c r="I21" s="88"/>
      <c r="J21" s="88"/>
      <c r="K21" s="88"/>
    </row>
    <row r="22" spans="1:11" ht="20.100000000000001" customHeight="1" x14ac:dyDescent="0.2">
      <c r="A22" s="5" t="str">
        <f>HYPERLINK("#'Input - Freight'!A1", "Freight")</f>
        <v>Freight</v>
      </c>
      <c r="D22" s="2" t="s">
        <v>1734</v>
      </c>
    </row>
    <row r="23" spans="1:11" ht="20.100000000000001" customHeight="1" x14ac:dyDescent="0.2">
      <c r="A23" s="5" t="str">
        <f>HYPERLINK("#'Input - Solid waste'!A1", "Solid waste")</f>
        <v>Solid waste</v>
      </c>
      <c r="D23" s="17" t="s">
        <v>1735</v>
      </c>
    </row>
    <row r="24" spans="1:11" ht="20.100000000000001" customHeight="1" x14ac:dyDescent="0.2">
      <c r="A24" s="5" t="str">
        <f>HYPERLINK("#'Input - Manure sent off-site'!A1", "Manure sent off-site")</f>
        <v>Manure sent off-site</v>
      </c>
      <c r="D24" s="26" t="s">
        <v>1736</v>
      </c>
    </row>
    <row r="25" spans="1:11" ht="20.100000000000001" customHeight="1" x14ac:dyDescent="0.2">
      <c r="A25" s="5" t="str">
        <f>HYPERLINK("#'Input - Data quality'!A1", "Data quality")</f>
        <v>Data quality</v>
      </c>
      <c r="D25" s="104"/>
      <c r="E25" s="104"/>
    </row>
    <row r="28" spans="1:11" ht="20.100000000000001" customHeight="1" x14ac:dyDescent="0.2">
      <c r="A28" s="6" t="s">
        <v>2</v>
      </c>
      <c r="D28" s="77" t="s">
        <v>374</v>
      </c>
      <c r="E28" s="1" t="s">
        <v>1727</v>
      </c>
    </row>
    <row r="29" spans="1:11" ht="20.100000000000001" customHeight="1" x14ac:dyDescent="0.2">
      <c r="A29" s="5" t="str">
        <f>HYPERLINK("#'3.2.1.1-2 Enteric Methane'!A1", "3.2.1.1-2 Enteric Methane")</f>
        <v>3.2.1.1-2 Enteric Methane</v>
      </c>
      <c r="D29" s="77" t="s">
        <v>126</v>
      </c>
      <c r="E29" s="9" t="s">
        <v>6</v>
      </c>
    </row>
    <row r="30" spans="1:11" ht="20.100000000000001" customHeight="1" x14ac:dyDescent="0.2">
      <c r="A30" s="5" t="str">
        <f>HYPERLINK("#'4.2.1.1-2 Methane'!A1", "4.2.1.1-2 Manure methane")</f>
        <v>4.2.1.1-2 Manure methane</v>
      </c>
    </row>
    <row r="31" spans="1:11" ht="20.100000000000001" customHeight="1" x14ac:dyDescent="0.2">
      <c r="A31" s="5" t="str">
        <f>HYPERLINK("#'4.2.1.3-4 Soil direct N20'!A1", "4.2.1.3-4 Soil direct N2O")</f>
        <v>4.2.1.3-4 Soil direct N2O</v>
      </c>
      <c r="D31" s="106" t="s">
        <v>1728</v>
      </c>
      <c r="E31" s="107" t="s">
        <v>1729</v>
      </c>
      <c r="F31" s="108"/>
      <c r="G31" s="108"/>
      <c r="H31" s="106" t="s">
        <v>778</v>
      </c>
      <c r="I31" s="110" t="s">
        <v>1325</v>
      </c>
      <c r="J31" s="106">
        <f>X_Cell_Electricity_Market_AmountPurchasedExcludingGreenPower</f>
        <v>30000</v>
      </c>
    </row>
    <row r="32" spans="1:11" ht="20.100000000000001" customHeight="1" x14ac:dyDescent="0.2">
      <c r="A32" s="5" t="str">
        <f>HYPERLINK("#'4.2.1.5-6 Soil Atmos Dep'!A1", "4.2.1.5-6 Soil atm. deposition")</f>
        <v>4.2.1.5-6 Soil atm. deposition</v>
      </c>
      <c r="D32" s="106" t="s">
        <v>1737</v>
      </c>
      <c r="E32" s="107" t="s">
        <v>1738</v>
      </c>
      <c r="F32" s="108"/>
      <c r="G32" s="108"/>
      <c r="H32" s="106" t="s">
        <v>1747</v>
      </c>
      <c r="I32" s="110" t="s">
        <v>1325</v>
      </c>
      <c r="J32" s="185">
        <f>X_Cell_Electricity_Market_RenewablePowerPercentage</f>
        <v>0.1</v>
      </c>
    </row>
    <row r="33" spans="1:10" ht="20.100000000000001" customHeight="1" x14ac:dyDescent="0.2">
      <c r="A33" s="5" t="str">
        <f>HYPERLINK("#'4.2.1.7-8 Soil leach runoff'!A1", "4.2.1.7-8 Soil leach &amp; runoff")</f>
        <v>4.2.1.7-8 Soil leach &amp; runoff</v>
      </c>
      <c r="D33" s="106" t="s">
        <v>1739</v>
      </c>
      <c r="E33" s="107" t="s">
        <v>1740</v>
      </c>
      <c r="F33" s="108"/>
      <c r="G33" s="108"/>
      <c r="H33" s="106" t="s">
        <v>1747</v>
      </c>
      <c r="I33" s="110" t="s">
        <v>1325</v>
      </c>
      <c r="J33" s="185" t="str">
        <f>IF(J37="ACT", X_Cell_Electricity_Market_JurisdictionalRenewablePowerPercentage, "N/A")</f>
        <v>N/A</v>
      </c>
    </row>
    <row r="34" spans="1:10" ht="20.100000000000001" customHeight="1" x14ac:dyDescent="0.2">
      <c r="A34" s="5" t="str">
        <f>HYPERLINK("#'5.1.1.1-2 Inorganic fert N2O'!A1", "5.1.1.1-2 Inorganic fert N2O")</f>
        <v>5.1.1.1-2 Inorganic fert N2O</v>
      </c>
      <c r="D34" s="106" t="s">
        <v>1741</v>
      </c>
      <c r="E34" s="107" t="s">
        <v>1742</v>
      </c>
      <c r="F34" s="108"/>
      <c r="G34" s="108"/>
      <c r="H34" s="106" t="s">
        <v>794</v>
      </c>
      <c r="I34" s="110" t="s">
        <v>1325</v>
      </c>
      <c r="J34" s="106">
        <f>(X_Cell_Electricity_Market_AmountPurchasedGreenPower*10^-3)+X_Cell_TotalElegibleVoluntarilySurrenderedRECs</f>
        <v>20</v>
      </c>
    </row>
    <row r="35" spans="1:10" ht="20.100000000000001" customHeight="1" x14ac:dyDescent="0.2">
      <c r="A35" s="5" t="str">
        <f>HYPERLINK("#'5.1.1.3-4 Inorganic fert CO2'!A1", "5.1.1.3-4 Inorganic fert CO2")</f>
        <v>5.1.1.3-4 Inorganic fert CO2</v>
      </c>
      <c r="D35" s="106" t="s">
        <v>1743</v>
      </c>
      <c r="E35" s="107" t="s">
        <v>1744</v>
      </c>
      <c r="F35" s="108"/>
      <c r="G35" s="108"/>
      <c r="H35" s="106" t="s">
        <v>794</v>
      </c>
      <c r="I35" s="110" t="s">
        <v>1325</v>
      </c>
      <c r="J35" s="106">
        <f>X_Cell_TotalElegibleRECsForElectricityProducedOnSite</f>
        <v>11</v>
      </c>
    </row>
    <row r="36" spans="1:10" ht="20.100000000000001" customHeight="1" x14ac:dyDescent="0.2">
      <c r="A36" s="5" t="str">
        <f>HYPERLINK("#'5.2.1.1-2 Organic Fert N2O'!A1", "5.2.1.1-2 Organic fert N2O")</f>
        <v>5.2.1.1-2 Organic fert N2O</v>
      </c>
      <c r="D36" s="106" t="s">
        <v>1745</v>
      </c>
      <c r="E36" s="107" t="s">
        <v>1746</v>
      </c>
      <c r="F36" s="108"/>
      <c r="G36" s="108"/>
      <c r="H36" s="106" t="s">
        <v>1733</v>
      </c>
      <c r="I36" s="111" t="s">
        <v>1326</v>
      </c>
      <c r="J36" s="106" cm="1">
        <f t="array" ref="J36">Table_SourceData_ElectricityEFsMarketBased[Scope 2 EF (kg CO2-e/kWh)]</f>
        <v>0.81</v>
      </c>
    </row>
    <row r="37" spans="1:10" ht="20.100000000000001" customHeight="1" x14ac:dyDescent="0.2">
      <c r="A37" s="5" t="str">
        <f>HYPERLINK("#'5.3.1.1-2 Lime CO2'!A1", "5.3.1.1-2 Lime CO2")</f>
        <v>5.3.1.1-2 Lime CO2</v>
      </c>
      <c r="D37" s="106" t="s">
        <v>1373</v>
      </c>
      <c r="E37" s="107" t="s">
        <v>1374</v>
      </c>
      <c r="F37" s="108"/>
      <c r="G37" s="109"/>
      <c r="H37" s="106"/>
      <c r="I37" s="110" t="s">
        <v>1325</v>
      </c>
      <c r="J37" s="106" t="str">
        <f>X_Cell_Site_State</f>
        <v>Western Australia</v>
      </c>
    </row>
    <row r="38" spans="1:10" ht="20.100000000000001" customHeight="1" x14ac:dyDescent="0.2">
      <c r="A38" s="5" t="str">
        <f>HYPERLINK("#'5.4.1.1-4 Atmos deposition'!A1", "5.4.1.1-4 Atmos. deposition")</f>
        <v>5.4.1.1-4 Atmos. deposition</v>
      </c>
    </row>
    <row r="39" spans="1:10" ht="20.100000000000001" customHeight="1" x14ac:dyDescent="0.2">
      <c r="A39" s="5" t="str">
        <f>HYPERLINK("#'5.5.1.1-2 Leaching and runoff'!A1", "5.5.1.1-2 Leaching &amp; runoff")</f>
        <v>5.5.1.1-2 Leaching &amp; runoff</v>
      </c>
      <c r="D39" s="91" t="s">
        <v>808</v>
      </c>
      <c r="E39" s="92">
        <f>(((J31 * (1 - (J32 + (IF(ISNUMBER(J33), J33, 0))))) - ((J34 - J35) * 10 ^ 3)) * J36 * 10 ^ -3)</f>
        <v>14.580000000000002</v>
      </c>
      <c r="F39" s="96" t="str">
        <f>E29</f>
        <v>t CO2e</v>
      </c>
    </row>
    <row r="40" spans="1:10" ht="20.100000000000001" customHeight="1" x14ac:dyDescent="0.2">
      <c r="A40" s="5" t="str">
        <f>HYPERLINK("#'6.2.1.1-2 Pasture residue N2O'!A1", "6.2.1.1-2 Pasture residue N2O")</f>
        <v>6.2.1.1-2 Pasture residue N2O</v>
      </c>
      <c r="H40" s="1" t="s">
        <v>802</v>
      </c>
    </row>
    <row r="41" spans="1:10" ht="20.100000000000001" customHeight="1" x14ac:dyDescent="0.2">
      <c r="A41" s="5" t="str">
        <f>HYPERLINK("#'6.3.1.1-2 Leach runoff pasture'!A1", "6.3.1.1-2 Leach &amp; runoff (pasture)")</f>
        <v>6.3.1.1-2 Leach &amp; runoff (pasture)</v>
      </c>
    </row>
    <row r="42" spans="1:10" ht="20.100000000000001" customHeight="1" x14ac:dyDescent="0.2">
      <c r="A42" s="5" t="str">
        <f>HYPERLINK("#'8.1.1.1-2 Transport fuel'!A1", "8.1.1.1-2 Transport fuel")</f>
        <v>8.1.1.1-2 Transport fuel</v>
      </c>
    </row>
    <row r="43" spans="1:10" ht="20.100000000000001" customHeight="1" x14ac:dyDescent="0.2">
      <c r="A43" s="5" t="str">
        <f>HYPERLINK("#'8.2.1.1-2 Stationary fuel'!A1", "8.2.1.1-2 Stationary fuel")</f>
        <v>8.2.1.1-2 Stationary fuel</v>
      </c>
    </row>
    <row r="44" spans="1:10" ht="20.100000000000001" customHeight="1" x14ac:dyDescent="0.2">
      <c r="A44" s="5" t="str">
        <f>HYPERLINK("#'10.1.1-2 Solid waste treatment'!A1", "10.1.1.1-2 Solid waste")</f>
        <v>10.1.1.1-2 Solid waste</v>
      </c>
      <c r="E44" s="143"/>
    </row>
    <row r="45" spans="1:10" ht="20.100000000000001" customHeight="1" x14ac:dyDescent="0.2">
      <c r="A45" s="105" t="str">
        <f>HYPERLINK("#'14.1.1-2 Purchased electricity'!A1", "14.1.1-2 Purchased electricity")</f>
        <v>14.1.1-2 Purchased electricity</v>
      </c>
    </row>
    <row r="46" spans="1:10" ht="20.100000000000001" customHeight="1" x14ac:dyDescent="0.2">
      <c r="A46" s="5" t="str">
        <f>HYPERLINK("#'15 Scope 3'!A1", "15 Scope 3")</f>
        <v>15 Scope 3</v>
      </c>
    </row>
    <row r="47" spans="1:10"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G132 I129:I133 F134:I134 F129:F132 H128:H132 G129 F148:I148 I149 F150:I150" xr:uid="{6433D867-8465-45D6-BBF6-7B2BAF1B9AB8}"/>
  </dataValidations>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018CA-3DE1-459B-9E37-B8D37090E671}">
  <sheetPr>
    <tabColor theme="9" tint="-0.249977111117893"/>
  </sheetPr>
  <dimension ref="A1:AO657"/>
  <sheetViews>
    <sheetView showGridLines="0" zoomScaleNormal="100" workbookViewId="0">
      <pane xSplit="1" topLeftCell="B1" activePane="topRight" state="frozenSplit"/>
      <selection pane="topRight" activeCell="A16" sqref="A16"/>
    </sheetView>
  </sheetViews>
  <sheetFormatPr defaultRowHeight="20.100000000000001" customHeight="1" x14ac:dyDescent="0.2"/>
  <cols>
    <col min="1" max="1" width="36.7109375" customWidth="1"/>
    <col min="2" max="2" width="4.5703125" customWidth="1"/>
    <col min="3" max="3" width="4.5703125" style="1" customWidth="1"/>
    <col min="4" max="40" width="30.5703125" style="1" customWidth="1"/>
    <col min="41" max="41" width="4.5703125" style="1" customWidth="1"/>
  </cols>
  <sheetData>
    <row r="1" spans="1:41" s="21" customFormat="1" ht="30" customHeight="1" x14ac:dyDescent="0.35">
      <c r="A1" s="10" t="e" vm="1">
        <v>#VALUE!</v>
      </c>
      <c r="C1" s="21" t="s">
        <v>1166</v>
      </c>
    </row>
    <row r="2" spans="1:41" s="3" customFormat="1" ht="20.100000000000001" customHeight="1" x14ac:dyDescent="0.2">
      <c r="A2"/>
    </row>
    <row r="3" spans="1:41"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row>
    <row r="4" spans="1:41" ht="20.100000000000001" customHeight="1" x14ac:dyDescent="0.2">
      <c r="A4" s="5" t="str">
        <f>HYPERLINK("#'Results - Activity period'!A1", "Results - Activity period")</f>
        <v>Results - Activity period</v>
      </c>
    </row>
    <row r="5" spans="1:41" ht="20.100000000000001" customHeight="1" x14ac:dyDescent="0.2">
      <c r="A5" s="5" t="str">
        <f>HYPERLINK("#'Results - Product EI'!A1", "Results - Product Emissions Intensity")</f>
        <v>Results - Product Emissions Intensity</v>
      </c>
      <c r="D5" s="2" t="s">
        <v>1748</v>
      </c>
    </row>
    <row r="6" spans="1:41" ht="20.100000000000001" customHeight="1" x14ac:dyDescent="0.2">
      <c r="D6" s="17" t="s">
        <v>1749</v>
      </c>
    </row>
    <row r="7" spans="1:41" ht="20.100000000000001" customHeight="1" x14ac:dyDescent="0.2">
      <c r="D7" s="104"/>
      <c r="E7" s="104"/>
    </row>
    <row r="8" spans="1:41" ht="20.100000000000001" customHeight="1" x14ac:dyDescent="0.2">
      <c r="A8" s="7" t="s">
        <v>0</v>
      </c>
    </row>
    <row r="9" spans="1:41" ht="20.100000000000001" customHeight="1" x14ac:dyDescent="0.2">
      <c r="A9" s="5" t="str">
        <f>HYPERLINK("#'Input - Enterprise'!A1", "Enterprise")</f>
        <v>Enterprise</v>
      </c>
      <c r="H9" s="104"/>
    </row>
    <row r="10" spans="1:41" ht="20.100000000000001" customHeight="1" x14ac:dyDescent="0.2">
      <c r="A10" s="5" t="str">
        <f>HYPERLINK("#'Input - Site'!A1", "Site")</f>
        <v>Site</v>
      </c>
      <c r="D10" s="77" t="s">
        <v>374</v>
      </c>
      <c r="E10" s="1" t="s">
        <v>1281</v>
      </c>
    </row>
    <row r="11" spans="1:41" ht="20.100000000000001" customHeight="1" x14ac:dyDescent="0.2">
      <c r="A11" s="5" t="str">
        <f>HYPERLINK("#'Input - Pasture Beef'!A1", "Pasture Beef")</f>
        <v>Pasture Beef</v>
      </c>
      <c r="D11" s="77" t="s">
        <v>126</v>
      </c>
      <c r="E11" s="9" t="s">
        <v>6</v>
      </c>
    </row>
    <row r="12" spans="1:41" ht="20.100000000000001" customHeight="1" x14ac:dyDescent="0.2">
      <c r="A12" s="5" t="str">
        <f>HYPERLINK("#'Input - Livestock sales'!A1", "Livestock sales")</f>
        <v>Livestock sales</v>
      </c>
    </row>
    <row r="13" spans="1:41" ht="20.100000000000001" customHeight="1" x14ac:dyDescent="0.2">
      <c r="A13" s="5" t="str">
        <f>HYPERLINK("#'Input - Beef cattle purchases'!A1", "Beef cattle purchases")</f>
        <v>Beef cattle purchases</v>
      </c>
      <c r="D13" s="106" t="s">
        <v>1750</v>
      </c>
      <c r="E13" s="107" t="s">
        <v>1751</v>
      </c>
      <c r="F13" s="109"/>
      <c r="G13" s="106" t="s">
        <v>426</v>
      </c>
      <c r="H13" s="251" t="s">
        <v>1325</v>
      </c>
    </row>
    <row r="14" spans="1:41" ht="20.100000000000001" customHeight="1" x14ac:dyDescent="0.2">
      <c r="A14" s="5" t="str">
        <f>HYPERLINK("#'Input - Pasture'!A1", "Pasture")</f>
        <v>Pasture</v>
      </c>
      <c r="D14" s="106" t="s">
        <v>1752</v>
      </c>
      <c r="E14" s="107" t="s">
        <v>1753</v>
      </c>
      <c r="F14" s="109"/>
      <c r="G14" s="106" t="s">
        <v>343</v>
      </c>
      <c r="H14" s="251" t="s">
        <v>1325</v>
      </c>
    </row>
    <row r="15" spans="1:41" ht="20.100000000000001" customHeight="1" x14ac:dyDescent="0.2">
      <c r="A15" s="5" t="str">
        <f>HYPERLINK("#'Input - Fert Prod System'!A1", "Fert Prod System")</f>
        <v>Fert Prod System</v>
      </c>
      <c r="D15" s="106" t="s">
        <v>1754</v>
      </c>
      <c r="E15" s="107" t="s">
        <v>1755</v>
      </c>
      <c r="F15" s="109"/>
      <c r="G15" s="106" t="s">
        <v>1759</v>
      </c>
      <c r="H15" s="111" t="s">
        <v>1326</v>
      </c>
    </row>
    <row r="16" spans="1:41" ht="20.100000000000001" customHeight="1" x14ac:dyDescent="0.2">
      <c r="A16" s="5" t="str">
        <f>HYPERLINK("#'Input - Fertiliser'!A1", "Fertiliser")</f>
        <v>Fertiliser</v>
      </c>
      <c r="D16" s="106" t="s">
        <v>1514</v>
      </c>
      <c r="E16" s="107" t="s">
        <v>1756</v>
      </c>
      <c r="F16" s="109"/>
      <c r="G16" s="106"/>
      <c r="H16" s="251" t="s">
        <v>1325</v>
      </c>
    </row>
    <row r="17" spans="1:16" ht="20.100000000000001" customHeight="1" x14ac:dyDescent="0.2">
      <c r="A17" s="5" t="str">
        <f>HYPERLINK("#'Input - Fuel'!A1", "Fuel")</f>
        <v>Fuel</v>
      </c>
      <c r="D17" s="106" t="s">
        <v>1757</v>
      </c>
      <c r="E17" s="107" t="s">
        <v>1758</v>
      </c>
      <c r="F17" s="109"/>
      <c r="G17" s="106"/>
      <c r="H17" s="251" t="s">
        <v>1325</v>
      </c>
    </row>
    <row r="18" spans="1:16" ht="20.100000000000001" customHeight="1" x14ac:dyDescent="0.2">
      <c r="A18" s="5" t="str">
        <f>HYPERLINK("#'Input - Electricity'!A1", "Electricity")</f>
        <v>Electricity</v>
      </c>
    </row>
    <row r="19" spans="1:16" ht="20.100000000000001" customHeight="1" x14ac:dyDescent="0.2">
      <c r="A19" s="5" t="str">
        <f>HYPERLINK("#'Input - Common farm inputs'!A1", "Common farm inputs")</f>
        <v>Common farm inputs</v>
      </c>
      <c r="D19" s="36" t="s">
        <v>1167</v>
      </c>
      <c r="E19" s="38"/>
      <c r="F19" s="39"/>
    </row>
    <row r="20" spans="1:16" ht="20.100000000000001" customHeight="1" x14ac:dyDescent="0.2">
      <c r="A20" s="5" t="str">
        <f>HYPERLINK("#'Input - Crop pasture farm input'!A1", "Crop pasture farm input")</f>
        <v>Crop pasture farm input</v>
      </c>
    </row>
    <row r="21" spans="1:16" ht="20.100000000000001" customHeight="1" x14ac:dyDescent="0.2">
      <c r="A21" s="5" t="str">
        <f>HYPERLINK("#'Input - Livestock farm Inputs'!A1", "Livestock farm Inputs")</f>
        <v>Livestock farm Inputs</v>
      </c>
      <c r="D21" s="241" t="s">
        <v>1168</v>
      </c>
    </row>
    <row r="22" spans="1:16" ht="20.100000000000001" customHeight="1" x14ac:dyDescent="0.2">
      <c r="A22" s="5" t="str">
        <f>HYPERLINK("#'Input - Freight'!A1", "Freight")</f>
        <v>Freight</v>
      </c>
      <c r="D22" s="82" t="s">
        <v>1169</v>
      </c>
      <c r="E22" s="252" t="s">
        <v>1170</v>
      </c>
      <c r="F22" s="252" t="s">
        <v>1171</v>
      </c>
      <c r="G22" s="252" t="s">
        <v>1172</v>
      </c>
      <c r="H22" s="252" t="s">
        <v>1173</v>
      </c>
      <c r="I22" s="115" t="s">
        <v>1174</v>
      </c>
      <c r="J22" s="115" t="s">
        <v>1175</v>
      </c>
      <c r="K22" s="252" t="s">
        <v>1176</v>
      </c>
      <c r="L22" s="82" t="s">
        <v>1177</v>
      </c>
      <c r="M22" s="115" t="s">
        <v>1178</v>
      </c>
      <c r="N22" s="82" t="s">
        <v>1179</v>
      </c>
      <c r="O22" s="82" t="s">
        <v>1180</v>
      </c>
      <c r="P22" s="82" t="s">
        <v>1181</v>
      </c>
    </row>
    <row r="23" spans="1:16" ht="20.100000000000001" customHeight="1" x14ac:dyDescent="0.2">
      <c r="A23" s="5" t="str">
        <f>HYPERLINK("#'Input - Solid waste'!A1", "Solid waste")</f>
        <v>Solid waste</v>
      </c>
      <c r="D23" s="15" t="str" cm="1">
        <f t="array" ref="D23:D32">IFERROR(INDEX(Table_Input_LivestockPurchases_Beefcattle[Transaction name], _xlfn.SEQUENCE(10)), "")</f>
        <v>Cows from Barry</v>
      </c>
      <c r="E23" s="15" t="str" cm="1">
        <f t="array" ref="E23:E32">IFERROR(INDEX(Table_Input_LivestockPurchases_Beefcattle[Purchase class (select)], _xlfn.SEQUENCE(10)), "")</f>
        <v>Cattle, for prime beef</v>
      </c>
      <c r="F23" s="15" t="str" cm="1">
        <f t="array" ref="F23:F32">IFERROR(_xlfn.XLOOKUP(INDEX(Table_Input_LivestockPurchases_Beefcattle[Source region (Select)], _xlfn.SEQUENCE(10)), Table_ProductRegions_Beefcattle[Region],Table_ProductRegions_Beefcattle[Scope3 region]), "")</f>
        <v>WA</v>
      </c>
      <c r="G23" s="15" cm="1">
        <f t="array" ref="G23:G32">IFERROR(INDEX(Table_Input_LivestockPurchases_Beefcattle[Quantity (head)], _xlfn.SEQUENCE(10)), "")</f>
        <v>100</v>
      </c>
      <c r="H23" s="15" cm="1">
        <f t="array" ref="H23:H32">IFERROR(INDEX(Table_Input_LivestockPurchases_Beefcattle[Liveweight (kg/head) Method 1], _xlfn.SEQUENCE(10)), 0)</f>
        <v>210</v>
      </c>
      <c r="I23" s="15">
        <v>20.8</v>
      </c>
      <c r="J23" s="253">
        <f>((G23 * H23 * I23) * 10 ^ -3)</f>
        <v>436.8</v>
      </c>
      <c r="K23" s="15" cm="1">
        <f t="array" ref="K23:K32">IFERROR(INDEX(Table_Input_LivestockPurchases_Beefcattle[Liveweight (kg/head) Method 2], _xlfn.SEQUENCE(10)), "")</f>
        <v>205</v>
      </c>
      <c r="L23" s="76">
        <v>20</v>
      </c>
      <c r="M23" s="253">
        <f>((G23 * K23 * (IF(L23, L23, I23))) * 10 ^ -3)</f>
        <v>410</v>
      </c>
      <c r="N23" s="34" t="s">
        <v>1182</v>
      </c>
      <c r="O23" s="13" t="s">
        <v>1183</v>
      </c>
      <c r="P23" t="s">
        <v>1184</v>
      </c>
    </row>
    <row r="24" spans="1:16" ht="20.100000000000001" customHeight="1" x14ac:dyDescent="0.2">
      <c r="A24" s="5" t="str">
        <f>HYPERLINK("#'Input - Manure sent off-site'!A1", "Manure sent off-site")</f>
        <v>Manure sent off-site</v>
      </c>
      <c r="D24" s="15">
        <v>0</v>
      </c>
      <c r="E24" s="15" t="str">
        <v>Cattle, for manufacturing beef</v>
      </c>
      <c r="F24" s="15" t="str">
        <v>WA</v>
      </c>
      <c r="G24" s="15">
        <v>100</v>
      </c>
      <c r="H24" s="15">
        <v>470</v>
      </c>
      <c r="I24" s="15">
        <v>13.1</v>
      </c>
      <c r="J24" s="253">
        <f>((G24 * H24 * I24) * 10 ^ -3)</f>
        <v>615.70000000000005</v>
      </c>
      <c r="K24" s="15">
        <v>465</v>
      </c>
      <c r="L24" s="76">
        <v>13</v>
      </c>
      <c r="M24" s="253">
        <f>((G24 * K24 * (IF(L24, L24, I24))) * 10 ^ -3)</f>
        <v>604.5</v>
      </c>
      <c r="N24" s="34"/>
      <c r="O24" s="13"/>
      <c r="P24" s="34"/>
    </row>
    <row r="25" spans="1:16" ht="20.100000000000001" customHeight="1" x14ac:dyDescent="0.2">
      <c r="A25" s="5" t="str">
        <f>HYPERLINK("#'Input - Data quality'!A1", "Data quality")</f>
        <v>Data quality</v>
      </c>
      <c r="D25" s="15">
        <v>0</v>
      </c>
      <c r="E25" s="15">
        <v>0</v>
      </c>
      <c r="F25" s="15" t="str">
        <v/>
      </c>
      <c r="G25" s="15">
        <v>0</v>
      </c>
      <c r="H25" s="15">
        <v>0</v>
      </c>
      <c r="I25" s="15">
        <v>0</v>
      </c>
      <c r="J25" s="253">
        <f>((G25 * H25 * I25) * 10 ^ -3)</f>
        <v>0</v>
      </c>
      <c r="K25" s="15">
        <v>0</v>
      </c>
      <c r="L25" s="76"/>
      <c r="M25" s="253">
        <f>((G25 * K25 * (IF(L25, L25, I25))) * 10 ^ -3)</f>
        <v>0</v>
      </c>
      <c r="N25" s="34"/>
      <c r="O25" s="13"/>
      <c r="P25" s="34"/>
    </row>
    <row r="26" spans="1:16" ht="20.100000000000001" customHeight="1" x14ac:dyDescent="0.2">
      <c r="D26" s="15">
        <v>0</v>
      </c>
      <c r="E26" s="15">
        <v>0</v>
      </c>
      <c r="F26" s="15" t="str">
        <v/>
      </c>
      <c r="G26" s="15">
        <v>0</v>
      </c>
      <c r="H26" s="15">
        <v>0</v>
      </c>
      <c r="I26" s="15">
        <v>0</v>
      </c>
      <c r="J26" s="253">
        <f>((G26 * H26 * I26) * 10 ^ -3)</f>
        <v>0</v>
      </c>
      <c r="K26" s="15">
        <v>0</v>
      </c>
      <c r="L26" s="76"/>
      <c r="M26" s="253">
        <f>((G26 * K26 * (IF(L26, L26, I26))) * 10 ^ -3)</f>
        <v>0</v>
      </c>
      <c r="N26" s="34"/>
      <c r="O26" s="13"/>
      <c r="P26" s="34"/>
    </row>
    <row r="27" spans="1:16" ht="20.100000000000001" customHeight="1" x14ac:dyDescent="0.2">
      <c r="D27" s="15">
        <v>0</v>
      </c>
      <c r="E27" s="15">
        <v>0</v>
      </c>
      <c r="F27" s="15" t="str">
        <v/>
      </c>
      <c r="G27" s="15">
        <v>0</v>
      </c>
      <c r="H27" s="15">
        <v>0</v>
      </c>
      <c r="I27" s="15">
        <v>0</v>
      </c>
      <c r="J27" s="253">
        <f>((G27 * H27 * I27) * 10 ^ -3)</f>
        <v>0</v>
      </c>
      <c r="K27" s="15">
        <v>0</v>
      </c>
      <c r="L27" s="76"/>
      <c r="M27" s="253">
        <f>((G27 * K27 * (IF(L27, L27, I27))) * 10 ^ -3)</f>
        <v>0</v>
      </c>
      <c r="N27" s="34"/>
      <c r="O27" s="13"/>
      <c r="P27" s="34"/>
    </row>
    <row r="28" spans="1:16" ht="20.100000000000001" customHeight="1" x14ac:dyDescent="0.2">
      <c r="A28" s="6" t="s">
        <v>2</v>
      </c>
      <c r="D28" s="15">
        <v>0</v>
      </c>
      <c r="E28" s="15">
        <v>0</v>
      </c>
      <c r="F28" s="15" t="str">
        <v/>
      </c>
      <c r="G28" s="15">
        <v>0</v>
      </c>
      <c r="H28" s="15">
        <v>0</v>
      </c>
      <c r="I28" s="15">
        <v>0</v>
      </c>
      <c r="J28" s="253">
        <f>((G28 * H28 * I28) * 10 ^ -3)</f>
        <v>0</v>
      </c>
      <c r="K28" s="15">
        <v>0</v>
      </c>
      <c r="L28" s="76"/>
      <c r="M28" s="253">
        <f>((G28 * K28 * (IF(L28, L28, I28))) * 10 ^ -3)</f>
        <v>0</v>
      </c>
      <c r="N28" s="34"/>
      <c r="O28" s="13"/>
      <c r="P28" s="34"/>
    </row>
    <row r="29" spans="1:16" ht="20.100000000000001" customHeight="1" x14ac:dyDescent="0.2">
      <c r="A29" s="5" t="str">
        <f>HYPERLINK("#'3.2.1.1-2 Enteric Methane'!A1", "3.2.1.1-2 Enteric Methane")</f>
        <v>3.2.1.1-2 Enteric Methane</v>
      </c>
      <c r="D29" s="15">
        <v>0</v>
      </c>
      <c r="E29" s="15">
        <v>0</v>
      </c>
      <c r="F29" s="15" t="str">
        <v/>
      </c>
      <c r="G29" s="15">
        <v>0</v>
      </c>
      <c r="H29" s="15">
        <v>0</v>
      </c>
      <c r="I29" s="15">
        <v>0</v>
      </c>
      <c r="J29" s="253">
        <f>((G29 * H29 * I29) * 10 ^ -3)</f>
        <v>0</v>
      </c>
      <c r="K29" s="15">
        <v>0</v>
      </c>
      <c r="L29" s="76"/>
      <c r="M29" s="253">
        <f>((G29 * K29 * (IF(L29, L29, I29))) * 10 ^ -3)</f>
        <v>0</v>
      </c>
      <c r="N29" s="34"/>
      <c r="O29" s="13"/>
      <c r="P29" s="34"/>
    </row>
    <row r="30" spans="1:16" ht="20.100000000000001" customHeight="1" x14ac:dyDescent="0.2">
      <c r="A30" s="5" t="str">
        <f>HYPERLINK("#'4.2.1.1-2 Methane'!A1", "4.2.1.1-2 Manure methane")</f>
        <v>4.2.1.1-2 Manure methane</v>
      </c>
      <c r="D30" s="15">
        <v>0</v>
      </c>
      <c r="E30" s="15">
        <v>0</v>
      </c>
      <c r="F30" s="15" t="str">
        <v/>
      </c>
      <c r="G30" s="15">
        <v>0</v>
      </c>
      <c r="H30" s="15">
        <v>0</v>
      </c>
      <c r="I30" s="15">
        <v>0</v>
      </c>
      <c r="J30" s="253">
        <f>((G30 * H30 * I30) * 10 ^ -3)</f>
        <v>0</v>
      </c>
      <c r="K30" s="15">
        <v>0</v>
      </c>
      <c r="L30" s="76"/>
      <c r="M30" s="253">
        <f>((G30 * K30 * (IF(L30, L30, I30))) * 10 ^ -3)</f>
        <v>0</v>
      </c>
      <c r="N30" s="34"/>
      <c r="O30" s="13"/>
      <c r="P30" s="34"/>
    </row>
    <row r="31" spans="1:16" ht="20.100000000000001" customHeight="1" x14ac:dyDescent="0.2">
      <c r="A31" s="5" t="str">
        <f>HYPERLINK("#'4.2.1.3-4 Soil direct N20'!A1", "4.2.1.3-4 Soil direct N2O")</f>
        <v>4.2.1.3-4 Soil direct N2O</v>
      </c>
      <c r="D31" s="15">
        <v>0</v>
      </c>
      <c r="E31" s="15">
        <v>0</v>
      </c>
      <c r="F31" s="15" t="str">
        <v/>
      </c>
      <c r="G31" s="15">
        <v>0</v>
      </c>
      <c r="H31" s="15">
        <v>0</v>
      </c>
      <c r="I31" s="15">
        <v>0</v>
      </c>
      <c r="J31" s="253">
        <f>((G31 * H31 * I31) * 10 ^ -3)</f>
        <v>0</v>
      </c>
      <c r="K31" s="15">
        <v>0</v>
      </c>
      <c r="L31" s="76"/>
      <c r="M31" s="253">
        <f>((G31 * K31 * (IF(L31, L31, I31))) * 10 ^ -3)</f>
        <v>0</v>
      </c>
      <c r="N31" s="34"/>
      <c r="O31" s="13"/>
      <c r="P31" s="34"/>
    </row>
    <row r="32" spans="1:16" ht="20.100000000000001" customHeight="1" x14ac:dyDescent="0.2">
      <c r="A32" s="5" t="str">
        <f>HYPERLINK("#'4.2.1.5-6 Soil Atmos Dep'!A1", "4.2.1.5-6 Soil atm. deposition")</f>
        <v>4.2.1.5-6 Soil atm. deposition</v>
      </c>
      <c r="D32" s="15">
        <v>0</v>
      </c>
      <c r="E32" s="15">
        <v>0</v>
      </c>
      <c r="F32" s="15" t="str">
        <v/>
      </c>
      <c r="G32" s="15">
        <v>0</v>
      </c>
      <c r="H32" s="15">
        <v>0</v>
      </c>
      <c r="I32" s="15">
        <v>0</v>
      </c>
      <c r="J32" s="253">
        <f>((G32 * H32 * I32) * 10 ^ -3)</f>
        <v>0</v>
      </c>
      <c r="K32" s="15">
        <v>0</v>
      </c>
      <c r="L32" s="76"/>
      <c r="M32" s="253">
        <f>((G32 * K32 * (IF(L32, L32, I32))) * 10 ^ -3)</f>
        <v>0</v>
      </c>
      <c r="N32" s="34"/>
      <c r="O32" s="13"/>
      <c r="P32" s="34"/>
    </row>
    <row r="33" spans="1:13" ht="20.100000000000001" customHeight="1" x14ac:dyDescent="0.2">
      <c r="A33" s="5" t="str">
        <f>HYPERLINK("#'4.2.1.7-8 Soil leach runoff'!A1", "4.2.1.7-8 Soil leach &amp; runoff")</f>
        <v>4.2.1.7-8 Soil leach &amp; runoff</v>
      </c>
    </row>
    <row r="34" spans="1:13" ht="20.100000000000001" customHeight="1" x14ac:dyDescent="0.2">
      <c r="A34" s="5" t="str">
        <f>HYPERLINK("#'5.1.1.1-2 Inorganic fert N2O'!A1", "5.1.1.1-2 Inorganic fert N2O")</f>
        <v>5.1.1.1-2 Inorganic fert N2O</v>
      </c>
      <c r="D34" s="94" t="s">
        <v>1185</v>
      </c>
      <c r="E34" s="88">
        <f>SUM(J23:J32)</f>
        <v>1052.5</v>
      </c>
      <c r="F34" s="95" t="str">
        <f>$E$11</f>
        <v>t CO2e</v>
      </c>
    </row>
    <row r="35" spans="1:13" ht="20.100000000000001" customHeight="1" x14ac:dyDescent="0.2">
      <c r="A35" s="5" t="str">
        <f>HYPERLINK("#'5.1.1.3-4 Inorganic fert CO2'!A1", "5.1.1.3-4 Inorganic fert CO2")</f>
        <v>5.1.1.3-4 Inorganic fert CO2</v>
      </c>
      <c r="D35" s="94" t="s">
        <v>1186</v>
      </c>
      <c r="E35" s="88">
        <f>SUM(M23:M32)</f>
        <v>1014.5</v>
      </c>
      <c r="F35" s="95" t="str">
        <f>$E$11</f>
        <v>t CO2e</v>
      </c>
    </row>
    <row r="36" spans="1:13" ht="20.100000000000001" customHeight="1" x14ac:dyDescent="0.2">
      <c r="A36" s="5" t="str">
        <f>HYPERLINK("#'5.2.1.1-2 Organic Fert N2O'!A1", "5.2.1.1-2 Organic fert N2O")</f>
        <v>5.2.1.1-2 Organic fert N2O</v>
      </c>
    </row>
    <row r="37" spans="1:13" ht="20.100000000000001" customHeight="1" x14ac:dyDescent="0.2">
      <c r="A37" s="5" t="str">
        <f>HYPERLINK("#'5.3.1.1-2 Lime CO2'!A1", "5.3.1.1-2 Lime CO2")</f>
        <v>5.3.1.1-2 Lime CO2</v>
      </c>
    </row>
    <row r="38" spans="1:13" ht="20.100000000000001" customHeight="1" x14ac:dyDescent="0.2">
      <c r="A38" s="5" t="str">
        <f>HYPERLINK("#'5.4.1.1-4 Atmos deposition'!A1", "5.4.1.1-4 Atmos. deposition")</f>
        <v>5.4.1.1-4 Atmos. deposition</v>
      </c>
      <c r="D38" s="241" t="s">
        <v>1187</v>
      </c>
    </row>
    <row r="39" spans="1:13" ht="20.100000000000001" customHeight="1" x14ac:dyDescent="0.2">
      <c r="A39" s="5" t="str">
        <f>HYPERLINK("#'5.5.1.1-2 Leaching and runoff'!A1", "5.5.1.1-2 Leaching &amp; runoff")</f>
        <v>5.5.1.1-2 Leaching &amp; runoff</v>
      </c>
      <c r="D39" s="106" t="s">
        <v>1188</v>
      </c>
      <c r="E39" s="15">
        <v>4.41</v>
      </c>
    </row>
    <row r="40" spans="1:13" ht="20.100000000000001" customHeight="1" x14ac:dyDescent="0.2">
      <c r="A40" s="5" t="str">
        <f>HYPERLINK("#'6.2.1.1-2 Pasture residue N2O'!A1", "6.2.1.1-2 Pasture residue N2O")</f>
        <v>6.2.1.1-2 Pasture residue N2O</v>
      </c>
    </row>
    <row r="41" spans="1:13" ht="20.100000000000001" customHeight="1" x14ac:dyDescent="0.2">
      <c r="A41" s="5" t="str">
        <f>HYPERLINK("#'6.3.1.1-2 Leach runoff pasture'!A1", "6.3.1.1-2 Leach &amp; runoff (pasture)")</f>
        <v>6.3.1.1-2 Leach &amp; runoff (pasture)</v>
      </c>
      <c r="D41" s="82" t="s">
        <v>1169</v>
      </c>
      <c r="E41" s="252" t="s">
        <v>1172</v>
      </c>
      <c r="F41" s="252" t="s">
        <v>1173</v>
      </c>
      <c r="G41" s="115" t="s">
        <v>1175</v>
      </c>
      <c r="H41" s="252" t="s">
        <v>1176</v>
      </c>
      <c r="I41" s="82" t="s">
        <v>1177</v>
      </c>
      <c r="J41" s="115" t="s">
        <v>1178</v>
      </c>
      <c r="K41" s="82" t="s">
        <v>1179</v>
      </c>
      <c r="L41" s="82" t="s">
        <v>1180</v>
      </c>
      <c r="M41" s="82" t="s">
        <v>1181</v>
      </c>
    </row>
    <row r="42" spans="1:13" ht="20.100000000000001" customHeight="1" x14ac:dyDescent="0.2">
      <c r="A42" s="5" t="str">
        <f>HYPERLINK("#'8.1.1.1-2 Transport fuel'!A1", "8.1.1.1-2 Transport fuel")</f>
        <v>8.1.1.1-2 Transport fuel</v>
      </c>
      <c r="D42" s="15"/>
      <c r="E42" s="15"/>
      <c r="F42" s="15"/>
      <c r="G42" s="253">
        <f>((E42 * F42 * $E$39) * 10 ^ -3)</f>
        <v>0</v>
      </c>
      <c r="H42" s="15"/>
      <c r="I42" s="76">
        <v>4</v>
      </c>
      <c r="J42" s="253">
        <f>((E42 * H42 * (IF(I42,I42,$E$39))) * 10 ^ -3)</f>
        <v>0</v>
      </c>
      <c r="K42" s="34" t="s">
        <v>1182</v>
      </c>
      <c r="L42" s="13" t="s">
        <v>1183</v>
      </c>
      <c r="M42" t="s">
        <v>1184</v>
      </c>
    </row>
    <row r="43" spans="1:13" ht="20.100000000000001" customHeight="1" x14ac:dyDescent="0.2">
      <c r="A43" s="5" t="str">
        <f>HYPERLINK("#'8.2.1.1-2 Stationary fuel'!A1", "8.2.1.1-2 Stationary fuel")</f>
        <v>8.2.1.1-2 Stationary fuel</v>
      </c>
      <c r="D43" s="15"/>
      <c r="E43" s="15"/>
      <c r="F43" s="15"/>
      <c r="G43" s="253">
        <f>((E43 * F43 * $E$39) * 10 ^ -3)</f>
        <v>0</v>
      </c>
      <c r="H43" s="15"/>
      <c r="I43" s="76"/>
      <c r="J43" s="253">
        <f>((E43 * H43 * (IF(I43,I43,$E$39))) * 10 ^ -3)</f>
        <v>0</v>
      </c>
      <c r="K43" s="34"/>
      <c r="L43" s="13"/>
      <c r="M43" s="34"/>
    </row>
    <row r="44" spans="1:13" ht="20.100000000000001" customHeight="1" x14ac:dyDescent="0.2">
      <c r="A44" s="5" t="str">
        <f>HYPERLINK("#'10.1.1-2 Solid waste treatment'!A1", "10.1.1.1-2 Solid waste")</f>
        <v>10.1.1.1-2 Solid waste</v>
      </c>
      <c r="D44" s="15"/>
      <c r="E44" s="15"/>
      <c r="F44" s="15"/>
      <c r="G44" s="253">
        <f>((E44 * F44 * $E$39) * 10 ^ -3)</f>
        <v>0</v>
      </c>
      <c r="H44" s="15"/>
      <c r="I44" s="76"/>
      <c r="J44" s="253">
        <f>((E44 * H44 * (IF(I44,I44,$E$39))) * 10 ^ -3)</f>
        <v>0</v>
      </c>
      <c r="K44" s="34"/>
      <c r="L44" s="13"/>
      <c r="M44" s="34"/>
    </row>
    <row r="45" spans="1:13" ht="20.100000000000001" customHeight="1" x14ac:dyDescent="0.2">
      <c r="A45" s="5" t="str">
        <f>HYPERLINK("#'14.1.1-2 Purchased electricity'!A1", "14.1.1-2 Purchased electricity")</f>
        <v>14.1.1-2 Purchased electricity</v>
      </c>
      <c r="D45" s="15"/>
      <c r="E45" s="15"/>
      <c r="F45" s="15"/>
      <c r="G45" s="253">
        <f>((E45 * F45 * $E$39) * 10 ^ -3)</f>
        <v>0</v>
      </c>
      <c r="H45" s="15"/>
      <c r="I45" s="76"/>
      <c r="J45" s="253">
        <f>((E45 * H45 * (IF(I45,I45,$E$39))) * 10 ^ -3)</f>
        <v>0</v>
      </c>
      <c r="K45" s="34"/>
      <c r="L45" s="13"/>
      <c r="M45" s="34"/>
    </row>
    <row r="46" spans="1:13" ht="20.100000000000001" customHeight="1" x14ac:dyDescent="0.2">
      <c r="A46" s="105" t="str">
        <f>HYPERLINK("#'15 Scope 3'!A1", "15 Scope 3")</f>
        <v>15 Scope 3</v>
      </c>
      <c r="D46" s="15"/>
      <c r="E46" s="15"/>
      <c r="F46" s="15"/>
      <c r="G46" s="253">
        <f>((E46 * F46 * $E$39) * 10 ^ -3)</f>
        <v>0</v>
      </c>
      <c r="H46" s="15"/>
      <c r="I46" s="76"/>
      <c r="J46" s="253">
        <f>((E46 * H46 * (IF(I46,I46,$E$39))) * 10 ^ -3)</f>
        <v>0</v>
      </c>
      <c r="K46" s="34"/>
      <c r="L46" s="13"/>
      <c r="M46" s="34"/>
    </row>
    <row r="47" spans="1:13" ht="20.100000000000001" customHeight="1" x14ac:dyDescent="0.2">
      <c r="A47" s="5" t="str">
        <f>HYPERLINK("#'Calcs - Manure sent off-site'!A1", "Calcs - Manure sent off-site")</f>
        <v>Calcs - Manure sent off-site</v>
      </c>
      <c r="D47" s="15"/>
      <c r="E47" s="15"/>
      <c r="F47" s="15"/>
      <c r="G47" s="253">
        <f>((E47 * F47 * $E$39) * 10 ^ -3)</f>
        <v>0</v>
      </c>
      <c r="H47" s="15"/>
      <c r="I47" s="76"/>
      <c r="J47" s="253">
        <f>((E47 * H47 * (IF(I47,I47,$E$39))) * 10 ^ -3)</f>
        <v>0</v>
      </c>
      <c r="K47" s="34"/>
      <c r="L47" s="13"/>
      <c r="M47" s="34"/>
    </row>
    <row r="48" spans="1:13" ht="20.100000000000001" customHeight="1" x14ac:dyDescent="0.2">
      <c r="D48" s="15"/>
      <c r="E48" s="15"/>
      <c r="F48" s="15"/>
      <c r="G48" s="253">
        <f>((E48 * F48 * $E$39) * 10 ^ -3)</f>
        <v>0</v>
      </c>
      <c r="H48" s="15"/>
      <c r="I48" s="76"/>
      <c r="J48" s="253">
        <f>((E48 * H48 * (IF(I48,I48,$E$39))) * 10 ^ -3)</f>
        <v>0</v>
      </c>
      <c r="K48" s="34"/>
      <c r="L48" s="13"/>
      <c r="M48" s="34"/>
    </row>
    <row r="49" spans="1:13" ht="20.100000000000001" customHeight="1" x14ac:dyDescent="0.2">
      <c r="D49" s="15"/>
      <c r="E49" s="15"/>
      <c r="F49" s="15"/>
      <c r="G49" s="253">
        <f>((E49 * F49 * $E$39) * 10 ^ -3)</f>
        <v>0</v>
      </c>
      <c r="H49" s="15"/>
      <c r="I49" s="76"/>
      <c r="J49" s="253">
        <f>((E49 * H49 * (IF(I49,I49,$E$39))) * 10 ^ -3)</f>
        <v>0</v>
      </c>
      <c r="K49" s="34"/>
      <c r="L49" s="13"/>
      <c r="M49" s="34"/>
    </row>
    <row r="50" spans="1:13" ht="20.100000000000001" customHeight="1" x14ac:dyDescent="0.2">
      <c r="A50" s="86" t="s">
        <v>1</v>
      </c>
      <c r="D50" s="15"/>
      <c r="E50" s="15"/>
      <c r="F50" s="15"/>
      <c r="G50" s="253">
        <f>((E50 * F50 * $E$39) * 10 ^ -3)</f>
        <v>0</v>
      </c>
      <c r="H50" s="15"/>
      <c r="I50" s="76"/>
      <c r="J50" s="253">
        <f>((E50 * H50 * (IF(I50,I50,$E$39))) * 10 ^ -3)</f>
        <v>0</v>
      </c>
      <c r="K50" s="34"/>
      <c r="L50" s="13"/>
      <c r="M50" s="34"/>
    </row>
    <row r="51" spans="1:13" ht="20.100000000000001" customHeight="1" x14ac:dyDescent="0.2">
      <c r="A51" s="5" t="str">
        <f>HYPERLINK("#'Constants - Pasture Beef'!A1", "Constants - Pasture Beef")</f>
        <v>Constants - Pasture Beef</v>
      </c>
      <c r="D51" s="15"/>
      <c r="E51" s="15"/>
      <c r="F51" s="15"/>
      <c r="G51" s="253">
        <f>((E51 * F51 * $E$39) * 10 ^ -3)</f>
        <v>0</v>
      </c>
      <c r="H51" s="15"/>
      <c r="I51" s="76"/>
      <c r="J51" s="253">
        <f>((E51 * H51 * (IF(I51,I51,$E$39))) * 10 ^ -3)</f>
        <v>0</v>
      </c>
      <c r="K51" s="34"/>
      <c r="L51" s="13"/>
      <c r="M51" s="34"/>
    </row>
    <row r="52" spans="1:13" ht="20.100000000000001" customHeight="1" x14ac:dyDescent="0.2">
      <c r="A52" s="5" t="str">
        <f>HYPERLINK("#'Constants - Ag Residue'!A1", "Constants - Ag residue")</f>
        <v>Constants - Ag residue</v>
      </c>
    </row>
    <row r="53" spans="1:13" ht="20.100000000000001" customHeight="1" x14ac:dyDescent="0.2">
      <c r="A53" s="5" t="str">
        <f>HYPERLINK("#'Constants - Common Livestock'!A1", "Constants - Common Livestock")</f>
        <v>Constants - Common Livestock</v>
      </c>
      <c r="D53" s="94" t="s">
        <v>1189</v>
      </c>
      <c r="E53" s="88">
        <f>SUM(G42:G51)</f>
        <v>0</v>
      </c>
      <c r="F53" s="95" t="str">
        <f>$E$11</f>
        <v>t CO2e</v>
      </c>
    </row>
    <row r="54" spans="1:13" ht="20.100000000000001" customHeight="1" x14ac:dyDescent="0.2">
      <c r="A54" s="5" t="str">
        <f>HYPERLINK("#'Constants - Electricity'!A1", "Constants - Electricity")</f>
        <v>Constants - Electricity</v>
      </c>
      <c r="D54" s="94" t="s">
        <v>1190</v>
      </c>
      <c r="E54" s="88">
        <f>SUM(J42:J51)</f>
        <v>0</v>
      </c>
      <c r="F54" s="95" t="str">
        <f>$E$11</f>
        <v>t CO2e</v>
      </c>
    </row>
    <row r="55" spans="1:13" ht="20.100000000000001" customHeight="1" x14ac:dyDescent="0.2">
      <c r="A55" s="5" t="str">
        <f>HYPERLINK("#'Constants - Fertiliser'!A1", "Constants - Fertiliser")</f>
        <v>Constants - Fertiliser</v>
      </c>
    </row>
    <row r="56" spans="1:13" ht="20.100000000000001" customHeight="1" x14ac:dyDescent="0.2">
      <c r="A56" s="5" t="str">
        <f>HYPERLINK("#'Constants - Fuel'!A1", "Constants - Fuel")</f>
        <v>Constants - Fuel</v>
      </c>
    </row>
    <row r="57" spans="1:13" ht="20.100000000000001" customHeight="1" x14ac:dyDescent="0.2">
      <c r="A57" s="5" t="str">
        <f>HYPERLINK("#'Constants - Scope 3'!A1", "Constants - Scope 3")</f>
        <v>Constants - Scope 3</v>
      </c>
      <c r="D57" s="241" t="s">
        <v>1191</v>
      </c>
    </row>
    <row r="58" spans="1:13" ht="20.100000000000001" customHeight="1" x14ac:dyDescent="0.2">
      <c r="A58" s="5" t="str">
        <f>HYPERLINK("#'Constants - Solid Waste'!A1", "Constants - Solid Waste")</f>
        <v>Constants - Solid Waste</v>
      </c>
      <c r="D58" s="106" t="s">
        <v>1188</v>
      </c>
      <c r="E58" s="15">
        <v>3.38</v>
      </c>
    </row>
    <row r="59" spans="1:13" ht="20.100000000000001" customHeight="1" x14ac:dyDescent="0.2">
      <c r="A59" s="5" t="str">
        <f>HYPERLINK("#'Constants - Common'!A1", "Constants - Common")</f>
        <v>Constants - Common</v>
      </c>
    </row>
    <row r="60" spans="1:13" ht="20.100000000000001" customHeight="1" x14ac:dyDescent="0.2">
      <c r="A60" s="5" t="str">
        <f>HYPERLINK("#'Acknowledgements'!A1", "Acknowledgements")</f>
        <v>Acknowledgements</v>
      </c>
      <c r="D60" s="82" t="s">
        <v>1169</v>
      </c>
      <c r="E60" s="252" t="s">
        <v>1172</v>
      </c>
      <c r="F60" s="252" t="s">
        <v>1173</v>
      </c>
      <c r="G60" s="115" t="s">
        <v>1175</v>
      </c>
      <c r="H60" s="252" t="s">
        <v>1176</v>
      </c>
      <c r="I60" s="82" t="s">
        <v>1177</v>
      </c>
      <c r="J60" s="115" t="s">
        <v>1178</v>
      </c>
      <c r="K60" s="82" t="s">
        <v>1179</v>
      </c>
      <c r="L60" s="82" t="s">
        <v>1180</v>
      </c>
      <c r="M60" s="82" t="s">
        <v>1181</v>
      </c>
    </row>
    <row r="61" spans="1:13" ht="20.100000000000001" customHeight="1" x14ac:dyDescent="0.2">
      <c r="D61" s="15"/>
      <c r="E61" s="15"/>
      <c r="F61" s="15"/>
      <c r="G61" s="253">
        <f>((E61 * F61 * $E$58) * 10 ^ -3)</f>
        <v>0</v>
      </c>
      <c r="H61" s="15"/>
      <c r="I61" s="76">
        <v>3.38</v>
      </c>
      <c r="J61" s="253">
        <f>((E61 * H61 * (IF(I61, I61,$E$58))) * 10 ^ -3)</f>
        <v>0</v>
      </c>
      <c r="K61" s="34"/>
      <c r="L61" s="13"/>
      <c r="M61"/>
    </row>
    <row r="62" spans="1:13" ht="20.100000000000001" customHeight="1" x14ac:dyDescent="0.2">
      <c r="D62" s="15"/>
      <c r="E62" s="15"/>
      <c r="F62" s="15"/>
      <c r="G62" s="253">
        <f>((E62 * F62 * $E$58) * 10 ^ -3)</f>
        <v>0</v>
      </c>
      <c r="H62" s="15"/>
      <c r="I62" s="76">
        <v>3.3</v>
      </c>
      <c r="J62" s="253">
        <f>((E62 * H62 * (IF(I62, I62,$E$58))) * 10 ^ -3)</f>
        <v>0</v>
      </c>
      <c r="K62" s="34"/>
      <c r="L62" s="13"/>
      <c r="M62" s="34"/>
    </row>
    <row r="63" spans="1:13" ht="20.100000000000001" customHeight="1" x14ac:dyDescent="0.2">
      <c r="D63" s="15"/>
      <c r="E63" s="15"/>
      <c r="F63" s="15"/>
      <c r="G63" s="253">
        <f>((E63 * F63 * $E$58) * 10 ^ -3)</f>
        <v>0</v>
      </c>
      <c r="H63" s="15"/>
      <c r="I63" s="76"/>
      <c r="J63" s="253">
        <f>((E63 * H63 * (IF(I63, I63,$E$58))) * 10 ^ -3)</f>
        <v>0</v>
      </c>
      <c r="K63" s="34"/>
      <c r="L63" s="13"/>
      <c r="M63" s="34"/>
    </row>
    <row r="64" spans="1:13" ht="20.100000000000001" customHeight="1" x14ac:dyDescent="0.2">
      <c r="D64" s="15"/>
      <c r="E64" s="15"/>
      <c r="F64" s="15"/>
      <c r="G64" s="253">
        <f>((E64 * F64 * $E$58) * 10 ^ -3)</f>
        <v>0</v>
      </c>
      <c r="H64" s="15"/>
      <c r="I64" s="76"/>
      <c r="J64" s="253">
        <f>((E64 * H64 * (IF(I64, I64,$E$58))) * 10 ^ -3)</f>
        <v>0</v>
      </c>
      <c r="K64" s="34"/>
      <c r="L64" s="13"/>
      <c r="M64" s="34"/>
    </row>
    <row r="65" spans="1:13" ht="20.100000000000001" customHeight="1" x14ac:dyDescent="0.2">
      <c r="D65" s="15"/>
      <c r="E65" s="15"/>
      <c r="F65" s="15"/>
      <c r="G65" s="253">
        <f>((E65 * F65 * $E$58) * 10 ^ -3)</f>
        <v>0</v>
      </c>
      <c r="H65" s="15"/>
      <c r="I65" s="76"/>
      <c r="J65" s="253">
        <f>((E65 * H65 * (IF(I65, I65,$E$58))) * 10 ^ -3)</f>
        <v>0</v>
      </c>
      <c r="K65" s="34"/>
      <c r="L65" s="13"/>
      <c r="M65" s="34"/>
    </row>
    <row r="66" spans="1:13" ht="20.100000000000001" customHeight="1" x14ac:dyDescent="0.2">
      <c r="D66" s="15"/>
      <c r="E66" s="15"/>
      <c r="F66" s="15"/>
      <c r="G66" s="253">
        <f>((E66 * F66 * $E$58) * 10 ^ -3)</f>
        <v>0</v>
      </c>
      <c r="H66" s="15"/>
      <c r="I66" s="76"/>
      <c r="J66" s="253">
        <f>((E66 * H66 * (IF(I66, I66,$E$58))) * 10 ^ -3)</f>
        <v>0</v>
      </c>
      <c r="K66" s="34"/>
      <c r="L66" s="13"/>
      <c r="M66" s="34"/>
    </row>
    <row r="67" spans="1:13" ht="20.100000000000001" customHeight="1" x14ac:dyDescent="0.2">
      <c r="D67" s="15"/>
      <c r="E67" s="15"/>
      <c r="F67" s="15"/>
      <c r="G67" s="253">
        <f>((E67 * F67 * $E$58) * 10 ^ -3)</f>
        <v>0</v>
      </c>
      <c r="H67" s="15"/>
      <c r="I67" s="76"/>
      <c r="J67" s="253">
        <f>((E67 * H67 * (IF(I67, I67,$E$58))) * 10 ^ -3)</f>
        <v>0</v>
      </c>
      <c r="K67" s="34"/>
      <c r="L67" s="13"/>
      <c r="M67" s="34"/>
    </row>
    <row r="68" spans="1:13" ht="20.100000000000001" customHeight="1" x14ac:dyDescent="0.2">
      <c r="D68" s="15"/>
      <c r="E68" s="15"/>
      <c r="F68" s="15"/>
      <c r="G68" s="253">
        <f>((E68 * F68 * $E$58) * 10 ^ -3)</f>
        <v>0</v>
      </c>
      <c r="H68" s="15"/>
      <c r="I68" s="76"/>
      <c r="J68" s="253">
        <f>((E68 * H68 * (IF(I68, I68,$E$58))) * 10 ^ -3)</f>
        <v>0</v>
      </c>
      <c r="K68" s="34"/>
      <c r="L68" s="13"/>
      <c r="M68" s="34"/>
    </row>
    <row r="69" spans="1:13" ht="20.100000000000001" customHeight="1" x14ac:dyDescent="0.2">
      <c r="D69" s="15"/>
      <c r="E69" s="15"/>
      <c r="F69" s="15"/>
      <c r="G69" s="253">
        <f>((E69 * F69 * $E$58) * 10 ^ -3)</f>
        <v>0</v>
      </c>
      <c r="H69" s="15"/>
      <c r="I69" s="76"/>
      <c r="J69" s="253">
        <f>((E69 * H69 * (IF(I69, I69,$E$58))) * 10 ^ -3)</f>
        <v>0</v>
      </c>
      <c r="K69" s="34"/>
      <c r="L69" s="13"/>
      <c r="M69" s="34"/>
    </row>
    <row r="70" spans="1:13" ht="20.100000000000001" customHeight="1" x14ac:dyDescent="0.2">
      <c r="D70" s="15"/>
      <c r="E70" s="15"/>
      <c r="F70" s="15"/>
      <c r="G70" s="253">
        <f>((E70 * F70 * $E$58) * 10 ^ -3)</f>
        <v>0</v>
      </c>
      <c r="H70" s="15"/>
      <c r="I70" s="76"/>
      <c r="J70" s="253">
        <f>((E70 * H70 * (IF(I70, I70,$E$58))) * 10 ^ -3)</f>
        <v>0</v>
      </c>
      <c r="K70" s="34"/>
      <c r="L70" s="13"/>
      <c r="M70" s="34"/>
    </row>
    <row r="71" spans="1:13" ht="20.100000000000001" customHeight="1" x14ac:dyDescent="0.2">
      <c r="A71" s="85" t="str">
        <f>HYPERLINK("#A1", "▲ Back to top")</f>
        <v>▲ Back to top</v>
      </c>
    </row>
    <row r="72" spans="1:13" ht="20.100000000000001" customHeight="1" x14ac:dyDescent="0.2">
      <c r="D72" s="94" t="s">
        <v>1192</v>
      </c>
      <c r="E72" s="88">
        <f>SUM(G61:G70)</f>
        <v>0</v>
      </c>
      <c r="F72" s="95" t="str">
        <f>$E$11</f>
        <v>t CO2e</v>
      </c>
    </row>
    <row r="73" spans="1:13" ht="20.100000000000001" customHeight="1" x14ac:dyDescent="0.2">
      <c r="D73" s="94" t="s">
        <v>1193</v>
      </c>
      <c r="E73" s="88">
        <f>SUM(J61:J70)</f>
        <v>0</v>
      </c>
      <c r="F73" s="95" t="str">
        <f>$E$11</f>
        <v>t CO2e</v>
      </c>
    </row>
    <row r="75" spans="1:13" ht="20.100000000000001" customHeight="1" x14ac:dyDescent="0.2">
      <c r="D75" s="241" t="s">
        <v>1194</v>
      </c>
    </row>
    <row r="76" spans="1:13" ht="20.100000000000001" customHeight="1" x14ac:dyDescent="0.2">
      <c r="D76" s="106" t="s">
        <v>1188</v>
      </c>
      <c r="E76" s="15">
        <v>1.36</v>
      </c>
    </row>
    <row r="78" spans="1:13" ht="20.100000000000001" customHeight="1" x14ac:dyDescent="0.2">
      <c r="D78" s="82" t="s">
        <v>1169</v>
      </c>
      <c r="E78" s="252" t="s">
        <v>1172</v>
      </c>
      <c r="F78" s="252" t="s">
        <v>1173</v>
      </c>
      <c r="G78" s="115" t="s">
        <v>1175</v>
      </c>
      <c r="H78" s="252" t="s">
        <v>1176</v>
      </c>
      <c r="I78" s="82" t="s">
        <v>1177</v>
      </c>
      <c r="J78" s="115" t="s">
        <v>1178</v>
      </c>
      <c r="K78" s="82" t="s">
        <v>1179</v>
      </c>
      <c r="L78" s="82" t="s">
        <v>1180</v>
      </c>
      <c r="M78" s="82" t="s">
        <v>1181</v>
      </c>
    </row>
    <row r="79" spans="1:13" ht="20.100000000000001" customHeight="1" x14ac:dyDescent="0.2">
      <c r="D79" s="15"/>
      <c r="E79" s="15"/>
      <c r="F79" s="15"/>
      <c r="G79" s="253">
        <f>((E79 * F79 * $E$76) * 10 ^ -3)</f>
        <v>0</v>
      </c>
      <c r="H79" s="15"/>
      <c r="I79" s="76">
        <v>1.3</v>
      </c>
      <c r="J79" s="253">
        <f>((E79 * H79 * (IF(I79, I79,$E$76))) * 10 ^ -3)</f>
        <v>0</v>
      </c>
      <c r="K79" s="34"/>
      <c r="L79" s="13"/>
      <c r="M79"/>
    </row>
    <row r="80" spans="1:13" ht="20.100000000000001" customHeight="1" x14ac:dyDescent="0.2">
      <c r="D80" s="15"/>
      <c r="E80" s="15"/>
      <c r="F80" s="15"/>
      <c r="G80" s="253">
        <f>((E80 * F80 * $E$76) * 10 ^ -3)</f>
        <v>0</v>
      </c>
      <c r="H80" s="15"/>
      <c r="I80" s="76"/>
      <c r="J80" s="253">
        <f>((E80 * H80 * (IF(I80, I80,$E$76))) * 10 ^ -3)</f>
        <v>0</v>
      </c>
      <c r="K80" s="34"/>
      <c r="L80" s="13"/>
      <c r="M80" s="34"/>
    </row>
    <row r="81" spans="4:13" ht="20.100000000000001" customHeight="1" x14ac:dyDescent="0.2">
      <c r="D81" s="15"/>
      <c r="E81" s="15"/>
      <c r="F81" s="15"/>
      <c r="G81" s="253">
        <f>((E81 * F81 * $E$76) * 10 ^ -3)</f>
        <v>0</v>
      </c>
      <c r="H81" s="15"/>
      <c r="I81" s="76"/>
      <c r="J81" s="253">
        <f>((E81 * H81 * (IF(I81, I81,$E$76))) * 10 ^ -3)</f>
        <v>0</v>
      </c>
      <c r="K81" s="34"/>
      <c r="L81" s="13"/>
      <c r="M81" s="34"/>
    </row>
    <row r="82" spans="4:13" ht="20.100000000000001" customHeight="1" x14ac:dyDescent="0.2">
      <c r="D82" s="15"/>
      <c r="E82" s="15"/>
      <c r="F82" s="15"/>
      <c r="G82" s="253">
        <f>((E82 * F82 * $E$76) * 10 ^ -3)</f>
        <v>0</v>
      </c>
      <c r="H82" s="15"/>
      <c r="I82" s="76"/>
      <c r="J82" s="253">
        <f>((E82 * H82 * (IF(I82, I82,$E$76))) * 10 ^ -3)</f>
        <v>0</v>
      </c>
      <c r="K82" s="34"/>
      <c r="L82" s="13"/>
      <c r="M82" s="34"/>
    </row>
    <row r="83" spans="4:13" ht="20.100000000000001" customHeight="1" x14ac:dyDescent="0.2">
      <c r="D83" s="15"/>
      <c r="E83" s="15"/>
      <c r="F83" s="15"/>
      <c r="G83" s="253">
        <f>((E83 * F83 * $E$76) * 10 ^ -3)</f>
        <v>0</v>
      </c>
      <c r="H83" s="15"/>
      <c r="I83" s="76"/>
      <c r="J83" s="253">
        <f>((E83 * H83 * (IF(I83, I83,$E$76))) * 10 ^ -3)</f>
        <v>0</v>
      </c>
      <c r="K83" s="34"/>
      <c r="L83" s="13"/>
      <c r="M83" s="34"/>
    </row>
    <row r="84" spans="4:13" ht="20.100000000000001" customHeight="1" x14ac:dyDescent="0.2">
      <c r="D84" s="15"/>
      <c r="E84" s="15"/>
      <c r="F84" s="15"/>
      <c r="G84" s="253">
        <f>((E84 * F84 * $E$76) * 10 ^ -3)</f>
        <v>0</v>
      </c>
      <c r="H84" s="15"/>
      <c r="I84" s="76"/>
      <c r="J84" s="253">
        <f>((E84 * H84 * (IF(I84, I84,$E$76))) * 10 ^ -3)</f>
        <v>0</v>
      </c>
      <c r="K84" s="34"/>
      <c r="L84" s="13"/>
      <c r="M84" s="34"/>
    </row>
    <row r="85" spans="4:13" ht="20.100000000000001" customHeight="1" x14ac:dyDescent="0.2">
      <c r="D85" s="15"/>
      <c r="E85" s="15"/>
      <c r="F85" s="15"/>
      <c r="G85" s="253">
        <f>((E85 * F85 * $E$76) * 10 ^ -3)</f>
        <v>0</v>
      </c>
      <c r="H85" s="15"/>
      <c r="I85" s="76"/>
      <c r="J85" s="253">
        <f>((E85 * H85 * (IF(I85, I85,$E$76))) * 10 ^ -3)</f>
        <v>0</v>
      </c>
      <c r="K85" s="34"/>
      <c r="L85" s="13"/>
      <c r="M85" s="34"/>
    </row>
    <row r="86" spans="4:13" ht="20.100000000000001" customHeight="1" x14ac:dyDescent="0.2">
      <c r="D86" s="15"/>
      <c r="E86" s="15"/>
      <c r="F86" s="15"/>
      <c r="G86" s="253">
        <f>((E86 * F86 * $E$76) * 10 ^ -3)</f>
        <v>0</v>
      </c>
      <c r="H86" s="15"/>
      <c r="I86" s="76"/>
      <c r="J86" s="253">
        <f>((E86 * H86 * (IF(I86, I86,$E$76))) * 10 ^ -3)</f>
        <v>0</v>
      </c>
      <c r="K86" s="34"/>
      <c r="L86" s="13"/>
      <c r="M86" s="34"/>
    </row>
    <row r="87" spans="4:13" ht="20.100000000000001" customHeight="1" x14ac:dyDescent="0.2">
      <c r="D87" s="15"/>
      <c r="E87" s="15"/>
      <c r="F87" s="15"/>
      <c r="G87" s="253">
        <f>((E87 * F87 * $E$76) * 10 ^ -3)</f>
        <v>0</v>
      </c>
      <c r="H87" s="15"/>
      <c r="I87" s="76"/>
      <c r="J87" s="253">
        <f>((E87 * H87 * (IF(I87, I87,$E$76))) * 10 ^ -3)</f>
        <v>0</v>
      </c>
      <c r="K87" s="34"/>
      <c r="L87" s="13"/>
      <c r="M87" s="34"/>
    </row>
    <row r="88" spans="4:13" ht="20.100000000000001" customHeight="1" x14ac:dyDescent="0.2">
      <c r="D88" s="15"/>
      <c r="E88" s="15"/>
      <c r="F88" s="15"/>
      <c r="G88" s="253">
        <f>((E88 * F88 * $E$76) * 10 ^ -3)</f>
        <v>0</v>
      </c>
      <c r="H88" s="15"/>
      <c r="I88" s="76"/>
      <c r="J88" s="253">
        <f>((E88 * H88 * (IF(I88, I88,$E$76))) * 10 ^ -3)</f>
        <v>0</v>
      </c>
      <c r="K88" s="34"/>
      <c r="L88" s="13"/>
      <c r="M88" s="34"/>
    </row>
    <row r="90" spans="4:13" ht="20.100000000000001" customHeight="1" x14ac:dyDescent="0.2">
      <c r="D90" s="94" t="s">
        <v>1195</v>
      </c>
      <c r="E90" s="88">
        <f>SUM(G79:G88)</f>
        <v>0</v>
      </c>
      <c r="F90" s="95" t="str">
        <f>$E$11</f>
        <v>t CO2e</v>
      </c>
    </row>
    <row r="91" spans="4:13" ht="20.100000000000001" customHeight="1" x14ac:dyDescent="0.2">
      <c r="D91" s="94" t="s">
        <v>1196</v>
      </c>
      <c r="E91" s="88">
        <f>SUM(J79:J88)</f>
        <v>0</v>
      </c>
      <c r="F91" s="95" t="str">
        <f>$E$11</f>
        <v>t CO2e</v>
      </c>
    </row>
    <row r="93" spans="4:13" ht="20.100000000000001" customHeight="1" x14ac:dyDescent="0.2">
      <c r="D93" s="91" t="s">
        <v>1175</v>
      </c>
      <c r="E93" s="92">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1052.5</v>
      </c>
      <c r="F93" s="96" t="str">
        <f>$E$11</f>
        <v>t CO2e</v>
      </c>
    </row>
    <row r="94" spans="4:13" ht="20.100000000000001" customHeight="1" x14ac:dyDescent="0.2">
      <c r="D94" s="91" t="s">
        <v>1178</v>
      </c>
      <c r="E94" s="92">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1014.5</v>
      </c>
      <c r="F94" s="96" t="str">
        <f>$E$11</f>
        <v>t CO2e</v>
      </c>
    </row>
    <row r="97" spans="1:41" ht="20.100000000000001" customHeight="1" x14ac:dyDescent="0.2">
      <c r="C97" s="88"/>
      <c r="D97" s="88"/>
      <c r="E97" s="88"/>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row>
    <row r="98" spans="1:41" ht="20.100000000000001" customHeight="1" x14ac:dyDescent="0.2">
      <c r="D98" s="2" t="s">
        <v>1760</v>
      </c>
    </row>
    <row r="99" spans="1:41" ht="20.100000000000001" customHeight="1" x14ac:dyDescent="0.2">
      <c r="D99" s="17" t="s">
        <v>1761</v>
      </c>
    </row>
    <row r="100" spans="1:41" ht="20.100000000000001" customHeight="1" x14ac:dyDescent="0.2">
      <c r="D100" s="26" t="s">
        <v>1762</v>
      </c>
    </row>
    <row r="101" spans="1:41" ht="20.100000000000001" customHeight="1" x14ac:dyDescent="0.2">
      <c r="A101" s="85" t="str">
        <f>HYPERLINK("#A1", "▲ Back to top")</f>
        <v>▲ Back to top</v>
      </c>
      <c r="D101" s="104"/>
      <c r="E101" s="104"/>
      <c r="H101" s="26"/>
    </row>
    <row r="103" spans="1:41" ht="20.100000000000001" customHeight="1" x14ac:dyDescent="0.2">
      <c r="H103" s="104"/>
    </row>
    <row r="104" spans="1:41" ht="20.100000000000001" customHeight="1" x14ac:dyDescent="0.2">
      <c r="D104" s="77" t="s">
        <v>374</v>
      </c>
      <c r="E104" s="1" t="s">
        <v>1281</v>
      </c>
    </row>
    <row r="105" spans="1:41" ht="20.100000000000001" customHeight="1" x14ac:dyDescent="0.2">
      <c r="D105" s="77" t="s">
        <v>126</v>
      </c>
      <c r="E105" s="9" t="s">
        <v>6</v>
      </c>
    </row>
    <row r="107" spans="1:41" ht="20.100000000000001" customHeight="1" x14ac:dyDescent="0.2">
      <c r="D107" s="106" t="s">
        <v>1763</v>
      </c>
      <c r="E107" s="107" t="s">
        <v>1764</v>
      </c>
      <c r="F107" s="109"/>
      <c r="G107" s="106" t="s">
        <v>653</v>
      </c>
      <c r="H107" s="251" t="s">
        <v>1325</v>
      </c>
    </row>
    <row r="108" spans="1:41" ht="20.100000000000001" customHeight="1" x14ac:dyDescent="0.2">
      <c r="D108" s="106" t="s">
        <v>1765</v>
      </c>
      <c r="E108" s="107" t="s">
        <v>1766</v>
      </c>
      <c r="F108" s="109"/>
      <c r="G108" s="106" t="s">
        <v>1759</v>
      </c>
      <c r="H108" s="111" t="s">
        <v>1326</v>
      </c>
    </row>
    <row r="109" spans="1:41" ht="20.100000000000001" customHeight="1" x14ac:dyDescent="0.2">
      <c r="D109" s="106" t="s">
        <v>1456</v>
      </c>
      <c r="E109" s="107" t="s">
        <v>1767</v>
      </c>
      <c r="F109" s="109"/>
      <c r="G109" s="106"/>
      <c r="H109" s="251" t="s">
        <v>1325</v>
      </c>
    </row>
    <row r="111" spans="1:41" ht="20.100000000000001" customHeight="1" x14ac:dyDescent="0.2">
      <c r="D111" s="241" t="s">
        <v>1197</v>
      </c>
    </row>
    <row r="113" spans="4:28" ht="20.100000000000001" customHeight="1" x14ac:dyDescent="0.2">
      <c r="D113" s="127" t="s">
        <v>1198</v>
      </c>
      <c r="E113" s="45"/>
      <c r="F113" s="127"/>
      <c r="G113" s="44"/>
      <c r="H113" s="45"/>
    </row>
    <row r="114" spans="4:28" ht="20.100000000000001" customHeight="1" x14ac:dyDescent="0.2">
      <c r="D114" s="152" t="s">
        <v>1199</v>
      </c>
      <c r="E114" s="154"/>
      <c r="F114" s="152"/>
      <c r="G114" s="153"/>
      <c r="H114" s="154"/>
    </row>
    <row r="115" spans="4:28" ht="20.100000000000001" customHeight="1" x14ac:dyDescent="0.2">
      <c r="D115" s="46" t="s">
        <v>1200</v>
      </c>
      <c r="E115" s="48"/>
      <c r="F115" s="46"/>
      <c r="G115" s="47"/>
      <c r="H115" s="48"/>
    </row>
    <row r="117" spans="4:28" ht="20.100000000000001" customHeight="1" x14ac:dyDescent="0.2">
      <c r="D117" s="36" t="s">
        <v>1201</v>
      </c>
      <c r="E117" s="38"/>
      <c r="F117" s="39"/>
    </row>
    <row r="119" spans="4:28" ht="20.100000000000001" customHeight="1" x14ac:dyDescent="0.2">
      <c r="D119" s="82" t="s">
        <v>1202</v>
      </c>
      <c r="E119" s="82" t="s">
        <v>1203</v>
      </c>
      <c r="F119" s="115" t="s">
        <v>1204</v>
      </c>
      <c r="G119" s="115" t="s">
        <v>1175</v>
      </c>
      <c r="H119" s="82" t="s">
        <v>1205</v>
      </c>
      <c r="I119" s="115" t="s">
        <v>1178</v>
      </c>
      <c r="J119" s="82" t="s">
        <v>1179</v>
      </c>
      <c r="K119" s="82" t="s">
        <v>1180</v>
      </c>
      <c r="L119" s="82" t="s">
        <v>1181</v>
      </c>
      <c r="M119" s="115" t="s">
        <v>590</v>
      </c>
      <c r="N119" s="115" t="s">
        <v>1206</v>
      </c>
      <c r="O119" s="115" t="s">
        <v>591</v>
      </c>
      <c r="P119" s="115" t="s">
        <v>1207</v>
      </c>
      <c r="Q119" s="115" t="s">
        <v>592</v>
      </c>
      <c r="R119" s="115" t="s">
        <v>1208</v>
      </c>
      <c r="S119" s="115" t="s">
        <v>593</v>
      </c>
      <c r="T119" s="115" t="s">
        <v>1209</v>
      </c>
      <c r="U119" s="115" t="s">
        <v>594</v>
      </c>
      <c r="V119" s="115" t="s">
        <v>1210</v>
      </c>
      <c r="W119" s="115" t="s">
        <v>595</v>
      </c>
      <c r="X119" s="115" t="s">
        <v>1211</v>
      </c>
      <c r="Y119" s="115" t="s">
        <v>596</v>
      </c>
      <c r="Z119" s="115" t="s">
        <v>1212</v>
      </c>
      <c r="AA119" s="115" t="s">
        <v>597</v>
      </c>
      <c r="AB119" s="115" t="s">
        <v>1213</v>
      </c>
    </row>
    <row r="120" spans="4:28" ht="20.100000000000001" customHeight="1" x14ac:dyDescent="0.2">
      <c r="D120" s="15" cm="1">
        <f t="array" ref="D120:D129">IFERROR(INDEX(Table_Input_FeedBlends[Feed blend name], _xlfn.SEQUENCE(10)), "")</f>
        <v>0</v>
      </c>
      <c r="E120" s="15" cm="1">
        <f t="array" ref="E120:E129">IFERROR(INDEX(Table_Input_FeedBlends[Amount fed (kg)], _xlfn.SEQUENCE(10)), "")</f>
        <v>1200</v>
      </c>
      <c r="F120" s="15">
        <f t="shared" ref="F120:F129" si="0">IFERROR((O120*P120)+(S120*T120)+(W120*X120)+(AA120*AB120), 0)</f>
        <v>0.16272999999999999</v>
      </c>
      <c r="G120" s="253">
        <f>((E120 * F120) * 10 ^ -3)</f>
        <v>0.19527599999999998</v>
      </c>
      <c r="H120" s="76">
        <v>0.04</v>
      </c>
      <c r="I120" s="253">
        <f>((E120 * (IF(H120,H120, F120))) * 10 ^ -3)</f>
        <v>4.8000000000000001E-2</v>
      </c>
      <c r="J120" s="34"/>
      <c r="K120" s="13"/>
      <c r="L120"/>
      <c r="M120" s="15" t="str" cm="1">
        <f t="array" ref="M120:M129">IFERROR(INDEX(Table_Input_FeedBlends[Ingredient 1 (select)], _xlfn.SEQUENCE(10)), "")</f>
        <v>Cereal silage</v>
      </c>
      <c r="N120" s="15" t="str" cm="1">
        <f t="array" ref="N120:N129">IFERROR(INDEX(Table_Input_FeedBlends[Ingredient 1 source region], _xlfn.SEQUENCE(10)), "")</f>
        <v>SA</v>
      </c>
      <c r="O120" s="15" cm="1">
        <f t="array" ref="O120:O129">IFERROR(INDEX(Table_Input_FeedBlends[Ingredient 1 percent], _xlfn.SEQUENCE(10)), "")</f>
        <v>0.35</v>
      </c>
      <c r="P120" s="15" cm="1">
        <f t="array" ref="P120">_xlfn.LET(_xlpm.result, Common_InputFunctions.Utility_LookupValueInTableTwoColumns(M120, N120, Table_SourceData_Scope3_Feed[Product], Table_SourceData_Scope3_Feed[Region of origin], Table_SourceData_Scope3_Feed[Emissions intensity]), IF(_xlpm.result="", 0, _xlpm.result))</f>
        <v>7.0599999999999996E-2</v>
      </c>
      <c r="Q120" s="15" t="str" cm="1">
        <f t="array" ref="Q120:Q129">IFERROR(INDEX(Table_Input_FeedBlends[Ingredient 2 (select)], _xlfn.SEQUENCE(10)), "")</f>
        <v>Cereal hay</v>
      </c>
      <c r="R120" s="15" t="str" cm="1">
        <f t="array" ref="R120:R129">IFERROR(INDEX(Table_Input_FeedBlends[Ingredient 2 source region], _xlfn.SEQUENCE(10)), "")</f>
        <v>SA</v>
      </c>
      <c r="S120" s="15" cm="1">
        <f t="array" ref="S120:S129">IFERROR(INDEX(Table_Input_FeedBlends[Ingredient 2 percent], _xlfn.SEQUENCE(10)), "")</f>
        <v>0.22</v>
      </c>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0.111</v>
      </c>
      <c r="U120" s="15" t="str" cm="1">
        <f t="array" ref="U120:U129">IFERROR(INDEX(Table_Input_FeedBlends[Ingredient 3 (select)], _xlfn.SEQUENCE(10)), "")</f>
        <v>Canola oil</v>
      </c>
      <c r="V120" s="15" t="str" cm="1">
        <f t="array" ref="V120:V129">IFERROR(INDEX(Table_Input_FeedBlends[Ingredient 3 source region], _xlfn.SEQUENCE(10)), "")</f>
        <v>Australia</v>
      </c>
      <c r="W120" s="15" cm="1">
        <f t="array" ref="W120:W129">IFERROR(INDEX(Table_Input_FeedBlends[Ingredient 3 percent], _xlfn.SEQUENCE(10)), "")</f>
        <v>0.12</v>
      </c>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0.87</v>
      </c>
      <c r="Y120" s="15" t="str" cm="1">
        <f t="array" ref="Y120:Y129">IFERROR(INDEX(Table_Input_FeedBlends[Ingredient 4 (select)], _xlfn.SEQUENCE(10)), "")</f>
        <v>Molasses</v>
      </c>
      <c r="Z120" s="15" t="str" cm="1">
        <f t="array" ref="Z120:Z129">IFERROR(INDEX(Table_Input_FeedBlends[Ingredient 4 source region], _xlfn.SEQUENCE(10)), "")</f>
        <v>QLD</v>
      </c>
      <c r="AA120" s="15" cm="1">
        <f t="array" ref="AA120:AA129">IFERROR(INDEX(Table_Input_FeedBlends[Ingredient 4 percent], _xlfn.SEQUENCE(10)), "")</f>
        <v>0.05</v>
      </c>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0.184</v>
      </c>
    </row>
    <row r="121" spans="4:28" ht="20.100000000000001" customHeight="1" x14ac:dyDescent="0.2">
      <c r="D121" s="15">
        <v>0</v>
      </c>
      <c r="E121" s="15">
        <v>3456</v>
      </c>
      <c r="F121" s="15">
        <f t="shared" si="0"/>
        <v>4.6000000000000006E-2</v>
      </c>
      <c r="G121" s="253">
        <f>((E121 * F121) * 10 ^ -3)</f>
        <v>0.15897600000000003</v>
      </c>
      <c r="H121" s="76">
        <v>0.03</v>
      </c>
      <c r="I121" s="253">
        <f>((E121 * (IF(H121,H121, F121))) * 10 ^ -3)</f>
        <v>0.10367999999999999</v>
      </c>
      <c r="J121" s="34"/>
      <c r="K121" s="13"/>
      <c r="L121" s="34"/>
      <c r="M121" s="15" t="str">
        <v>Lucerne hay</v>
      </c>
      <c r="N121" s="15" t="str">
        <v>Australia</v>
      </c>
      <c r="O121" s="15">
        <v>0.2</v>
      </c>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0.11700000000000001</v>
      </c>
      <c r="Q121" s="15" t="str">
        <v>Lucerne hay</v>
      </c>
      <c r="R121" s="15" t="str">
        <v>NSW</v>
      </c>
      <c r="S121" s="15">
        <v>0.2</v>
      </c>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0.113</v>
      </c>
      <c r="U121" s="15">
        <v>0</v>
      </c>
      <c r="V121" s="15">
        <v>0</v>
      </c>
      <c r="W121" s="15">
        <v>0</v>
      </c>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v>0</v>
      </c>
      <c r="Z121" s="15">
        <v>0</v>
      </c>
      <c r="AA121" s="15">
        <v>0</v>
      </c>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4:28" ht="20.100000000000001" customHeight="1" x14ac:dyDescent="0.2">
      <c r="D122" s="15" t="str">
        <v>Hay bales in paddock</v>
      </c>
      <c r="E122" s="15">
        <v>300</v>
      </c>
      <c r="F122" s="15">
        <f t="shared" si="0"/>
        <v>0.27800000000000002</v>
      </c>
      <c r="G122" s="253">
        <f>((E122 * F122) * 10 ^ -3)</f>
        <v>8.3400000000000002E-2</v>
      </c>
      <c r="H122" s="76">
        <v>0.14000000000000001</v>
      </c>
      <c r="I122" s="253">
        <f>((E122 * (IF(H122,H122, F122))) * 10 ^ -3)</f>
        <v>4.200000000000001E-2</v>
      </c>
      <c r="J122" s="34"/>
      <c r="K122" s="13"/>
      <c r="L122" s="34"/>
      <c r="M122" s="15" t="str">
        <v>Wheat grain</v>
      </c>
      <c r="N122" s="15" t="str">
        <v>SA</v>
      </c>
      <c r="O122" s="15">
        <v>0.8</v>
      </c>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0.24099999999999999</v>
      </c>
      <c r="Q122" s="15" t="str">
        <v>Soybean meal</v>
      </c>
      <c r="R122" s="15" t="str">
        <v>Brazil</v>
      </c>
      <c r="S122" s="15">
        <v>0.2</v>
      </c>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0.42599999999999999</v>
      </c>
      <c r="U122" s="15">
        <v>0</v>
      </c>
      <c r="V122" s="15">
        <v>0</v>
      </c>
      <c r="W122" s="15">
        <v>0</v>
      </c>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v>0</v>
      </c>
      <c r="Z122" s="15">
        <v>0</v>
      </c>
      <c r="AA122" s="15">
        <v>0</v>
      </c>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4:28" ht="20.100000000000001" customHeight="1" x14ac:dyDescent="0.2">
      <c r="D123" s="15">
        <v>0</v>
      </c>
      <c r="E123" s="15">
        <v>500</v>
      </c>
      <c r="F123" s="15">
        <f t="shared" si="0"/>
        <v>0.34499999999999997</v>
      </c>
      <c r="G123" s="253">
        <f>((E123 * F123) * 10 ^ -3)</f>
        <v>0.17250000000000001</v>
      </c>
      <c r="H123" s="76"/>
      <c r="I123" s="253">
        <f>((E123 * (IF(H123,H123, F123))) * 10 ^ -3)</f>
        <v>0.17250000000000001</v>
      </c>
      <c r="J123" s="34"/>
      <c r="K123" s="13"/>
      <c r="L123" s="34"/>
      <c r="M123" s="15" t="str">
        <v>Pasture hay</v>
      </c>
      <c r="N123" s="15" t="str">
        <v>VIC</v>
      </c>
      <c r="O123" s="15">
        <v>1</v>
      </c>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0.34499999999999997</v>
      </c>
      <c r="Q123" s="15">
        <v>0</v>
      </c>
      <c r="R123" s="15">
        <v>0</v>
      </c>
      <c r="S123" s="15">
        <v>0</v>
      </c>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v>0</v>
      </c>
      <c r="V123" s="15">
        <v>0</v>
      </c>
      <c r="W123" s="15">
        <v>0</v>
      </c>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v>0</v>
      </c>
      <c r="Z123" s="15">
        <v>0</v>
      </c>
      <c r="AA123" s="15">
        <v>0</v>
      </c>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4:28" ht="20.100000000000001" customHeight="1" x14ac:dyDescent="0.2">
      <c r="D124" s="15">
        <v>0</v>
      </c>
      <c r="E124" s="15">
        <v>0</v>
      </c>
      <c r="F124" s="15">
        <f t="shared" si="0"/>
        <v>0</v>
      </c>
      <c r="G124" s="253">
        <f>((E124 * F124) * 10 ^ -3)</f>
        <v>0</v>
      </c>
      <c r="H124" s="76"/>
      <c r="I124" s="253">
        <f>((E124 * (IF(H124,H124, F124))) * 10 ^ -3)</f>
        <v>0</v>
      </c>
      <c r="J124" s="34"/>
      <c r="K124" s="13"/>
      <c r="L124" s="34"/>
      <c r="M124" s="15">
        <v>0</v>
      </c>
      <c r="N124" s="15">
        <v>0</v>
      </c>
      <c r="O124" s="15">
        <v>0</v>
      </c>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v>0</v>
      </c>
      <c r="R124" s="15">
        <v>0</v>
      </c>
      <c r="S124" s="15">
        <v>0</v>
      </c>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v>0</v>
      </c>
      <c r="V124" s="15">
        <v>0</v>
      </c>
      <c r="W124" s="15">
        <v>0</v>
      </c>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v>0</v>
      </c>
      <c r="Z124" s="15">
        <v>0</v>
      </c>
      <c r="AA124" s="15">
        <v>0</v>
      </c>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4:28" ht="20.100000000000001" customHeight="1" x14ac:dyDescent="0.2">
      <c r="D125" s="15">
        <v>0</v>
      </c>
      <c r="E125" s="15">
        <v>0</v>
      </c>
      <c r="F125" s="15">
        <f t="shared" si="0"/>
        <v>0</v>
      </c>
      <c r="G125" s="253">
        <f>((E125 * F125) * 10 ^ -3)</f>
        <v>0</v>
      </c>
      <c r="H125" s="76"/>
      <c r="I125" s="253">
        <f>((E125 * (IF(H125,H125, F125))) * 10 ^ -3)</f>
        <v>0</v>
      </c>
      <c r="J125" s="34"/>
      <c r="K125" s="13"/>
      <c r="L125" s="34"/>
      <c r="M125" s="15">
        <v>0</v>
      </c>
      <c r="N125" s="15">
        <v>0</v>
      </c>
      <c r="O125" s="15">
        <v>0</v>
      </c>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v>0</v>
      </c>
      <c r="R125" s="15">
        <v>0</v>
      </c>
      <c r="S125" s="15">
        <v>0</v>
      </c>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v>0</v>
      </c>
      <c r="V125" s="15">
        <v>0</v>
      </c>
      <c r="W125" s="15">
        <v>0</v>
      </c>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v>0</v>
      </c>
      <c r="Z125" s="15">
        <v>0</v>
      </c>
      <c r="AA125" s="15">
        <v>0</v>
      </c>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4:28" ht="20.100000000000001" customHeight="1" x14ac:dyDescent="0.2">
      <c r="D126" s="15">
        <v>0</v>
      </c>
      <c r="E126" s="15">
        <v>0</v>
      </c>
      <c r="F126" s="15">
        <f t="shared" si="0"/>
        <v>0</v>
      </c>
      <c r="G126" s="253">
        <f>((E126 * F126) * 10 ^ -3)</f>
        <v>0</v>
      </c>
      <c r="H126" s="76"/>
      <c r="I126" s="253">
        <f>((E126 * (IF(H126,H126, F126))) * 10 ^ -3)</f>
        <v>0</v>
      </c>
      <c r="J126" s="34"/>
      <c r="K126" s="13"/>
      <c r="L126" s="34"/>
      <c r="M126" s="15">
        <v>0</v>
      </c>
      <c r="N126" s="15">
        <v>0</v>
      </c>
      <c r="O126" s="15">
        <v>0</v>
      </c>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v>0</v>
      </c>
      <c r="R126" s="15">
        <v>0</v>
      </c>
      <c r="S126" s="15">
        <v>0</v>
      </c>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v>0</v>
      </c>
      <c r="V126" s="15">
        <v>0</v>
      </c>
      <c r="W126" s="15">
        <v>0</v>
      </c>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v>0</v>
      </c>
      <c r="Z126" s="15">
        <v>0</v>
      </c>
      <c r="AA126" s="15">
        <v>0</v>
      </c>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4:28" ht="20.100000000000001" customHeight="1" x14ac:dyDescent="0.2">
      <c r="D127" s="15">
        <v>0</v>
      </c>
      <c r="E127" s="15">
        <v>0</v>
      </c>
      <c r="F127" s="15">
        <f t="shared" si="0"/>
        <v>0</v>
      </c>
      <c r="G127" s="253">
        <f>((E127 * F127) * 10 ^ -3)</f>
        <v>0</v>
      </c>
      <c r="H127" s="76"/>
      <c r="I127" s="253">
        <f>((E127 * (IF(H127,H127, F127))) * 10 ^ -3)</f>
        <v>0</v>
      </c>
      <c r="J127" s="34"/>
      <c r="K127" s="13"/>
      <c r="L127" s="34"/>
      <c r="M127" s="15">
        <v>0</v>
      </c>
      <c r="N127" s="15">
        <v>0</v>
      </c>
      <c r="O127" s="15">
        <v>0</v>
      </c>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v>0</v>
      </c>
      <c r="R127" s="15">
        <v>0</v>
      </c>
      <c r="S127" s="15">
        <v>0</v>
      </c>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v>0</v>
      </c>
      <c r="V127" s="15">
        <v>0</v>
      </c>
      <c r="W127" s="15">
        <v>0</v>
      </c>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v>0</v>
      </c>
      <c r="Z127" s="15">
        <v>0</v>
      </c>
      <c r="AA127" s="15">
        <v>0</v>
      </c>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4:28" ht="20.100000000000001" customHeight="1" x14ac:dyDescent="0.2">
      <c r="D128" s="15">
        <v>0</v>
      </c>
      <c r="E128" s="15">
        <v>0</v>
      </c>
      <c r="F128" s="15">
        <f t="shared" si="0"/>
        <v>0</v>
      </c>
      <c r="G128" s="253">
        <f>((E128 * F128) * 10 ^ -3)</f>
        <v>0</v>
      </c>
      <c r="H128" s="76"/>
      <c r="I128" s="253">
        <f>((E128 * (IF(H128,H128, F128))) * 10 ^ -3)</f>
        <v>0</v>
      </c>
      <c r="J128" s="34"/>
      <c r="K128" s="13"/>
      <c r="L128" s="34"/>
      <c r="M128" s="15">
        <v>0</v>
      </c>
      <c r="N128" s="15">
        <v>0</v>
      </c>
      <c r="O128" s="15">
        <v>0</v>
      </c>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v>0</v>
      </c>
      <c r="R128" s="15">
        <v>0</v>
      </c>
      <c r="S128" s="15">
        <v>0</v>
      </c>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v>0</v>
      </c>
      <c r="V128" s="15">
        <v>0</v>
      </c>
      <c r="W128" s="15">
        <v>0</v>
      </c>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v>0</v>
      </c>
      <c r="Z128" s="15">
        <v>0</v>
      </c>
      <c r="AA128" s="15">
        <v>0</v>
      </c>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1:28" ht="20.100000000000001" customHeight="1" x14ac:dyDescent="0.2">
      <c r="D129" s="15">
        <v>0</v>
      </c>
      <c r="E129" s="15">
        <v>0</v>
      </c>
      <c r="F129" s="15">
        <f t="shared" si="0"/>
        <v>0</v>
      </c>
      <c r="G129" s="253">
        <f>((E129 * F129) * 10 ^ -3)</f>
        <v>0</v>
      </c>
      <c r="H129" s="76"/>
      <c r="I129" s="253">
        <f>((E129 * (IF(H129,H129, F129))) * 10 ^ -3)</f>
        <v>0</v>
      </c>
      <c r="J129" s="34"/>
      <c r="K129" s="13"/>
      <c r="L129" s="34"/>
      <c r="M129" s="15">
        <v>0</v>
      </c>
      <c r="N129" s="15">
        <v>0</v>
      </c>
      <c r="O129" s="15">
        <v>0</v>
      </c>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v>0</v>
      </c>
      <c r="R129" s="15">
        <v>0</v>
      </c>
      <c r="S129" s="15">
        <v>0</v>
      </c>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v>0</v>
      </c>
      <c r="V129" s="15">
        <v>0</v>
      </c>
      <c r="W129" s="15">
        <v>0</v>
      </c>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v>0</v>
      </c>
      <c r="Z129" s="15">
        <v>0</v>
      </c>
      <c r="AA129" s="15">
        <v>0</v>
      </c>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1" spans="1:28" ht="20.100000000000001" customHeight="1" x14ac:dyDescent="0.2">
      <c r="A131" s="85" t="str">
        <f>HYPERLINK("#A1", "▲ Back to top")</f>
        <v>▲ Back to top</v>
      </c>
      <c r="D131" s="94" t="s">
        <v>1175</v>
      </c>
      <c r="E131" s="88">
        <f>SUM(G120:G129)</f>
        <v>0.61015200000000003</v>
      </c>
      <c r="F131" s="95" t="str">
        <f>$E$105</f>
        <v>t CO2e</v>
      </c>
    </row>
    <row r="132" spans="1:28" ht="20.100000000000001" customHeight="1" x14ac:dyDescent="0.2">
      <c r="D132" s="94" t="s">
        <v>1178</v>
      </c>
      <c r="E132" s="88">
        <f>SUM(I120:I129)</f>
        <v>0.36618000000000001</v>
      </c>
      <c r="F132" s="95" t="str">
        <f>$E$105</f>
        <v>t CO2e</v>
      </c>
    </row>
    <row r="135" spans="1:28" ht="20.100000000000001" customHeight="1" x14ac:dyDescent="0.2">
      <c r="D135" s="241" t="s">
        <v>1111</v>
      </c>
    </row>
    <row r="136" spans="1:28" ht="20.100000000000001" customHeight="1" x14ac:dyDescent="0.2">
      <c r="D136" s="82" t="s">
        <v>144</v>
      </c>
      <c r="E136" s="82" t="s">
        <v>1203</v>
      </c>
      <c r="F136" s="115" t="s">
        <v>1204</v>
      </c>
      <c r="G136" s="115" t="s">
        <v>1175</v>
      </c>
      <c r="H136" s="82" t="s">
        <v>1205</v>
      </c>
      <c r="I136" s="115" t="s">
        <v>1178</v>
      </c>
      <c r="J136" s="82" t="s">
        <v>1179</v>
      </c>
      <c r="K136" s="82" t="s">
        <v>1180</v>
      </c>
      <c r="L136" s="82" t="s">
        <v>1181</v>
      </c>
    </row>
    <row r="137" spans="1:28" ht="20.100000000000001" customHeight="1" x14ac:dyDescent="0.2">
      <c r="D137" s="15" t="str">
        <f>'Input - Livestock farm Inputs'!D12</f>
        <v>Feed for chickens</v>
      </c>
      <c r="E137" s="15">
        <f>IFERROR(X_Cell_FarmInputs_FeedRations_Chickens, 0)</f>
        <v>100</v>
      </c>
      <c r="F137" s="15" cm="1">
        <f t="array" ref="F137">Common_InputFunctions.Utility_LookupValueInTableNumber(D137,Table_SourceData_Scope3_MixedRations[Product],Table_SourceData_Scope3_MixedRations[Emissions intensity])</f>
        <v>0.59399999999999997</v>
      </c>
      <c r="G137" s="253">
        <f>((E137 * F137) * 10 ^ -3)</f>
        <v>5.9400000000000001E-2</v>
      </c>
      <c r="H137" s="76">
        <v>0.5</v>
      </c>
      <c r="I137" s="253">
        <f>((E137 * (IF(H137,H137, F137))) * 10 ^ -3)</f>
        <v>0.05</v>
      </c>
      <c r="J137" s="34"/>
      <c r="K137" s="13"/>
      <c r="L137" s="34"/>
    </row>
    <row r="138" spans="1:28" ht="20.100000000000001" customHeight="1" x14ac:dyDescent="0.2">
      <c r="D138" s="15" t="str">
        <f>'Input - Livestock farm Inputs'!D13</f>
        <v>Feed for dairy calves</v>
      </c>
      <c r="E138" s="15">
        <f>IFERROR(X_Cell_FarmInputs_FeedRations_DairyCalves, 0)</f>
        <v>100</v>
      </c>
      <c r="F138" s="15" cm="1">
        <f t="array" ref="F138">Common_InputFunctions.Utility_LookupValueInTableNumber(D138,Table_SourceData_Scope3_MixedRations[Product],Table_SourceData_Scope3_MixedRations[Emissions intensity])</f>
        <v>0.41899999999999998</v>
      </c>
      <c r="G138" s="253">
        <f>((E138 * F138) * 10 ^ -3)</f>
        <v>4.19E-2</v>
      </c>
      <c r="H138" s="76">
        <v>0.4</v>
      </c>
      <c r="I138" s="253">
        <f>((E138 * (IF(H138,H138, F138))) * 10 ^ -3)</f>
        <v>0.04</v>
      </c>
      <c r="J138" s="34"/>
      <c r="K138" s="13"/>
      <c r="L138" s="34"/>
    </row>
    <row r="139" spans="1:28" ht="20.100000000000001" customHeight="1" x14ac:dyDescent="0.2">
      <c r="D139" s="15" t="str">
        <f>'Input - Livestock farm Inputs'!D14</f>
        <v>Feed for dairy cows</v>
      </c>
      <c r="E139" s="15">
        <f>IFERROR(X_Cell_FarmInputs_FeedRations_DairyCows, 0)</f>
        <v>100</v>
      </c>
      <c r="F139" s="15" cm="1">
        <f t="array" ref="F139">Common_InputFunctions.Utility_LookupValueInTableNumber(D139,Table_SourceData_Scope3_MixedRations[Product],Table_SourceData_Scope3_MixedRations[Emissions intensity])</f>
        <v>0.33300000000000002</v>
      </c>
      <c r="G139" s="253">
        <f>((E139 * F139) * 10 ^ -3)</f>
        <v>3.3300000000000003E-2</v>
      </c>
      <c r="H139" s="76">
        <v>0</v>
      </c>
      <c r="I139" s="253">
        <f>((E139 * (IF(H139,H139, F139))) * 10 ^ -3)</f>
        <v>3.3300000000000003E-2</v>
      </c>
      <c r="J139" s="34"/>
      <c r="K139" s="13"/>
      <c r="L139" s="34"/>
    </row>
    <row r="140" spans="1:28" ht="20.100000000000001" customHeight="1" x14ac:dyDescent="0.2">
      <c r="D140" s="15" t="str">
        <f>'Input - Livestock farm Inputs'!D15</f>
        <v>Feed for pigs</v>
      </c>
      <c r="E140" s="15">
        <f>IFERROR(X_Cell_FarmInputs_FeedRations_Pigs, 0)</f>
        <v>100</v>
      </c>
      <c r="F140" s="15" cm="1">
        <f t="array" ref="F140">Common_InputFunctions.Utility_LookupValueInTableNumber(D140,Table_SourceData_Scope3_MixedRations[Product],Table_SourceData_Scope3_MixedRations[Emissions intensity])</f>
        <v>0.40300000000000002</v>
      </c>
      <c r="G140" s="253">
        <f>((E140 * F140) * 10 ^ -3)</f>
        <v>4.0300000000000002E-2</v>
      </c>
      <c r="H140" s="76">
        <v>0</v>
      </c>
      <c r="I140" s="253">
        <f>((E140 * (IF(H140,H140, F140))) * 10 ^ -3)</f>
        <v>4.0300000000000002E-2</v>
      </c>
      <c r="J140" s="34"/>
      <c r="K140" s="13"/>
      <c r="L140" s="34"/>
    </row>
    <row r="142" spans="1:28" ht="20.100000000000001" customHeight="1" x14ac:dyDescent="0.2">
      <c r="D142" s="94" t="s">
        <v>1175</v>
      </c>
      <c r="E142" s="88">
        <f>SUM(G137:G140)</f>
        <v>0.1749</v>
      </c>
      <c r="F142" s="95" t="str">
        <f>$E$105</f>
        <v>t CO2e</v>
      </c>
    </row>
    <row r="143" spans="1:28" ht="20.100000000000001" customHeight="1" x14ac:dyDescent="0.2">
      <c r="D143" s="94" t="s">
        <v>1178</v>
      </c>
      <c r="E143" s="88">
        <f>SUM(I137:I140)</f>
        <v>0.1636</v>
      </c>
      <c r="F143" s="95" t="str">
        <f>$E$105</f>
        <v>t CO2e</v>
      </c>
    </row>
    <row r="146" spans="4:12" ht="20.100000000000001" customHeight="1" x14ac:dyDescent="0.2">
      <c r="D146" s="241" t="s">
        <v>1214</v>
      </c>
    </row>
    <row r="147" spans="4:12" ht="20.100000000000001" customHeight="1" x14ac:dyDescent="0.2">
      <c r="D147" s="82" t="s">
        <v>144</v>
      </c>
      <c r="E147" s="82" t="s">
        <v>1203</v>
      </c>
      <c r="F147" s="115" t="s">
        <v>1204</v>
      </c>
      <c r="G147" s="115" t="s">
        <v>1175</v>
      </c>
      <c r="H147" s="82" t="s">
        <v>1205</v>
      </c>
      <c r="I147" s="115" t="s">
        <v>1178</v>
      </c>
      <c r="J147" s="82" t="s">
        <v>1179</v>
      </c>
      <c r="K147" s="82" t="s">
        <v>1180</v>
      </c>
      <c r="L147" s="82" t="s">
        <v>1181</v>
      </c>
    </row>
    <row r="148" spans="4:12" ht="20.100000000000001" customHeight="1" x14ac:dyDescent="0.2">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53">
        <f>((E148 * F148) * 10 ^ -3)</f>
        <v>0</v>
      </c>
      <c r="H148" s="76">
        <v>0.2</v>
      </c>
      <c r="I148" s="253">
        <f>((E148 * (IF(H148,H148, F148))) * 10 ^ -3)</f>
        <v>0</v>
      </c>
      <c r="J148" s="34"/>
      <c r="K148" s="34"/>
      <c r="L148" s="34"/>
    </row>
    <row r="149" spans="4:12" ht="20.100000000000001" customHeight="1" x14ac:dyDescent="0.2">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53">
        <f>((E149 * F149) * 10 ^ -3)</f>
        <v>0</v>
      </c>
      <c r="H149" s="76">
        <v>0</v>
      </c>
      <c r="I149" s="253">
        <f>((E149 * (IF(H149,H149, F149))) * 10 ^ -3)</f>
        <v>0</v>
      </c>
      <c r="J149" s="34"/>
      <c r="K149" s="34"/>
      <c r="L149" s="34"/>
    </row>
    <row r="150" spans="4:12" ht="20.100000000000001" customHeight="1" x14ac:dyDescent="0.2">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53">
        <f>((E150 * F150) * 10 ^ -3)</f>
        <v>0</v>
      </c>
      <c r="H150" s="76">
        <v>0</v>
      </c>
      <c r="I150" s="253">
        <f>((E150 * (IF(H150,H150, F150))) * 10 ^ -3)</f>
        <v>0</v>
      </c>
      <c r="J150" s="34"/>
      <c r="K150" s="34"/>
      <c r="L150" s="34"/>
    </row>
    <row r="151" spans="4:12" ht="20.100000000000001" customHeight="1" x14ac:dyDescent="0.2">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53">
        <f>((E151 * F151) * 10 ^ -3)</f>
        <v>0</v>
      </c>
      <c r="H151" s="76">
        <v>0</v>
      </c>
      <c r="I151" s="253">
        <f>((E151 * (IF(H151,H151, F151))) * 10 ^ -3)</f>
        <v>0</v>
      </c>
      <c r="J151" s="34"/>
      <c r="K151" s="34"/>
      <c r="L151" s="34"/>
    </row>
    <row r="152" spans="4:12" ht="20.100000000000001" customHeight="1" x14ac:dyDescent="0.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53">
        <f>((E152 * F152) * 10 ^ -3)</f>
        <v>0</v>
      </c>
      <c r="H152" s="76">
        <v>0</v>
      </c>
      <c r="I152" s="253">
        <f>((E152 * (IF(H152,H152, F152))) * 10 ^ -3)</f>
        <v>0</v>
      </c>
      <c r="J152" s="34"/>
      <c r="K152" s="34"/>
      <c r="L152" s="34"/>
    </row>
    <row r="153" spans="4:12" ht="20.100000000000001" customHeight="1" x14ac:dyDescent="0.2">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53">
        <f>((E153 * F153) * 10 ^ -3)</f>
        <v>0</v>
      </c>
      <c r="H153" s="76">
        <v>0</v>
      </c>
      <c r="I153" s="253">
        <f>((E153 * (IF(H153,H153, F153))) * 10 ^ -3)</f>
        <v>0</v>
      </c>
      <c r="J153" s="34"/>
      <c r="K153" s="34"/>
      <c r="L153" s="34"/>
    </row>
    <row r="155" spans="4:12" ht="20.100000000000001" customHeight="1" x14ac:dyDescent="0.2">
      <c r="D155" s="94" t="s">
        <v>1175</v>
      </c>
      <c r="E155" s="88">
        <f>SUM(G148:G153)</f>
        <v>0</v>
      </c>
      <c r="F155" s="95" t="str">
        <f>$E$105</f>
        <v>t CO2e</v>
      </c>
    </row>
    <row r="156" spans="4:12" ht="20.100000000000001" customHeight="1" x14ac:dyDescent="0.2">
      <c r="D156" s="94" t="s">
        <v>1178</v>
      </c>
      <c r="E156" s="88">
        <f>SUM(I148:I153)</f>
        <v>0</v>
      </c>
      <c r="F156" s="95" t="str">
        <f>$E$105</f>
        <v>t CO2e</v>
      </c>
    </row>
    <row r="159" spans="4:12" ht="20.100000000000001" customHeight="1" x14ac:dyDescent="0.2">
      <c r="D159" s="91" t="s">
        <v>1175</v>
      </c>
      <c r="E159" s="92">
        <f>E131+E142+E155</f>
        <v>0.78505200000000008</v>
      </c>
      <c r="F159" s="96" t="str">
        <f>$E$105</f>
        <v>t CO2e</v>
      </c>
    </row>
    <row r="160" spans="4:12" ht="20.100000000000001" customHeight="1" x14ac:dyDescent="0.2">
      <c r="D160" s="91" t="s">
        <v>1178</v>
      </c>
      <c r="E160" s="92">
        <f>E132+E143+E156</f>
        <v>0.52978000000000003</v>
      </c>
      <c r="F160" s="96" t="str">
        <f>$E$105</f>
        <v>t CO2e</v>
      </c>
    </row>
    <row r="161" spans="1:41" ht="20.100000000000001" customHeight="1" x14ac:dyDescent="0.2">
      <c r="A161" s="85" t="str">
        <f>HYPERLINK("#A1", "▲ Back to top")</f>
        <v>▲ Back to top</v>
      </c>
    </row>
    <row r="163" spans="1:41" ht="20.100000000000001" customHeight="1" x14ac:dyDescent="0.2">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row>
    <row r="164" spans="1:41" ht="20.100000000000001" customHeight="1" x14ac:dyDescent="0.2">
      <c r="D164" s="2" t="s">
        <v>1768</v>
      </c>
    </row>
    <row r="165" spans="1:41" ht="20.100000000000001" customHeight="1" x14ac:dyDescent="0.2">
      <c r="D165" s="17" t="s">
        <v>1769</v>
      </c>
    </row>
    <row r="166" spans="1:41" ht="20.100000000000001" customHeight="1" x14ac:dyDescent="0.2">
      <c r="D166" s="104"/>
      <c r="E166" s="104"/>
    </row>
    <row r="168" spans="1:41" ht="20.100000000000001" customHeight="1" x14ac:dyDescent="0.2">
      <c r="F168" s="26" t="s">
        <v>1762</v>
      </c>
      <c r="H168" s="104"/>
    </row>
    <row r="169" spans="1:41" ht="20.100000000000001" customHeight="1" x14ac:dyDescent="0.2">
      <c r="D169" s="77" t="s">
        <v>374</v>
      </c>
      <c r="E169" s="1" t="s">
        <v>1281</v>
      </c>
    </row>
    <row r="170" spans="1:41" ht="20.100000000000001" customHeight="1" x14ac:dyDescent="0.2">
      <c r="D170" s="77" t="s">
        <v>126</v>
      </c>
      <c r="E170" s="9" t="s">
        <v>6</v>
      </c>
    </row>
    <row r="172" spans="1:41" ht="20.100000000000001" customHeight="1" x14ac:dyDescent="0.2">
      <c r="D172" s="106" t="s">
        <v>1770</v>
      </c>
      <c r="E172" s="107" t="s">
        <v>1771</v>
      </c>
      <c r="F172" s="109"/>
      <c r="G172" s="106" t="s">
        <v>653</v>
      </c>
      <c r="H172" s="251" t="s">
        <v>1325</v>
      </c>
    </row>
    <row r="173" spans="1:41" ht="20.100000000000001" customHeight="1" x14ac:dyDescent="0.2">
      <c r="D173" s="106" t="s">
        <v>1772</v>
      </c>
      <c r="E173" s="107" t="s">
        <v>1773</v>
      </c>
      <c r="F173" s="109"/>
      <c r="G173" s="106" t="s">
        <v>1759</v>
      </c>
      <c r="H173" s="251" t="s">
        <v>1326</v>
      </c>
    </row>
    <row r="174" spans="1:41" ht="20.100000000000001" customHeight="1" x14ac:dyDescent="0.2">
      <c r="D174" s="106" t="s">
        <v>1694</v>
      </c>
      <c r="E174" s="107" t="s">
        <v>1774</v>
      </c>
      <c r="F174" s="109"/>
      <c r="G174" s="106"/>
      <c r="H174" s="111" t="s">
        <v>1325</v>
      </c>
    </row>
    <row r="176" spans="1:41" ht="20.100000000000001" customHeight="1" x14ac:dyDescent="0.2">
      <c r="D176" s="82" t="s">
        <v>144</v>
      </c>
      <c r="E176" s="82" t="s">
        <v>1215</v>
      </c>
      <c r="F176" s="115" t="s">
        <v>1216</v>
      </c>
      <c r="G176" s="115" t="s">
        <v>1175</v>
      </c>
      <c r="H176" s="82" t="s">
        <v>1217</v>
      </c>
      <c r="I176" s="115" t="s">
        <v>1178</v>
      </c>
      <c r="J176" s="82" t="s">
        <v>1179</v>
      </c>
      <c r="K176" s="82" t="s">
        <v>1180</v>
      </c>
      <c r="L176" s="82" t="s">
        <v>1181</v>
      </c>
    </row>
    <row r="177" spans="1:41" ht="20.100000000000001" customHeight="1" x14ac:dyDescent="0.2">
      <c r="D177" s="15" t="str">
        <f>'Input - Livestock farm Inputs'!D7</f>
        <v>Lick block, dry season mix</v>
      </c>
      <c r="E177" s="15">
        <f>IFERROR(X_Cell_FarmInputs_LickBlocks_DrySeasonMix, 0)</f>
        <v>100</v>
      </c>
      <c r="F177" s="15" cm="1">
        <f t="array" ref="F177">Common_InputFunctions.Utility_LookupValueInTableNumber(D177,Table_SourceData_Scope3_LickBlocks[Product],Table_SourceData_Scope3_LickBlocks[Emissions intensity])</f>
        <v>0.88100000000000001</v>
      </c>
      <c r="G177" s="253">
        <f>((E177 * F177) * 10 ^ -3)</f>
        <v>8.8099999999999998E-2</v>
      </c>
      <c r="H177" s="76">
        <v>0.8</v>
      </c>
      <c r="I177" s="253">
        <f>((E177 * (IF(H177, H177, F177))) * 10 ^ -3)</f>
        <v>0.08</v>
      </c>
      <c r="J177" s="34"/>
      <c r="K177" s="13"/>
      <c r="L177" s="34"/>
    </row>
    <row r="178" spans="1:41" ht="20.100000000000001" customHeight="1" x14ac:dyDescent="0.2">
      <c r="D178" s="15" t="str">
        <f>'Input - Livestock farm Inputs'!D8</f>
        <v>Lick block, mineral</v>
      </c>
      <c r="E178" s="15">
        <f>IFERROR(X_Cell_FarmInputs_LickBlocks_Mineral, 0)</f>
        <v>100</v>
      </c>
      <c r="F178" s="15" cm="1">
        <f t="array" ref="F178">Common_InputFunctions.Utility_LookupValueInTableNumber(D178,Table_SourceData_Scope3_LickBlocks[Product],Table_SourceData_Scope3_LickBlocks[Emissions intensity])</f>
        <v>0.67700000000000005</v>
      </c>
      <c r="G178" s="253">
        <f>((E178 * F178) * 10 ^ -3)</f>
        <v>6.770000000000001E-2</v>
      </c>
      <c r="H178" s="76">
        <v>0.6</v>
      </c>
      <c r="I178" s="253">
        <f>((E178 * (IF(H178, H178, F178))) * 10 ^ -3)</f>
        <v>0.06</v>
      </c>
      <c r="J178" s="34"/>
      <c r="K178" s="13"/>
      <c r="L178" s="34"/>
    </row>
    <row r="179" spans="1:41" ht="20.100000000000001" customHeight="1" x14ac:dyDescent="0.2">
      <c r="D179" s="15" t="str">
        <f>'Input - Livestock farm Inputs'!D9</f>
        <v>Lick block, weaner</v>
      </c>
      <c r="E179" s="15">
        <f>IFERROR(X_Cell_FarmInputs_LickBlocks_Weaner, 0)</f>
        <v>100</v>
      </c>
      <c r="F179" s="15" cm="1">
        <f t="array" ref="F179">Common_InputFunctions.Utility_LookupValueInTableNumber(D179,Table_SourceData_Scope3_LickBlocks[Product],Table_SourceData_Scope3_LickBlocks[Emissions intensity])</f>
        <v>0.23100000000000001</v>
      </c>
      <c r="G179" s="253">
        <f>((E179 * F179) * 10 ^ -3)</f>
        <v>2.3100000000000002E-2</v>
      </c>
      <c r="H179" s="76">
        <v>0.2</v>
      </c>
      <c r="I179" s="253">
        <f>((E179 * (IF(H179, H179, F179))) * 10 ^ -3)</f>
        <v>0.02</v>
      </c>
      <c r="J179" s="34"/>
      <c r="K179" s="13"/>
      <c r="L179" s="34"/>
    </row>
    <row r="181" spans="1:41" ht="20.100000000000001" customHeight="1" x14ac:dyDescent="0.2">
      <c r="D181" s="91" t="s">
        <v>1175</v>
      </c>
      <c r="E181" s="92">
        <f>SUM(G177:G179)</f>
        <v>0.1789</v>
      </c>
      <c r="F181" s="96" t="str">
        <f>$E$170</f>
        <v>t CO2e</v>
      </c>
    </row>
    <row r="182" spans="1:41" ht="20.100000000000001" customHeight="1" x14ac:dyDescent="0.2">
      <c r="D182" s="91" t="s">
        <v>1178</v>
      </c>
      <c r="E182" s="92">
        <f>SUM(I177:I179)</f>
        <v>0.16</v>
      </c>
      <c r="F182" s="96" t="str">
        <f>$E$170</f>
        <v>t CO2e</v>
      </c>
    </row>
    <row r="185" spans="1:41" ht="20.100000000000001" customHeight="1" x14ac:dyDescent="0.2">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row>
    <row r="186" spans="1:41" ht="20.100000000000001" customHeight="1" x14ac:dyDescent="0.2">
      <c r="D186" s="2" t="s">
        <v>1775</v>
      </c>
    </row>
    <row r="187" spans="1:41" ht="20.100000000000001" customHeight="1" x14ac:dyDescent="0.2">
      <c r="D187" s="17" t="s">
        <v>1776</v>
      </c>
    </row>
    <row r="188" spans="1:41" ht="20.100000000000001" customHeight="1" x14ac:dyDescent="0.2">
      <c r="D188" s="26" t="s">
        <v>1777</v>
      </c>
    </row>
    <row r="189" spans="1:41" ht="20.100000000000001" customHeight="1" x14ac:dyDescent="0.2">
      <c r="D189" s="104"/>
      <c r="E189" s="104"/>
    </row>
    <row r="191" spans="1:41" ht="20.100000000000001" customHeight="1" x14ac:dyDescent="0.2">
      <c r="A191" s="85" t="str">
        <f>HYPERLINK("#A1", "▲ Back to top")</f>
        <v>▲ Back to top</v>
      </c>
    </row>
    <row r="192" spans="1:41" ht="20.100000000000001" customHeight="1" x14ac:dyDescent="0.2">
      <c r="D192" s="77" t="s">
        <v>374</v>
      </c>
      <c r="E192" s="1" t="s">
        <v>1778</v>
      </c>
    </row>
    <row r="193" spans="4:8" ht="20.100000000000001" customHeight="1" x14ac:dyDescent="0.2">
      <c r="D193" s="77" t="s">
        <v>126</v>
      </c>
      <c r="E193" s="9" t="s">
        <v>1779</v>
      </c>
    </row>
    <row r="195" spans="4:8" ht="20.100000000000001" customHeight="1" x14ac:dyDescent="0.2">
      <c r="D195" s="106" t="s">
        <v>1780</v>
      </c>
      <c r="E195" s="107" t="s">
        <v>1781</v>
      </c>
      <c r="F195" s="109"/>
      <c r="G195" s="106" t="s">
        <v>1786</v>
      </c>
      <c r="H195" s="251" t="s">
        <v>1325</v>
      </c>
    </row>
    <row r="196" spans="4:8" ht="20.100000000000001" customHeight="1" x14ac:dyDescent="0.2">
      <c r="D196" s="106" t="s">
        <v>1782</v>
      </c>
      <c r="E196" s="107" t="s">
        <v>1783</v>
      </c>
      <c r="F196" s="109"/>
      <c r="G196" s="106" t="s">
        <v>1787</v>
      </c>
      <c r="H196" s="111" t="s">
        <v>1326</v>
      </c>
    </row>
    <row r="197" spans="4:8" ht="20.100000000000001" customHeight="1" x14ac:dyDescent="0.2">
      <c r="D197" s="106" t="s">
        <v>1514</v>
      </c>
      <c r="E197" s="107" t="s">
        <v>1784</v>
      </c>
      <c r="F197" s="109"/>
      <c r="G197" s="106"/>
      <c r="H197" s="251" t="s">
        <v>1325</v>
      </c>
    </row>
    <row r="198" spans="4:8" ht="20.100000000000001" customHeight="1" x14ac:dyDescent="0.2">
      <c r="D198" s="106" t="s">
        <v>1496</v>
      </c>
      <c r="E198" s="107" t="s">
        <v>1785</v>
      </c>
      <c r="F198" s="109"/>
      <c r="G198" s="106"/>
      <c r="H198" s="251" t="s">
        <v>1325</v>
      </c>
    </row>
    <row r="201" spans="4:8" ht="20.100000000000001" customHeight="1" x14ac:dyDescent="0.2">
      <c r="D201" s="2" t="s">
        <v>1788</v>
      </c>
    </row>
    <row r="202" spans="4:8" ht="20.100000000000001" customHeight="1" x14ac:dyDescent="0.2">
      <c r="D202" s="17" t="s">
        <v>1789</v>
      </c>
    </row>
    <row r="203" spans="4:8" ht="20.100000000000001" customHeight="1" x14ac:dyDescent="0.2">
      <c r="D203" s="104"/>
      <c r="E203" s="104"/>
    </row>
    <row r="206" spans="4:8" ht="20.100000000000001" customHeight="1" x14ac:dyDescent="0.2">
      <c r="D206" s="77" t="s">
        <v>374</v>
      </c>
      <c r="E206" s="1" t="s">
        <v>1281</v>
      </c>
    </row>
    <row r="207" spans="4:8" ht="20.100000000000001" customHeight="1" x14ac:dyDescent="0.2">
      <c r="D207" s="77" t="s">
        <v>126</v>
      </c>
      <c r="E207" s="9" t="s">
        <v>6</v>
      </c>
    </row>
    <row r="209" spans="1:8" ht="20.100000000000001" customHeight="1" x14ac:dyDescent="0.2">
      <c r="D209" s="106" t="s">
        <v>1483</v>
      </c>
      <c r="E209" s="106" t="s">
        <v>1790</v>
      </c>
      <c r="F209" s="106"/>
      <c r="G209" s="106" t="s">
        <v>653</v>
      </c>
      <c r="H209" s="251" t="s">
        <v>1325</v>
      </c>
    </row>
    <row r="210" spans="1:8" ht="20.100000000000001" customHeight="1" x14ac:dyDescent="0.2">
      <c r="D210" s="106" t="s">
        <v>1778</v>
      </c>
      <c r="E210" s="106" t="s">
        <v>1791</v>
      </c>
      <c r="F210" s="106"/>
      <c r="G210" s="106" t="s">
        <v>1759</v>
      </c>
      <c r="H210" s="111" t="s">
        <v>1326</v>
      </c>
    </row>
    <row r="211" spans="1:8" ht="20.100000000000001" customHeight="1" x14ac:dyDescent="0.2">
      <c r="D211" s="106" t="s">
        <v>1456</v>
      </c>
      <c r="E211" s="107" t="s">
        <v>1457</v>
      </c>
      <c r="F211" s="109"/>
      <c r="G211" s="106"/>
      <c r="H211" s="251" t="s">
        <v>1325</v>
      </c>
    </row>
    <row r="212" spans="1:8" ht="20.100000000000001" customHeight="1" x14ac:dyDescent="0.2">
      <c r="D212" s="106" t="s">
        <v>1496</v>
      </c>
      <c r="E212" s="107" t="s">
        <v>1785</v>
      </c>
      <c r="F212" s="109"/>
      <c r="G212" s="106"/>
      <c r="H212" s="251" t="s">
        <v>1325</v>
      </c>
    </row>
    <row r="215" spans="1:8" ht="20.100000000000001" customHeight="1" x14ac:dyDescent="0.2">
      <c r="D215" s="2" t="s">
        <v>1792</v>
      </c>
    </row>
    <row r="216" spans="1:8" ht="20.100000000000001" customHeight="1" x14ac:dyDescent="0.2">
      <c r="D216" s="17" t="s">
        <v>1793</v>
      </c>
    </row>
    <row r="217" spans="1:8" ht="20.100000000000001" customHeight="1" x14ac:dyDescent="0.2">
      <c r="D217" s="26" t="s">
        <v>1794</v>
      </c>
    </row>
    <row r="218" spans="1:8" ht="20.100000000000001" customHeight="1" x14ac:dyDescent="0.2">
      <c r="D218" s="104"/>
      <c r="E218" s="104"/>
    </row>
    <row r="221" spans="1:8" ht="20.100000000000001" customHeight="1" x14ac:dyDescent="0.2">
      <c r="A221" s="85" t="str">
        <f>HYPERLINK("#A1", "▲ Back to top")</f>
        <v>▲ Back to top</v>
      </c>
      <c r="D221" s="77" t="s">
        <v>374</v>
      </c>
      <c r="E221" s="1" t="s">
        <v>1281</v>
      </c>
    </row>
    <row r="222" spans="1:8" ht="20.100000000000001" customHeight="1" x14ac:dyDescent="0.2">
      <c r="D222" s="77" t="s">
        <v>126</v>
      </c>
      <c r="E222" s="9" t="s">
        <v>6</v>
      </c>
    </row>
    <row r="224" spans="1:8" ht="20.100000000000001" customHeight="1" x14ac:dyDescent="0.2">
      <c r="D224" s="106" t="s">
        <v>1780</v>
      </c>
      <c r="E224" s="107" t="s">
        <v>1781</v>
      </c>
      <c r="F224" s="109"/>
      <c r="G224" s="106" t="s">
        <v>1786</v>
      </c>
      <c r="H224" s="251" t="s">
        <v>1325</v>
      </c>
    </row>
    <row r="225" spans="4:40" ht="20.100000000000001" customHeight="1" x14ac:dyDescent="0.2">
      <c r="D225" s="106" t="s">
        <v>1483</v>
      </c>
      <c r="E225" s="107" t="s">
        <v>1790</v>
      </c>
      <c r="F225" s="109"/>
      <c r="G225" s="106" t="s">
        <v>653</v>
      </c>
      <c r="H225" s="111" t="s">
        <v>1325</v>
      </c>
    </row>
    <row r="226" spans="4:40" ht="20.100000000000001" customHeight="1" x14ac:dyDescent="0.2">
      <c r="D226" s="106" t="s">
        <v>1782</v>
      </c>
      <c r="E226" s="107" t="s">
        <v>1783</v>
      </c>
      <c r="F226" s="109"/>
      <c r="G226" s="106" t="s">
        <v>1787</v>
      </c>
      <c r="H226" s="111" t="s">
        <v>1326</v>
      </c>
    </row>
    <row r="227" spans="4:40" ht="20.100000000000001" customHeight="1" x14ac:dyDescent="0.2">
      <c r="D227" s="106" t="s">
        <v>1514</v>
      </c>
      <c r="E227" s="107" t="s">
        <v>1784</v>
      </c>
      <c r="F227" s="109"/>
      <c r="G227" s="106"/>
      <c r="H227" s="251" t="s">
        <v>1325</v>
      </c>
    </row>
    <row r="228" spans="4:40" ht="20.100000000000001" customHeight="1" x14ac:dyDescent="0.2">
      <c r="D228" s="106" t="s">
        <v>1496</v>
      </c>
      <c r="E228" s="107" t="s">
        <v>1785</v>
      </c>
      <c r="F228" s="109"/>
      <c r="G228" s="106"/>
      <c r="H228" s="251" t="s">
        <v>1325</v>
      </c>
    </row>
    <row r="229" spans="4:40" ht="20.100000000000001" customHeight="1" x14ac:dyDescent="0.2">
      <c r="D229" s="106" t="s">
        <v>1456</v>
      </c>
      <c r="E229" s="107" t="s">
        <v>1457</v>
      </c>
      <c r="F229" s="109"/>
      <c r="G229" s="106"/>
      <c r="H229" s="251" t="s">
        <v>1325</v>
      </c>
    </row>
    <row r="231" spans="4:40" ht="20.100000000000001" customHeight="1" x14ac:dyDescent="0.2">
      <c r="D231" s="241" t="s">
        <v>1218</v>
      </c>
    </row>
    <row r="233" spans="4:40" ht="20.100000000000001" customHeight="1" x14ac:dyDescent="0.2">
      <c r="D233" s="36" t="s">
        <v>1219</v>
      </c>
      <c r="E233" s="38"/>
      <c r="F233" s="39"/>
    </row>
    <row r="235" spans="4:40" ht="20.100000000000001" customHeight="1" x14ac:dyDescent="0.2">
      <c r="D235" s="82" t="s">
        <v>144</v>
      </c>
      <c r="E235" s="82" t="s">
        <v>1220</v>
      </c>
      <c r="F235" s="115" t="s">
        <v>1221</v>
      </c>
      <c r="G235" s="115" t="s">
        <v>1222</v>
      </c>
      <c r="H235" s="115" t="s">
        <v>1223</v>
      </c>
      <c r="I235" s="82" t="s">
        <v>1224</v>
      </c>
      <c r="J235" s="115" t="s">
        <v>1225</v>
      </c>
      <c r="K235" s="115" t="s">
        <v>1226</v>
      </c>
      <c r="L235" s="82" t="s">
        <v>1179</v>
      </c>
      <c r="M235" s="82" t="s">
        <v>1180</v>
      </c>
      <c r="N235" s="82" t="s">
        <v>1181</v>
      </c>
      <c r="O235" s="115" t="s">
        <v>605</v>
      </c>
      <c r="P235" s="115" t="s">
        <v>606</v>
      </c>
      <c r="Q235" s="115" t="s">
        <v>590</v>
      </c>
      <c r="R235" s="115" t="s">
        <v>591</v>
      </c>
      <c r="S235" s="115" t="s">
        <v>1227</v>
      </c>
      <c r="T235" s="82" t="s">
        <v>1228</v>
      </c>
      <c r="U235" s="115" t="s">
        <v>592</v>
      </c>
      <c r="V235" s="115" t="s">
        <v>593</v>
      </c>
      <c r="W235" s="115" t="s">
        <v>1229</v>
      </c>
      <c r="X235" s="82" t="s">
        <v>1230</v>
      </c>
      <c r="Y235" s="115" t="s">
        <v>594</v>
      </c>
      <c r="Z235" s="115" t="s">
        <v>595</v>
      </c>
      <c r="AA235" s="115" t="s">
        <v>1231</v>
      </c>
      <c r="AB235" s="82" t="s">
        <v>1232</v>
      </c>
      <c r="AC235" s="115" t="s">
        <v>596</v>
      </c>
      <c r="AD235" s="115" t="s">
        <v>597</v>
      </c>
      <c r="AE235" s="115" t="s">
        <v>1233</v>
      </c>
      <c r="AF235" s="82" t="s">
        <v>1234</v>
      </c>
      <c r="AG235" s="115" t="s">
        <v>598</v>
      </c>
      <c r="AH235" s="115" t="s">
        <v>599</v>
      </c>
      <c r="AI235" s="115" t="s">
        <v>1235</v>
      </c>
      <c r="AJ235" s="82" t="s">
        <v>1236</v>
      </c>
      <c r="AK235" s="115" t="s">
        <v>600</v>
      </c>
      <c r="AL235" s="115" t="s">
        <v>601</v>
      </c>
      <c r="AM235" s="115" t="s">
        <v>1237</v>
      </c>
      <c r="AN235" s="82" t="s">
        <v>1238</v>
      </c>
    </row>
    <row r="236" spans="4:40" ht="20.100000000000001" customHeight="1" x14ac:dyDescent="0.2">
      <c r="D236" s="15" t="str" cm="1">
        <f t="array" ref="D236:D245">IFERROR(INDEX(Table_Input_InorganicFertiliser_Brands[Product (select)], _xlfn.SEQUENCE(10)), "")</f>
        <v>Urea</v>
      </c>
      <c r="E236" s="15" cm="1">
        <f t="array" ref="E236:E245">IFERROR(INDEX(Table_Input_InorganicFertiliser_Brands[Total applied (kg)], _xlfn.SEQUENCE(10)), 0)</f>
        <v>100000</v>
      </c>
      <c r="F236" s="15">
        <f>(R236 * S236)+
(V236 * W236)+
(Z236 * AA236)+
(AD236 * AE236)+
(AH236 * AI236)+
(AL236 * AM236)</f>
        <v>0</v>
      </c>
      <c r="G236" s="253">
        <f>((E236 * F236) * 10 ^ -3)</f>
        <v>0</v>
      </c>
      <c r="H236" s="15">
        <f>((R236 * $E236) * S236 * 10 ^ -3)+
((V236 * $E236) * W236 * 10 ^ -3)+
((Z236 * $E236) * AA236 * 10 ^ -3)+
((AD236 * $E236) * AE236 * 10 ^ -3)+
((AH236 * $E236) * AI236 * 10 ^ -3)+
((AL236 * $E236) * AM236 * 10 ^ -3)</f>
        <v>0</v>
      </c>
      <c r="I236" s="76">
        <v>0.4</v>
      </c>
      <c r="J236" s="253">
        <f>((E236 * I236) * 10 ^ -3)</f>
        <v>40</v>
      </c>
      <c r="K236" s="253">
        <f>((R236 * $E236) * (IF(T236,T236,S236)) * 10 ^ -3)+
((V236 * $E236) * (IF(X236,X236,W236)) * 10 ^ -3)+
((Z236 * $E236) * (IF(AB236,AB236,AA236)) * 10 ^ -3)+
((AD236 * $E236) * (IF(AF236,AF236,AE236)) * 10 ^ -3)+
((AH236 * $E236) * (IF(AJ236,AJ236,AI236)) * 10 ^ -3)+
((AL236 * $E236) * (IF(AN236,AN236,AM236)) * 10 ^ -3)</f>
        <v>90</v>
      </c>
      <c r="L236" s="34"/>
      <c r="M236" s="13"/>
      <c r="N236"/>
      <c r="O236" s="15" cm="1">
        <f t="array" ref="O236:O245">IFERROR(INDEX(Table_Input_InorganicFertiliser_Brands[Urea source], _xlfn.SEQUENCE(10)), "")</f>
        <v>0</v>
      </c>
      <c r="P236" s="15" cm="1">
        <f t="array" ref="P236:P245">IFERROR(INDEX(Table_Input_InorganicFertiliser_Brands[Ammonia source], _xlfn.SEQUENCE(10)), "")</f>
        <v>0</v>
      </c>
      <c r="Q236" s="15" t="str" cm="1">
        <f t="array" ref="Q236:Q245">IFERROR(INDEX(Table_Input_InorganicFertiliser_Brands[Ingredient 1], _xlfn.SEQUENCE(10)), "")</f>
        <v>Urea</v>
      </c>
      <c r="R236" s="15" cm="1">
        <f t="array" ref="R236:R245">IFERROR(INDEX(_xlfn.LET(_xlpm.result, Table_Input_InorganicFertiliser_Brands[Ingredient 1 percent], IF(_xlpm.result="", 0, _xlpm.result)), _xlfn.SEQUENCE(10)), 0)</f>
        <v>1</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v>
      </c>
      <c r="T236" s="76">
        <v>0.9</v>
      </c>
      <c r="U236" s="15" cm="1">
        <f t="array" ref="U236:U245">IFERROR(INDEX(Table_Input_InorganicFertiliser_Brands[Ingredient 2], _xlfn.SEQUENCE(10)), "")</f>
        <v>0</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6">
        <v>0.9</v>
      </c>
      <c r="Y236" s="15" cm="1">
        <f t="array" ref="Y236:Y245">IFERROR(INDEX(Table_Input_InorganicFertiliser_Brands[Ingredient 3], _xlfn.SEQUENCE(10)), "")</f>
        <v>0</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6">
        <v>4</v>
      </c>
      <c r="AC236" s="15" cm="1">
        <f t="array" ref="AC236:AC245">IFERROR(INDEX(Table_Input_InorganicFertiliser_Brands[Ingredient 4], _xlfn.SEQUENCE(10)), "")</f>
        <v>0</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6">
        <v>0</v>
      </c>
      <c r="AG236" s="15" cm="1">
        <f t="array" ref="AG236:AG245">IFERROR(INDEX(Table_Input_InorganicFertiliser_Brands[Ingredient 5], _xlfn.SEQUENCE(10)), "")</f>
        <v>0</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6">
        <v>0</v>
      </c>
      <c r="AK236" s="15" cm="1">
        <f t="array" ref="AK236:AK245">IFERROR(INDEX(Table_Input_InorganicFertiliser_Brands[Ingredient 6], _xlfn.SEQUENCE(10)), "")</f>
        <v>0</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6"/>
    </row>
    <row r="237" spans="4:40" ht="20.100000000000001" customHeight="1" x14ac:dyDescent="0.2">
      <c r="D237" s="15" t="str">
        <v>Boost-It</v>
      </c>
      <c r="E237" s="15">
        <v>100000</v>
      </c>
      <c r="F237" s="15">
        <f>(R237 * S237)+
(V237 * W237)+
(Z237 * AA237)+
(AD237 * AE237)+
(AH237 * AI237)+
(AL237 * AM237)</f>
        <v>0.41114000000000001</v>
      </c>
      <c r="G237" s="253">
        <f>((E237 * F237) * 10 ^ -3)</f>
        <v>41.114000000000004</v>
      </c>
      <c r="H237" s="15">
        <f>((R237 * $E237) * S237 * 10 ^ -3)+
((V237 * $E237) * W237 * 10 ^ -3)+
((Z237 * $E237) * AA237 * 10 ^ -3)+
((AD237 * $E237) * AE237 * 10 ^ -3)+
((AH237 * $E237) * AI237 * 10 ^ -3)+
((AL237 * $E237) * AM237 * 10 ^ -3)</f>
        <v>41.113999999999997</v>
      </c>
      <c r="I237" s="76">
        <v>0.9</v>
      </c>
      <c r="J237" s="253">
        <f>((E237 * I237) * 10 ^ -3)</f>
        <v>90</v>
      </c>
      <c r="K237" s="253">
        <f>((R237 * $E237) * (IF(T237,T237,S237)) * 10 ^ -3)+
((V237 * $E237) * (IF(X237,X237,W237)) * 10 ^ -3)+
((Z237 * $E237) * (IF(AB237,AB237,AA237)) * 10 ^ -3)+
((AD237 * $E237) * (IF(AF237,AF237,AE237)) * 10 ^ -3)+
((AH237 * $E237) * (IF(AJ237,AJ237,AI237)) * 10 ^ -3)+
((AL237 * $E237) * (IF(AN237,AN237,AM237)) * 10 ^ -3)</f>
        <v>41.113999999999997</v>
      </c>
      <c r="L237" s="34"/>
      <c r="M237" s="13"/>
      <c r="N237" s="34"/>
      <c r="O237" s="15">
        <v>0</v>
      </c>
      <c r="P237" s="15">
        <v>0</v>
      </c>
      <c r="Q237" s="15" t="str">
        <v>Urea</v>
      </c>
      <c r="R237" s="15">
        <v>0.52173899999999995</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v>
      </c>
      <c r="T237" s="76"/>
      <c r="U237" s="15" t="str">
        <v>Potassium - Generic</v>
      </c>
      <c r="V237" s="15">
        <v>0.08</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76"/>
      <c r="Y237" s="15" t="str">
        <v>Sulfur - Generic</v>
      </c>
      <c r="Z237" s="15">
        <v>5.2999999999999999E-2</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76"/>
      <c r="AC237" s="15" t="str">
        <v>Phosphorus - Generic</v>
      </c>
      <c r="AD237" s="15">
        <v>5.1999999999999998E-2</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76"/>
      <c r="AG237" s="15" t="str">
        <v>Magnesium</v>
      </c>
      <c r="AH237" s="15">
        <v>1.2999999999999999E-2</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6"/>
      <c r="AK237" s="15" t="str">
        <v>Zinc</v>
      </c>
      <c r="AL237" s="15">
        <v>2E-3</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6"/>
    </row>
    <row r="238" spans="4:40" ht="20.100000000000001" customHeight="1" x14ac:dyDescent="0.2">
      <c r="D238" s="15" t="str">
        <v>Cal-Gran 50/50</v>
      </c>
      <c r="E238" s="15">
        <v>100000</v>
      </c>
      <c r="F238" s="15">
        <f>(R238 * S238)+
(V238 * W238)+
(Z238 * AA238)+
(AD238 * AE238)+
(AH238 * AI238)+
(AL238 * AM238)</f>
        <v>0.8781199999999999</v>
      </c>
      <c r="G238" s="253">
        <f>((E238 * F238) * 10 ^ -3)</f>
        <v>87.811999999999983</v>
      </c>
      <c r="H238" s="15">
        <f>((R238 * $E238) * S238 * 10 ^ -3)+
((V238 * $E238) * W238 * 10 ^ -3)+
((Z238 * $E238) * AA238 * 10 ^ -3)+
((AD238 * $E238) * AE238 * 10 ^ -3)+
((AH238 * $E238) * AI238 * 10 ^ -3)+
((AL238 * $E238) * AM238 * 10 ^ -3)</f>
        <v>87.811999999999998</v>
      </c>
      <c r="I238" s="76">
        <v>0.4</v>
      </c>
      <c r="J238" s="253">
        <f>((E238 * I238) * 10 ^ -3)</f>
        <v>40</v>
      </c>
      <c r="K238" s="253">
        <f>((R238 * $E238) * (IF(T238,T238,S238)) * 10 ^ -3)+
((V238 * $E238) * (IF(X238,X238,W238)) * 10 ^ -3)+
((Z238 * $E238) * (IF(AB238,AB238,AA238)) * 10 ^ -3)+
((AD238 * $E238) * (IF(AF238,AF238,AE238)) * 10 ^ -3)+
((AH238 * $E238) * (IF(AJ238,AJ238,AI238)) * 10 ^ -3)+
((AL238 * $E238) * (IF(AN238,AN238,AM238)) * 10 ^ -3)</f>
        <v>87.811999999999998</v>
      </c>
      <c r="L238" s="34"/>
      <c r="M238" s="13"/>
      <c r="N238" s="34"/>
      <c r="O238" s="15">
        <v>0</v>
      </c>
      <c r="P238" s="15">
        <v>0</v>
      </c>
      <c r="Q238" s="15" t="str">
        <v>Nitrogen - Nitrate</v>
      </c>
      <c r="R238" s="15">
        <v>5.5E-2</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76"/>
      <c r="U238" s="15" t="str">
        <v>Nitrogen - Ammoniacal</v>
      </c>
      <c r="V238" s="15">
        <v>0.124</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76"/>
      <c r="Y238" s="15" t="str">
        <v>Potassium - Generic</v>
      </c>
      <c r="Z238" s="15">
        <v>0.15</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76"/>
      <c r="AC238" s="15" t="str">
        <v>Sulfur - Generic</v>
      </c>
      <c r="AD238" s="15">
        <v>3.5999999999999997E-2</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76"/>
      <c r="AG238" s="15" t="str">
        <v>Calcium</v>
      </c>
      <c r="AH238" s="15">
        <v>4.3999999999999997E-2</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6"/>
      <c r="AK238" s="15">
        <v>0</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6"/>
    </row>
    <row r="239" spans="4:40" ht="20.100000000000001" customHeight="1" x14ac:dyDescent="0.2">
      <c r="D239" s="15">
        <v>0</v>
      </c>
      <c r="E239" s="15">
        <v>0</v>
      </c>
      <c r="F239" s="15">
        <f>(R239 * S239)+ (V239 * W239)+ (Z239 * AA239)+ (AD239 * AE239)+ (AH239 * AI239)+ (AL239 * AM239)</f>
        <v>0</v>
      </c>
      <c r="G239" s="253">
        <f>((E239 * F239) * 10 ^ -3)</f>
        <v>0</v>
      </c>
      <c r="H239" s="15">
        <f>((R239 * $E239) * S239 * 10 ^ -3)+
((V239 * $E239) * W239 * 10 ^ -3)+
((Z239 * $E239) * AA239 * 10 ^ -3)+
((AD239 * $E239) * AE239 * 10 ^ -3)+
((AH239 * $E239) * AI239 * 10 ^ -3)+
((AL239 * $E239) * AM239 * 10 ^ -3)</f>
        <v>0</v>
      </c>
      <c r="I239" s="76"/>
      <c r="J239" s="253">
        <f>((E239 * I239) * 10 ^ -3)</f>
        <v>0</v>
      </c>
      <c r="K239" s="253">
        <f>((R239 * $E239) * (IF(T239,T239,S239)) * 10 ^ -3)+
((V239 * $E239) * (IF(X239,X239,W239)) * 10 ^ -3)+
((Z239 * $E239) * (IF(AB239,AB239,AA239)) * 10 ^ -3)+
((AD239 * $E239) * (IF(AF239,AF239,AE239)) * 10 ^ -3)+
((AH239 * $E239) * (IF(AJ239,AJ239,AI239)) * 10 ^ -3)+
((AL239 * $E239) * (IF(AN239,AN239,AM239)) * 10 ^ -3)</f>
        <v>0</v>
      </c>
      <c r="L239" s="34"/>
      <c r="M239" s="13"/>
      <c r="N239" s="34"/>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6"/>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6"/>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6"/>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6"/>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6"/>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6"/>
    </row>
    <row r="240" spans="4:40" ht="20.100000000000001" customHeight="1" x14ac:dyDescent="0.2">
      <c r="D240" s="15">
        <v>0</v>
      </c>
      <c r="E240" s="15">
        <v>0</v>
      </c>
      <c r="F240" s="15">
        <f>(R240 * S240)+
(V240 * W240)+
(Z240 * AA240)+
(AD240 * AE240)+
(AH240 * AI240)+
(AL240 * AM240)</f>
        <v>0</v>
      </c>
      <c r="G240" s="253">
        <f>((E240 * F240) * 10 ^ -3)</f>
        <v>0</v>
      </c>
      <c r="H240" s="15">
        <f>((R240 * $E240) * S240 * 10 ^ -3)+
((V240 * $E240) * W240 * 10 ^ -3)+
((Z240 * $E240) * AA240 * 10 ^ -3)+
((AD240 * $E240) * AE240 * 10 ^ -3)+
((AH240 * $E240) * AI240 * 10 ^ -3)+
((AL240 * $E240) * AM240 * 10 ^ -3)</f>
        <v>0</v>
      </c>
      <c r="I240" s="76"/>
      <c r="J240" s="253">
        <f>((E240 * I240) * 10 ^ -3)</f>
        <v>0</v>
      </c>
      <c r="K240" s="253">
        <f>((R240 * $E240) * (IF(T240,T240,S240)) * 10 ^ -3)+
((V240 * $E240) * (IF(X240,X240,W240)) * 10 ^ -3)+
((Z240 * $E240) * (IF(AB240,AB240,AA240)) * 10 ^ -3)+
((AD240 * $E240) * (IF(AF240,AF240,AE240)) * 10 ^ -3)+
((AH240 * $E240) * (IF(AJ240,AJ240,AI240)) * 10 ^ -3)+
((AL240 * $E240) * (IF(AN240,AN240,AM240)) * 10 ^ -3)</f>
        <v>0</v>
      </c>
      <c r="L240" s="34"/>
      <c r="M240" s="13"/>
      <c r="N240" s="34"/>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6"/>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6"/>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6"/>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6"/>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6"/>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6"/>
    </row>
    <row r="241" spans="1:40" ht="20.100000000000001" customHeight="1" x14ac:dyDescent="0.2">
      <c r="D241" s="15">
        <v>0</v>
      </c>
      <c r="E241" s="15">
        <v>0</v>
      </c>
      <c r="F241" s="15">
        <f>(R241 * S241)+
(V241 * W241)+
(Z241 * AA241)+
(AD241 * AE241)+
(AH241 * AI241)+
(AL241 * AM241)</f>
        <v>0</v>
      </c>
      <c r="G241" s="253">
        <f>((E241 * F241) * 10 ^ -3)</f>
        <v>0</v>
      </c>
      <c r="H241" s="15">
        <f>((R241 * $E241) * S241 * 10 ^ -3)+
((V241 * $E241) * W241 * 10 ^ -3)+
((Z241 * $E241) * AA241 * 10 ^ -3)+
((AD241 * $E241) * AE241 * 10 ^ -3)+
((AH241 * $E241) * AI241 * 10 ^ -3)+
((AL241 * $E241) * AM241 * 10 ^ -3)</f>
        <v>0</v>
      </c>
      <c r="I241" s="76"/>
      <c r="J241" s="253">
        <f>((E241 * I241) * 10 ^ -3)</f>
        <v>0</v>
      </c>
      <c r="K241" s="253">
        <f>((R241 * $E241) * (IF(T241,T241,S241)) * 10 ^ -3)+
((V241 * $E241) * (IF(X241,X241,W241)) * 10 ^ -3)+
((Z241 * $E241) * (IF(AB241,AB241,AA241)) * 10 ^ -3)+
((AD241 * $E241) * (IF(AF241,AF241,AE241)) * 10 ^ -3)+
((AH241 * $E241) * (IF(AJ241,AJ241,AI241)) * 10 ^ -3)+
((AL241 * $E241) * (IF(AN241,AN241,AM241)) * 10 ^ -3)</f>
        <v>0</v>
      </c>
      <c r="L241" s="34"/>
      <c r="M241" s="13"/>
      <c r="N241" s="34"/>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6"/>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6"/>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6"/>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6"/>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6"/>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6"/>
    </row>
    <row r="242" spans="1:40" ht="20.100000000000001" customHeight="1" x14ac:dyDescent="0.2">
      <c r="D242" s="15">
        <v>0</v>
      </c>
      <c r="E242" s="15">
        <v>0</v>
      </c>
      <c r="F242" s="15">
        <f>(R242 * S242)+
(V242 * W242)+
(Z242 * AA242)+
(AD242 * AE242)+
(AH242 * AI242)+
(AL242 * AM242)</f>
        <v>0</v>
      </c>
      <c r="G242" s="253">
        <f>((E242 * F242) * 10 ^ -3)</f>
        <v>0</v>
      </c>
      <c r="H242" s="15">
        <f>((R242 * $E242) * S242 * 10 ^ -3)+
((V242 * $E242) * W242 * 10 ^ -3)+
((Z242 * $E242) * AA242 * 10 ^ -3)+
((AD242 * $E242) * AE242 * 10 ^ -3)+
((AH242 * $E242) * AI242 * 10 ^ -3)+
((AL242 * $E242) * AM242 * 10 ^ -3)</f>
        <v>0</v>
      </c>
      <c r="I242" s="76"/>
      <c r="J242" s="253">
        <f>((E242 * I242) * 10 ^ -3)</f>
        <v>0</v>
      </c>
      <c r="K242" s="253">
        <f>((R242 * $E242) * (IF(T242,T242,S242)) * 10 ^ -3)+
((V242 * $E242) * (IF(X242,X242,W242)) * 10 ^ -3)+
((Z242 * $E242) * (IF(AB242,AB242,AA242)) * 10 ^ -3)+
((AD242 * $E242) * (IF(AF242,AF242,AE242)) * 10 ^ -3)+
((AH242 * $E242) * (IF(AJ242,AJ242,AI242)) * 10 ^ -3)+
((AL242 * $E242) * (IF(AN242,AN242,AM242)) * 10 ^ -3)</f>
        <v>0</v>
      </c>
      <c r="L242" s="34"/>
      <c r="M242" s="13"/>
      <c r="N242" s="34"/>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6"/>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6"/>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6"/>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6"/>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6"/>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6"/>
    </row>
    <row r="243" spans="1:40" ht="20.100000000000001" customHeight="1" x14ac:dyDescent="0.2">
      <c r="D243" s="15">
        <v>0</v>
      </c>
      <c r="E243" s="15">
        <v>0</v>
      </c>
      <c r="F243" s="15">
        <f>(R243 * S243)+
(V243 * W243)+
(Z243 * AA243)+
(AD243 * AE243)+
(AH243 * AI243)+
(AL243 * AM243)</f>
        <v>0</v>
      </c>
      <c r="G243" s="253">
        <f>((E243 * F243) * 10 ^ -3)</f>
        <v>0</v>
      </c>
      <c r="H243" s="15">
        <f>((R243 * $E243) * S243 * 10 ^ -3)+
((V243 * $E243) * W243 * 10 ^ -3)+
((Z243 * $E243) * AA243 * 10 ^ -3)+
((AD243 * $E243) * AE243 * 10 ^ -3)+
((AH243 * $E243) * AI243 * 10 ^ -3)+
((AL243 * $E243) * AM243 * 10 ^ -3)</f>
        <v>0</v>
      </c>
      <c r="I243" s="76"/>
      <c r="J243" s="253">
        <f>((E243 * I243) * 10 ^ -3)</f>
        <v>0</v>
      </c>
      <c r="K243" s="253">
        <f>((R243 * $E243) * (IF(T243,T243,S243)) * 10 ^ -3)+
((V243 * $E243) * (IF(X243,X243,W243)) * 10 ^ -3)+
((Z243 * $E243) * (IF(AB243,AB243,AA243)) * 10 ^ -3)+
((AD243 * $E243) * (IF(AF243,AF243,AE243)) * 10 ^ -3)+
((AH243 * $E243) * (IF(AJ243,AJ243,AI243)) * 10 ^ -3)+
((AL243 * $E243) * (IF(AN243,AN243,AM243)) * 10 ^ -3)</f>
        <v>0</v>
      </c>
      <c r="L243" s="34"/>
      <c r="M243" s="13"/>
      <c r="N243" s="34"/>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6"/>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6"/>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6"/>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6"/>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6"/>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6"/>
    </row>
    <row r="244" spans="1:40" ht="20.100000000000001" customHeight="1" x14ac:dyDescent="0.2">
      <c r="D244" s="15">
        <v>0</v>
      </c>
      <c r="E244" s="15">
        <v>0</v>
      </c>
      <c r="F244" s="15">
        <f>(R244 * S244)+
(V244 * W244)+
(Z244 * AA244)+
(AD244 * AE244)+
(AH244 * AI244)+
(AL244 * AM244)</f>
        <v>0</v>
      </c>
      <c r="G244" s="253">
        <f>((E244 * F244) * 10 ^ -3)</f>
        <v>0</v>
      </c>
      <c r="H244" s="15">
        <f>((R244 * $E244) * S244 * 10 ^ -3)+
((V244 * $E244) * W244 * 10 ^ -3)+
((Z244 * $E244) * AA244 * 10 ^ -3)+
((AD244 * $E244) * AE244 * 10 ^ -3)+
((AH244 * $E244) * AI244 * 10 ^ -3)+
((AL244 * $E244) * AM244 * 10 ^ -3)</f>
        <v>0</v>
      </c>
      <c r="I244" s="76"/>
      <c r="J244" s="253">
        <f>((E244 * I244) * 10 ^ -3)</f>
        <v>0</v>
      </c>
      <c r="K244" s="253">
        <f>((R244 * $E244) * (IF(T244,T244,S244)) * 10 ^ -3)+
((V244 * $E244) * (IF(X244,X244,W244)) * 10 ^ -3)+
((Z244 * $E244) * (IF(AB244,AB244,AA244)) * 10 ^ -3)+
((AD244 * $E244) * (IF(AF244,AF244,AE244)) * 10 ^ -3)+
((AH244 * $E244) * (IF(AJ244,AJ244,AI244)) * 10 ^ -3)+
((AL244 * $E244) * (IF(AN244,AN244,AM244)) * 10 ^ -3)</f>
        <v>0</v>
      </c>
      <c r="L244" s="34"/>
      <c r="M244" s="13"/>
      <c r="N244" s="34"/>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6"/>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6"/>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6"/>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6"/>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6"/>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6"/>
    </row>
    <row r="245" spans="1:40" ht="20.100000000000001" customHeight="1" x14ac:dyDescent="0.2">
      <c r="D245" s="15">
        <v>0</v>
      </c>
      <c r="E245" s="15">
        <v>0</v>
      </c>
      <c r="F245" s="15">
        <f>(R245 * S245)+
(V245 * W245)+
(Z245 * AA245)+
(AD245 * AE245)+
(AH245 * AI245)+
(AL245 * AM245)</f>
        <v>0</v>
      </c>
      <c r="G245" s="253">
        <f>((E245 * F245) * 10 ^ -3)</f>
        <v>0</v>
      </c>
      <c r="H245" s="15">
        <f>((R245 * $E245) * S245 * 10 ^ -3)+
((V245 * $E245) * W245 * 10 ^ -3)+
((Z245 * $E245) * AA245 * 10 ^ -3)+
((AD245 * $E245) * AE245 * 10 ^ -3)+
((AH245 * $E245) * AI245 * 10 ^ -3)+
((AL245 * $E245) * AM245 * 10 ^ -3)</f>
        <v>0</v>
      </c>
      <c r="I245" s="76"/>
      <c r="J245" s="253">
        <f>((E245 * I245) * 10 ^ -3)</f>
        <v>0</v>
      </c>
      <c r="K245" s="253">
        <f>((R245 * $E245) * (IF(T245,T245,S245)) * 10 ^ -3)+
((V245 * $E245) * (IF(X245,X245,W245)) * 10 ^ -3)+
((Z245 * $E245) * (IF(AB245,AB245,AA245)) * 10 ^ -3)+
((AD245 * $E245) * (IF(AF245,AF245,AE245)) * 10 ^ -3)+
((AH245 * $E245) * (IF(AJ245,AJ245,AI245)) * 10 ^ -3)+
((AL245 * $E245) * (IF(AN245,AN245,AM245)) * 10 ^ -3)</f>
        <v>0</v>
      </c>
      <c r="L245" s="34"/>
      <c r="M245" s="13"/>
      <c r="N245" s="34"/>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6"/>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6"/>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6"/>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6"/>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6"/>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6"/>
    </row>
    <row r="247" spans="1:40" ht="20.100000000000001" customHeight="1" x14ac:dyDescent="0.2">
      <c r="D247" s="241" t="s">
        <v>1239</v>
      </c>
    </row>
    <row r="249" spans="1:40" ht="20.100000000000001" customHeight="1" x14ac:dyDescent="0.2">
      <c r="D249" s="36" t="s">
        <v>1240</v>
      </c>
      <c r="E249" s="38"/>
      <c r="F249" s="39"/>
    </row>
    <row r="251" spans="1:40" ht="20.100000000000001" customHeight="1" x14ac:dyDescent="0.2">
      <c r="A251" s="85" t="str">
        <f>HYPERLINK("#A1", "▲ Back to top")</f>
        <v>▲ Back to top</v>
      </c>
      <c r="D251" s="82" t="s">
        <v>1202</v>
      </c>
      <c r="E251" s="82" t="s">
        <v>1220</v>
      </c>
      <c r="F251" s="115" t="s">
        <v>1221</v>
      </c>
      <c r="G251" s="115" t="s">
        <v>1222</v>
      </c>
      <c r="H251" s="115" t="s">
        <v>1223</v>
      </c>
      <c r="I251" s="82" t="s">
        <v>1224</v>
      </c>
      <c r="J251" s="115" t="s">
        <v>1225</v>
      </c>
      <c r="K251" s="115" t="s">
        <v>1226</v>
      </c>
      <c r="L251" s="82" t="s">
        <v>1179</v>
      </c>
      <c r="M251" s="82" t="s">
        <v>1180</v>
      </c>
      <c r="N251" s="82" t="s">
        <v>1181</v>
      </c>
      <c r="O251" s="115" t="s">
        <v>605</v>
      </c>
      <c r="P251" s="115" t="s">
        <v>606</v>
      </c>
      <c r="Q251" s="115" t="s">
        <v>590</v>
      </c>
      <c r="R251" s="115" t="s">
        <v>591</v>
      </c>
      <c r="S251" s="115" t="s">
        <v>1227</v>
      </c>
      <c r="T251" s="82" t="s">
        <v>1228</v>
      </c>
      <c r="U251" s="115" t="s">
        <v>592</v>
      </c>
      <c r="V251" s="115" t="s">
        <v>593</v>
      </c>
      <c r="W251" s="115" t="s">
        <v>1229</v>
      </c>
      <c r="X251" s="82" t="s">
        <v>1230</v>
      </c>
      <c r="Y251" s="115" t="s">
        <v>594</v>
      </c>
      <c r="Z251" s="115" t="s">
        <v>595</v>
      </c>
      <c r="AA251" s="115" t="s">
        <v>1231</v>
      </c>
      <c r="AB251" s="82" t="s">
        <v>1232</v>
      </c>
      <c r="AC251" s="115" t="s">
        <v>596</v>
      </c>
      <c r="AD251" s="115" t="s">
        <v>597</v>
      </c>
      <c r="AE251" s="115" t="s">
        <v>1233</v>
      </c>
      <c r="AF251" s="82" t="s">
        <v>1234</v>
      </c>
    </row>
    <row r="252" spans="1:40" ht="20.100000000000001" customHeight="1" x14ac:dyDescent="0.2">
      <c r="D252" s="15" t="str" cm="1">
        <f t="array" ref="D252:D261">IFERROR(INDEX(Table_Input_InorganicFertiliser_Custom[Custom blend name], _xlfn.SEQUENCE(10)), "")</f>
        <v>My first custom blend</v>
      </c>
      <c r="E252" s="15" cm="1">
        <f t="array" ref="E252:E261">IFERROR(INDEX(Table_Input_InorganicFertiliser_Custom[Total applied (kg)], _xlfn.SEQUENCE(10)), 0)</f>
        <v>100000</v>
      </c>
      <c r="F252" s="15">
        <f>(R252 * S252)+
(V252 * W252)+
(Z252 * AA252)+
(AD252 * AE252)</f>
        <v>1.7707999999999999</v>
      </c>
      <c r="G252" s="253">
        <f>((E252 * F252) * 10 ^ -3)</f>
        <v>177.08</v>
      </c>
      <c r="H252" s="15">
        <f>((R252 * $E252) * S252 * 10 ^ -3)+
((V252 * $E252) * W252 * 10 ^ -3)+
((Z252 * $E252) * AA252 * 10 ^ -3)+
((AD252 * $E252) * AE252 * 10 ^ -3)</f>
        <v>177.08</v>
      </c>
      <c r="I252" s="76">
        <v>0.4</v>
      </c>
      <c r="J252" s="253">
        <f>((E252 * I252) * 10 ^ -3)</f>
        <v>40</v>
      </c>
      <c r="K252" s="253">
        <f>((R252 * $E252) * (IF(T252,T252,S252)) * 10 ^ -3)+
((V252 * $E252) * (IF(X252,X252,W252)) * 10 ^ -3)+
((Z252 * $E252) * (IF(AB252,AB252,AA252)) * 10 ^ -3)+
((AD252 * $E252) * (IF(AF252,AF252,AE252)) * 10 ^ -3)</f>
        <v>168</v>
      </c>
      <c r="L252" s="34"/>
      <c r="M252" s="13"/>
      <c r="N252"/>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t="str" cm="1">
        <f t="array" ref="Q252:Q261">IFERROR(INDEX(Table_Input_InorganicFertiliser_Custom[Ingredient 1 (select)], _xlfn.SEQUENCE(10)), "")</f>
        <v>Calcium nitrate</v>
      </c>
      <c r="R252" s="15" cm="1">
        <f t="array" ref="R252:R261">IFERROR(INDEX(_xlfn.LET(_xlpm.result, Table_Input_InorganicFertiliser_Custom[Ingredient 1 percent], IF(_xlpm.result="", 0, _xlpm.result)), _xlfn.SEQUENCE(10)), 0)</f>
        <v>0.5</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76">
        <v>0.9</v>
      </c>
      <c r="U252" s="15" t="str" cm="1">
        <f t="array" ref="U252:U261">IFERROR(INDEX(Table_Input_InorganicFertiliser_Custom[Ingredient 2], _xlfn.SEQUENCE(10)), "")</f>
        <v>Zinc - Generic</v>
      </c>
      <c r="V252" s="15" cm="1">
        <f t="array" ref="V252:V261">IFERROR(INDEX(_xlfn.LET(_xlpm.result, Table_Input_InorganicFertiliser_Custom[Ingredient 2 percent], IF(_xlpm.result="", 0, _xlpm.result)), _xlfn.SEQUENCE(10)), 0)</f>
        <v>0.2</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76">
        <v>0.9</v>
      </c>
      <c r="Y252" s="15" t="str" cm="1">
        <f t="array" ref="Y252:Y261">IFERROR(INDEX(Table_Input_InorganicFertiliser_Custom[Ingredient 3], _xlfn.SEQUENCE(10)), "")</f>
        <v>Potassium - Generic</v>
      </c>
      <c r="Z252" s="15" cm="1">
        <f t="array" ref="Z252:Z261">IFERROR(INDEX(_xlfn.LET(_xlpm.result, Table_Input_InorganicFertiliser_Custom[Ingredient 3 percent], IF(_xlpm.result="", 0, _xlpm.result)), _xlfn.SEQUENCE(10)), 0)</f>
        <v>0.2</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76">
        <v>4</v>
      </c>
      <c r="AC252" s="15" t="str" cm="1">
        <f t="array" ref="AC252:AC261">IFERROR(INDEX(Table_Input_InorganicFertiliser_Custom[Ingredient 4], _xlfn.SEQUENCE(10)), "")</f>
        <v>Sulfur - Generic</v>
      </c>
      <c r="AD252" s="15" cm="1">
        <f t="array" ref="AD252:AD261">IFERROR(INDEX(_xlfn.LET(_xlpm.result, Table_Input_InorganicFertiliser_Custom[Ingredient 4 percent], IF(_xlpm.result="", 0, _xlpm.result)), _xlfn.SEQUENCE(10)), 0)</f>
        <v>0.1</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76">
        <v>0</v>
      </c>
    </row>
    <row r="253" spans="1:40" ht="20.100000000000001" customHeight="1" x14ac:dyDescent="0.2">
      <c r="D253" s="15" t="str">
        <v>My second custom blend</v>
      </c>
      <c r="E253" s="15">
        <v>100000</v>
      </c>
      <c r="F253" s="15">
        <f>(R253 * S253)+
(V253 * W253)+
(Z253 * AA253)+
(AD253 * AE253)</f>
        <v>0.96799999999999997</v>
      </c>
      <c r="G253" s="253">
        <f>((E253 * F253) * 10 ^ -3)</f>
        <v>96.8</v>
      </c>
      <c r="H253" s="15">
        <f>((R253 * $E253) * S253 * 10 ^ -3)+
((V253 * $E253) * W253 * 10 ^ -3)+
((Z253 * $E253) * AA253 * 10 ^ -3)+
((AD253 * $E253) * AE253 * 10 ^ -3)</f>
        <v>96.8</v>
      </c>
      <c r="I253" s="76">
        <v>0.9</v>
      </c>
      <c r="J253" s="253">
        <f>((E253 * I253) * 10 ^ -3)</f>
        <v>90</v>
      </c>
      <c r="K253" s="253">
        <f>((R253 * $E253) * (IF(T253,T253,S253)) * 10 ^ -3)+
((V253 * $E253) * (IF(X253,X253,W253)) * 10 ^ -3)+
((Z253 * $E253) * (IF(AB253,AB253,AA253)) * 10 ^ -3)+
((AD253 * $E253) * (IF(AF253,AF253,AE253)) * 10 ^ -3)</f>
        <v>96.8</v>
      </c>
      <c r="L253" s="34"/>
      <c r="M253" s="13"/>
      <c r="N253" s="34"/>
      <c r="O253" s="254" t="str">
        <v/>
      </c>
      <c r="P253" s="254" t="str">
        <v/>
      </c>
      <c r="Q253" s="15" t="str">
        <v>Urea</v>
      </c>
      <c r="R253" s="15">
        <v>1</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76"/>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6"/>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6"/>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6"/>
    </row>
    <row r="254" spans="1:40" ht="20.100000000000001" customHeight="1" x14ac:dyDescent="0.2">
      <c r="D254" s="15" t="str">
        <v>My third custom blend</v>
      </c>
      <c r="E254" s="15">
        <v>100000</v>
      </c>
      <c r="F254" s="15">
        <f>(R254 * S254)+
(V254 * W254)+
(Z254 * AA254)+
(AD254 * AE254)</f>
        <v>1.1599999999999999</v>
      </c>
      <c r="G254" s="253">
        <f>((E254 * F254) * 10 ^ -3)</f>
        <v>115.99999999999999</v>
      </c>
      <c r="H254" s="15">
        <f>((R254 * $E254) * S254 * 10 ^ -3)+
((V254 * $E254) * W254 * 10 ^ -3)+
((Z254 * $E254) * AA254 * 10 ^ -3)+
((AD254 * $E254) * AE254 * 10 ^ -3)</f>
        <v>115.99999999999999</v>
      </c>
      <c r="I254" s="76">
        <v>0.4</v>
      </c>
      <c r="J254" s="253">
        <f>((E254 * I254) * 10 ^ -3)</f>
        <v>40</v>
      </c>
      <c r="K254" s="253">
        <f>((R254 * $E254) * (IF(T254,T254,S254)) * 10 ^ -3)+
((V254 * $E254) * (IF(X254,X254,W254)) * 10 ^ -3)+
((Z254 * $E254) * (IF(AB254,AB254,AA254)) * 10 ^ -3)+
((AD254 * $E254) * (IF(AF254,AF254,AE254)) * 10 ^ -3)</f>
        <v>115.99999999999999</v>
      </c>
      <c r="L254" s="34"/>
      <c r="M254" s="13"/>
      <c r="N254" s="34"/>
      <c r="O254" s="254" t="str">
        <v/>
      </c>
      <c r="P254" s="254" t="str">
        <v/>
      </c>
      <c r="Q254" s="15" t="str">
        <v>Ammonia</v>
      </c>
      <c r="R254" s="15">
        <v>0.5</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76"/>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6"/>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6"/>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6"/>
    </row>
    <row r="255" spans="1:40" ht="20.100000000000001" customHeight="1" x14ac:dyDescent="0.2">
      <c r="D255" s="15">
        <v>0</v>
      </c>
      <c r="E255" s="15">
        <v>0</v>
      </c>
      <c r="F255" s="15">
        <f>(R255 * S255)+
(V255 * W255)+
(Z255 * AA255)+
(AD255 * AE255)</f>
        <v>0</v>
      </c>
      <c r="G255" s="253">
        <f>((E255 * F255) * 10 ^ -3)</f>
        <v>0</v>
      </c>
      <c r="H255" s="15">
        <f>((R255 * $E255) * S255 * 10 ^ -3)+
((V255 * $E255) * W255 * 10 ^ -3)+
((Z255 * $E255) * AA255 * 10 ^ -3)+
((AD255 * $E255) * AE255 * 10 ^ -3)</f>
        <v>0</v>
      </c>
      <c r="I255" s="76"/>
      <c r="J255" s="253">
        <f>((E255 * I255) * 10 ^ -3)</f>
        <v>0</v>
      </c>
      <c r="K255" s="253">
        <f>((R255 * $E255) * (IF(T255,T255,S255)) * 10 ^ -3)+
((V255 * $E255) * (IF(X255,X255,W255)) * 10 ^ -3)+
((Z255 * $E255) * (IF(AB255,AB255,AA255)) * 10 ^ -3)+
((AD255 * $E255) * (IF(AF255,AF255,AE255)) * 10 ^ -3)</f>
        <v>0</v>
      </c>
      <c r="L255" s="34"/>
      <c r="M255" s="13"/>
      <c r="N255" s="34"/>
      <c r="O255" s="254" t="str">
        <v/>
      </c>
      <c r="P255" s="254"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6"/>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6"/>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6"/>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6"/>
    </row>
    <row r="256" spans="1:40" ht="20.100000000000001" customHeight="1" x14ac:dyDescent="0.2">
      <c r="D256" s="15">
        <v>0</v>
      </c>
      <c r="E256" s="15">
        <v>0</v>
      </c>
      <c r="F256" s="15">
        <f>(R256 * S256)+
(V256 * W256)+
(Z256 * AA256)+
(AD256 * AE256)</f>
        <v>0</v>
      </c>
      <c r="G256" s="253">
        <f>((E256 * F256) * 10 ^ -3)</f>
        <v>0</v>
      </c>
      <c r="H256" s="15">
        <f>((R256 * $E256) * S256 * 10 ^ -3)+
((V256 * $E256) * W256 * 10 ^ -3)+
((Z256 * $E256) * AA256 * 10 ^ -3)+
((AD256 * $E256) * AE256 * 10 ^ -3)</f>
        <v>0</v>
      </c>
      <c r="I256" s="76"/>
      <c r="J256" s="253">
        <f>((E256 * I256) * 10 ^ -3)</f>
        <v>0</v>
      </c>
      <c r="K256" s="253">
        <f>((R256 * $E256) * (IF(T256,T256,S256)) * 10 ^ -3)+
((V256 * $E256) * (IF(X256,X256,W256)) * 10 ^ -3)+
((Z256 * $E256) * (IF(AB256,AB256,AA256)) * 10 ^ -3)+
((AD256 * $E256) * (IF(AF256,AF256,AE256)) * 10 ^ -3)</f>
        <v>0</v>
      </c>
      <c r="L256" s="34"/>
      <c r="M256" s="13"/>
      <c r="N256" s="34"/>
      <c r="O256" s="254" t="str">
        <v/>
      </c>
      <c r="P256" s="254"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6"/>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6"/>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6"/>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6"/>
    </row>
    <row r="257" spans="3:41" ht="20.100000000000001" customHeight="1" x14ac:dyDescent="0.2">
      <c r="D257" s="15">
        <v>0</v>
      </c>
      <c r="E257" s="15">
        <v>0</v>
      </c>
      <c r="F257" s="15">
        <f>(R257 * S257)+
(V257 * W257)+
(Z257 * AA257)+
(AD257 * AE257)</f>
        <v>0</v>
      </c>
      <c r="G257" s="253">
        <f>((E257 * F257) * 10 ^ -3)</f>
        <v>0</v>
      </c>
      <c r="H257" s="15">
        <f>((R257 * $E257) * S257 * 10 ^ -3)+
((V257 * $E257) * W257 * 10 ^ -3)+
((Z257 * $E257) * AA257 * 10 ^ -3)+
((AD257 * $E257) * AE257 * 10 ^ -3)</f>
        <v>0</v>
      </c>
      <c r="I257" s="76"/>
      <c r="J257" s="253">
        <f>((E257 * I257) * 10 ^ -3)</f>
        <v>0</v>
      </c>
      <c r="K257" s="253">
        <f>((R257 * $E257) * (IF(T257,T257,S257)) * 10 ^ -3)+
((V257 * $E257) * (IF(X257,X257,W257)) * 10 ^ -3)+
((Z257 * $E257) * (IF(AB257,AB257,AA257)) * 10 ^ -3)+
((AD257 * $E257) * (IF(AF257,AF257,AE257)) * 10 ^ -3)</f>
        <v>0</v>
      </c>
      <c r="L257" s="34"/>
      <c r="M257" s="13"/>
      <c r="N257" s="34"/>
      <c r="O257" s="254" t="str">
        <v/>
      </c>
      <c r="P257" s="254"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6"/>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6"/>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6"/>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6"/>
    </row>
    <row r="258" spans="3:41" ht="20.100000000000001" customHeight="1" x14ac:dyDescent="0.2">
      <c r="D258" s="15">
        <v>0</v>
      </c>
      <c r="E258" s="15">
        <v>0</v>
      </c>
      <c r="F258" s="15">
        <f>(R258 * S258)+
(V258 * W258)+
(Z258 * AA258)+
(AD258 * AE258)</f>
        <v>0</v>
      </c>
      <c r="G258" s="253">
        <f>((E258 * F258) * 10 ^ -3)</f>
        <v>0</v>
      </c>
      <c r="H258" s="15">
        <f>((R258 * $E258) * S258 * 10 ^ -3)+
((V258 * $E258) * W258 * 10 ^ -3)+
((Z258 * $E258) * AA258 * 10 ^ -3)+
((AD258 * $E258) * AE258 * 10 ^ -3)</f>
        <v>0</v>
      </c>
      <c r="I258" s="76"/>
      <c r="J258" s="253">
        <f>((E258 * I258) * 10 ^ -3)</f>
        <v>0</v>
      </c>
      <c r="K258" s="253">
        <f>((R258 * $E258) * (IF(T258,T258,S258)) * 10 ^ -3)+
((V258 * $E258) * (IF(X258,X258,W258)) * 10 ^ -3)+
((Z258 * $E258) * (IF(AB258,AB258,AA258)) * 10 ^ -3)+
((AD258 * $E258) * (IF(AF258,AF258,AE258)) * 10 ^ -3)</f>
        <v>0</v>
      </c>
      <c r="L258" s="34"/>
      <c r="M258" s="13"/>
      <c r="N258" s="34"/>
      <c r="O258" s="254" t="str">
        <v/>
      </c>
      <c r="P258" s="254"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6"/>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6"/>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6"/>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6"/>
    </row>
    <row r="259" spans="3:41" ht="20.100000000000001" customHeight="1" x14ac:dyDescent="0.2">
      <c r="D259" s="15">
        <v>0</v>
      </c>
      <c r="E259" s="15">
        <v>0</v>
      </c>
      <c r="F259" s="15">
        <f>(R259 * S259)+
(V259 * W259)+
(Z259 * AA259)+
(AD259 * AE259)</f>
        <v>0</v>
      </c>
      <c r="G259" s="253">
        <f>((E259 * F259) * 10 ^ -3)</f>
        <v>0</v>
      </c>
      <c r="H259" s="15">
        <f>((R259 * $E259) * S259 * 10 ^ -3)+
((V259 * $E259) * W259 * 10 ^ -3)+
((Z259 * $E259) * AA259 * 10 ^ -3)+
((AD259 * $E259) * AE259 * 10 ^ -3)</f>
        <v>0</v>
      </c>
      <c r="I259" s="76"/>
      <c r="J259" s="253">
        <f>((E259 * I259) * 10 ^ -3)</f>
        <v>0</v>
      </c>
      <c r="K259" s="253">
        <f>((R259 * $E259) * (IF(T259,T259,S259)) * 10 ^ -3)+
((V259 * $E259) * (IF(X259,X259,W259)) * 10 ^ -3)+
((Z259 * $E259) * (IF(AB259,AB259,AA259)) * 10 ^ -3)+
((AD259 * $E259) * (IF(AF259,AF259,AE259)) * 10 ^ -3)</f>
        <v>0</v>
      </c>
      <c r="L259" s="34"/>
      <c r="M259" s="13"/>
      <c r="N259" s="34"/>
      <c r="O259" s="254" t="str">
        <v/>
      </c>
      <c r="P259" s="254"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6"/>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6"/>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6"/>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6"/>
    </row>
    <row r="260" spans="3:41" ht="20.100000000000001" customHeight="1" x14ac:dyDescent="0.2">
      <c r="D260" s="15">
        <v>0</v>
      </c>
      <c r="E260" s="15">
        <v>0</v>
      </c>
      <c r="F260" s="15">
        <f>(R260 * S260)+
(V260 * W260)+
(Z260 * AA260)+
(AD260 * AE260)</f>
        <v>0</v>
      </c>
      <c r="G260" s="253">
        <f>((E260 * F260) * 10 ^ -3)</f>
        <v>0</v>
      </c>
      <c r="H260" s="15">
        <f>((R260 * $E260) * S260 * 10 ^ -3)+
((V260 * $E260) * W260 * 10 ^ -3)+
((Z260 * $E260) * AA260 * 10 ^ -3)+
((AD260 * $E260) * AE260 * 10 ^ -3)</f>
        <v>0</v>
      </c>
      <c r="I260" s="76"/>
      <c r="J260" s="253">
        <f>((E260 * I260) * 10 ^ -3)</f>
        <v>0</v>
      </c>
      <c r="K260" s="253">
        <f>((R260 * $E260) * (IF(T260,T260,S260)) * 10 ^ -3)+
((V260 * $E260) * (IF(X260,X260,W260)) * 10 ^ -3)+
((Z260 * $E260) * (IF(AB260,AB260,AA260)) * 10 ^ -3)+
((AD260 * $E260) * (IF(AF260,AF260,AE260)) * 10 ^ -3)</f>
        <v>0</v>
      </c>
      <c r="L260" s="34"/>
      <c r="M260" s="13"/>
      <c r="N260" s="34"/>
      <c r="O260" s="254" t="str">
        <v/>
      </c>
      <c r="P260" s="254"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6"/>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6"/>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6"/>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6"/>
    </row>
    <row r="261" spans="3:41" ht="20.100000000000001" customHeight="1" x14ac:dyDescent="0.2">
      <c r="D261" s="15">
        <v>0</v>
      </c>
      <c r="E261" s="15">
        <v>0</v>
      </c>
      <c r="F261" s="15">
        <f>(R261 * S261)+
(V261 * W261)+
(Z261 * AA261)+
(AD261 * AE261)</f>
        <v>0</v>
      </c>
      <c r="G261" s="253">
        <f>((E261 * F261) * 10 ^ -3)</f>
        <v>0</v>
      </c>
      <c r="H261" s="15">
        <f>((R261 * $E261) * S261 * 10 ^ -3)+
((V261 * $E261) * W261 * 10 ^ -3)+
((Z261 * $E261) * AA261 * 10 ^ -3)+
((AD261 * $E261) * AE261 * 10 ^ -3)</f>
        <v>0</v>
      </c>
      <c r="I261" s="76"/>
      <c r="J261" s="253">
        <f>((E261 * I261) * 10 ^ -3)</f>
        <v>0</v>
      </c>
      <c r="K261" s="253">
        <f>((R261 * $E261) * (IF(T261,T261,S261)) * 10 ^ -3)+
((V261 * $E261) * (IF(X261,X261,W261)) * 10 ^ -3)+
((Z261 * $E261) * (IF(AB261,AB261,AA261)) * 10 ^ -3)+
((AD261 * $E261) * (IF(AF261,AF261,AE261)) * 10 ^ -3)</f>
        <v>0</v>
      </c>
      <c r="L261" s="34"/>
      <c r="M261" s="13"/>
      <c r="N261" s="34"/>
      <c r="O261" s="254" t="str">
        <v/>
      </c>
      <c r="P261" s="254"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6"/>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6"/>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6"/>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6"/>
    </row>
    <row r="263" spans="3:41" ht="20.100000000000001" customHeight="1" x14ac:dyDescent="0.2">
      <c r="D263" s="255" t="s">
        <v>1241</v>
      </c>
      <c r="E263" s="92">
        <f>SUM(G236:G245)+SUM(G252:G261)</f>
        <v>518.80600000000004</v>
      </c>
      <c r="F263" s="96" t="str">
        <f>$E$170</f>
        <v>t CO2e</v>
      </c>
    </row>
    <row r="264" spans="3:41" ht="20.100000000000001" customHeight="1" x14ac:dyDescent="0.2">
      <c r="D264" s="255" t="s">
        <v>1242</v>
      </c>
      <c r="E264" s="92">
        <f>SUM(J236:J245)+SUM(J252:J261)</f>
        <v>340</v>
      </c>
      <c r="F264" s="96" t="str">
        <f>$E$170</f>
        <v>t CO2e</v>
      </c>
    </row>
    <row r="266" spans="3:41" ht="20.100000000000001" customHeight="1" x14ac:dyDescent="0.2">
      <c r="D266" s="255" t="s">
        <v>1243</v>
      </c>
      <c r="E266" s="92">
        <f>SUM(H236:H245)+SUM(H252:H261)</f>
        <v>518.80600000000004</v>
      </c>
      <c r="F266" s="96" t="str">
        <f>$E$170</f>
        <v>t CO2e</v>
      </c>
    </row>
    <row r="267" spans="3:41" ht="20.100000000000001" customHeight="1" x14ac:dyDescent="0.2">
      <c r="D267" s="255" t="s">
        <v>1244</v>
      </c>
      <c r="E267" s="92">
        <f>SUM(K236:K245)+SUM(K252:K261)</f>
        <v>599.726</v>
      </c>
      <c r="F267" s="96" t="str">
        <f>$E$170</f>
        <v>t CO2e</v>
      </c>
    </row>
    <row r="270" spans="3:41" ht="20.100000000000001" customHeight="1" x14ac:dyDescent="0.2">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c r="AA270" s="88"/>
      <c r="AB270" s="88"/>
      <c r="AC270" s="88"/>
      <c r="AD270" s="88"/>
      <c r="AE270" s="88"/>
      <c r="AF270" s="88"/>
      <c r="AG270" s="88"/>
      <c r="AH270" s="88"/>
      <c r="AI270" s="88"/>
      <c r="AJ270" s="88"/>
      <c r="AK270" s="88"/>
      <c r="AL270" s="88"/>
      <c r="AM270" s="88"/>
      <c r="AN270" s="88"/>
      <c r="AO270" s="88"/>
    </row>
    <row r="271" spans="3:41" ht="20.100000000000001" customHeight="1" x14ac:dyDescent="0.2">
      <c r="D271" s="2" t="s">
        <v>1795</v>
      </c>
    </row>
    <row r="272" spans="3:41" ht="20.100000000000001" customHeight="1" x14ac:dyDescent="0.2">
      <c r="D272" s="17" t="s">
        <v>1796</v>
      </c>
    </row>
    <row r="273" spans="1:9" ht="20.100000000000001" customHeight="1" x14ac:dyDescent="0.2">
      <c r="D273" s="104"/>
      <c r="E273" s="104"/>
    </row>
    <row r="277" spans="1:9" ht="20.100000000000001" customHeight="1" x14ac:dyDescent="0.2">
      <c r="D277" s="77" t="s">
        <v>374</v>
      </c>
      <c r="E277" s="1" t="s">
        <v>1281</v>
      </c>
    </row>
    <row r="278" spans="1:9" ht="20.100000000000001" customHeight="1" x14ac:dyDescent="0.2">
      <c r="D278" s="77" t="s">
        <v>126</v>
      </c>
      <c r="E278" s="9" t="s">
        <v>6</v>
      </c>
    </row>
    <row r="280" spans="1:9" ht="20.100000000000001" customHeight="1" x14ac:dyDescent="0.2">
      <c r="D280" s="106" t="s">
        <v>1797</v>
      </c>
      <c r="E280" s="107" t="s">
        <v>1798</v>
      </c>
      <c r="F280" s="109"/>
      <c r="G280" s="106" t="s">
        <v>1803</v>
      </c>
      <c r="H280" s="251" t="s">
        <v>1325</v>
      </c>
    </row>
    <row r="281" spans="1:9" ht="20.100000000000001" customHeight="1" x14ac:dyDescent="0.2">
      <c r="A281" s="85" t="str">
        <f>HYPERLINK("#A1", "▲ Back to top")</f>
        <v>▲ Back to top</v>
      </c>
      <c r="D281" s="106" t="s">
        <v>1799</v>
      </c>
      <c r="E281" s="107" t="s">
        <v>1800</v>
      </c>
      <c r="F281" s="109"/>
      <c r="G281" s="106" t="s">
        <v>1804</v>
      </c>
      <c r="H281" s="111" t="s">
        <v>1326</v>
      </c>
    </row>
    <row r="282" spans="1:9" ht="20.100000000000001" customHeight="1" x14ac:dyDescent="0.2">
      <c r="D282" s="106" t="s">
        <v>1801</v>
      </c>
      <c r="E282" s="107" t="s">
        <v>1802</v>
      </c>
      <c r="F282" s="109"/>
      <c r="G282" s="106"/>
      <c r="H282" s="251" t="s">
        <v>1325</v>
      </c>
    </row>
    <row r="284" spans="1:9" ht="20.100000000000001" customHeight="1" x14ac:dyDescent="0.2">
      <c r="D284" s="82" t="s">
        <v>1245</v>
      </c>
      <c r="E284" s="82" t="s">
        <v>589</v>
      </c>
      <c r="F284" s="115" t="s">
        <v>1246</v>
      </c>
      <c r="G284" s="115" t="s">
        <v>1175</v>
      </c>
      <c r="H284" s="82" t="s">
        <v>1247</v>
      </c>
      <c r="I284" s="115" t="s">
        <v>1178</v>
      </c>
    </row>
    <row r="285" spans="1:9" ht="20.100000000000001" customHeight="1" x14ac:dyDescent="0.2">
      <c r="D285" s="15" t="str" cm="1">
        <f t="array" ref="D285:D296">Table_SourceData_Scope3_Pesticides[Product]</f>
        <v>2,4-D</v>
      </c>
      <c r="E285" s="15">
        <f>SUMIF(Table_Input_Pesticides[Active ingredient 1 (select)],D285,Table_Input_Pesticides[Total active ingredient 1 (kg)])+
SUMIF(Table_Input_Pesticides[Active ingredient 2 (select)],D285,Table_Input_Pesticides[Total active ingredient 2 (kg)])+
SUMIF(Table_Input_Pesticides[Active ingredient 3 (select)],D285,Table_Input_Pesticides[Total active ingredient 3 (kg)])</f>
        <v>100</v>
      </c>
      <c r="F285" s="15" cm="1">
        <f t="array" ref="F285">Common_InputFunctions.Utility_LookupValueInTableNumber(D285,Table_SourceData_Scope3_Pesticides[Product],Table_SourceData_Scope3_Pesticides[Emissions intensity])</f>
        <v>5.2</v>
      </c>
      <c r="G285" s="15">
        <f>(($E285 * F285) * 10 ^ -3)</f>
        <v>0.52</v>
      </c>
      <c r="H285" s="76">
        <v>5</v>
      </c>
      <c r="I285" s="15">
        <f>(($E285 * (IF(H285,H285,F285))) * 10 ^ -3)</f>
        <v>0.5</v>
      </c>
    </row>
    <row r="286" spans="1:9" ht="20.100000000000001" customHeight="1" x14ac:dyDescent="0.2">
      <c r="D286" s="15" t="str">
        <v>Atrazine</v>
      </c>
      <c r="E286" s="15">
        <f>SUMIF(Table_Input_Pesticides[Active ingredient 1 (select)],D286,Table_Input_Pesticides[Total active ingredient 1 (kg)])+
SUMIF(Table_Input_Pesticides[Active ingredient 2 (select)],D286,Table_Input_Pesticides[Total active ingredient 2 (kg)])+
SUMIF(Table_Input_Pesticides[Active ingredient 3 (select)],D286,Table_Input_Pesticides[Total active ingredient 3 (kg)])</f>
        <v>0</v>
      </c>
      <c r="F286" s="15" cm="1">
        <f t="array" ref="F286">Common_InputFunctions.Utility_LookupValueInTableNumber(D286,Table_SourceData_Scope3_Pesticides[Product],Table_SourceData_Scope3_Pesticides[Emissions intensity])</f>
        <v>8.3800000000000008</v>
      </c>
      <c r="G286" s="15">
        <f>(($E286 * F286) * 10 ^ -3)</f>
        <v>0</v>
      </c>
      <c r="H286" s="76">
        <v>8</v>
      </c>
      <c r="I286" s="15">
        <f>(($E286 * (IF(H286,H286,F286))) * 10 ^ -3)</f>
        <v>0</v>
      </c>
    </row>
    <row r="287" spans="1:9" ht="20.100000000000001" customHeight="1" x14ac:dyDescent="0.2">
      <c r="D287" s="15" t="str">
        <v>Diuron</v>
      </c>
      <c r="E287" s="15">
        <f>SUMIF(Table_Input_Pesticides[Active ingredient 1 (select)],D287,Table_Input_Pesticides[Total active ingredient 1 (kg)])+
SUMIF(Table_Input_Pesticides[Active ingredient 2 (select)],D287,Table_Input_Pesticides[Total active ingredient 2 (kg)])+
SUMIF(Table_Input_Pesticides[Active ingredient 3 (select)],D287,Table_Input_Pesticides[Total active ingredient 3 (kg)])</f>
        <v>0</v>
      </c>
      <c r="F287" s="15" cm="1">
        <f t="array" ref="F287">Common_InputFunctions.Utility_LookupValueInTableNumber(D287,Table_SourceData_Scope3_Pesticides[Product],Table_SourceData_Scope3_Pesticides[Emissions intensity])</f>
        <v>8.8000000000000007</v>
      </c>
      <c r="G287" s="15">
        <f>(($E287 * F287) * 10 ^ -3)</f>
        <v>0</v>
      </c>
      <c r="H287" s="76"/>
      <c r="I287" s="15">
        <f>(($E287 * (IF(H287,H287,F287))) * 10 ^ -3)</f>
        <v>0</v>
      </c>
    </row>
    <row r="288" spans="1:9" ht="20.100000000000001" customHeight="1" x14ac:dyDescent="0.2">
      <c r="D288" s="15" t="str">
        <v>Glyphosate</v>
      </c>
      <c r="E288" s="15">
        <f>SUMIF(Table_Input_Pesticides[Active ingredient 1 (select)],D288,Table_Input_Pesticides[Total active ingredient 1 (kg)])+
SUMIF(Table_Input_Pesticides[Active ingredient 2 (select)],D288,Table_Input_Pesticides[Total active ingredient 2 (kg)])+
SUMIF(Table_Input_Pesticides[Active ingredient 3 (select)],D288,Table_Input_Pesticides[Total active ingredient 3 (kg)])</f>
        <v>100</v>
      </c>
      <c r="F288" s="15" cm="1">
        <f t="array" ref="F288">Common_InputFunctions.Utility_LookupValueInTableNumber(D288,Table_SourceData_Scope3_Pesticides[Product],Table_SourceData_Scope3_Pesticides[Emissions intensity])</f>
        <v>10.3</v>
      </c>
      <c r="G288" s="15">
        <f>(($E288 * F288) * 10 ^ -3)</f>
        <v>1.03</v>
      </c>
      <c r="H288" s="76"/>
      <c r="I288" s="15">
        <f>(($E288 * (IF(H288,H288,F288))) * 10 ^ -3)</f>
        <v>1.03</v>
      </c>
    </row>
    <row r="289" spans="3:41" ht="20.100000000000001" customHeight="1" x14ac:dyDescent="0.2">
      <c r="D289" s="15" t="str">
        <v>Mancozeb</v>
      </c>
      <c r="E289" s="15">
        <f>SUMIF(Table_Input_Pesticides[Active ingredient 1 (select)],D289,Table_Input_Pesticides[Total active ingredient 1 (kg)])+
SUMIF(Table_Input_Pesticides[Active ingredient 2 (select)],D289,Table_Input_Pesticides[Total active ingredient 2 (kg)])+
SUMIF(Table_Input_Pesticides[Active ingredient 3 (select)],D289,Table_Input_Pesticides[Total active ingredient 3 (kg)])</f>
        <v>0</v>
      </c>
      <c r="F289" s="15" cm="1">
        <f t="array" ref="F289">Common_InputFunctions.Utility_LookupValueInTableNumber(D289,Table_SourceData_Scope3_Pesticides[Product],Table_SourceData_Scope3_Pesticides[Emissions intensity])</f>
        <v>4.55</v>
      </c>
      <c r="G289" s="15">
        <f>(($E289 * F289) * 10 ^ -3)</f>
        <v>0</v>
      </c>
      <c r="H289" s="76"/>
      <c r="I289" s="15">
        <f>(($E289 * (IF(H289,H289,F289))) * 10 ^ -3)</f>
        <v>0</v>
      </c>
    </row>
    <row r="290" spans="3:41" ht="20.100000000000001" customHeight="1" x14ac:dyDescent="0.2">
      <c r="D290" s="15" t="str">
        <v>MCPA</v>
      </c>
      <c r="E290" s="15">
        <f>SUMIF(Table_Input_Pesticides[Active ingredient 1 (select)],D290,Table_Input_Pesticides[Total active ingredient 1 (kg)])+
SUMIF(Table_Input_Pesticides[Active ingredient 2 (select)],D290,Table_Input_Pesticides[Total active ingredient 2 (kg)])+
SUMIF(Table_Input_Pesticides[Active ingredient 3 (select)],D290,Table_Input_Pesticides[Total active ingredient 3 (kg)])</f>
        <v>0</v>
      </c>
      <c r="F290" s="15" cm="1">
        <f t="array" ref="F290">Common_InputFunctions.Utility_LookupValueInTableNumber(D290,Table_SourceData_Scope3_Pesticides[Product],Table_SourceData_Scope3_Pesticides[Emissions intensity])</f>
        <v>5.6</v>
      </c>
      <c r="G290" s="15">
        <f>(($E290 * F290) * 10 ^ -3)</f>
        <v>0</v>
      </c>
      <c r="H290" s="76"/>
      <c r="I290" s="15">
        <f>(($E290 * (IF(H290,H290,F290))) * 10 ^ -3)</f>
        <v>0</v>
      </c>
    </row>
    <row r="291" spans="3:41" ht="20.100000000000001" customHeight="1" x14ac:dyDescent="0.2">
      <c r="D291" s="15" t="str">
        <v>Metolachlor</v>
      </c>
      <c r="E291" s="15">
        <f>SUMIF(Table_Input_Pesticides[Active ingredient 1 (select)],D291,Table_Input_Pesticides[Total active ingredient 1 (kg)])+
SUMIF(Table_Input_Pesticides[Active ingredient 2 (select)],D291,Table_Input_Pesticides[Total active ingredient 2 (kg)])+
SUMIF(Table_Input_Pesticides[Active ingredient 3 (select)],D291,Table_Input_Pesticides[Total active ingredient 3 (kg)])</f>
        <v>100</v>
      </c>
      <c r="F291" s="15" cm="1">
        <f t="array" ref="F291">Common_InputFunctions.Utility_LookupValueInTableNumber(D291,Table_SourceData_Scope3_Pesticides[Product],Table_SourceData_Scope3_Pesticides[Emissions intensity])</f>
        <v>8.06</v>
      </c>
      <c r="G291" s="15">
        <f>(($E291 * F291) * 10 ^ -3)</f>
        <v>0.80600000000000005</v>
      </c>
      <c r="H291" s="76"/>
      <c r="I291" s="15">
        <f>(($E291 * (IF(H291,H291,F291))) * 10 ^ -3)</f>
        <v>0.80600000000000005</v>
      </c>
    </row>
    <row r="292" spans="3:41" ht="20.100000000000001" customHeight="1" x14ac:dyDescent="0.2">
      <c r="D292" s="15" t="str">
        <v>Metsulfuron-methyl</v>
      </c>
      <c r="E292" s="15">
        <f>SUMIF(Table_Input_Pesticides[Active ingredient 1 (select)],D292,Table_Input_Pesticides[Total active ingredient 1 (kg)])+
SUMIF(Table_Input_Pesticides[Active ingredient 2 (select)],D292,Table_Input_Pesticides[Total active ingredient 2 (kg)])+
SUMIF(Table_Input_Pesticides[Active ingredient 3 (select)],D292,Table_Input_Pesticides[Total active ingredient 3 (kg)])</f>
        <v>0</v>
      </c>
      <c r="F292" s="15" cm="1">
        <f t="array" ref="F292">Common_InputFunctions.Utility_LookupValueInTableNumber(D292,Table_SourceData_Scope3_Pesticides[Product],Table_SourceData_Scope3_Pesticides[Emissions intensity])</f>
        <v>8.8000000000000007</v>
      </c>
      <c r="G292" s="15">
        <f>(($E292 * F292) * 10 ^ -3)</f>
        <v>0</v>
      </c>
      <c r="H292" s="76"/>
      <c r="I292" s="15">
        <f>(($E292 * (IF(H292,H292,F292))) * 10 ^ -3)</f>
        <v>0</v>
      </c>
    </row>
    <row r="293" spans="3:41" ht="20.100000000000001" customHeight="1" x14ac:dyDescent="0.2">
      <c r="D293" s="15" t="str">
        <v>Pesticides (generic)</v>
      </c>
      <c r="E293" s="15">
        <f>SUMIF(Table_Input_Pesticides[Active ingredient 1 (select)],D293,Table_Input_Pesticides[Total active ingredient 1 (kg)])+
SUMIF(Table_Input_Pesticides[Active ingredient 2 (select)],D293,Table_Input_Pesticides[Total active ingredient 2 (kg)])+
SUMIF(Table_Input_Pesticides[Active ingredient 3 (select)],D293,Table_Input_Pesticides[Total active ingredient 3 (kg)])</f>
        <v>400</v>
      </c>
      <c r="F293" s="15" cm="1">
        <f t="array" ref="F293">Common_InputFunctions.Utility_LookupValueInTableNumber(D293,Table_SourceData_Scope3_Pesticides[Product],Table_SourceData_Scope3_Pesticides[Emissions intensity])</f>
        <v>9.16</v>
      </c>
      <c r="G293" s="15">
        <f>(($E293 * F293) * 10 ^ -3)</f>
        <v>3.6640000000000001</v>
      </c>
      <c r="H293" s="76"/>
      <c r="I293" s="15">
        <f>(($E293 * (IF(H293,H293,F293))) * 10 ^ -3)</f>
        <v>3.6640000000000001</v>
      </c>
    </row>
    <row r="294" spans="3:41" ht="20.100000000000001" customHeight="1" x14ac:dyDescent="0.2">
      <c r="D294" s="15" t="str">
        <v>Tri-allate</v>
      </c>
      <c r="E294" s="15">
        <f>SUMIF(Table_Input_Pesticides[Active ingredient 1 (select)],D294,Table_Input_Pesticides[Total active ingredient 1 (kg)])+
SUMIF(Table_Input_Pesticides[Active ingredient 2 (select)],D294,Table_Input_Pesticides[Total active ingredient 2 (kg)])+
SUMIF(Table_Input_Pesticides[Active ingredient 3 (select)],D294,Table_Input_Pesticides[Total active ingredient 3 (kg)])</f>
        <v>0</v>
      </c>
      <c r="F294" s="15" cm="1">
        <f t="array" ref="F294">Common_InputFunctions.Utility_LookupValueInTableNumber(D294,Table_SourceData_Scope3_Pesticides[Product],Table_SourceData_Scope3_Pesticides[Emissions intensity])</f>
        <v>8.57</v>
      </c>
      <c r="G294" s="15">
        <f>(($E294 * F294) * 10 ^ -3)</f>
        <v>0</v>
      </c>
      <c r="H294" s="76"/>
      <c r="I294" s="15">
        <f>(($E294 * (IF(H294,H294,F294))) * 10 ^ -3)</f>
        <v>0</v>
      </c>
    </row>
    <row r="295" spans="3:41" ht="20.100000000000001" customHeight="1" x14ac:dyDescent="0.2">
      <c r="D295" s="15" t="str">
        <v>Tribenuron methyl</v>
      </c>
      <c r="E295" s="15">
        <f>SUMIF(Table_Input_Pesticides[Active ingredient 1 (select)],D295,Table_Input_Pesticides[Total active ingredient 1 (kg)])+
SUMIF(Table_Input_Pesticides[Active ingredient 2 (select)],D295,Table_Input_Pesticides[Total active ingredient 2 (kg)])+
SUMIF(Table_Input_Pesticides[Active ingredient 3 (select)],D295,Table_Input_Pesticides[Total active ingredient 3 (kg)])</f>
        <v>100</v>
      </c>
      <c r="F295" s="15" cm="1">
        <f t="array" ref="F295">Common_InputFunctions.Utility_LookupValueInTableNumber(D295,Table_SourceData_Scope3_Pesticides[Product],Table_SourceData_Scope3_Pesticides[Emissions intensity])</f>
        <v>8.8000000000000007</v>
      </c>
      <c r="G295" s="15">
        <f>(($E295 * F295) * 10 ^ -3)</f>
        <v>0.88000000000000012</v>
      </c>
      <c r="H295" s="76"/>
      <c r="I295" s="15">
        <f>(($E295 * (IF(H295,H295,F295))) * 10 ^ -3)</f>
        <v>0.88000000000000012</v>
      </c>
    </row>
    <row r="296" spans="3:41" ht="20.100000000000001" customHeight="1" x14ac:dyDescent="0.2">
      <c r="D296" s="15" t="str">
        <v>Trifluralin</v>
      </c>
      <c r="E296" s="15">
        <f>SUMIF(Table_Input_Pesticides[Active ingredient 1 (select)],D296,Table_Input_Pesticides[Total active ingredient 1 (kg)])+
SUMIF(Table_Input_Pesticides[Active ingredient 2 (select)],D296,Table_Input_Pesticides[Total active ingredient 2 (kg)])+
SUMIF(Table_Input_Pesticides[Active ingredient 3 (select)],D296,Table_Input_Pesticides[Total active ingredient 3 (kg)])</f>
        <v>100</v>
      </c>
      <c r="F296" s="15" cm="1">
        <f t="array" ref="F296">Common_InputFunctions.Utility_LookupValueInTableNumber(D296,Table_SourceData_Scope3_Pesticides[Product],Table_SourceData_Scope3_Pesticides[Emissions intensity])</f>
        <v>6.16</v>
      </c>
      <c r="G296" s="15">
        <f>(($E296 * F296) * 10 ^ -3)</f>
        <v>0.61599999999999999</v>
      </c>
      <c r="H296" s="76"/>
      <c r="I296" s="15">
        <f>(($E296 * (IF(H296,H296,F296))) * 10 ^ -3)</f>
        <v>0.61599999999999999</v>
      </c>
    </row>
    <row r="298" spans="3:41" ht="20.100000000000001" customHeight="1" x14ac:dyDescent="0.2">
      <c r="D298" s="255" t="s">
        <v>1175</v>
      </c>
      <c r="E298" s="92">
        <f>SUM(G285:G296)</f>
        <v>7.5159999999999991</v>
      </c>
      <c r="F298" s="96" t="str">
        <f>$E$170</f>
        <v>t CO2e</v>
      </c>
    </row>
    <row r="299" spans="3:41" ht="20.100000000000001" customHeight="1" x14ac:dyDescent="0.2">
      <c r="D299" s="255" t="s">
        <v>1178</v>
      </c>
      <c r="E299" s="92">
        <f>SUM(I285:I296)</f>
        <v>7.4959999999999996</v>
      </c>
      <c r="F299" s="96" t="str">
        <f>$E$170</f>
        <v>t CO2e</v>
      </c>
    </row>
    <row r="302" spans="3:41" ht="20.100000000000001" customHeight="1" x14ac:dyDescent="0.2">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c r="AA302" s="88"/>
      <c r="AB302" s="88"/>
      <c r="AC302" s="88"/>
      <c r="AD302" s="88"/>
      <c r="AE302" s="88"/>
      <c r="AF302" s="88"/>
      <c r="AG302" s="88"/>
      <c r="AH302" s="88"/>
      <c r="AI302" s="88"/>
      <c r="AJ302" s="88"/>
      <c r="AK302" s="88"/>
      <c r="AL302" s="88"/>
      <c r="AM302" s="88"/>
      <c r="AN302" s="88"/>
      <c r="AO302" s="88"/>
    </row>
    <row r="303" spans="3:41" ht="20.100000000000001" customHeight="1" x14ac:dyDescent="0.2">
      <c r="D303" s="2" t="s">
        <v>1805</v>
      </c>
    </row>
    <row r="304" spans="3:41" ht="20.100000000000001" customHeight="1" x14ac:dyDescent="0.2">
      <c r="D304" s="17" t="s">
        <v>1806</v>
      </c>
    </row>
    <row r="305" spans="1:13" ht="20.100000000000001" customHeight="1" x14ac:dyDescent="0.2">
      <c r="D305" s="104"/>
      <c r="E305" s="104"/>
    </row>
    <row r="308" spans="1:13" ht="20.100000000000001" customHeight="1" x14ac:dyDescent="0.2">
      <c r="D308" s="77" t="s">
        <v>374</v>
      </c>
      <c r="E308" s="1" t="s">
        <v>1281</v>
      </c>
    </row>
    <row r="309" spans="1:13" ht="20.100000000000001" customHeight="1" x14ac:dyDescent="0.2">
      <c r="D309" s="77" t="s">
        <v>126</v>
      </c>
      <c r="E309" s="1" t="s">
        <v>6</v>
      </c>
    </row>
    <row r="311" spans="1:13" ht="20.100000000000001" customHeight="1" x14ac:dyDescent="0.2">
      <c r="A311" s="85" t="str">
        <f>HYPERLINK("#A1", "▲ Back to top")</f>
        <v>▲ Back to top</v>
      </c>
      <c r="D311" s="106" t="s">
        <v>1550</v>
      </c>
      <c r="E311" s="106" t="s">
        <v>1807</v>
      </c>
      <c r="F311" s="106" t="s">
        <v>1700</v>
      </c>
      <c r="G311" s="251" t="s">
        <v>1325</v>
      </c>
    </row>
    <row r="312" spans="1:13" ht="20.100000000000001" customHeight="1" x14ac:dyDescent="0.2">
      <c r="D312" s="106" t="s">
        <v>1808</v>
      </c>
      <c r="E312" s="106" t="s">
        <v>1809</v>
      </c>
      <c r="F312" s="106" t="s">
        <v>1722</v>
      </c>
      <c r="G312" s="111" t="s">
        <v>1326</v>
      </c>
    </row>
    <row r="314" spans="1:13" ht="20.100000000000001" customHeight="1" x14ac:dyDescent="0.2">
      <c r="E314" s="115" t="s">
        <v>141</v>
      </c>
      <c r="F314" s="82" t="s">
        <v>142</v>
      </c>
    </row>
    <row r="315" spans="1:13" ht="20.100000000000001" customHeight="1" x14ac:dyDescent="0.2">
      <c r="D315" s="1" t="s">
        <v>1248</v>
      </c>
      <c r="E315" s="15" cm="1">
        <f t="array" ref="E315">Common_InputFunctions.Utility_LookupValueInTableNumber("Limestone (crushed)", Table_SourceData_Scope3_SoilAmeliorants[Product],Table_SourceData_Scope3_SoilAmeliorants[Emissions intensity])*10^-3</f>
        <v>4.85E-5</v>
      </c>
      <c r="F315" s="76">
        <v>4.0000000000000003E-5</v>
      </c>
      <c r="G315" s="16" t="str">
        <f>$F$312</f>
        <v>t CO2e/t</v>
      </c>
    </row>
    <row r="316" spans="1:13" ht="20.100000000000001" customHeight="1" x14ac:dyDescent="0.2">
      <c r="D316" s="1" t="s">
        <v>1249</v>
      </c>
      <c r="E316" s="15" cm="1">
        <f t="array" ref="E316">Common_InputFunctions.Utility_LookupValueInTableNumber("Dolomite", Table_SourceData_Scope3_SoilAmeliorants[Product],Table_SourceData_Scope3_SoilAmeliorants[Emissions intensity])*10^-3</f>
        <v>6.5199999999999999E-5</v>
      </c>
      <c r="F316" s="76">
        <v>6.0000000000000002E-5</v>
      </c>
      <c r="G316" s="16"/>
    </row>
    <row r="317" spans="1:13" ht="20.100000000000001" customHeight="1" x14ac:dyDescent="0.2">
      <c r="D317" s="1" t="s">
        <v>1250</v>
      </c>
      <c r="E317" s="15" cm="1">
        <f t="array" ref="E317">Common_InputFunctions.Utility_LookupValueInTableNumber("Gypsum", Table_SourceData_Scope3_SoilAmeliorants[Product],Table_SourceData_Scope3_SoilAmeliorants[Emissions intensity])*10^-3</f>
        <v>6.5199999999999999E-5</v>
      </c>
      <c r="F317" s="76">
        <v>6.0000000000000002E-5</v>
      </c>
      <c r="G317" s="16"/>
    </row>
    <row r="319" spans="1:13" ht="20.100000000000001" customHeight="1" x14ac:dyDescent="0.2">
      <c r="D319" s="82" t="s">
        <v>1057</v>
      </c>
      <c r="E319" s="252" t="s">
        <v>1251</v>
      </c>
      <c r="F319" s="82" t="s">
        <v>1252</v>
      </c>
      <c r="G319" s="82" t="s">
        <v>1253</v>
      </c>
      <c r="H319" s="82" t="s">
        <v>1254</v>
      </c>
      <c r="I319" s="115" t="s">
        <v>1175</v>
      </c>
      <c r="J319" s="115" t="s">
        <v>1255</v>
      </c>
      <c r="K319" s="82" t="s">
        <v>1179</v>
      </c>
      <c r="L319" s="82" t="s">
        <v>1180</v>
      </c>
      <c r="M319" s="82" t="s">
        <v>1181</v>
      </c>
    </row>
    <row r="320" spans="1:13" ht="20.100000000000001" customHeight="1" x14ac:dyDescent="0.2">
      <c r="D320" s="15" t="str" cm="1">
        <f t="array" ref="D320:D329">IFERROR(INDEX(Table_Input_Lime[Product], _xlfn.SEQUENCE(10)), "")</f>
        <v>Lime product 1</v>
      </c>
      <c r="E320" s="15" cm="1">
        <f t="array" ref="E320:E329">IFERROR(INDEX(Table_Input_Lime[Total amount applied (t)], _xlfn.SEQUENCE(10)), 0)</f>
        <v>1000</v>
      </c>
      <c r="F320" s="15" cm="1">
        <f t="array" ref="F320:F329">IFERROR(INDEX(Table_Input_Lime[Percent Lime CaCO3], _xlfn.SEQUENCE(10)), 0)*E320</f>
        <v>800</v>
      </c>
      <c r="G320" s="15" cm="1">
        <f t="array" ref="G320:G329">IFERROR(INDEX(Table_Input_Lime[Percent Dolomite CaMg(CO3)2], _xlfn.SEQUENCE(10)), 0)*E320</f>
        <v>100</v>
      </c>
      <c r="H320" s="15" cm="1">
        <f t="array" ref="H320:H329">IFERROR(INDEX(Table_Input_Lime[Percent Gypsum], _xlfn.SEQUENCE(10)), 0)*E320</f>
        <v>100</v>
      </c>
      <c r="I320" s="253">
        <f>(F320 * $E$315)+
(G320 * $E$316)+
(H320 * $E$317)</f>
        <v>5.1839999999999997E-2</v>
      </c>
      <c r="J320" s="253">
        <f>(F320 * (IF($F$315,$F$315,$E$315)))+
(G320 * (IF($F$316,$F$316,$E$316)))+
(H320 * (IF($F$317,$F$317,$E$317)))</f>
        <v>4.3999999999999997E-2</v>
      </c>
      <c r="K320" s="34"/>
      <c r="L320" s="13"/>
      <c r="M320" s="34"/>
    </row>
    <row r="321" spans="3:41" ht="20.100000000000001" customHeight="1" x14ac:dyDescent="0.2">
      <c r="D321" s="15" t="str">
        <v>Lime product 2</v>
      </c>
      <c r="E321" s="15">
        <v>1000</v>
      </c>
      <c r="F321" s="15">
        <v>1000</v>
      </c>
      <c r="G321" s="15">
        <v>0</v>
      </c>
      <c r="H321" s="15">
        <v>0</v>
      </c>
      <c r="I321" s="253">
        <f>(F321 * $E$315)+
(G321 * $E$316)+
(H321 * $E$317)</f>
        <v>4.8500000000000001E-2</v>
      </c>
      <c r="J321" s="253">
        <f>(F321 * (IF($F$315,$F$315,$E$315)))+
(G321 * (IF($F$316,$F$316,$E$316)))+
(H321 * (IF($F$317,$F$317,$E$317)))</f>
        <v>0.04</v>
      </c>
      <c r="K321" s="34"/>
      <c r="L321" s="13"/>
      <c r="M321" s="34"/>
    </row>
    <row r="322" spans="3:41" ht="20.100000000000001" customHeight="1" x14ac:dyDescent="0.2">
      <c r="D322" s="15" t="str">
        <v>Lime product 3</v>
      </c>
      <c r="E322" s="15">
        <v>1000</v>
      </c>
      <c r="F322" s="15">
        <v>0</v>
      </c>
      <c r="G322" s="15">
        <v>0</v>
      </c>
      <c r="H322" s="15">
        <v>1000</v>
      </c>
      <c r="I322" s="253">
        <f>(F322 * $E$315)+
(G322 * $E$316)+
(H322 * $E$317)</f>
        <v>6.5199999999999994E-2</v>
      </c>
      <c r="J322" s="253">
        <f>(F322 * (IF($F$315,$F$315,$E$315)))+
(G322 * (IF($F$316,$F$316,$E$316)))+
(H322 * (IF($F$317,$F$317,$E$317)))</f>
        <v>6.0000000000000005E-2</v>
      </c>
      <c r="K322" s="34"/>
      <c r="L322" s="13"/>
      <c r="M322" s="34"/>
    </row>
    <row r="323" spans="3:41" ht="20.100000000000001" customHeight="1" x14ac:dyDescent="0.2">
      <c r="D323" s="15" t="str">
        <v/>
      </c>
      <c r="E323" s="15">
        <v>0</v>
      </c>
      <c r="F323" s="15">
        <v>0</v>
      </c>
      <c r="G323" s="15">
        <v>0</v>
      </c>
      <c r="H323" s="15">
        <v>0</v>
      </c>
      <c r="I323" s="253">
        <f>(F323 * $E$315)+
(G323 * $E$316)+
(H323 * $E$317)</f>
        <v>0</v>
      </c>
      <c r="J323" s="253">
        <f>(F323 * (IF($F$315,$F$315,$E$315)))+
(G323 * (IF($F$316,$F$316,$E$316)))+
(H323 * (IF($F$317,$F$317,$E$317)))</f>
        <v>0</v>
      </c>
      <c r="K323" s="34"/>
      <c r="L323" s="13"/>
      <c r="M323" s="34"/>
    </row>
    <row r="324" spans="3:41" ht="20.100000000000001" customHeight="1" x14ac:dyDescent="0.2">
      <c r="D324" s="15" t="str">
        <v/>
      </c>
      <c r="E324" s="15">
        <v>0</v>
      </c>
      <c r="F324" s="15">
        <v>0</v>
      </c>
      <c r="G324" s="15">
        <v>0</v>
      </c>
      <c r="H324" s="15">
        <v>0</v>
      </c>
      <c r="I324" s="253">
        <f>(F324 * $E$315)+
(G324 * $E$316)+
(H324 * $E$317)</f>
        <v>0</v>
      </c>
      <c r="J324" s="253">
        <f>(F324 * (IF($F$315,$F$315,$E$315)))+
(G324 * (IF($F$316,$F$316,$E$316)))+
(H324 * (IF($F$317,$F$317,$E$317)))</f>
        <v>0</v>
      </c>
      <c r="K324" s="34"/>
      <c r="L324" s="13"/>
      <c r="M324" s="34"/>
    </row>
    <row r="325" spans="3:41" ht="20.100000000000001" customHeight="1" x14ac:dyDescent="0.2">
      <c r="D325" s="15" t="str">
        <v/>
      </c>
      <c r="E325" s="15">
        <v>0</v>
      </c>
      <c r="F325" s="15">
        <v>0</v>
      </c>
      <c r="G325" s="15">
        <v>0</v>
      </c>
      <c r="H325" s="15">
        <v>0</v>
      </c>
      <c r="I325" s="253">
        <f>(F325 * $E$315)+
(G325 * $E$316)+
(H325 * $E$317)</f>
        <v>0</v>
      </c>
      <c r="J325" s="253">
        <f>(F325 * (IF($F$315,$F$315,$E$315)))+
(G325 * (IF($F$316,$F$316,$E$316)))+
(H325 * (IF($F$317,$F$317,$E$317)))</f>
        <v>0</v>
      </c>
      <c r="K325" s="34"/>
      <c r="L325" s="13"/>
      <c r="M325" s="34"/>
    </row>
    <row r="326" spans="3:41" ht="20.100000000000001" customHeight="1" x14ac:dyDescent="0.2">
      <c r="D326" s="15" t="str">
        <v/>
      </c>
      <c r="E326" s="15">
        <v>0</v>
      </c>
      <c r="F326" s="15">
        <v>0</v>
      </c>
      <c r="G326" s="15">
        <v>0</v>
      </c>
      <c r="H326" s="15">
        <v>0</v>
      </c>
      <c r="I326" s="253">
        <f>(F326 * $E$315)+
(G326 * $E$316)+
(H326 * $E$317)</f>
        <v>0</v>
      </c>
      <c r="J326" s="253">
        <f>(F326 * (IF($F$315,$F$315,$E$315)))+
(G326 * (IF($F$316,$F$316,$E$316)))+
(H326 * (IF($F$317,$F$317,$E$317)))</f>
        <v>0</v>
      </c>
      <c r="K326" s="34"/>
      <c r="L326" s="13"/>
      <c r="M326" s="34"/>
    </row>
    <row r="327" spans="3:41" ht="20.100000000000001" customHeight="1" x14ac:dyDescent="0.2">
      <c r="D327" s="15" t="str">
        <v/>
      </c>
      <c r="E327" s="15">
        <v>0</v>
      </c>
      <c r="F327" s="15">
        <v>0</v>
      </c>
      <c r="G327" s="15">
        <v>0</v>
      </c>
      <c r="H327" s="15">
        <v>0</v>
      </c>
      <c r="I327" s="253">
        <f>(F327 * $E$315)+
(G327 * $E$316)+
(H327 * $E$317)</f>
        <v>0</v>
      </c>
      <c r="J327" s="253">
        <f>(F327 * (IF($F$315,$F$315,$E$315)))+
(G327 * (IF($F$316,$F$316,$E$316)))+
(H327 * (IF($F$317,$F$317,$E$317)))</f>
        <v>0</v>
      </c>
      <c r="K327" s="34"/>
      <c r="L327" s="13"/>
      <c r="M327" s="34"/>
    </row>
    <row r="328" spans="3:41" ht="20.100000000000001" customHeight="1" x14ac:dyDescent="0.2">
      <c r="D328" s="15" t="str">
        <v/>
      </c>
      <c r="E328" s="15">
        <v>0</v>
      </c>
      <c r="F328" s="15">
        <v>0</v>
      </c>
      <c r="G328" s="15">
        <v>0</v>
      </c>
      <c r="H328" s="15">
        <v>0</v>
      </c>
      <c r="I328" s="253">
        <f>(F328 * $E$315)+
(G328 * $E$316)+
(H328 * $E$317)</f>
        <v>0</v>
      </c>
      <c r="J328" s="253">
        <f>(F328 * (IF($F$315,$F$315,$E$315)))+
(G328 * (IF($F$316,$F$316,$E$316)))+
(H328 * (IF($F$317,$F$317,$E$317)))</f>
        <v>0</v>
      </c>
      <c r="K328" s="34"/>
      <c r="L328" s="13"/>
      <c r="M328" s="34"/>
    </row>
    <row r="329" spans="3:41" ht="20.100000000000001" customHeight="1" x14ac:dyDescent="0.2">
      <c r="D329" s="15" t="str">
        <v/>
      </c>
      <c r="E329" s="15">
        <v>0</v>
      </c>
      <c r="F329" s="15">
        <v>0</v>
      </c>
      <c r="G329" s="15">
        <v>0</v>
      </c>
      <c r="H329" s="15">
        <v>0</v>
      </c>
      <c r="I329" s="253">
        <f>(F329 * $E$315)+
(G329 * $E$316)+
(H329 * $E$317)</f>
        <v>0</v>
      </c>
      <c r="J329" s="253">
        <f>(F329 * (IF($F$315,$F$315,$E$315)))+
(G329 * (IF($F$316,$F$316,$E$316)))+
(H329 * (IF($F$317,$F$317,$E$317)))</f>
        <v>0</v>
      </c>
      <c r="K329" s="34"/>
      <c r="L329" s="13"/>
      <c r="M329" s="34"/>
    </row>
    <row r="331" spans="3:41" ht="20.100000000000001" customHeight="1" x14ac:dyDescent="0.2">
      <c r="D331" s="255" t="s">
        <v>1175</v>
      </c>
      <c r="E331" s="92">
        <f>SUM(I320:I329)</f>
        <v>0.16553999999999999</v>
      </c>
      <c r="F331" s="96" t="str">
        <f>$E$170</f>
        <v>t CO2e</v>
      </c>
    </row>
    <row r="332" spans="3:41" ht="20.100000000000001" customHeight="1" x14ac:dyDescent="0.2">
      <c r="D332" s="255" t="s">
        <v>1178</v>
      </c>
      <c r="E332" s="92">
        <f>SUM(J320:J329)</f>
        <v>0.14399999999999999</v>
      </c>
      <c r="F332" s="96" t="str">
        <f>$E$170</f>
        <v>t CO2e</v>
      </c>
    </row>
    <row r="335" spans="3:41" ht="20.100000000000001" customHeight="1" x14ac:dyDescent="0.2">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c r="AA335" s="88"/>
      <c r="AB335" s="88"/>
      <c r="AC335" s="88"/>
      <c r="AD335" s="88"/>
      <c r="AE335" s="88"/>
      <c r="AF335" s="88"/>
      <c r="AG335" s="88"/>
      <c r="AH335" s="88"/>
      <c r="AI335" s="88"/>
      <c r="AJ335" s="88"/>
      <c r="AK335" s="88"/>
      <c r="AL335" s="88"/>
      <c r="AM335" s="88"/>
      <c r="AN335" s="88"/>
      <c r="AO335" s="88"/>
    </row>
    <row r="336" spans="3:41" ht="20.100000000000001" customHeight="1" x14ac:dyDescent="0.2">
      <c r="D336" s="2" t="s">
        <v>1810</v>
      </c>
    </row>
    <row r="337" spans="1:15" ht="20.100000000000001" customHeight="1" x14ac:dyDescent="0.2">
      <c r="D337" s="17" t="s">
        <v>1811</v>
      </c>
    </row>
    <row r="338" spans="1:15" ht="20.100000000000001" customHeight="1" x14ac:dyDescent="0.2">
      <c r="D338" s="104"/>
      <c r="E338" s="104"/>
    </row>
    <row r="340" spans="1:15" ht="20.100000000000001" customHeight="1" x14ac:dyDescent="0.2">
      <c r="H340" s="1" t="s">
        <v>1256</v>
      </c>
    </row>
    <row r="341" spans="1:15" ht="20.100000000000001" customHeight="1" x14ac:dyDescent="0.2">
      <c r="A341" s="85" t="str">
        <f>HYPERLINK("#A1", "▲ Back to top")</f>
        <v>▲ Back to top</v>
      </c>
      <c r="D341" s="77" t="s">
        <v>374</v>
      </c>
      <c r="E341" s="1" t="s">
        <v>1281</v>
      </c>
    </row>
    <row r="342" spans="1:15" ht="20.100000000000001" customHeight="1" x14ac:dyDescent="0.2">
      <c r="D342" s="77" t="s">
        <v>126</v>
      </c>
      <c r="E342" s="1" t="s">
        <v>6</v>
      </c>
    </row>
    <row r="344" spans="1:15" ht="20.100000000000001" customHeight="1" x14ac:dyDescent="0.2">
      <c r="D344" s="106" t="s">
        <v>1611</v>
      </c>
      <c r="E344" s="107" t="s">
        <v>1812</v>
      </c>
      <c r="F344" s="109"/>
      <c r="G344" s="106" t="s">
        <v>1816</v>
      </c>
      <c r="H344" s="251" t="s">
        <v>1325</v>
      </c>
    </row>
    <row r="345" spans="1:15" ht="20.100000000000001" customHeight="1" x14ac:dyDescent="0.2">
      <c r="D345" s="106" t="s">
        <v>1813</v>
      </c>
      <c r="E345" s="107" t="s">
        <v>1814</v>
      </c>
      <c r="F345" s="109"/>
      <c r="G345" s="106" t="s">
        <v>1817</v>
      </c>
      <c r="H345" s="111" t="s">
        <v>1326</v>
      </c>
    </row>
    <row r="346" spans="1:15" ht="20.100000000000001" customHeight="1" x14ac:dyDescent="0.2">
      <c r="D346" s="106" t="s">
        <v>1623</v>
      </c>
      <c r="E346" s="107" t="s">
        <v>1815</v>
      </c>
      <c r="F346" s="109"/>
      <c r="G346" s="106"/>
      <c r="H346" s="251" t="s">
        <v>1325</v>
      </c>
    </row>
    <row r="348" spans="1:15" ht="20.100000000000001" customHeight="1" x14ac:dyDescent="0.2">
      <c r="D348" s="26" t="s">
        <v>1257</v>
      </c>
    </row>
    <row r="350" spans="1:15" ht="20.100000000000001" customHeight="1" x14ac:dyDescent="0.2">
      <c r="D350" s="82" t="s">
        <v>1067</v>
      </c>
      <c r="E350" s="82" t="s">
        <v>1068</v>
      </c>
      <c r="F350" s="82" t="s">
        <v>1069</v>
      </c>
      <c r="G350" s="82" t="s">
        <v>828</v>
      </c>
      <c r="H350" s="115" t="s">
        <v>1258</v>
      </c>
      <c r="I350" s="115" t="s">
        <v>1259</v>
      </c>
      <c r="J350" s="82" t="s">
        <v>1260</v>
      </c>
      <c r="K350" s="115" t="s">
        <v>1261</v>
      </c>
      <c r="L350" s="115" t="s">
        <v>1262</v>
      </c>
      <c r="M350" s="82" t="s">
        <v>1179</v>
      </c>
      <c r="N350" s="82" t="s">
        <v>1180</v>
      </c>
      <c r="O350" s="82" t="s">
        <v>1181</v>
      </c>
    </row>
    <row r="351" spans="1:15" ht="20.100000000000001" customHeight="1" x14ac:dyDescent="0.2">
      <c r="D351" s="15" t="str" cm="1">
        <f t="array" ref="D351:D360">IFERROR(INDEX(Table_Input_ServicesAndContractors[Service provider / contractor], _xlfn.SEQUENCE(10)), "")</f>
        <v>Pete's Pickers</v>
      </c>
      <c r="E351" s="15" t="str" cm="1">
        <f t="array" ref="E351:E360">IFERROR(INDEX(Table_Input_ServicesAndContractors[Activity], _xlfn.SEQUENCE(10)), "")</f>
        <v>Fruit picking</v>
      </c>
      <c r="F351" s="15" cm="1">
        <f t="array" ref="F351:F360">IFERROR(INDEX(Table_Input_ServicesAndContractors[Total amount], _xlfn.SEQUENCE(10)), "")</f>
        <v>10000</v>
      </c>
      <c r="G351" s="15" t="str" cm="1">
        <f t="array" ref="G351:G360">IFERROR(INDEX(Table_Input_ServicesAndContractors[Amount unit], _xlfn.SEQUENCE(10)), "")</f>
        <v>Hour</v>
      </c>
      <c r="H351" s="15" t="s">
        <v>1263</v>
      </c>
      <c r="I351" s="15" t="s">
        <v>1263</v>
      </c>
      <c r="J351" s="76">
        <v>0.1</v>
      </c>
      <c r="K351" s="253">
        <f>((F351 * J351) * 10 ^ -3)</f>
        <v>1</v>
      </c>
      <c r="L351" s="15" t="str">
        <f>"t CO2e / " &amp; G351</f>
        <v>t CO2e / Hour</v>
      </c>
      <c r="M351" s="34"/>
      <c r="N351" s="13"/>
      <c r="O351" s="34"/>
    </row>
    <row r="352" spans="1:15" ht="20.100000000000001" customHeight="1" x14ac:dyDescent="0.2">
      <c r="D352" s="15" t="str">
        <v>Harini's Harvesting Services Pty Ltd</v>
      </c>
      <c r="E352" s="15" t="str">
        <v>Wheat harvesting</v>
      </c>
      <c r="F352" s="15">
        <v>1000</v>
      </c>
      <c r="G352" s="15" t="str">
        <v>Hectare</v>
      </c>
      <c r="H352" s="15" t="s">
        <v>1263</v>
      </c>
      <c r="I352" s="15" t="s">
        <v>1263</v>
      </c>
      <c r="J352" s="76">
        <v>0.1</v>
      </c>
      <c r="K352" s="253">
        <f>((F352 * J352) * 10 ^ -3)</f>
        <v>0.1</v>
      </c>
      <c r="L352" s="15" t="str">
        <f t="shared" ref="L352:L360" si="1">"t CO2e / " &amp; G352</f>
        <v>t CO2e / Hectare</v>
      </c>
      <c r="M352" s="34"/>
      <c r="N352" s="13"/>
      <c r="O352" s="34"/>
    </row>
    <row r="353" spans="3:41" ht="20.100000000000001" customHeight="1" x14ac:dyDescent="0.2">
      <c r="D353" s="15">
        <v>0</v>
      </c>
      <c r="E353" s="15">
        <v>0</v>
      </c>
      <c r="F353" s="15">
        <v>0</v>
      </c>
      <c r="G353" s="15">
        <v>0</v>
      </c>
      <c r="H353" s="15" t="s">
        <v>1263</v>
      </c>
      <c r="I353" s="15" t="s">
        <v>1263</v>
      </c>
      <c r="J353" s="76"/>
      <c r="K353" s="253">
        <f>((F353 * J353) * 10 ^ -3)</f>
        <v>0</v>
      </c>
      <c r="L353" s="15" t="str">
        <f t="shared" si="1"/>
        <v>t CO2e / 0</v>
      </c>
      <c r="M353" s="34"/>
      <c r="N353" s="13"/>
      <c r="O353" s="34"/>
    </row>
    <row r="354" spans="3:41" ht="20.100000000000001" customHeight="1" x14ac:dyDescent="0.2">
      <c r="D354" s="15">
        <v>0</v>
      </c>
      <c r="E354" s="15">
        <v>0</v>
      </c>
      <c r="F354" s="15">
        <v>0</v>
      </c>
      <c r="G354" s="15">
        <v>0</v>
      </c>
      <c r="H354" s="15" t="s">
        <v>1263</v>
      </c>
      <c r="I354" s="15" t="s">
        <v>1263</v>
      </c>
      <c r="J354" s="76"/>
      <c r="K354" s="253">
        <f>((F354 * J354) * 10 ^ -3)</f>
        <v>0</v>
      </c>
      <c r="L354" s="15" t="str">
        <f t="shared" si="1"/>
        <v>t CO2e / 0</v>
      </c>
      <c r="M354" s="34"/>
      <c r="N354" s="13"/>
      <c r="O354" s="34"/>
    </row>
    <row r="355" spans="3:41" ht="20.100000000000001" customHeight="1" x14ac:dyDescent="0.2">
      <c r="D355" s="15">
        <v>0</v>
      </c>
      <c r="E355" s="15">
        <v>0</v>
      </c>
      <c r="F355" s="15">
        <v>0</v>
      </c>
      <c r="G355" s="15">
        <v>0</v>
      </c>
      <c r="H355" s="15" t="s">
        <v>1263</v>
      </c>
      <c r="I355" s="15" t="s">
        <v>1263</v>
      </c>
      <c r="J355" s="76"/>
      <c r="K355" s="253">
        <f>((F355 * J355) * 10 ^ -3)</f>
        <v>0</v>
      </c>
      <c r="L355" s="15" t="str">
        <f t="shared" si="1"/>
        <v>t CO2e / 0</v>
      </c>
      <c r="M355" s="34"/>
      <c r="N355" s="13"/>
      <c r="O355" s="34"/>
    </row>
    <row r="356" spans="3:41" ht="20.100000000000001" customHeight="1" x14ac:dyDescent="0.2">
      <c r="D356" s="15">
        <v>0</v>
      </c>
      <c r="E356" s="15">
        <v>0</v>
      </c>
      <c r="F356" s="15">
        <v>0</v>
      </c>
      <c r="G356" s="15">
        <v>0</v>
      </c>
      <c r="H356" s="15" t="s">
        <v>1263</v>
      </c>
      <c r="I356" s="15" t="s">
        <v>1263</v>
      </c>
      <c r="J356" s="76"/>
      <c r="K356" s="253">
        <f>((F356 * J356) * 10 ^ -3)</f>
        <v>0</v>
      </c>
      <c r="L356" s="15" t="str">
        <f t="shared" si="1"/>
        <v>t CO2e / 0</v>
      </c>
      <c r="M356" s="34"/>
      <c r="N356" s="13"/>
      <c r="O356" s="34"/>
    </row>
    <row r="357" spans="3:41" ht="20.100000000000001" customHeight="1" x14ac:dyDescent="0.2">
      <c r="D357" s="15">
        <v>0</v>
      </c>
      <c r="E357" s="15">
        <v>0</v>
      </c>
      <c r="F357" s="15">
        <v>0</v>
      </c>
      <c r="G357" s="15">
        <v>0</v>
      </c>
      <c r="H357" s="15" t="s">
        <v>1263</v>
      </c>
      <c r="I357" s="15" t="s">
        <v>1263</v>
      </c>
      <c r="J357" s="76"/>
      <c r="K357" s="253">
        <f>((F357 * J357) * 10 ^ -3)</f>
        <v>0</v>
      </c>
      <c r="L357" s="15" t="str">
        <f t="shared" si="1"/>
        <v>t CO2e / 0</v>
      </c>
      <c r="M357" s="34"/>
      <c r="N357" s="13"/>
      <c r="O357" s="34"/>
    </row>
    <row r="358" spans="3:41" ht="20.100000000000001" customHeight="1" x14ac:dyDescent="0.2">
      <c r="D358" s="15">
        <v>0</v>
      </c>
      <c r="E358" s="15">
        <v>0</v>
      </c>
      <c r="F358" s="15">
        <v>0</v>
      </c>
      <c r="G358" s="15">
        <v>0</v>
      </c>
      <c r="H358" s="15" t="s">
        <v>1263</v>
      </c>
      <c r="I358" s="15" t="s">
        <v>1263</v>
      </c>
      <c r="J358" s="76"/>
      <c r="K358" s="253">
        <f>((F358 * J358) * 10 ^ -3)</f>
        <v>0</v>
      </c>
      <c r="L358" s="15" t="str">
        <f t="shared" si="1"/>
        <v>t CO2e / 0</v>
      </c>
      <c r="M358" s="34"/>
      <c r="N358" s="13"/>
      <c r="O358" s="34"/>
    </row>
    <row r="359" spans="3:41" ht="20.100000000000001" customHeight="1" x14ac:dyDescent="0.2">
      <c r="D359" s="15">
        <v>0</v>
      </c>
      <c r="E359" s="15">
        <v>0</v>
      </c>
      <c r="F359" s="15">
        <v>0</v>
      </c>
      <c r="G359" s="15">
        <v>0</v>
      </c>
      <c r="H359" s="15" t="s">
        <v>1263</v>
      </c>
      <c r="I359" s="15" t="s">
        <v>1263</v>
      </c>
      <c r="J359" s="76"/>
      <c r="K359" s="253">
        <f>((F359 * J359) * 10 ^ -3)</f>
        <v>0</v>
      </c>
      <c r="L359" s="15" t="str">
        <f t="shared" si="1"/>
        <v>t CO2e / 0</v>
      </c>
      <c r="M359" s="34"/>
      <c r="N359" s="13"/>
      <c r="O359" s="34"/>
    </row>
    <row r="360" spans="3:41" ht="20.100000000000001" customHeight="1" x14ac:dyDescent="0.2">
      <c r="D360" s="15">
        <v>0</v>
      </c>
      <c r="E360" s="15">
        <v>0</v>
      </c>
      <c r="F360" s="15">
        <v>0</v>
      </c>
      <c r="G360" s="15">
        <v>0</v>
      </c>
      <c r="H360" s="15" t="s">
        <v>1263</v>
      </c>
      <c r="I360" s="15" t="s">
        <v>1263</v>
      </c>
      <c r="J360" s="76"/>
      <c r="K360" s="253">
        <f>((F360 * J360) * 10 ^ -3)</f>
        <v>0</v>
      </c>
      <c r="L360" s="15" t="str">
        <f t="shared" si="1"/>
        <v>t CO2e / 0</v>
      </c>
      <c r="M360" s="34"/>
      <c r="N360" s="13"/>
      <c r="O360" s="34"/>
    </row>
    <row r="362" spans="3:41" ht="20.100000000000001" customHeight="1" x14ac:dyDescent="0.2">
      <c r="D362" s="255" t="s">
        <v>1175</v>
      </c>
      <c r="E362" s="92" t="s">
        <v>1263</v>
      </c>
      <c r="F362" s="96" t="str">
        <f>$E$170</f>
        <v>t CO2e</v>
      </c>
    </row>
    <row r="363" spans="3:41" ht="20.100000000000001" customHeight="1" x14ac:dyDescent="0.2">
      <c r="D363" s="255" t="s">
        <v>1178</v>
      </c>
      <c r="E363" s="92">
        <f>SUM(K351:K360)</f>
        <v>1.1000000000000001</v>
      </c>
      <c r="F363" s="96" t="str">
        <f>$E$170</f>
        <v>t CO2e</v>
      </c>
    </row>
    <row r="366" spans="3:41" ht="20.100000000000001" customHeight="1" x14ac:dyDescent="0.2">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c r="AA366" s="88"/>
      <c r="AB366" s="88"/>
      <c r="AC366" s="88"/>
      <c r="AD366" s="88"/>
      <c r="AE366" s="88"/>
      <c r="AF366" s="88"/>
      <c r="AG366" s="88"/>
      <c r="AH366" s="88"/>
      <c r="AI366" s="88"/>
      <c r="AJ366" s="88"/>
      <c r="AK366" s="88"/>
      <c r="AL366" s="88"/>
      <c r="AM366" s="88"/>
      <c r="AN366" s="88"/>
      <c r="AO366" s="88"/>
    </row>
    <row r="367" spans="3:41" ht="20.100000000000001" customHeight="1" x14ac:dyDescent="0.2">
      <c r="D367" s="2" t="s">
        <v>1818</v>
      </c>
    </row>
    <row r="368" spans="3:41" ht="20.100000000000001" customHeight="1" x14ac:dyDescent="0.2">
      <c r="D368" s="17" t="s">
        <v>1819</v>
      </c>
    </row>
    <row r="369" spans="1:13" ht="20.100000000000001" customHeight="1" x14ac:dyDescent="0.2">
      <c r="D369" s="26" t="s">
        <v>1820</v>
      </c>
    </row>
    <row r="370" spans="1:13" ht="20.100000000000001" customHeight="1" x14ac:dyDescent="0.2">
      <c r="D370" s="104"/>
      <c r="E370" s="104"/>
    </row>
    <row r="371" spans="1:13" ht="20.100000000000001" customHeight="1" x14ac:dyDescent="0.2">
      <c r="A371" s="85" t="str">
        <f>HYPERLINK("#A1", "▲ Back to top")</f>
        <v>▲ Back to top</v>
      </c>
    </row>
    <row r="374" spans="1:13" ht="20.100000000000001" customHeight="1" x14ac:dyDescent="0.2">
      <c r="D374" s="77" t="s">
        <v>374</v>
      </c>
      <c r="E374" s="1" t="s">
        <v>1281</v>
      </c>
    </row>
    <row r="375" spans="1:13" ht="20.100000000000001" customHeight="1" x14ac:dyDescent="0.2">
      <c r="D375" s="77" t="s">
        <v>126</v>
      </c>
      <c r="E375" s="9" t="s">
        <v>6</v>
      </c>
    </row>
    <row r="377" spans="1:13" ht="20.100000000000001" customHeight="1" x14ac:dyDescent="0.2">
      <c r="D377" s="106" t="s">
        <v>1821</v>
      </c>
      <c r="E377" s="106" t="s">
        <v>1822</v>
      </c>
      <c r="F377" s="106" t="s">
        <v>1825</v>
      </c>
      <c r="G377" s="251" t="s">
        <v>1325</v>
      </c>
    </row>
    <row r="378" spans="1:13" ht="20.100000000000001" customHeight="1" x14ac:dyDescent="0.2">
      <c r="D378" s="106" t="s">
        <v>1813</v>
      </c>
      <c r="E378" s="106" t="s">
        <v>1823</v>
      </c>
      <c r="F378" s="106" t="s">
        <v>1826</v>
      </c>
      <c r="G378" s="111" t="s">
        <v>1326</v>
      </c>
    </row>
    <row r="379" spans="1:13" ht="20.100000000000001" customHeight="1" x14ac:dyDescent="0.2">
      <c r="D379" s="106" t="s">
        <v>1623</v>
      </c>
      <c r="E379" s="106" t="s">
        <v>1824</v>
      </c>
      <c r="F379" s="106"/>
      <c r="G379" s="251" t="s">
        <v>1325</v>
      </c>
    </row>
    <row r="381" spans="1:13" ht="20.100000000000001" customHeight="1" x14ac:dyDescent="0.2">
      <c r="D381" s="82" t="s">
        <v>1169</v>
      </c>
      <c r="E381" s="252" t="s">
        <v>1264</v>
      </c>
      <c r="F381" s="252" t="s">
        <v>1265</v>
      </c>
      <c r="G381" s="115" t="s">
        <v>1266</v>
      </c>
      <c r="H381" s="115" t="s">
        <v>1175</v>
      </c>
      <c r="I381" s="82" t="s">
        <v>1267</v>
      </c>
      <c r="J381" s="115" t="s">
        <v>1178</v>
      </c>
      <c r="K381" s="82" t="s">
        <v>1179</v>
      </c>
      <c r="L381" s="82" t="s">
        <v>1180</v>
      </c>
      <c r="M381" s="82" t="s">
        <v>1181</v>
      </c>
    </row>
    <row r="382" spans="1:13" ht="20.100000000000001" customHeight="1" x14ac:dyDescent="0.2">
      <c r="D382" s="15"/>
      <c r="E382" s="15"/>
      <c r="F382" s="15"/>
      <c r="G382" s="15" cm="1">
        <f t="array" ref="G382">Common_InputFunctions.Utility_LookupValueInTableNumber(E382,Table_SourceData_Scope3_Packaging[Product],Table_SourceData_Scope3_Packaging[Emissions intensity])</f>
        <v>0</v>
      </c>
      <c r="H382" s="253">
        <f>((F382 * G382) * 10 ^ -3)</f>
        <v>0</v>
      </c>
      <c r="I382" s="76">
        <v>3</v>
      </c>
      <c r="J382" s="253">
        <f>((F382 * (IF(I382,I382,G382))) * 10 ^ -3)</f>
        <v>0</v>
      </c>
      <c r="K382" s="34"/>
      <c r="L382" s="13"/>
      <c r="M382" s="34"/>
    </row>
    <row r="383" spans="1:13" ht="20.100000000000001" customHeight="1" x14ac:dyDescent="0.2">
      <c r="D383" s="15"/>
      <c r="E383" s="15"/>
      <c r="F383" s="15"/>
      <c r="G383" s="15" cm="1">
        <f t="array" ref="G383">Common_InputFunctions.Utility_LookupValueInTableNumber(E383,Table_SourceData_Scope3_Packaging[Product],Table_SourceData_Scope3_Packaging[Emissions intensity])</f>
        <v>0</v>
      </c>
      <c r="H383" s="253">
        <f>((F383 * G383) * 10 ^ -3)</f>
        <v>0</v>
      </c>
      <c r="I383" s="76"/>
      <c r="J383" s="253">
        <f>((F383 * (IF(I383,I383,G383))) * 10 ^ -3)</f>
        <v>0</v>
      </c>
      <c r="K383" s="34"/>
      <c r="L383" s="13"/>
      <c r="M383" s="34"/>
    </row>
    <row r="384" spans="1:13" ht="20.100000000000001" customHeight="1" x14ac:dyDescent="0.2">
      <c r="D384" s="15"/>
      <c r="E384" s="15"/>
      <c r="F384" s="15"/>
      <c r="G384" s="15" cm="1">
        <f t="array" ref="G384">Common_InputFunctions.Utility_LookupValueInTableNumber(E384,Table_SourceData_Scope3_Packaging[Product],Table_SourceData_Scope3_Packaging[Emissions intensity])</f>
        <v>0</v>
      </c>
      <c r="H384" s="253">
        <f>((F384 * G384) * 10 ^ -3)</f>
        <v>0</v>
      </c>
      <c r="I384" s="76"/>
      <c r="J384" s="253">
        <f>((F384 * (IF(I384,I384,G384))) * 10 ^ -3)</f>
        <v>0</v>
      </c>
      <c r="K384" s="34"/>
      <c r="L384" s="13"/>
      <c r="M384" s="34"/>
    </row>
    <row r="385" spans="3:41" ht="20.100000000000001" customHeight="1" x14ac:dyDescent="0.2">
      <c r="D385" s="15"/>
      <c r="E385" s="15"/>
      <c r="F385" s="15"/>
      <c r="G385" s="15" cm="1">
        <f t="array" ref="G385">Common_InputFunctions.Utility_LookupValueInTableNumber(E385,Table_SourceData_Scope3_Packaging[Product],Table_SourceData_Scope3_Packaging[Emissions intensity])</f>
        <v>0</v>
      </c>
      <c r="H385" s="253">
        <f>((F385 * G385) * 10 ^ -3)</f>
        <v>0</v>
      </c>
      <c r="I385" s="76"/>
      <c r="J385" s="253">
        <f>((F385 * (IF(I385,I385,G385))) * 10 ^ -3)</f>
        <v>0</v>
      </c>
      <c r="K385" s="34"/>
      <c r="L385" s="13"/>
      <c r="M385" s="34"/>
    </row>
    <row r="386" spans="3:41" ht="20.100000000000001" customHeight="1" x14ac:dyDescent="0.2">
      <c r="D386" s="15"/>
      <c r="E386" s="15"/>
      <c r="F386" s="15"/>
      <c r="G386" s="15" cm="1">
        <f t="array" ref="G386">Common_InputFunctions.Utility_LookupValueInTableNumber(E386,Table_SourceData_Scope3_Packaging[Product],Table_SourceData_Scope3_Packaging[Emissions intensity])</f>
        <v>0</v>
      </c>
      <c r="H386" s="253">
        <f>((F386 * G386) * 10 ^ -3)</f>
        <v>0</v>
      </c>
      <c r="I386" s="76"/>
      <c r="J386" s="253">
        <f>((F386 * (IF(I386,I386,G386))) * 10 ^ -3)</f>
        <v>0</v>
      </c>
      <c r="K386" s="34"/>
      <c r="L386" s="13"/>
      <c r="M386" s="34"/>
    </row>
    <row r="387" spans="3:41" ht="20.100000000000001" customHeight="1" x14ac:dyDescent="0.2">
      <c r="D387" s="15"/>
      <c r="E387" s="15"/>
      <c r="F387" s="15"/>
      <c r="G387" s="15" cm="1">
        <f t="array" ref="G387">Common_InputFunctions.Utility_LookupValueInTableNumber(E387,Table_SourceData_Scope3_Packaging[Product],Table_SourceData_Scope3_Packaging[Emissions intensity])</f>
        <v>0</v>
      </c>
      <c r="H387" s="253">
        <f>((F387 * G387) * 10 ^ -3)</f>
        <v>0</v>
      </c>
      <c r="I387" s="76"/>
      <c r="J387" s="253">
        <f>((F387 * (IF(I387,I387,G387))) * 10 ^ -3)</f>
        <v>0</v>
      </c>
      <c r="K387" s="34"/>
      <c r="L387" s="13"/>
      <c r="M387" s="34"/>
    </row>
    <row r="388" spans="3:41" ht="20.100000000000001" customHeight="1" x14ac:dyDescent="0.2">
      <c r="D388" s="15"/>
      <c r="E388" s="15"/>
      <c r="F388" s="15"/>
      <c r="G388" s="15" cm="1">
        <f t="array" ref="G388">Common_InputFunctions.Utility_LookupValueInTableNumber(E388,Table_SourceData_Scope3_Packaging[Product],Table_SourceData_Scope3_Packaging[Emissions intensity])</f>
        <v>0</v>
      </c>
      <c r="H388" s="253">
        <f>((F388 * G388) * 10 ^ -3)</f>
        <v>0</v>
      </c>
      <c r="I388" s="76"/>
      <c r="J388" s="253">
        <f>((F388 * (IF(I388,I388,G388))) * 10 ^ -3)</f>
        <v>0</v>
      </c>
      <c r="K388" s="34"/>
      <c r="L388" s="13"/>
      <c r="M388" s="34"/>
    </row>
    <row r="389" spans="3:41" ht="20.100000000000001" customHeight="1" x14ac:dyDescent="0.2">
      <c r="D389" s="15"/>
      <c r="E389" s="15"/>
      <c r="F389" s="15"/>
      <c r="G389" s="15" cm="1">
        <f t="array" ref="G389">Common_InputFunctions.Utility_LookupValueInTableNumber(E389,Table_SourceData_Scope3_Packaging[Product],Table_SourceData_Scope3_Packaging[Emissions intensity])</f>
        <v>0</v>
      </c>
      <c r="H389" s="253">
        <f>((F389 * G389) * 10 ^ -3)</f>
        <v>0</v>
      </c>
      <c r="I389" s="76"/>
      <c r="J389" s="253">
        <f>((F389 * (IF(I389,I389,G389))) * 10 ^ -3)</f>
        <v>0</v>
      </c>
      <c r="K389" s="34"/>
      <c r="L389" s="13"/>
      <c r="M389" s="34"/>
    </row>
    <row r="390" spans="3:41" ht="20.100000000000001" customHeight="1" x14ac:dyDescent="0.2">
      <c r="D390" s="15"/>
      <c r="E390" s="15"/>
      <c r="F390" s="15"/>
      <c r="G390" s="15" cm="1">
        <f t="array" ref="G390">Common_InputFunctions.Utility_LookupValueInTableNumber(E390,Table_SourceData_Scope3_Packaging[Product],Table_SourceData_Scope3_Packaging[Emissions intensity])</f>
        <v>0</v>
      </c>
      <c r="H390" s="253">
        <f>((F390 * G390) * 10 ^ -3)</f>
        <v>0</v>
      </c>
      <c r="I390" s="76"/>
      <c r="J390" s="253">
        <f>((F390 * (IF(I390,I390,G390))) * 10 ^ -3)</f>
        <v>0</v>
      </c>
      <c r="K390" s="34"/>
      <c r="L390" s="13"/>
      <c r="M390" s="34"/>
    </row>
    <row r="391" spans="3:41" ht="20.100000000000001" customHeight="1" x14ac:dyDescent="0.2">
      <c r="D391" s="15"/>
      <c r="E391" s="15"/>
      <c r="F391" s="15"/>
      <c r="G391" s="15" cm="1">
        <f t="array" ref="G391">Common_InputFunctions.Utility_LookupValueInTableNumber(E391,Table_SourceData_Scope3_Packaging[Product],Table_SourceData_Scope3_Packaging[Emissions intensity])</f>
        <v>0</v>
      </c>
      <c r="H391" s="253">
        <f>((F391 * G391) * 10 ^ -3)</f>
        <v>0</v>
      </c>
      <c r="I391" s="76"/>
      <c r="J391" s="253">
        <f>((F391 * (IF(I391,I391,G391))) * 10 ^ -3)</f>
        <v>0</v>
      </c>
      <c r="K391" s="34"/>
      <c r="L391" s="13"/>
      <c r="M391" s="34"/>
    </row>
    <row r="393" spans="3:41" ht="20.100000000000001" customHeight="1" x14ac:dyDescent="0.2">
      <c r="D393" s="255" t="s">
        <v>1175</v>
      </c>
      <c r="E393" s="92">
        <f>SUM(H382:H391)</f>
        <v>0</v>
      </c>
      <c r="F393" s="96" t="str">
        <f>$E$170</f>
        <v>t CO2e</v>
      </c>
    </row>
    <row r="394" spans="3:41" ht="20.100000000000001" customHeight="1" x14ac:dyDescent="0.2">
      <c r="D394" s="255" t="s">
        <v>1178</v>
      </c>
      <c r="E394" s="92">
        <f>SUM(J382:J391)</f>
        <v>0</v>
      </c>
      <c r="F394" s="96" t="str">
        <f>$E$170</f>
        <v>t CO2e</v>
      </c>
    </row>
    <row r="397" spans="3:41" ht="20.100000000000001" customHeight="1" x14ac:dyDescent="0.2">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c r="AA397" s="88"/>
      <c r="AB397" s="88"/>
      <c r="AC397" s="88"/>
      <c r="AD397" s="88"/>
      <c r="AE397" s="88"/>
      <c r="AF397" s="88"/>
      <c r="AG397" s="88"/>
      <c r="AH397" s="88"/>
      <c r="AI397" s="88"/>
      <c r="AJ397" s="88"/>
      <c r="AK397" s="88"/>
      <c r="AL397" s="88"/>
      <c r="AM397" s="88"/>
      <c r="AN397" s="88"/>
      <c r="AO397" s="88"/>
    </row>
    <row r="398" spans="3:41" ht="20.100000000000001" customHeight="1" x14ac:dyDescent="0.2">
      <c r="D398" s="2" t="s">
        <v>1827</v>
      </c>
    </row>
    <row r="399" spans="3:41" ht="20.100000000000001" customHeight="1" x14ac:dyDescent="0.2">
      <c r="D399" s="17" t="s">
        <v>1828</v>
      </c>
    </row>
    <row r="400" spans="3:41" ht="20.100000000000001" customHeight="1" x14ac:dyDescent="0.2">
      <c r="D400" s="104"/>
      <c r="E400" s="104"/>
    </row>
    <row r="401" spans="1:14" ht="20.100000000000001" customHeight="1" x14ac:dyDescent="0.2">
      <c r="A401" s="85" t="str">
        <f>HYPERLINK("#A1", "▲ Back to top")</f>
        <v>▲ Back to top</v>
      </c>
    </row>
    <row r="403" spans="1:14" ht="20.100000000000001" customHeight="1" x14ac:dyDescent="0.2">
      <c r="G403" s="104"/>
    </row>
    <row r="404" spans="1:14" ht="20.100000000000001" customHeight="1" x14ac:dyDescent="0.2">
      <c r="D404" s="77" t="s">
        <v>374</v>
      </c>
      <c r="E404" s="1" t="s">
        <v>1281</v>
      </c>
    </row>
    <row r="405" spans="1:14" ht="20.100000000000001" customHeight="1" x14ac:dyDescent="0.2">
      <c r="D405" s="77" t="s">
        <v>126</v>
      </c>
      <c r="E405" s="1" t="s">
        <v>6</v>
      </c>
    </row>
    <row r="407" spans="1:14" ht="20.100000000000001" customHeight="1" x14ac:dyDescent="0.2">
      <c r="D407" s="106" t="s">
        <v>1829</v>
      </c>
      <c r="E407" s="106" t="s">
        <v>1830</v>
      </c>
      <c r="F407" s="106" t="s">
        <v>1834</v>
      </c>
      <c r="G407" s="251" t="s">
        <v>1325</v>
      </c>
    </row>
    <row r="408" spans="1:14" ht="20.100000000000001" customHeight="1" x14ac:dyDescent="0.2">
      <c r="D408" s="106" t="s">
        <v>1831</v>
      </c>
      <c r="E408" s="106" t="s">
        <v>1832</v>
      </c>
      <c r="F408" s="106" t="s">
        <v>1835</v>
      </c>
      <c r="G408" s="111" t="s">
        <v>1326</v>
      </c>
    </row>
    <row r="409" spans="1:14" ht="20.100000000000001" customHeight="1" x14ac:dyDescent="0.2">
      <c r="D409" s="106" t="s">
        <v>1664</v>
      </c>
      <c r="E409" s="106" t="s">
        <v>1833</v>
      </c>
      <c r="F409" s="106"/>
      <c r="G409" s="251" t="s">
        <v>1325</v>
      </c>
    </row>
    <row r="411" spans="1:14" ht="20.100000000000001" customHeight="1" x14ac:dyDescent="0.2">
      <c r="D411" s="26" t="s">
        <v>1257</v>
      </c>
    </row>
    <row r="413" spans="1:14" ht="20.100000000000001" customHeight="1" x14ac:dyDescent="0.2">
      <c r="D413" s="82" t="s">
        <v>1268</v>
      </c>
      <c r="E413" s="82" t="s">
        <v>1069</v>
      </c>
      <c r="F413" s="82" t="s">
        <v>828</v>
      </c>
      <c r="G413" s="115" t="s">
        <v>1258</v>
      </c>
      <c r="H413" s="115" t="s">
        <v>1259</v>
      </c>
      <c r="I413" s="82" t="s">
        <v>1260</v>
      </c>
      <c r="J413" s="115" t="s">
        <v>1261</v>
      </c>
      <c r="K413" s="115" t="s">
        <v>1262</v>
      </c>
      <c r="L413" s="82" t="s">
        <v>1179</v>
      </c>
      <c r="M413" s="82" t="s">
        <v>1180</v>
      </c>
      <c r="N413" s="82" t="s">
        <v>1181</v>
      </c>
    </row>
    <row r="414" spans="1:14" ht="20.100000000000001" customHeight="1" x14ac:dyDescent="0.2">
      <c r="D414" s="15"/>
      <c r="E414" s="15"/>
      <c r="F414" s="15"/>
      <c r="G414" s="15" t="s">
        <v>1263</v>
      </c>
      <c r="H414" s="15" t="s">
        <v>1263</v>
      </c>
      <c r="I414" s="76">
        <v>4</v>
      </c>
      <c r="J414" s="253">
        <f>((E414 * I414) * 10 ^ -3)</f>
        <v>0</v>
      </c>
      <c r="K414" s="15" t="str">
        <f>"t CO2e / " &amp; F414</f>
        <v xml:space="preserve">t CO2e / </v>
      </c>
      <c r="L414" s="34"/>
      <c r="M414" s="13"/>
      <c r="N414" s="34"/>
    </row>
    <row r="415" spans="1:14" ht="20.100000000000001" customHeight="1" x14ac:dyDescent="0.2">
      <c r="D415" s="15"/>
      <c r="E415" s="15"/>
      <c r="F415" s="15"/>
      <c r="G415" s="15" t="s">
        <v>1263</v>
      </c>
      <c r="H415" s="15" t="s">
        <v>1263</v>
      </c>
      <c r="I415" s="76">
        <v>2</v>
      </c>
      <c r="J415" s="253">
        <f>((E415 * I415) * 10 ^ -3)</f>
        <v>0</v>
      </c>
      <c r="K415" s="15" t="str">
        <f t="shared" ref="K415:K423" si="2">"t CO2e / " &amp; F415</f>
        <v xml:space="preserve">t CO2e / </v>
      </c>
      <c r="L415" s="34"/>
      <c r="M415" s="13"/>
      <c r="N415" s="34"/>
    </row>
    <row r="416" spans="1:14" ht="20.100000000000001" customHeight="1" x14ac:dyDescent="0.2">
      <c r="D416" s="15"/>
      <c r="E416" s="15"/>
      <c r="F416" s="15"/>
      <c r="G416" s="15" t="s">
        <v>1263</v>
      </c>
      <c r="H416" s="15" t="s">
        <v>1263</v>
      </c>
      <c r="I416" s="76"/>
      <c r="J416" s="253">
        <f>((E416 * I416) * 10 ^ -3)</f>
        <v>0</v>
      </c>
      <c r="K416" s="15" t="str">
        <f t="shared" si="2"/>
        <v xml:space="preserve">t CO2e / </v>
      </c>
      <c r="L416" s="34"/>
      <c r="M416" s="13"/>
      <c r="N416" s="34"/>
    </row>
    <row r="417" spans="1:41" ht="20.100000000000001" customHeight="1" x14ac:dyDescent="0.2">
      <c r="D417" s="15"/>
      <c r="E417" s="15"/>
      <c r="F417" s="15"/>
      <c r="G417" s="15" t="s">
        <v>1263</v>
      </c>
      <c r="H417" s="15" t="s">
        <v>1263</v>
      </c>
      <c r="I417" s="76"/>
      <c r="J417" s="253">
        <f>((E417 * I417) * 10 ^ -3)</f>
        <v>0</v>
      </c>
      <c r="K417" s="15" t="str">
        <f t="shared" si="2"/>
        <v xml:space="preserve">t CO2e / </v>
      </c>
      <c r="L417" s="34"/>
      <c r="M417" s="13"/>
      <c r="N417" s="34"/>
    </row>
    <row r="418" spans="1:41" ht="20.100000000000001" customHeight="1" x14ac:dyDescent="0.2">
      <c r="D418" s="15"/>
      <c r="E418" s="15"/>
      <c r="F418" s="15"/>
      <c r="G418" s="15" t="s">
        <v>1263</v>
      </c>
      <c r="H418" s="15" t="s">
        <v>1263</v>
      </c>
      <c r="I418" s="76"/>
      <c r="J418" s="253">
        <f>((E418 * I418) * 10 ^ -3)</f>
        <v>0</v>
      </c>
      <c r="K418" s="15" t="str">
        <f t="shared" si="2"/>
        <v xml:space="preserve">t CO2e / </v>
      </c>
      <c r="L418" s="34"/>
      <c r="M418" s="13"/>
      <c r="N418" s="34"/>
    </row>
    <row r="419" spans="1:41" ht="20.100000000000001" customHeight="1" x14ac:dyDescent="0.2">
      <c r="D419" s="15"/>
      <c r="E419" s="15"/>
      <c r="F419" s="15"/>
      <c r="G419" s="15" t="s">
        <v>1263</v>
      </c>
      <c r="H419" s="15" t="s">
        <v>1263</v>
      </c>
      <c r="I419" s="76"/>
      <c r="J419" s="253">
        <f>((E419 * I419) * 10 ^ -3)</f>
        <v>0</v>
      </c>
      <c r="K419" s="15" t="str">
        <f t="shared" si="2"/>
        <v xml:space="preserve">t CO2e / </v>
      </c>
      <c r="L419" s="34"/>
      <c r="M419" s="13"/>
      <c r="N419" s="34"/>
    </row>
    <row r="420" spans="1:41" ht="20.100000000000001" customHeight="1" x14ac:dyDescent="0.2">
      <c r="D420" s="15"/>
      <c r="E420" s="15"/>
      <c r="F420" s="15"/>
      <c r="G420" s="15" t="s">
        <v>1263</v>
      </c>
      <c r="H420" s="15" t="s">
        <v>1263</v>
      </c>
      <c r="I420" s="76"/>
      <c r="J420" s="253">
        <f>((E420 * I420) * 10 ^ -3)</f>
        <v>0</v>
      </c>
      <c r="K420" s="15" t="str">
        <f t="shared" si="2"/>
        <v xml:space="preserve">t CO2e / </v>
      </c>
      <c r="L420" s="34"/>
      <c r="M420" s="13"/>
      <c r="N420" s="34"/>
    </row>
    <row r="421" spans="1:41" ht="20.100000000000001" customHeight="1" x14ac:dyDescent="0.2">
      <c r="D421" s="15"/>
      <c r="E421" s="15"/>
      <c r="F421" s="15"/>
      <c r="G421" s="15" t="s">
        <v>1263</v>
      </c>
      <c r="H421" s="15" t="s">
        <v>1263</v>
      </c>
      <c r="I421" s="76"/>
      <c r="J421" s="253">
        <f>((E421 * I421) * 10 ^ -3)</f>
        <v>0</v>
      </c>
      <c r="K421" s="15" t="str">
        <f t="shared" si="2"/>
        <v xml:space="preserve">t CO2e / </v>
      </c>
      <c r="L421" s="34"/>
      <c r="M421" s="13"/>
      <c r="N421" s="34"/>
    </row>
    <row r="422" spans="1:41" ht="20.100000000000001" customHeight="1" x14ac:dyDescent="0.2">
      <c r="D422" s="15"/>
      <c r="E422" s="15"/>
      <c r="F422" s="15"/>
      <c r="G422" s="15" t="s">
        <v>1263</v>
      </c>
      <c r="H422" s="15" t="s">
        <v>1263</v>
      </c>
      <c r="I422" s="76"/>
      <c r="J422" s="253">
        <f>((E422 * I422) * 10 ^ -3)</f>
        <v>0</v>
      </c>
      <c r="K422" s="15" t="str">
        <f t="shared" si="2"/>
        <v xml:space="preserve">t CO2e / </v>
      </c>
      <c r="L422" s="34"/>
      <c r="M422" s="13"/>
      <c r="N422" s="34"/>
    </row>
    <row r="423" spans="1:41" ht="20.100000000000001" customHeight="1" x14ac:dyDescent="0.2">
      <c r="D423" s="15"/>
      <c r="E423" s="15"/>
      <c r="F423" s="15"/>
      <c r="G423" s="15" t="s">
        <v>1263</v>
      </c>
      <c r="H423" s="15" t="s">
        <v>1263</v>
      </c>
      <c r="I423" s="76"/>
      <c r="J423" s="253">
        <f>((E423 * I423) * 10 ^ -3)</f>
        <v>0</v>
      </c>
      <c r="K423" s="15" t="str">
        <f t="shared" si="2"/>
        <v xml:space="preserve">t CO2e / </v>
      </c>
      <c r="L423" s="34"/>
      <c r="M423" s="13"/>
      <c r="N423" s="34"/>
    </row>
    <row r="425" spans="1:41" ht="20.100000000000001" customHeight="1" x14ac:dyDescent="0.2">
      <c r="D425" s="255" t="s">
        <v>1175</v>
      </c>
      <c r="E425" s="92" t="s">
        <v>1263</v>
      </c>
      <c r="F425" s="96" t="str">
        <f>$E$170</f>
        <v>t CO2e</v>
      </c>
    </row>
    <row r="426" spans="1:41" ht="20.100000000000001" customHeight="1" x14ac:dyDescent="0.2">
      <c r="D426" s="255" t="s">
        <v>1178</v>
      </c>
      <c r="E426" s="92">
        <f>SUM(J414:J423)</f>
        <v>0</v>
      </c>
      <c r="F426" s="96" t="str">
        <f>$E$170</f>
        <v>t CO2e</v>
      </c>
    </row>
    <row r="429" spans="1:41" ht="20.100000000000001" customHeight="1" x14ac:dyDescent="0.2">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c r="AA429" s="88"/>
      <c r="AB429" s="88"/>
      <c r="AC429" s="88"/>
      <c r="AD429" s="88"/>
      <c r="AE429" s="88"/>
      <c r="AF429" s="88"/>
      <c r="AG429" s="88"/>
      <c r="AH429" s="88"/>
      <c r="AI429" s="88"/>
      <c r="AJ429" s="88"/>
      <c r="AK429" s="88"/>
      <c r="AL429" s="88"/>
      <c r="AM429" s="88"/>
      <c r="AN429" s="88"/>
      <c r="AO429" s="88"/>
    </row>
    <row r="430" spans="1:41" ht="20.100000000000001" customHeight="1" x14ac:dyDescent="0.2">
      <c r="D430" s="2" t="s">
        <v>1836</v>
      </c>
    </row>
    <row r="431" spans="1:41" ht="20.100000000000001" customHeight="1" x14ac:dyDescent="0.2">
      <c r="A431" s="85" t="str">
        <f>HYPERLINK("#A1", "▲ Back to top")</f>
        <v>▲ Back to top</v>
      </c>
      <c r="D431" s="17" t="s">
        <v>1837</v>
      </c>
    </row>
    <row r="432" spans="1:41" ht="20.100000000000001" customHeight="1" x14ac:dyDescent="0.2">
      <c r="D432" s="26" t="s">
        <v>1269</v>
      </c>
    </row>
    <row r="433" spans="4:13" ht="20.100000000000001" customHeight="1" x14ac:dyDescent="0.2">
      <c r="D433" s="104"/>
      <c r="E433" s="104"/>
    </row>
    <row r="436" spans="4:13" ht="20.100000000000001" customHeight="1" x14ac:dyDescent="0.2">
      <c r="D436" s="77" t="s">
        <v>374</v>
      </c>
      <c r="E436" s="1" t="s">
        <v>1838</v>
      </c>
    </row>
    <row r="437" spans="4:13" ht="20.100000000000001" customHeight="1" x14ac:dyDescent="0.2">
      <c r="D437" s="77" t="s">
        <v>126</v>
      </c>
      <c r="E437" s="9" t="s">
        <v>6</v>
      </c>
    </row>
    <row r="439" spans="4:13" ht="20.100000000000001" customHeight="1" x14ac:dyDescent="0.2">
      <c r="D439" s="106" t="s">
        <v>1839</v>
      </c>
      <c r="E439" s="107" t="s">
        <v>1840</v>
      </c>
      <c r="F439" s="109"/>
      <c r="G439" s="106" t="s">
        <v>1843</v>
      </c>
      <c r="H439" s="251" t="s">
        <v>1325</v>
      </c>
    </row>
    <row r="440" spans="4:13" ht="20.100000000000001" customHeight="1" x14ac:dyDescent="0.2">
      <c r="D440" s="106" t="s">
        <v>1841</v>
      </c>
      <c r="E440" s="107" t="s">
        <v>1842</v>
      </c>
      <c r="F440" s="109"/>
      <c r="G440" s="106" t="s">
        <v>1843</v>
      </c>
      <c r="H440" s="111" t="s">
        <v>1326</v>
      </c>
    </row>
    <row r="442" spans="4:13" ht="20.100000000000001" customHeight="1" x14ac:dyDescent="0.2">
      <c r="D442" s="241" t="s">
        <v>1270</v>
      </c>
    </row>
    <row r="444" spans="4:13" ht="20.100000000000001" customHeight="1" x14ac:dyDescent="0.2">
      <c r="D444" s="82" t="s">
        <v>1169</v>
      </c>
      <c r="E444" s="252" t="s">
        <v>1271</v>
      </c>
      <c r="F444" s="252" t="s">
        <v>1272</v>
      </c>
      <c r="G444" s="115" t="s">
        <v>129</v>
      </c>
      <c r="H444" s="115" t="s">
        <v>1175</v>
      </c>
      <c r="I444" s="82" t="s">
        <v>130</v>
      </c>
      <c r="J444" s="115" t="s">
        <v>1178</v>
      </c>
      <c r="K444" s="82" t="s">
        <v>1179</v>
      </c>
      <c r="L444" s="82" t="s">
        <v>1180</v>
      </c>
      <c r="M444" s="82" t="s">
        <v>1181</v>
      </c>
    </row>
    <row r="445" spans="4:13" ht="20.100000000000001" customHeight="1" x14ac:dyDescent="0.2">
      <c r="D445" s="15" t="str" cm="1">
        <f t="array" ref="D445:D454">IFERROR(INDEX(Table_Input_ChemicalsCleaning[Product name], _xlfn.SEQUENCE(10)), "")</f>
        <v>Acid kleen</v>
      </c>
      <c r="E445" s="15" t="str" cm="1">
        <f t="array" ref="E445:E454">IFERROR(INDEX(Table_Input_ChemicalsCleaning[Type (select)], _xlfn.SEQUENCE(10)), "")</f>
        <v>Phosphoric acid</v>
      </c>
      <c r="F445" s="15" cm="1">
        <f t="array" ref="F445:F454">IFERROR(INDEX(Table_Input_ChemicalsCleaning[Quantity purchased (kg)], _xlfn.SEQUENCE(10)), "")</f>
        <v>100</v>
      </c>
      <c r="G445" s="15" cm="1">
        <f t="array" ref="G445">Common_InputFunctions.Utility_LookupValueInTableNumber(E445,Table_SourceData_Scope3_ChemicalsCleaning[Product],Table_SourceData_Scope3_ChemicalsCleaning[Emissions intensity])</f>
        <v>0.90700000000000003</v>
      </c>
      <c r="H445" s="253">
        <f>(F445 * (G445*10^-3))</f>
        <v>9.0700000000000003E-2</v>
      </c>
      <c r="I445" s="76">
        <v>0.9</v>
      </c>
      <c r="J445" s="253">
        <f>(F445 * (IF(I445,I445,G445)*10^-3))</f>
        <v>9.0000000000000011E-2</v>
      </c>
      <c r="K445" s="34"/>
      <c r="L445" s="13"/>
      <c r="M445" s="34"/>
    </row>
    <row r="446" spans="4:13" ht="20.100000000000001" customHeight="1" x14ac:dyDescent="0.2">
      <c r="D446" s="15" t="str">
        <v>Kleen alk</v>
      </c>
      <c r="E446" s="15" t="str">
        <v>Alkaline cleaner</v>
      </c>
      <c r="F446" s="15">
        <v>100</v>
      </c>
      <c r="G446" s="15" cm="1">
        <f t="array" ref="G446">Common_InputFunctions.Utility_LookupValueInTableNumber(E446,Table_SourceData_Scope3_ChemicalsCleaning[Product],Table_SourceData_Scope3_ChemicalsCleaning[Emissions intensity])</f>
        <v>0.72199999999999998</v>
      </c>
      <c r="H446" s="253">
        <f>(F446 * (G446*10^-3))</f>
        <v>7.22E-2</v>
      </c>
      <c r="I446" s="76">
        <v>0.7</v>
      </c>
      <c r="J446" s="253">
        <f>(F446 * (IF(I446,I446,G446)*10^-3))</f>
        <v>6.9999999999999993E-2</v>
      </c>
      <c r="K446" s="34"/>
      <c r="L446" s="13"/>
      <c r="M446" s="34"/>
    </row>
    <row r="447" spans="4:13" ht="20.100000000000001" customHeight="1" x14ac:dyDescent="0.2">
      <c r="D447" s="15" t="str">
        <v>White king</v>
      </c>
      <c r="E447" s="15" t="str">
        <v>Bleach</v>
      </c>
      <c r="F447" s="15">
        <v>100</v>
      </c>
      <c r="G447" s="15" cm="1">
        <f t="array" ref="G447">Common_InputFunctions.Utility_LookupValueInTableNumber(E447,Table_SourceData_Scope3_ChemicalsCleaning[Product],Table_SourceData_Scope3_ChemicalsCleaning[Emissions intensity])</f>
        <v>0.80400000000000005</v>
      </c>
      <c r="H447" s="253">
        <f>(F447 * (G447*10^-3))</f>
        <v>8.0399999999999999E-2</v>
      </c>
      <c r="I447" s="76">
        <v>0.8</v>
      </c>
      <c r="J447" s="253">
        <f>(F447 * (IF(I447,I447,G447)*10^-3))</f>
        <v>0.08</v>
      </c>
      <c r="K447" s="34"/>
      <c r="L447" s="13"/>
      <c r="M447" s="34"/>
    </row>
    <row r="448" spans="4:13" ht="20.100000000000001" customHeight="1" x14ac:dyDescent="0.2">
      <c r="D448" s="15" t="str">
        <v>White king</v>
      </c>
      <c r="E448" s="15" t="str">
        <v>Bleach</v>
      </c>
      <c r="F448" s="15">
        <v>100</v>
      </c>
      <c r="G448" s="15" cm="1">
        <f t="array" ref="G448">Common_InputFunctions.Utility_LookupValueInTableNumber(E448,Table_SourceData_Scope3_ChemicalsCleaning[Product],Table_SourceData_Scope3_ChemicalsCleaning[Emissions intensity])</f>
        <v>0.80400000000000005</v>
      </c>
      <c r="H448" s="253">
        <f>(F448 * (G448*10^-3))</f>
        <v>8.0399999999999999E-2</v>
      </c>
      <c r="I448" s="76">
        <v>0.8</v>
      </c>
      <c r="J448" s="253">
        <f>(F448 * (IF(I448,I448,G448)*10^-3))</f>
        <v>0.08</v>
      </c>
      <c r="K448" s="34"/>
      <c r="L448" s="13"/>
      <c r="M448" s="34"/>
    </row>
    <row r="449" spans="1:13" ht="20.100000000000001" customHeight="1" x14ac:dyDescent="0.2">
      <c r="D449" s="15" t="str">
        <v>Acid kleen</v>
      </c>
      <c r="E449" s="15" t="str">
        <v>Phosphoric acid</v>
      </c>
      <c r="F449" s="15">
        <v>100</v>
      </c>
      <c r="G449" s="15" cm="1">
        <f t="array" ref="G449">Common_InputFunctions.Utility_LookupValueInTableNumber(E449,Table_SourceData_Scope3_ChemicalsCleaning[Product],Table_SourceData_Scope3_ChemicalsCleaning[Emissions intensity])</f>
        <v>0.90700000000000003</v>
      </c>
      <c r="H449" s="253">
        <f>(F449 * (G449*10^-3))</f>
        <v>9.0700000000000003E-2</v>
      </c>
      <c r="I449" s="76">
        <v>0.9</v>
      </c>
      <c r="J449" s="253">
        <f>(F449 * (IF(I449,I449,G449)*10^-3))</f>
        <v>9.0000000000000011E-2</v>
      </c>
      <c r="K449" s="34"/>
      <c r="L449" s="13"/>
      <c r="M449" s="34"/>
    </row>
    <row r="450" spans="1:13" ht="20.100000000000001" customHeight="1" x14ac:dyDescent="0.2">
      <c r="D450" s="15" t="str">
        <v>Acid kleen</v>
      </c>
      <c r="E450" s="15" t="str">
        <v>Phosphoric acid</v>
      </c>
      <c r="F450" s="15">
        <v>100</v>
      </c>
      <c r="G450" s="15" cm="1">
        <f t="array" ref="G450">Common_InputFunctions.Utility_LookupValueInTableNumber(E450,Table_SourceData_Scope3_ChemicalsCleaning[Product],Table_SourceData_Scope3_ChemicalsCleaning[Emissions intensity])</f>
        <v>0.90700000000000003</v>
      </c>
      <c r="H450" s="253">
        <f>(F450 * (G450*10^-3))</f>
        <v>9.0700000000000003E-2</v>
      </c>
      <c r="I450" s="76">
        <v>0.9</v>
      </c>
      <c r="J450" s="253">
        <f>(F450 * (IF(I450,I450,G450)*10^-3))</f>
        <v>9.0000000000000011E-2</v>
      </c>
      <c r="K450" s="34"/>
      <c r="L450" s="13"/>
      <c r="M450" s="34"/>
    </row>
    <row r="451" spans="1:13" ht="20.100000000000001" customHeight="1" x14ac:dyDescent="0.2">
      <c r="D451" s="15">
        <v>0</v>
      </c>
      <c r="E451" s="15">
        <v>0</v>
      </c>
      <c r="F451" s="15">
        <v>0</v>
      </c>
      <c r="G451" s="15" cm="1">
        <f t="array" ref="G451">Common_InputFunctions.Utility_LookupValueInTableNumber(E451,Table_SourceData_Scope3_ChemicalsCleaning[Product],Table_SourceData_Scope3_ChemicalsCleaning[Emissions intensity])</f>
        <v>0</v>
      </c>
      <c r="H451" s="253">
        <f>(F451 * (G451*10^-3))</f>
        <v>0</v>
      </c>
      <c r="I451" s="76"/>
      <c r="J451" s="253">
        <f>(F451 * (IF(I451,I451,G451)*10^-3))</f>
        <v>0</v>
      </c>
      <c r="K451" s="34"/>
      <c r="L451" s="13"/>
      <c r="M451" s="34"/>
    </row>
    <row r="452" spans="1:13" ht="20.100000000000001" customHeight="1" x14ac:dyDescent="0.2">
      <c r="D452" s="15">
        <v>0</v>
      </c>
      <c r="E452" s="15">
        <v>0</v>
      </c>
      <c r="F452" s="15">
        <v>0</v>
      </c>
      <c r="G452" s="15" cm="1">
        <f t="array" ref="G452">Common_InputFunctions.Utility_LookupValueInTableNumber(E452,Table_SourceData_Scope3_ChemicalsCleaning[Product],Table_SourceData_Scope3_ChemicalsCleaning[Emissions intensity])</f>
        <v>0</v>
      </c>
      <c r="H452" s="253">
        <f>(F452 * (G452*10^-3))</f>
        <v>0</v>
      </c>
      <c r="I452" s="76"/>
      <c r="J452" s="253">
        <f>(F452 * (IF(I452,I452,G452)*10^-3))</f>
        <v>0</v>
      </c>
      <c r="K452" s="34"/>
      <c r="L452" s="13"/>
      <c r="M452" s="34"/>
    </row>
    <row r="453" spans="1:13" ht="20.100000000000001" customHeight="1" x14ac:dyDescent="0.2">
      <c r="D453" s="15">
        <v>0</v>
      </c>
      <c r="E453" s="15">
        <v>0</v>
      </c>
      <c r="F453" s="15">
        <v>0</v>
      </c>
      <c r="G453" s="15" cm="1">
        <f t="array" ref="G453">Common_InputFunctions.Utility_LookupValueInTableNumber(E453,Table_SourceData_Scope3_ChemicalsCleaning[Product],Table_SourceData_Scope3_ChemicalsCleaning[Emissions intensity])</f>
        <v>0</v>
      </c>
      <c r="H453" s="253">
        <f>(F453 * (G453*10^-3))</f>
        <v>0</v>
      </c>
      <c r="I453" s="76"/>
      <c r="J453" s="253">
        <f>(F453 * (IF(I453,I453,G453)*10^-3))</f>
        <v>0</v>
      </c>
      <c r="K453" s="34"/>
      <c r="L453" s="13"/>
      <c r="M453" s="34"/>
    </row>
    <row r="454" spans="1:13" ht="20.100000000000001" customHeight="1" x14ac:dyDescent="0.2">
      <c r="D454" s="15">
        <v>0</v>
      </c>
      <c r="E454" s="15">
        <v>0</v>
      </c>
      <c r="F454" s="15">
        <v>0</v>
      </c>
      <c r="G454" s="15" cm="1">
        <f t="array" ref="G454">Common_InputFunctions.Utility_LookupValueInTableNumber(E454,Table_SourceData_Scope3_ChemicalsCleaning[Product],Table_SourceData_Scope3_ChemicalsCleaning[Emissions intensity])</f>
        <v>0</v>
      </c>
      <c r="H454" s="253">
        <f>(F454 * (G454*10^-3))</f>
        <v>0</v>
      </c>
      <c r="I454" s="76"/>
      <c r="J454" s="253">
        <f>(F454 * (IF(I454,I454,G454)*10^-3))</f>
        <v>0</v>
      </c>
      <c r="K454" s="34"/>
      <c r="L454" s="13"/>
      <c r="M454" s="34"/>
    </row>
    <row r="456" spans="1:13" ht="20.100000000000001" customHeight="1" x14ac:dyDescent="0.2">
      <c r="D456" s="255" t="s">
        <v>1175</v>
      </c>
      <c r="E456" s="92">
        <f>SUM(H445:H454)</f>
        <v>0.50509999999999999</v>
      </c>
      <c r="F456" s="96" t="str">
        <f>$E$170</f>
        <v>t CO2e</v>
      </c>
    </row>
    <row r="457" spans="1:13" ht="20.100000000000001" customHeight="1" x14ac:dyDescent="0.2">
      <c r="D457" s="255" t="s">
        <v>1178</v>
      </c>
      <c r="E457" s="92">
        <f>SUM(J445:J454)</f>
        <v>0.5</v>
      </c>
      <c r="F457" s="96" t="str">
        <f>$E$170</f>
        <v>t CO2e</v>
      </c>
    </row>
    <row r="460" spans="1:13" ht="20.100000000000001" customHeight="1" x14ac:dyDescent="0.2">
      <c r="D460" s="241" t="s">
        <v>1273</v>
      </c>
    </row>
    <row r="461" spans="1:13" ht="20.100000000000001" customHeight="1" x14ac:dyDescent="0.2">
      <c r="A461" s="85" t="str">
        <f>HYPERLINK("#A1", "▲ Back to top")</f>
        <v>▲ Back to top</v>
      </c>
    </row>
    <row r="462" spans="1:13" ht="20.100000000000001" customHeight="1" x14ac:dyDescent="0.2">
      <c r="D462" s="82" t="s">
        <v>1169</v>
      </c>
      <c r="E462" s="252" t="s">
        <v>1271</v>
      </c>
      <c r="F462" s="252" t="s">
        <v>1133</v>
      </c>
      <c r="G462" s="115" t="s">
        <v>1274</v>
      </c>
      <c r="H462" s="115" t="s">
        <v>1175</v>
      </c>
      <c r="I462" s="82" t="s">
        <v>1275</v>
      </c>
      <c r="J462" s="115" t="s">
        <v>1178</v>
      </c>
      <c r="K462" s="82" t="s">
        <v>1179</v>
      </c>
      <c r="L462" s="82" t="s">
        <v>1180</v>
      </c>
      <c r="M462" s="82" t="s">
        <v>1181</v>
      </c>
    </row>
    <row r="463" spans="1:13" ht="20.100000000000001" customHeight="1" x14ac:dyDescent="0.2">
      <c r="D463" s="15" t="str" cm="1">
        <f t="array" ref="D463:D472">IFERROR(INDEX(Table_Input_ChemicalsPharmacy[Product name], _xlfn.SEQUENCE(10)), "")</f>
        <v>Cow bug off</v>
      </c>
      <c r="E463" s="15" t="str" cm="1">
        <f t="array" ref="E463:E472">IFERROR(INDEX(Table_Input_ChemicalsPharmacy[Type (select)], _xlfn.SEQUENCE(10)), "")</f>
        <v>Parasite control for cattle (external), dipping</v>
      </c>
      <c r="F463" s="15" cm="1">
        <f t="array" ref="F463:F472">IFERROR(INDEX(Table_Input_ChemicalsCleaning[Quantity purchased (kg)], _xlfn.SEQUENCE(10)), "")</f>
        <v>100</v>
      </c>
      <c r="G463" s="15" cm="1">
        <f t="array" ref="G463">Common_InputFunctions.Utility_LookupValueInTableNumber(E463,Table_SourceData_Scope3_ChemicalsPharmacy[Product],Table_SourceData_Scope3_ChemicalsPharmacy[Emissions intensity])</f>
        <v>5.4699999999999999E-2</v>
      </c>
      <c r="H463" s="253">
        <f>(F463 * (G463*10^-3))</f>
        <v>5.47E-3</v>
      </c>
      <c r="I463" s="76">
        <v>0.05</v>
      </c>
      <c r="J463" s="253">
        <f>(F463 * (IF(I463,I463,G463)*10^-3))</f>
        <v>5.0000000000000001E-3</v>
      </c>
      <c r="K463" s="34"/>
      <c r="L463" s="13"/>
      <c r="M463" s="34"/>
    </row>
    <row r="464" spans="1:13" ht="20.100000000000001" customHeight="1" x14ac:dyDescent="0.2">
      <c r="D464" s="15" t="str">
        <v>Cow worm-away</v>
      </c>
      <c r="E464" s="15" t="str">
        <v>Parasite control for cattle (internal)</v>
      </c>
      <c r="F464" s="15">
        <v>100</v>
      </c>
      <c r="G464" s="15" cm="1">
        <f t="array" ref="G464">Common_InputFunctions.Utility_LookupValueInTableNumber(E464,Table_SourceData_Scope3_ChemicalsPharmacy[Product],Table_SourceData_Scope3_ChemicalsPharmacy[Emissions intensity])</f>
        <v>1.4200000000000001E-2</v>
      </c>
      <c r="H464" s="253">
        <f>(F464 * (G464*10^-3))</f>
        <v>1.42E-3</v>
      </c>
      <c r="I464" s="76">
        <v>0.01</v>
      </c>
      <c r="J464" s="253">
        <f>(F464 * (IF(I464,I464,G464)*10^-3))</f>
        <v>1E-3</v>
      </c>
      <c r="K464" s="34"/>
      <c r="L464" s="13"/>
      <c r="M464" s="34"/>
    </row>
    <row r="465" spans="4:13" ht="20.100000000000001" customHeight="1" x14ac:dyDescent="0.2">
      <c r="D465" s="15" t="str">
        <v>Sheep bug off</v>
      </c>
      <c r="E465" s="15" t="str">
        <v>Parasite control for sheep (external)</v>
      </c>
      <c r="F465" s="15">
        <v>100</v>
      </c>
      <c r="G465" s="15" cm="1">
        <f t="array" ref="G465">Common_InputFunctions.Utility_LookupValueInTableNumber(E465,Table_SourceData_Scope3_ChemicalsPharmacy[Product],Table_SourceData_Scope3_ChemicalsPharmacy[Emissions intensity])</f>
        <v>1.43E-2</v>
      </c>
      <c r="H465" s="253">
        <f>(F465 * (G465*10^-3))</f>
        <v>1.4300000000000001E-3</v>
      </c>
      <c r="I465" s="76">
        <v>0.01</v>
      </c>
      <c r="J465" s="253">
        <f>(F465 * (IF(I465,I465,G465)*10^-3))</f>
        <v>1E-3</v>
      </c>
      <c r="K465" s="34"/>
      <c r="L465" s="13"/>
      <c r="M465" s="34"/>
    </row>
    <row r="466" spans="4:13" ht="20.100000000000001" customHeight="1" x14ac:dyDescent="0.2">
      <c r="D466" s="15" t="str">
        <v>Sheep worm-away</v>
      </c>
      <c r="E466" s="15" t="str">
        <v>Parasite control for sheep (internal)</v>
      </c>
      <c r="F466" s="15">
        <v>100</v>
      </c>
      <c r="G466" s="15" cm="1">
        <f t="array" ref="G466">Common_InputFunctions.Utility_LookupValueInTableNumber(E466,Table_SourceData_Scope3_ChemicalsPharmacy[Product],Table_SourceData_Scope3_ChemicalsPharmacy[Emissions intensity])</f>
        <v>4.2599999999999999E-3</v>
      </c>
      <c r="H466" s="253">
        <f>(F466 * (G466*10^-3))</f>
        <v>4.26E-4</v>
      </c>
      <c r="I466" s="76">
        <v>4.0000000000000001E-3</v>
      </c>
      <c r="J466" s="253">
        <f>(F466 * (IF(I466,I466,G466)*10^-3))</f>
        <v>3.9999999999999996E-4</v>
      </c>
      <c r="K466" s="34"/>
      <c r="L466" s="13"/>
      <c r="M466" s="34"/>
    </row>
    <row r="467" spans="4:13" ht="20.100000000000001" customHeight="1" x14ac:dyDescent="0.2">
      <c r="D467" s="15" t="str">
        <v>Cow bug off</v>
      </c>
      <c r="E467" s="15" t="str">
        <v>Parasite control for cattle (external), dipping</v>
      </c>
      <c r="F467" s="15">
        <v>100</v>
      </c>
      <c r="G467" s="15" cm="1">
        <f t="array" ref="G467">Common_InputFunctions.Utility_LookupValueInTableNumber(E467,Table_SourceData_Scope3_ChemicalsPharmacy[Product],Table_SourceData_Scope3_ChemicalsPharmacy[Emissions intensity])</f>
        <v>5.4699999999999999E-2</v>
      </c>
      <c r="H467" s="253">
        <f>(F467 * (G467*10^-3))</f>
        <v>5.47E-3</v>
      </c>
      <c r="I467" s="76">
        <v>0.05</v>
      </c>
      <c r="J467" s="253">
        <f>(F467 * (IF(I467,I467,G467)*10^-3))</f>
        <v>5.0000000000000001E-3</v>
      </c>
      <c r="K467" s="34"/>
      <c r="L467" s="13"/>
      <c r="M467" s="34"/>
    </row>
    <row r="468" spans="4:13" ht="20.100000000000001" customHeight="1" x14ac:dyDescent="0.2">
      <c r="D468" s="15" t="str">
        <v>Cow worm-away</v>
      </c>
      <c r="E468" s="15" t="str">
        <v>Parasite control for cattle (internal)</v>
      </c>
      <c r="F468" s="15">
        <v>100</v>
      </c>
      <c r="G468" s="15" cm="1">
        <f t="array" ref="G468">Common_InputFunctions.Utility_LookupValueInTableNumber(E468,Table_SourceData_Scope3_ChemicalsPharmacy[Product],Table_SourceData_Scope3_ChemicalsPharmacy[Emissions intensity])</f>
        <v>1.4200000000000001E-2</v>
      </c>
      <c r="H468" s="253">
        <f>(F468 * (G468*10^-3))</f>
        <v>1.42E-3</v>
      </c>
      <c r="I468" s="76">
        <v>0.01</v>
      </c>
      <c r="J468" s="253">
        <f>(F468 * (IF(I468,I468,G468)*10^-3))</f>
        <v>1E-3</v>
      </c>
      <c r="K468" s="34"/>
      <c r="L468" s="13"/>
      <c r="M468" s="34"/>
    </row>
    <row r="469" spans="4:13" ht="20.100000000000001" customHeight="1" x14ac:dyDescent="0.2">
      <c r="D469" s="15">
        <v>0</v>
      </c>
      <c r="E469" s="15">
        <v>0</v>
      </c>
      <c r="F469" s="15">
        <v>0</v>
      </c>
      <c r="G469" s="15" cm="1">
        <f t="array" ref="G469">Common_InputFunctions.Utility_LookupValueInTableNumber(E469,Table_SourceData_Scope3_ChemicalsPharmacy[Product],Table_SourceData_Scope3_ChemicalsPharmacy[Emissions intensity])</f>
        <v>0</v>
      </c>
      <c r="H469" s="253">
        <f>(F469 * (G469*10^-3))</f>
        <v>0</v>
      </c>
      <c r="I469" s="76"/>
      <c r="J469" s="253">
        <f>(F469 * (IF(I469,I469,G469)*10^-3))</f>
        <v>0</v>
      </c>
      <c r="K469" s="34"/>
      <c r="L469" s="13"/>
      <c r="M469" s="34"/>
    </row>
    <row r="470" spans="4:13" ht="20.100000000000001" customHeight="1" x14ac:dyDescent="0.2">
      <c r="D470" s="15">
        <v>0</v>
      </c>
      <c r="E470" s="15">
        <v>0</v>
      </c>
      <c r="F470" s="15">
        <v>0</v>
      </c>
      <c r="G470" s="15" cm="1">
        <f t="array" ref="G470">Common_InputFunctions.Utility_LookupValueInTableNumber(E470,Table_SourceData_Scope3_ChemicalsPharmacy[Product],Table_SourceData_Scope3_ChemicalsPharmacy[Emissions intensity])</f>
        <v>0</v>
      </c>
      <c r="H470" s="253">
        <f>(F470 * (G470*10^-3))</f>
        <v>0</v>
      </c>
      <c r="I470" s="76"/>
      <c r="J470" s="253">
        <f>(F470 * (IF(I470,I470,G470)*10^-3))</f>
        <v>0</v>
      </c>
      <c r="K470" s="34"/>
      <c r="L470" s="13"/>
      <c r="M470" s="34"/>
    </row>
    <row r="471" spans="4:13" ht="20.100000000000001" customHeight="1" x14ac:dyDescent="0.2">
      <c r="D471" s="15">
        <v>0</v>
      </c>
      <c r="E471" s="15">
        <v>0</v>
      </c>
      <c r="F471" s="15">
        <v>0</v>
      </c>
      <c r="G471" s="15" cm="1">
        <f t="array" ref="G471">Common_InputFunctions.Utility_LookupValueInTableNumber(E471,Table_SourceData_Scope3_ChemicalsPharmacy[Product],Table_SourceData_Scope3_ChemicalsPharmacy[Emissions intensity])</f>
        <v>0</v>
      </c>
      <c r="H471" s="253">
        <f>(F471 * (G471*10^-3))</f>
        <v>0</v>
      </c>
      <c r="I471" s="76"/>
      <c r="J471" s="253">
        <f>(F471 * (IF(I471,I471,G471)*10^-3))</f>
        <v>0</v>
      </c>
      <c r="K471" s="34"/>
      <c r="L471" s="13"/>
      <c r="M471" s="34"/>
    </row>
    <row r="472" spans="4:13" ht="20.100000000000001" customHeight="1" x14ac:dyDescent="0.2">
      <c r="D472" s="15">
        <v>0</v>
      </c>
      <c r="E472" s="15">
        <v>0</v>
      </c>
      <c r="F472" s="15">
        <v>0</v>
      </c>
      <c r="G472" s="15" cm="1">
        <f t="array" ref="G472">Common_InputFunctions.Utility_LookupValueInTableNumber(E472,Table_SourceData_Scope3_ChemicalsPharmacy[Product],Table_SourceData_Scope3_ChemicalsPharmacy[Emissions intensity])</f>
        <v>0</v>
      </c>
      <c r="H472" s="253">
        <f>(F472 * (G472*10^-3))</f>
        <v>0</v>
      </c>
      <c r="I472" s="76"/>
      <c r="J472" s="253">
        <f>(F472 * (IF(I472,I472,G472)*10^-3))</f>
        <v>0</v>
      </c>
      <c r="K472" s="34"/>
      <c r="L472" s="13"/>
      <c r="M472" s="34"/>
    </row>
    <row r="474" spans="4:13" ht="20.100000000000001" customHeight="1" x14ac:dyDescent="0.2">
      <c r="D474" s="255" t="s">
        <v>1175</v>
      </c>
      <c r="E474" s="92">
        <f>SUM(H463:H472)</f>
        <v>1.5636000000000001E-2</v>
      </c>
      <c r="F474" s="96" t="str">
        <f>$E$170</f>
        <v>t CO2e</v>
      </c>
    </row>
    <row r="475" spans="4:13" ht="20.100000000000001" customHeight="1" x14ac:dyDescent="0.2">
      <c r="D475" s="255" t="s">
        <v>1178</v>
      </c>
      <c r="E475" s="92">
        <f>SUM(J463:J472)</f>
        <v>1.3400000000000002E-2</v>
      </c>
      <c r="F475" s="96" t="str">
        <f>$E$170</f>
        <v>t CO2e</v>
      </c>
    </row>
    <row r="478" spans="4:13" ht="20.100000000000001" customHeight="1" x14ac:dyDescent="0.2">
      <c r="D478" s="241" t="s">
        <v>1107</v>
      </c>
    </row>
    <row r="480" spans="4:13" ht="20.100000000000001" customHeight="1" x14ac:dyDescent="0.2">
      <c r="D480" s="82" t="s">
        <v>1057</v>
      </c>
      <c r="E480" s="82" t="s">
        <v>1276</v>
      </c>
      <c r="F480" s="115" t="s">
        <v>1274</v>
      </c>
      <c r="G480" s="115" t="s">
        <v>1175</v>
      </c>
      <c r="H480" s="82" t="s">
        <v>1275</v>
      </c>
      <c r="I480" s="115" t="s">
        <v>1178</v>
      </c>
      <c r="J480" s="82" t="s">
        <v>1179</v>
      </c>
      <c r="K480" s="82" t="s">
        <v>1180</v>
      </c>
      <c r="L480" s="82" t="s">
        <v>1181</v>
      </c>
    </row>
    <row r="481" spans="1:12" ht="20.100000000000001" customHeight="1" x14ac:dyDescent="0.2">
      <c r="D481" s="15" t="str">
        <f>'Input - Crop pasture farm input'!D23</f>
        <v>Barley grain (for seed)</v>
      </c>
      <c r="E481" s="15">
        <f>IFERROR(X_Cell_FarmInputs_Seed_BarleyGrain, 0)</f>
        <v>500</v>
      </c>
      <c r="F481" s="15" cm="1">
        <f t="array" ref="F481">Common_InputFunctions.Utility_LookupValueInTableNumber(D481,Table_SourceData_Scope3_Other[Product],Table_SourceData_Scope3_Other[Emissions intensity])</f>
        <v>0.23899999999999999</v>
      </c>
      <c r="G481" s="253">
        <f>(E481 * (F481*10^-3))</f>
        <v>0.1195</v>
      </c>
      <c r="H481" s="76">
        <v>0.2</v>
      </c>
      <c r="I481" s="253">
        <f>(E481 * (IF(H481,H481,F481)*10^-3))</f>
        <v>0.1</v>
      </c>
      <c r="J481" s="34"/>
      <c r="K481" s="13"/>
      <c r="L481" s="34"/>
    </row>
    <row r="482" spans="1:12" ht="20.100000000000001" customHeight="1" x14ac:dyDescent="0.2">
      <c r="D482" s="15" t="str">
        <f>'Input - Crop pasture farm input'!D24</f>
        <v>Maize grain (for seed)</v>
      </c>
      <c r="E482" s="15">
        <f>IFERROR(X_Cell_FarmInputs_Seed_MaizeGrain, 0)</f>
        <v>600</v>
      </c>
      <c r="F482" s="15" cm="1">
        <f t="array" ref="F482">Common_InputFunctions.Utility_LookupValueInTableNumber(D482,Table_SourceData_Scope3_Other[Product],Table_SourceData_Scope3_Other[Emissions intensity])</f>
        <v>0.18099999999999999</v>
      </c>
      <c r="G482" s="253">
        <f>(E482 * (F482*10^-3))</f>
        <v>0.1086</v>
      </c>
      <c r="H482" s="76"/>
      <c r="I482" s="253">
        <f>(E482 * (IF(H482,H482,F482)*10^-3))</f>
        <v>0.1086</v>
      </c>
      <c r="J482" s="34"/>
      <c r="K482" s="13"/>
      <c r="L482" s="34"/>
    </row>
    <row r="483" spans="1:12" ht="20.100000000000001" customHeight="1" x14ac:dyDescent="0.2">
      <c r="D483" s="15" t="str">
        <f>'Input - Crop pasture farm input'!D25</f>
        <v>Oat grain (for seed)</v>
      </c>
      <c r="E483" s="15">
        <f>IFERROR(X_Cell_FarmInputs_Seed_OatGrain, 0)</f>
        <v>700</v>
      </c>
      <c r="F483" s="15" cm="1">
        <f t="array" ref="F483">Common_InputFunctions.Utility_LookupValueInTableNumber(D483,Table_SourceData_Scope3_Other[Product],Table_SourceData_Scope3_Other[Emissions intensity])</f>
        <v>0.27</v>
      </c>
      <c r="G483" s="253">
        <f>(E483 * (F483*10^-3))</f>
        <v>0.189</v>
      </c>
      <c r="H483" s="76">
        <v>0.2</v>
      </c>
      <c r="I483" s="253">
        <f>(E483 * (IF(H483,H483,F483)*10^-3))</f>
        <v>0.14000000000000001</v>
      </c>
      <c r="J483" s="34"/>
      <c r="K483" s="13"/>
      <c r="L483" s="34"/>
    </row>
    <row r="484" spans="1:12" ht="20.100000000000001" customHeight="1" x14ac:dyDescent="0.2">
      <c r="D484" s="15" t="str">
        <f>'Input - Crop pasture farm input'!D26</f>
        <v>Sorghum grain (for seed)</v>
      </c>
      <c r="E484" s="15">
        <f>IFERROR(X_Cell_FarmInputs_Seed_SorghumGrain, 0)</f>
        <v>800</v>
      </c>
      <c r="F484" s="15" cm="1">
        <f t="array" ref="F484">Common_InputFunctions.Utility_LookupValueInTableNumber(D484,Table_SourceData_Scope3_Other[Product],Table_SourceData_Scope3_Other[Emissions intensity])</f>
        <v>0.23200000000000001</v>
      </c>
      <c r="G484" s="253">
        <f>(E484 * (F484*10^-3))</f>
        <v>0.18560000000000001</v>
      </c>
      <c r="H484" s="76"/>
      <c r="I484" s="253">
        <f>(E484 * (IF(H484,H484,F484)*10^-3))</f>
        <v>0.18560000000000001</v>
      </c>
      <c r="J484" s="34"/>
      <c r="K484" s="13"/>
      <c r="L484" s="34"/>
    </row>
    <row r="485" spans="1:12" ht="20.100000000000001" customHeight="1" x14ac:dyDescent="0.2">
      <c r="D485" s="15" t="str">
        <f>'Input - Crop pasture farm input'!D27</f>
        <v>Wheat grain (for seed)</v>
      </c>
      <c r="E485" s="15">
        <f>IFERROR(X_Cell_FarmInputs_Seed_WheatGrain, 0)</f>
        <v>900</v>
      </c>
      <c r="F485" s="15" cm="1">
        <f t="array" ref="F485">Common_InputFunctions.Utility_LookupValueInTableNumber(D485,Table_SourceData_Scope3_Other[Product],Table_SourceData_Scope3_Other[Emissions intensity])</f>
        <v>0.26800000000000002</v>
      </c>
      <c r="G485" s="253">
        <f>(E485 * (F485*10^-3))</f>
        <v>0.2412</v>
      </c>
      <c r="H485" s="76">
        <v>0.2</v>
      </c>
      <c r="I485" s="253">
        <f>(E485 * (IF(H485,H485,F485)*10^-3))</f>
        <v>0.18000000000000002</v>
      </c>
      <c r="J485" s="34"/>
      <c r="K485" s="13"/>
      <c r="L485" s="34"/>
    </row>
    <row r="487" spans="1:12" ht="20.100000000000001" customHeight="1" x14ac:dyDescent="0.2">
      <c r="D487" s="255" t="s">
        <v>1175</v>
      </c>
      <c r="E487" s="92">
        <f>SUM(G481:G485)</f>
        <v>0.84389999999999998</v>
      </c>
      <c r="F487" s="96" t="str">
        <f>$E$170</f>
        <v>t CO2e</v>
      </c>
    </row>
    <row r="488" spans="1:12" ht="20.100000000000001" customHeight="1" x14ac:dyDescent="0.2">
      <c r="D488" s="255" t="s">
        <v>1178</v>
      </c>
      <c r="E488" s="92">
        <f>SUM(I481:I485)</f>
        <v>0.71420000000000006</v>
      </c>
      <c r="F488" s="96" t="str">
        <f>$E$170</f>
        <v>t CO2e</v>
      </c>
    </row>
    <row r="491" spans="1:12" ht="20.100000000000001" customHeight="1" x14ac:dyDescent="0.2">
      <c r="A491" s="85" t="str">
        <f>HYPERLINK("#A1", "▲ Back to top")</f>
        <v>▲ Back to top</v>
      </c>
      <c r="D491" s="241" t="s">
        <v>1277</v>
      </c>
    </row>
    <row r="493" spans="1:12" ht="20.100000000000001" customHeight="1" x14ac:dyDescent="0.2">
      <c r="D493" s="82" t="s">
        <v>1057</v>
      </c>
      <c r="E493" s="82" t="s">
        <v>1276</v>
      </c>
      <c r="F493" s="115" t="s">
        <v>1274</v>
      </c>
      <c r="G493" s="115" t="s">
        <v>1175</v>
      </c>
      <c r="H493" s="82" t="s">
        <v>1275</v>
      </c>
      <c r="I493" s="115" t="s">
        <v>1178</v>
      </c>
      <c r="J493" s="82" t="s">
        <v>1179</v>
      </c>
      <c r="K493" s="82" t="s">
        <v>1180</v>
      </c>
      <c r="L493" s="82" t="s">
        <v>1181</v>
      </c>
    </row>
    <row r="494" spans="1:12" ht="20.100000000000001" customHeight="1" x14ac:dyDescent="0.2">
      <c r="D494" s="15" t="str">
        <f>'Input - Livestock farm Inputs'!D47</f>
        <v>Animal ear tags (large)</v>
      </c>
      <c r="E494" s="15">
        <f>IFERROR(X_Cell_FarmInputs_Misc_AnimalEarTagsLarge, 0)</f>
        <v>100</v>
      </c>
      <c r="F494" s="15" cm="1">
        <f t="array" ref="F494">Common_InputFunctions.Utility_LookupValueInTableNumber(D494,Table_SourceData_Scope3_Other[Product],Table_SourceData_Scope3_Other[Emissions intensity])</f>
        <v>4.24E-2</v>
      </c>
      <c r="G494" s="253">
        <f>(E494 * (F494*10^-3))</f>
        <v>4.2399999999999998E-3</v>
      </c>
      <c r="H494" s="76">
        <v>0.2</v>
      </c>
      <c r="I494" s="253">
        <f>(E494 * (IF(H494,H494,F494)*10^-3))</f>
        <v>0.02</v>
      </c>
      <c r="J494" s="34"/>
      <c r="K494" s="13"/>
      <c r="L494" s="34"/>
    </row>
    <row r="495" spans="1:12" ht="20.100000000000001" customHeight="1" x14ac:dyDescent="0.2">
      <c r="D495" s="15" t="str">
        <f>'Input - Livestock farm Inputs'!D48</f>
        <v>Animal ear tags (small)</v>
      </c>
      <c r="E495" s="15">
        <f>IFERROR(X_Cell_FarmInputs_Misc_AnimalEarTagsSmall, 0)</f>
        <v>200</v>
      </c>
      <c r="F495" s="15" cm="1">
        <f t="array" ref="F495">Common_InputFunctions.Utility_LookupValueInTableNumber(D495,Table_SourceData_Scope3_Other[Product],Table_SourceData_Scope3_Other[Emissions intensity])</f>
        <v>2.93E-2</v>
      </c>
      <c r="G495" s="253">
        <f>(E495 * (F495*10^-3))</f>
        <v>5.8599999999999998E-3</v>
      </c>
      <c r="H495" s="76"/>
      <c r="I495" s="253">
        <f>(E495 * (IF(H495,H495,F495)*10^-3))</f>
        <v>5.8599999999999998E-3</v>
      </c>
      <c r="J495" s="34"/>
      <c r="K495" s="13"/>
      <c r="L495" s="34"/>
    </row>
    <row r="496" spans="1:12" ht="20.100000000000001" customHeight="1" x14ac:dyDescent="0.2">
      <c r="D496" s="15"/>
      <c r="E496" s="15">
        <f>IFERROR(X_Cell_FarmInputs_Misc_NylonNetting, 0)</f>
        <v>0</v>
      </c>
      <c r="F496" s="15" cm="1">
        <f t="array" ref="F496">Common_InputFunctions.Utility_LookupValueInTableNumber(D496,Table_SourceData_Scope3_Other[Product],Table_SourceData_Scope3_Other[Emissions intensity])</f>
        <v>0</v>
      </c>
      <c r="G496" s="253">
        <f>(E496 * (F496*10^-3))</f>
        <v>0</v>
      </c>
      <c r="H496" s="76">
        <v>0.2</v>
      </c>
      <c r="I496" s="253">
        <f>(E496 * (IF(H496,H496,F496)*10^-3))</f>
        <v>0</v>
      </c>
      <c r="J496" s="34"/>
      <c r="K496" s="13"/>
      <c r="L496" s="34"/>
    </row>
    <row r="498" spans="4:14" ht="20.100000000000001" customHeight="1" x14ac:dyDescent="0.2">
      <c r="D498" s="255" t="s">
        <v>1175</v>
      </c>
      <c r="E498" s="92">
        <f>SUM(G494:G496)</f>
        <v>1.01E-2</v>
      </c>
      <c r="F498" s="96" t="str">
        <f>$E$170</f>
        <v>t CO2e</v>
      </c>
    </row>
    <row r="499" spans="4:14" ht="20.100000000000001" customHeight="1" x14ac:dyDescent="0.2">
      <c r="D499" s="255" t="s">
        <v>1178</v>
      </c>
      <c r="E499" s="92">
        <f>SUM(I494:I496)</f>
        <v>2.5860000000000001E-2</v>
      </c>
      <c r="F499" s="96" t="str">
        <f>$E$170</f>
        <v>t CO2e</v>
      </c>
    </row>
    <row r="502" spans="4:14" ht="20.100000000000001" customHeight="1" x14ac:dyDescent="0.2">
      <c r="D502" s="241" t="s">
        <v>1278</v>
      </c>
    </row>
    <row r="504" spans="4:14" ht="20.100000000000001" customHeight="1" x14ac:dyDescent="0.2">
      <c r="D504" s="82" t="s">
        <v>1057</v>
      </c>
      <c r="E504" s="82" t="s">
        <v>919</v>
      </c>
      <c r="F504" s="82" t="s">
        <v>828</v>
      </c>
      <c r="G504" s="115" t="s">
        <v>1258</v>
      </c>
      <c r="H504" s="115" t="s">
        <v>1259</v>
      </c>
      <c r="I504" s="82" t="s">
        <v>1260</v>
      </c>
      <c r="J504" s="82" t="s">
        <v>1279</v>
      </c>
      <c r="K504" s="115" t="s">
        <v>1261</v>
      </c>
      <c r="L504" s="82" t="s">
        <v>1179</v>
      </c>
      <c r="M504" s="82" t="s">
        <v>1180</v>
      </c>
      <c r="N504" s="82" t="s">
        <v>1181</v>
      </c>
    </row>
    <row r="505" spans="4:14" ht="20.100000000000001" customHeight="1" x14ac:dyDescent="0.2">
      <c r="D505" s="15" t="str" cm="1">
        <f t="array" ref="D505:D514">IFERROR(INDEX(Table_Input_UncategorisedProductsServices[Product / service name], _xlfn.SEQUENCE(10)), "")</f>
        <v>Something</v>
      </c>
      <c r="E505" s="15" cm="1">
        <f t="array" ref="E505:E514">IFERROR(INDEX(Table_Input_UncategorisedProductsServices[Amount], _xlfn.SEQUENCE(10)), "")</f>
        <v>1000</v>
      </c>
      <c r="F505" s="15" t="str" cm="1">
        <f t="array" ref="F505:F514">IFERROR(INDEX(Table_Input_UncategorisedProductsServices[Amount unit], _xlfn.SEQUENCE(10)), "")</f>
        <v>kg</v>
      </c>
      <c r="G505" s="15" t="s">
        <v>1263</v>
      </c>
      <c r="H505" s="15" t="s">
        <v>1263</v>
      </c>
      <c r="I505" s="76">
        <v>4</v>
      </c>
      <c r="J505" s="13" t="s">
        <v>1280</v>
      </c>
      <c r="K505" s="253">
        <f>(E505 * (IF(J505="kg / amount unit", I505*10^-3, I505)))</f>
        <v>4000</v>
      </c>
      <c r="L505" s="34"/>
      <c r="M505" s="13"/>
      <c r="N505" s="34"/>
    </row>
    <row r="506" spans="4:14" ht="20.100000000000001" customHeight="1" x14ac:dyDescent="0.2">
      <c r="D506" s="15">
        <v>0</v>
      </c>
      <c r="E506" s="15">
        <v>0</v>
      </c>
      <c r="F506" s="15">
        <v>0</v>
      </c>
      <c r="G506" s="15" t="s">
        <v>1263</v>
      </c>
      <c r="H506" s="15" t="s">
        <v>1263</v>
      </c>
      <c r="I506" s="76">
        <v>2</v>
      </c>
      <c r="J506" s="13" t="s">
        <v>1280</v>
      </c>
      <c r="K506" s="253">
        <f>(E506 * (IF(J506="kg / amount unit", I506*10^-3, I506)))</f>
        <v>0</v>
      </c>
      <c r="L506" s="34"/>
      <c r="M506" s="13"/>
      <c r="N506" s="34"/>
    </row>
    <row r="507" spans="4:14" ht="20.100000000000001" customHeight="1" x14ac:dyDescent="0.2">
      <c r="D507" s="15">
        <v>0</v>
      </c>
      <c r="E507" s="15">
        <v>0</v>
      </c>
      <c r="F507" s="15">
        <v>0</v>
      </c>
      <c r="G507" s="15" t="s">
        <v>1263</v>
      </c>
      <c r="H507" s="15" t="s">
        <v>1263</v>
      </c>
      <c r="I507" s="76"/>
      <c r="J507" s="13"/>
      <c r="K507" s="253">
        <f>(E507 * (IF(J507="kg / amount unit", I507*10^-3, I507)))</f>
        <v>0</v>
      </c>
      <c r="L507" s="34"/>
      <c r="M507" s="13"/>
      <c r="N507" s="34"/>
    </row>
    <row r="508" spans="4:14" ht="20.100000000000001" customHeight="1" x14ac:dyDescent="0.2">
      <c r="D508" s="15">
        <v>0</v>
      </c>
      <c r="E508" s="15">
        <v>0</v>
      </c>
      <c r="F508" s="15">
        <v>0</v>
      </c>
      <c r="G508" s="15" t="s">
        <v>1263</v>
      </c>
      <c r="H508" s="15" t="s">
        <v>1263</v>
      </c>
      <c r="I508" s="76"/>
      <c r="J508" s="13"/>
      <c r="K508" s="253">
        <f>(E508 * (IF(J508="kg / amount unit", I508*10^-3, I508)))</f>
        <v>0</v>
      </c>
      <c r="L508" s="34"/>
      <c r="M508" s="13"/>
      <c r="N508" s="34"/>
    </row>
    <row r="509" spans="4:14" ht="20.100000000000001" customHeight="1" x14ac:dyDescent="0.2">
      <c r="D509" s="15">
        <v>0</v>
      </c>
      <c r="E509" s="15">
        <v>0</v>
      </c>
      <c r="F509" s="15">
        <v>0</v>
      </c>
      <c r="G509" s="15" t="s">
        <v>1263</v>
      </c>
      <c r="H509" s="15" t="s">
        <v>1263</v>
      </c>
      <c r="I509" s="76"/>
      <c r="J509" s="13"/>
      <c r="K509" s="253">
        <f>(E509 * (IF(J509="kg / amount unit", I509*10^-3, I509)))</f>
        <v>0</v>
      </c>
      <c r="L509" s="34"/>
      <c r="M509" s="13"/>
      <c r="N509" s="34"/>
    </row>
    <row r="510" spans="4:14" ht="20.100000000000001" customHeight="1" x14ac:dyDescent="0.2">
      <c r="D510" s="15">
        <v>0</v>
      </c>
      <c r="E510" s="15">
        <v>0</v>
      </c>
      <c r="F510" s="15">
        <v>0</v>
      </c>
      <c r="G510" s="15" t="s">
        <v>1263</v>
      </c>
      <c r="H510" s="15" t="s">
        <v>1263</v>
      </c>
      <c r="I510" s="76"/>
      <c r="J510" s="13"/>
      <c r="K510" s="253">
        <f>(E510 * (IF(J510="kg / amount unit", I510*10^-3, I510)))</f>
        <v>0</v>
      </c>
      <c r="L510" s="34"/>
      <c r="M510" s="13"/>
      <c r="N510" s="34"/>
    </row>
    <row r="511" spans="4:14" ht="20.100000000000001" customHeight="1" x14ac:dyDescent="0.2">
      <c r="D511" s="15">
        <v>0</v>
      </c>
      <c r="E511" s="15">
        <v>0</v>
      </c>
      <c r="F511" s="15">
        <v>0</v>
      </c>
      <c r="G511" s="15" t="s">
        <v>1263</v>
      </c>
      <c r="H511" s="15" t="s">
        <v>1263</v>
      </c>
      <c r="I511" s="76"/>
      <c r="J511" s="13"/>
      <c r="K511" s="253">
        <f>(E511 * (IF(J511="kg / amount unit", I511*10^-3, I511)))</f>
        <v>0</v>
      </c>
      <c r="L511" s="34"/>
      <c r="M511" s="13"/>
      <c r="N511" s="34"/>
    </row>
    <row r="512" spans="4:14" ht="20.100000000000001" customHeight="1" x14ac:dyDescent="0.2">
      <c r="D512" s="15">
        <v>0</v>
      </c>
      <c r="E512" s="15">
        <v>0</v>
      </c>
      <c r="F512" s="15">
        <v>0</v>
      </c>
      <c r="G512" s="15" t="s">
        <v>1263</v>
      </c>
      <c r="H512" s="15" t="s">
        <v>1263</v>
      </c>
      <c r="I512" s="76"/>
      <c r="J512" s="13"/>
      <c r="K512" s="253">
        <f>(E512 * (IF(J512="kg / amount unit", I512*10^-3, I512)))</f>
        <v>0</v>
      </c>
      <c r="L512" s="34"/>
      <c r="M512" s="13"/>
      <c r="N512" s="34"/>
    </row>
    <row r="513" spans="1:41" ht="20.100000000000001" customHeight="1" x14ac:dyDescent="0.2">
      <c r="D513" s="15">
        <v>0</v>
      </c>
      <c r="E513" s="15">
        <v>0</v>
      </c>
      <c r="F513" s="15">
        <v>0</v>
      </c>
      <c r="G513" s="15" t="s">
        <v>1263</v>
      </c>
      <c r="H513" s="15" t="s">
        <v>1263</v>
      </c>
      <c r="I513" s="76"/>
      <c r="J513" s="13"/>
      <c r="K513" s="253">
        <f>(E513 * (IF(J513="kg / amount unit", I513*10^-3, I513)))</f>
        <v>0</v>
      </c>
      <c r="L513" s="34"/>
      <c r="M513" s="13"/>
      <c r="N513" s="34"/>
    </row>
    <row r="514" spans="1:41" ht="20.100000000000001" customHeight="1" x14ac:dyDescent="0.2">
      <c r="D514" s="15">
        <v>0</v>
      </c>
      <c r="E514" s="15">
        <v>0</v>
      </c>
      <c r="F514" s="15">
        <v>0</v>
      </c>
      <c r="G514" s="15" t="s">
        <v>1263</v>
      </c>
      <c r="H514" s="15" t="s">
        <v>1263</v>
      </c>
      <c r="I514" s="76"/>
      <c r="J514" s="13"/>
      <c r="K514" s="253">
        <f>(E514 * (IF(J514="kg / amount unit", I514*10^-3, I514)))</f>
        <v>0</v>
      </c>
      <c r="L514" s="34"/>
      <c r="M514" s="13"/>
      <c r="N514" s="34"/>
    </row>
    <row r="516" spans="1:41" ht="20.100000000000001" customHeight="1" x14ac:dyDescent="0.2">
      <c r="D516" s="255" t="s">
        <v>1175</v>
      </c>
      <c r="E516" s="92" t="s">
        <v>1263</v>
      </c>
      <c r="F516" s="96" t="str">
        <f>$E$170</f>
        <v>t CO2e</v>
      </c>
    </row>
    <row r="517" spans="1:41" ht="20.100000000000001" customHeight="1" x14ac:dyDescent="0.2">
      <c r="D517" s="255" t="s">
        <v>1178</v>
      </c>
      <c r="E517" s="92">
        <f>SUM(K505:K514)</f>
        <v>4000</v>
      </c>
      <c r="F517" s="96" t="str">
        <f>$E$170</f>
        <v>t CO2e</v>
      </c>
    </row>
    <row r="520" spans="1:41" ht="20.100000000000001" customHeight="1" x14ac:dyDescent="0.2">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c r="AA520" s="88"/>
      <c r="AB520" s="88"/>
      <c r="AC520" s="88"/>
      <c r="AD520" s="88"/>
      <c r="AE520" s="88"/>
      <c r="AF520" s="88"/>
      <c r="AG520" s="88"/>
      <c r="AH520" s="88"/>
      <c r="AI520" s="88"/>
      <c r="AJ520" s="88"/>
      <c r="AK520" s="88"/>
      <c r="AL520" s="88"/>
      <c r="AM520" s="88"/>
      <c r="AN520" s="88"/>
      <c r="AO520" s="88"/>
    </row>
    <row r="521" spans="1:41" ht="20.100000000000001" customHeight="1" x14ac:dyDescent="0.2">
      <c r="A521" s="85" t="str">
        <f>HYPERLINK("#A1", "▲ Back to top")</f>
        <v>▲ Back to top</v>
      </c>
      <c r="D521" s="2" t="s">
        <v>1844</v>
      </c>
    </row>
    <row r="522" spans="1:41" ht="20.100000000000001" customHeight="1" x14ac:dyDescent="0.2">
      <c r="D522" s="17" t="s">
        <v>1845</v>
      </c>
    </row>
    <row r="523" spans="1:41" ht="20.100000000000001" customHeight="1" x14ac:dyDescent="0.2">
      <c r="D523" s="104"/>
      <c r="E523" s="104"/>
    </row>
    <row r="527" spans="1:41" ht="20.100000000000001" customHeight="1" x14ac:dyDescent="0.2">
      <c r="D527" s="77" t="s">
        <v>374</v>
      </c>
      <c r="E527" s="1" t="s">
        <v>1281</v>
      </c>
    </row>
    <row r="528" spans="1:41" ht="20.100000000000001" customHeight="1" x14ac:dyDescent="0.2">
      <c r="D528" s="77" t="s">
        <v>126</v>
      </c>
      <c r="E528" s="9" t="s">
        <v>6</v>
      </c>
    </row>
    <row r="530" spans="3:41" ht="20.100000000000001" customHeight="1" x14ac:dyDescent="0.2">
      <c r="D530" s="106" t="s">
        <v>1654</v>
      </c>
      <c r="E530" s="107" t="s">
        <v>1846</v>
      </c>
      <c r="F530" s="109"/>
      <c r="G530" s="106" t="s">
        <v>6</v>
      </c>
      <c r="H530" s="111" t="s">
        <v>1848</v>
      </c>
      <c r="I530" s="106">
        <f>VEERG_8_1_1_1__1_FuelCombustionTransport_Result</f>
        <v>20.5016</v>
      </c>
    </row>
    <row r="531" spans="3:41" ht="20.100000000000001" customHeight="1" x14ac:dyDescent="0.2">
      <c r="D531" s="106" t="s">
        <v>1681</v>
      </c>
      <c r="E531" s="107" t="s">
        <v>1847</v>
      </c>
      <c r="F531" s="109"/>
      <c r="G531" s="106" t="s">
        <v>6</v>
      </c>
      <c r="H531" s="111" t="s">
        <v>1849</v>
      </c>
      <c r="I531" s="106">
        <f>VEERG_8_2_1_1__1_FuelCombustionStationary_Result</f>
        <v>6.2923999999999998</v>
      </c>
    </row>
    <row r="533" spans="3:41" ht="20.100000000000001" customHeight="1" x14ac:dyDescent="0.2">
      <c r="D533" s="255" t="s">
        <v>1281</v>
      </c>
      <c r="E533" s="92">
        <f>(I530 + I531)</f>
        <v>26.794</v>
      </c>
      <c r="F533" s="96" t="str">
        <f>$E$170</f>
        <v>t CO2e</v>
      </c>
    </row>
    <row r="535" spans="3:41" ht="20.100000000000001" customHeight="1" x14ac:dyDescent="0.2">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c r="AA535" s="88"/>
      <c r="AB535" s="88"/>
      <c r="AC535" s="88"/>
      <c r="AD535" s="88"/>
      <c r="AE535" s="88"/>
      <c r="AF535" s="88"/>
      <c r="AG535" s="88"/>
      <c r="AH535" s="88"/>
      <c r="AI535" s="88"/>
      <c r="AJ535" s="88"/>
      <c r="AK535" s="88"/>
      <c r="AL535" s="88"/>
      <c r="AM535" s="88"/>
      <c r="AN535" s="88"/>
      <c r="AO535" s="88"/>
    </row>
    <row r="536" spans="3:41" ht="20.100000000000001" customHeight="1" x14ac:dyDescent="0.2">
      <c r="D536" s="2" t="s">
        <v>1850</v>
      </c>
    </row>
    <row r="537" spans="3:41" ht="20.100000000000001" customHeight="1" x14ac:dyDescent="0.2">
      <c r="D537" s="17" t="s">
        <v>1851</v>
      </c>
    </row>
    <row r="538" spans="3:41" ht="20.100000000000001" customHeight="1" x14ac:dyDescent="0.2">
      <c r="D538" s="104"/>
      <c r="E538" s="104"/>
    </row>
    <row r="541" spans="3:41" ht="20.100000000000001" customHeight="1" x14ac:dyDescent="0.2">
      <c r="D541" s="77" t="s">
        <v>374</v>
      </c>
      <c r="E541" s="1" t="s">
        <v>1852</v>
      </c>
    </row>
    <row r="542" spans="3:41" ht="20.100000000000001" customHeight="1" x14ac:dyDescent="0.2">
      <c r="D542" s="77" t="s">
        <v>126</v>
      </c>
      <c r="E542" s="1" t="s">
        <v>6</v>
      </c>
    </row>
    <row r="544" spans="3:41" ht="20.100000000000001" customHeight="1" x14ac:dyDescent="0.2">
      <c r="D544" s="106" t="s">
        <v>1728</v>
      </c>
      <c r="E544" s="106" t="s">
        <v>1729</v>
      </c>
      <c r="F544" s="106"/>
      <c r="G544" s="106" t="s">
        <v>778</v>
      </c>
      <c r="H544" s="251" t="s">
        <v>1325</v>
      </c>
      <c r="I544" s="107">
        <f>X_Cell_Electricity_Location_AmountPurchasedInkWh</f>
        <v>30000</v>
      </c>
      <c r="J544" s="109"/>
    </row>
    <row r="545" spans="1:41" ht="20.100000000000001" customHeight="1" x14ac:dyDescent="0.2">
      <c r="D545" s="106" t="s">
        <v>1853</v>
      </c>
      <c r="E545" s="106" t="s">
        <v>1854</v>
      </c>
      <c r="F545" s="106"/>
      <c r="G545" s="106" t="s">
        <v>1733</v>
      </c>
      <c r="H545" s="111" t="s">
        <v>1326</v>
      </c>
      <c r="I545" s="107" cm="1">
        <f t="array" ref="I545">Common_InputFunctions.Utility_LookupValueInTableNumber(I546,Table_SourceData_ElectricityEFs[State, Territory or grid description],Table_SourceData_ElectricityEFs[Scope 3 Emission Factors (kg CO2-e/kWh)])</f>
        <v>0.09</v>
      </c>
      <c r="J545" s="109"/>
    </row>
    <row r="546" spans="1:41" ht="20.100000000000001" customHeight="1" x14ac:dyDescent="0.2">
      <c r="D546" s="106" t="s">
        <v>1664</v>
      </c>
      <c r="E546" s="107" t="s">
        <v>1855</v>
      </c>
      <c r="F546" s="109"/>
      <c r="G546" s="106"/>
      <c r="H546" s="251" t="s">
        <v>1325</v>
      </c>
      <c r="I546" s="107" t="str">
        <f>X_Cell_Electricity_Location_GridElectricityPurchasedFrom</f>
        <v>Western Australia - North Western Interconnected System (NWIS)</v>
      </c>
      <c r="J546" s="109"/>
    </row>
    <row r="548" spans="1:41" ht="20.100000000000001" customHeight="1" x14ac:dyDescent="0.2">
      <c r="D548" s="255" t="s">
        <v>1282</v>
      </c>
      <c r="E548" s="92">
        <f>((I544 * I545) * 10 ^ -3)</f>
        <v>2.7</v>
      </c>
      <c r="F548" s="96" t="str">
        <f>$E$170</f>
        <v>t CO2e</v>
      </c>
    </row>
    <row r="551" spans="1:41" ht="20.100000000000001" customHeight="1" x14ac:dyDescent="0.2">
      <c r="A551" s="85" t="str">
        <f>HYPERLINK("#A1", "▲ Back to top")</f>
        <v>▲ Back to top</v>
      </c>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c r="AO551" s="88"/>
    </row>
    <row r="552" spans="1:41" ht="20.100000000000001" customHeight="1" x14ac:dyDescent="0.2">
      <c r="D552" s="2" t="s">
        <v>1856</v>
      </c>
    </row>
    <row r="553" spans="1:41" ht="20.100000000000001" customHeight="1" x14ac:dyDescent="0.2">
      <c r="D553" s="17" t="s">
        <v>1857</v>
      </c>
    </row>
    <row r="554" spans="1:41" ht="20.100000000000001" customHeight="1" x14ac:dyDescent="0.2">
      <c r="D554" s="26" t="s">
        <v>1736</v>
      </c>
    </row>
    <row r="555" spans="1:41" ht="20.100000000000001" customHeight="1" x14ac:dyDescent="0.2">
      <c r="D555" s="104"/>
      <c r="E555" s="104"/>
    </row>
    <row r="559" spans="1:41" ht="20.100000000000001" customHeight="1" x14ac:dyDescent="0.2">
      <c r="D559" s="77" t="s">
        <v>374</v>
      </c>
      <c r="E559" s="1" t="s">
        <v>1852</v>
      </c>
    </row>
    <row r="560" spans="1:41" ht="20.100000000000001" customHeight="1" x14ac:dyDescent="0.2">
      <c r="D560" s="77" t="s">
        <v>126</v>
      </c>
      <c r="E560" s="1" t="s">
        <v>6</v>
      </c>
    </row>
    <row r="562" spans="3:41" ht="20.100000000000001" customHeight="1" x14ac:dyDescent="0.2">
      <c r="D562" s="106" t="s">
        <v>1728</v>
      </c>
      <c r="E562" s="107" t="s">
        <v>1729</v>
      </c>
      <c r="F562" s="109"/>
      <c r="G562" s="106" t="s">
        <v>778</v>
      </c>
      <c r="H562" s="251" t="s">
        <v>1325</v>
      </c>
      <c r="I562" s="256">
        <f>X_Cell_Electricity_Market_AmountPurchasedExcludingGreenPower</f>
        <v>30000</v>
      </c>
    </row>
    <row r="563" spans="3:41" ht="20.100000000000001" customHeight="1" x14ac:dyDescent="0.2">
      <c r="D563" s="106" t="s">
        <v>1737</v>
      </c>
      <c r="E563" s="107" t="s">
        <v>1858</v>
      </c>
      <c r="F563" s="109"/>
      <c r="G563" s="106" t="s">
        <v>347</v>
      </c>
      <c r="H563" s="251" t="s">
        <v>1325</v>
      </c>
      <c r="I563" s="185">
        <f>X_Cell_Electricity_Market_RenewablePowerPercentage</f>
        <v>0.1</v>
      </c>
    </row>
    <row r="564" spans="3:41" ht="20.100000000000001" customHeight="1" x14ac:dyDescent="0.2">
      <c r="D564" s="106" t="s">
        <v>1739</v>
      </c>
      <c r="E564" s="107" t="s">
        <v>1859</v>
      </c>
      <c r="F564" s="109"/>
      <c r="G564" s="106" t="s">
        <v>347</v>
      </c>
      <c r="H564" s="251" t="s">
        <v>1325</v>
      </c>
      <c r="I564" s="185">
        <f>X_Cell_Electricity_Market_JurisdictionalRenewablePowerPercentage</f>
        <v>0.1</v>
      </c>
    </row>
    <row r="565" spans="3:41" ht="20.100000000000001" customHeight="1" x14ac:dyDescent="0.2">
      <c r="D565" s="106" t="s">
        <v>1741</v>
      </c>
      <c r="E565" s="107" t="s">
        <v>1860</v>
      </c>
      <c r="F565" s="109"/>
      <c r="G565" s="106" t="s">
        <v>794</v>
      </c>
      <c r="H565" s="251" t="s">
        <v>1325</v>
      </c>
      <c r="I565" s="106">
        <f>(X_Cell_Electricity_Market_AmountPurchasedGreenPower*10^-3)+X_Cell_TotalElegibleVoluntarilySurrenderedRECs</f>
        <v>20</v>
      </c>
    </row>
    <row r="566" spans="3:41" ht="20.100000000000001" customHeight="1" x14ac:dyDescent="0.2">
      <c r="D566" s="106" t="s">
        <v>1743</v>
      </c>
      <c r="E566" s="107" t="s">
        <v>1861</v>
      </c>
      <c r="F566" s="109"/>
      <c r="G566" s="106" t="s">
        <v>794</v>
      </c>
      <c r="H566" s="251" t="s">
        <v>1325</v>
      </c>
      <c r="I566" s="106">
        <f>X_Cell_TotalElegibleRECsForElectricityProducedOnSite</f>
        <v>11</v>
      </c>
    </row>
    <row r="567" spans="3:41" ht="20.100000000000001" customHeight="1" x14ac:dyDescent="0.2">
      <c r="D567" s="106" t="s">
        <v>1862</v>
      </c>
      <c r="E567" s="107" t="s">
        <v>1863</v>
      </c>
      <c r="F567" s="109"/>
      <c r="G567" s="106" t="s">
        <v>1733</v>
      </c>
      <c r="H567" s="111" t="s">
        <v>1326</v>
      </c>
      <c r="I567" s="106" cm="1">
        <f t="array" ref="I567">Table_SourceData_ElectricityEFsMarketBased[Scope 3 EF (kg CO2-e/kWh)]</f>
        <v>0.1</v>
      </c>
    </row>
    <row r="568" spans="3:41" ht="20.100000000000001" customHeight="1" x14ac:dyDescent="0.2">
      <c r="D568" s="106" t="s">
        <v>1373</v>
      </c>
      <c r="E568" s="107" t="s">
        <v>1374</v>
      </c>
      <c r="F568" s="109"/>
      <c r="G568" s="106"/>
      <c r="H568" s="251" t="s">
        <v>1325</v>
      </c>
      <c r="I568" s="106" t="str">
        <f>X_Cell_Site_State</f>
        <v>Western Australia</v>
      </c>
    </row>
    <row r="570" spans="3:41" ht="20.100000000000001" customHeight="1" x14ac:dyDescent="0.2">
      <c r="D570" s="255" t="s">
        <v>1282</v>
      </c>
      <c r="E570" s="92">
        <f>(((I562 * (1 - (I563 + I564))) - ((I565 - I566) * 10 ^ 3)) * I567 * 10 ^ -3)</f>
        <v>1.5</v>
      </c>
      <c r="F570" s="96" t="str">
        <f>$E$170</f>
        <v>t CO2e</v>
      </c>
    </row>
    <row r="573" spans="3:41" ht="20.100000000000001" customHeight="1" x14ac:dyDescent="0.2">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c r="AO573" s="88"/>
    </row>
    <row r="574" spans="3:41" ht="20.100000000000001" customHeight="1" x14ac:dyDescent="0.2">
      <c r="D574" s="2" t="s">
        <v>1864</v>
      </c>
    </row>
    <row r="575" spans="3:41" ht="20.100000000000001" customHeight="1" x14ac:dyDescent="0.2">
      <c r="D575" s="17" t="s">
        <v>1865</v>
      </c>
    </row>
    <row r="576" spans="3:41" ht="20.100000000000001" customHeight="1" x14ac:dyDescent="0.2">
      <c r="D576" s="104"/>
      <c r="E576" s="104"/>
    </row>
    <row r="579" spans="1:18" ht="20.100000000000001" customHeight="1" x14ac:dyDescent="0.2">
      <c r="D579" s="77" t="s">
        <v>374</v>
      </c>
      <c r="E579" s="1" t="s">
        <v>1281</v>
      </c>
    </row>
    <row r="580" spans="1:18" ht="20.100000000000001" customHeight="1" x14ac:dyDescent="0.2">
      <c r="D580" s="77" t="s">
        <v>126</v>
      </c>
      <c r="E580" s="9" t="s">
        <v>12</v>
      </c>
    </row>
    <row r="581" spans="1:18" ht="20.100000000000001" customHeight="1" x14ac:dyDescent="0.2">
      <c r="A581" s="85" t="str">
        <f>HYPERLINK("#A1", "▲ Back to top")</f>
        <v>▲ Back to top</v>
      </c>
    </row>
    <row r="582" spans="1:18" ht="20.100000000000001" customHeight="1" x14ac:dyDescent="0.2">
      <c r="D582" s="25" t="s">
        <v>141</v>
      </c>
      <c r="L582" s="25" t="s">
        <v>142</v>
      </c>
    </row>
    <row r="584" spans="1:18" ht="20.100000000000001" customHeight="1" x14ac:dyDescent="0.2">
      <c r="D584" s="106" t="s">
        <v>1013</v>
      </c>
      <c r="E584" s="107" t="s">
        <v>1866</v>
      </c>
      <c r="F584" s="108"/>
      <c r="G584" s="109"/>
      <c r="H584" s="106" t="s">
        <v>12</v>
      </c>
      <c r="I584" s="111" t="s">
        <v>1532</v>
      </c>
      <c r="J584" s="106">
        <f>IFERROR(VEERG_5_2_1_1__1_OrganicFertiliserApplicationN2OEmissions_Result_Method1, 0)</f>
        <v>7.8571428571428577E-3</v>
      </c>
      <c r="L584" s="106" t="s">
        <v>1013</v>
      </c>
      <c r="M584" s="107" t="s">
        <v>1866</v>
      </c>
      <c r="N584" s="108"/>
      <c r="O584" s="109"/>
      <c r="P584" s="106" t="s">
        <v>12</v>
      </c>
      <c r="Q584" s="111" t="s">
        <v>1532</v>
      </c>
      <c r="R584" s="106">
        <f>IFERROR(VEERG_5_2_1_1__1_OrganicFertiliserApplicationN2OEmissions_Result_Method2, 0)</f>
        <v>1.5714285714285715E-2</v>
      </c>
    </row>
    <row r="585" spans="1:18" ht="20.100000000000001" customHeight="1" x14ac:dyDescent="0.2">
      <c r="D585" s="106" t="s">
        <v>1867</v>
      </c>
      <c r="E585" s="107" t="s">
        <v>1868</v>
      </c>
      <c r="F585" s="108"/>
      <c r="G585" s="109"/>
      <c r="H585" s="106" t="s">
        <v>12</v>
      </c>
      <c r="I585" s="111" t="s">
        <v>1532</v>
      </c>
      <c r="J585" s="106">
        <f>IFERROR(VEERG_5_4_1_3__1_OrganicFertiliserAtmosphericDepositionN2OEmissions_Result_Method1, 0)</f>
        <v>1.38237E-2</v>
      </c>
      <c r="L585" s="106" t="s">
        <v>1867</v>
      </c>
      <c r="M585" s="107" t="s">
        <v>1868</v>
      </c>
      <c r="N585" s="108"/>
      <c r="O585" s="109"/>
      <c r="P585" s="106" t="s">
        <v>12</v>
      </c>
      <c r="Q585" s="111" t="s">
        <v>1532</v>
      </c>
      <c r="R585" s="106">
        <f>IFERROR(VEERG_5_4_1_3__1_OrganicFertiliserAtmosphericDepositionN2OEmissions_Result_Method2, 0)</f>
        <v>4.62E-3</v>
      </c>
    </row>
    <row r="586" spans="1:18" ht="20.100000000000001" customHeight="1" x14ac:dyDescent="0.2">
      <c r="D586" s="106" t="s">
        <v>1869</v>
      </c>
      <c r="E586" s="107" t="s">
        <v>1870</v>
      </c>
      <c r="F586" s="108"/>
      <c r="G586" s="109"/>
      <c r="H586" s="106" t="s">
        <v>12</v>
      </c>
      <c r="I586" s="111" t="s">
        <v>1532</v>
      </c>
      <c r="J586" s="106">
        <f>IFERROR(VEERG_5_5_1_1__1_FertiliserLeachingAndRunoffN2OEmissions_Result_Method1, 0)</f>
        <v>0.78791740368000007</v>
      </c>
      <c r="L586" s="106" t="s">
        <v>1869</v>
      </c>
      <c r="M586" s="107" t="s">
        <v>1870</v>
      </c>
      <c r="N586" s="108"/>
      <c r="O586" s="109"/>
      <c r="P586" s="106" t="s">
        <v>12</v>
      </c>
      <c r="Q586" s="111" t="s">
        <v>1532</v>
      </c>
      <c r="R586" s="106">
        <f>IFERROR(VEERG_5_5_1_1__1_FertiliserLeachingAndRunoffN2OEmissions_Result_Method2, 0)</f>
        <v>8.2971428571428554E-3</v>
      </c>
    </row>
    <row r="588" spans="1:18" ht="20.100000000000001" customHeight="1" x14ac:dyDescent="0.2">
      <c r="D588" s="255" t="s">
        <v>1282</v>
      </c>
      <c r="E588" s="92">
        <f>(J584 + J585 + J586)</f>
        <v>0.80959824653714296</v>
      </c>
      <c r="F588" s="96" t="str">
        <f>$E$580</f>
        <v>t N2O</v>
      </c>
      <c r="L588" s="255" t="s">
        <v>1282</v>
      </c>
      <c r="M588" s="92">
        <f>(R584 + R585 + R586)</f>
        <v>2.8631428571428572E-2</v>
      </c>
      <c r="N588" s="96" t="str">
        <f>$E$580</f>
        <v>t N2O</v>
      </c>
    </row>
    <row r="590" spans="1:18" ht="20.100000000000001" customHeight="1" x14ac:dyDescent="0.2">
      <c r="D590" s="117" t="str" cm="1">
        <f t="array" ref="D590:E591">Common_Equations.Common_ConvertN2OToCO2e_Arguments()</f>
        <v>EN2O</v>
      </c>
      <c r="E590" s="118" t="str">
        <v>Nitrous oxide emissions (t N2O)</v>
      </c>
      <c r="F590" s="119"/>
      <c r="G590" s="15">
        <f>E588</f>
        <v>0.80959824653714296</v>
      </c>
      <c r="L590" s="117" t="str" cm="1">
        <f t="array" ref="L590:M591">Common_Equations.Common_ConvertN2OToCO2e_Arguments()</f>
        <v>EN2O</v>
      </c>
      <c r="M590" s="118" t="str">
        <v>Nitrous oxide emissions (t N2O)</v>
      </c>
      <c r="N590" s="119"/>
      <c r="O590" s="15">
        <f>M588</f>
        <v>2.8631428571428572E-2</v>
      </c>
    </row>
    <row r="591" spans="1:18" ht="20.100000000000001" customHeight="1" x14ac:dyDescent="0.2">
      <c r="D591" s="117" t="str">
        <v>GWPN2O</v>
      </c>
      <c r="E591" s="118" t="str">
        <v>Global warming potential for nitrous oxide (t CO2-e / t N2O)</v>
      </c>
      <c r="F591" s="119"/>
      <c r="G591" s="15">
        <f>Common_InputFunctions.Utility_LookupValueInTableNumber("N2O",Table_GWPData[Gas],Table_GWPData[CO2-e factor])</f>
        <v>265</v>
      </c>
      <c r="L591" s="117" t="str">
        <v>GWPN2O</v>
      </c>
      <c r="M591" s="118" t="str">
        <v>Global warming potential for nitrous oxide (t CO2-e / t N2O)</v>
      </c>
      <c r="N591" s="119"/>
      <c r="O591" s="15">
        <f>Common_InputFunctions.Utility_LookupValueInTableNumber("N2O",Table_GWPData[Gas],Table_GWPData[CO2-e factor])</f>
        <v>265</v>
      </c>
    </row>
    <row r="593" spans="3:41" ht="20.100000000000001" customHeight="1" x14ac:dyDescent="0.2">
      <c r="D593" s="88" t="s">
        <v>436</v>
      </c>
      <c r="E593" s="88" cm="1">
        <f t="array" ref="E593">Common_Equations.Common_ConvertN2OToCO2e(G590,G591)</f>
        <v>214.54353533234288</v>
      </c>
      <c r="F593" s="95" t="str" cm="1">
        <f t="array" ref="F593">Common_Equations.Common_ConvertN2OToCO2e_Unit()</f>
        <v>t CO2e</v>
      </c>
      <c r="L593" s="88" t="s">
        <v>436</v>
      </c>
      <c r="M593" s="88" cm="1">
        <f t="array" ref="M593">Common_Equations.Common_ConvertN2OToCO2e(O590,O591)</f>
        <v>7.5873285714285714</v>
      </c>
      <c r="N593" s="95" t="str" cm="1">
        <f t="array" ref="N593">Common_Equations.Common_ConvertN2OToCO2e_Unit()</f>
        <v>t CO2e</v>
      </c>
    </row>
    <row r="596" spans="3:41" ht="20.100000000000001" customHeight="1" x14ac:dyDescent="0.2">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c r="AO596" s="88"/>
    </row>
    <row r="597" spans="3:41" ht="20.100000000000001" customHeight="1" x14ac:dyDescent="0.2">
      <c r="D597" s="2" t="s">
        <v>1871</v>
      </c>
    </row>
    <row r="598" spans="3:41" ht="20.100000000000001" customHeight="1" x14ac:dyDescent="0.2">
      <c r="D598" s="17" t="s">
        <v>1872</v>
      </c>
    </row>
    <row r="600" spans="3:41" ht="20.100000000000001" customHeight="1" x14ac:dyDescent="0.2">
      <c r="D600" s="77" t="s">
        <v>374</v>
      </c>
      <c r="E600" s="1" t="s">
        <v>1281</v>
      </c>
    </row>
    <row r="601" spans="3:41" ht="20.100000000000001" customHeight="1" x14ac:dyDescent="0.2">
      <c r="D601" s="77" t="s">
        <v>126</v>
      </c>
      <c r="E601" s="9" t="s">
        <v>6</v>
      </c>
    </row>
    <row r="603" spans="3:41" ht="20.100000000000001" customHeight="1" x14ac:dyDescent="0.2">
      <c r="D603" s="255" t="s">
        <v>1282</v>
      </c>
      <c r="E603" s="92">
        <f>VEERG_10_1_1_1__1_EmissionsFromWasteManagement_Scope3_Result_Method1</f>
        <v>441.15000000000003</v>
      </c>
      <c r="F603" s="96" t="str">
        <f>E601</f>
        <v>t CO2e</v>
      </c>
    </row>
    <row r="606" spans="3:41" ht="20.100000000000001" customHeight="1" x14ac:dyDescent="0.2">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c r="AO606" s="88"/>
    </row>
    <row r="607" spans="3:41" ht="20.100000000000001" customHeight="1" x14ac:dyDescent="0.2">
      <c r="D607" s="2" t="s">
        <v>1873</v>
      </c>
    </row>
    <row r="608" spans="3:41" ht="20.100000000000001" customHeight="1" x14ac:dyDescent="0.2">
      <c r="D608" s="17" t="s">
        <v>1874</v>
      </c>
    </row>
    <row r="609" spans="1:13" ht="20.100000000000001" customHeight="1" x14ac:dyDescent="0.2">
      <c r="D609" s="104"/>
      <c r="E609" s="104"/>
    </row>
    <row r="611" spans="1:13" ht="20.100000000000001" customHeight="1" x14ac:dyDescent="0.2">
      <c r="A611" s="85" t="str">
        <f>HYPERLINK("#A1", "▲ Back to top")</f>
        <v>▲ Back to top</v>
      </c>
    </row>
    <row r="613" spans="1:13" ht="20.100000000000001" customHeight="1" x14ac:dyDescent="0.2">
      <c r="D613" s="77" t="s">
        <v>374</v>
      </c>
      <c r="E613" s="1" t="s">
        <v>1281</v>
      </c>
    </row>
    <row r="614" spans="1:13" ht="20.100000000000001" customHeight="1" x14ac:dyDescent="0.2">
      <c r="D614" s="77" t="s">
        <v>126</v>
      </c>
      <c r="E614" s="9" t="s">
        <v>6</v>
      </c>
    </row>
    <row r="616" spans="1:13" ht="20.100000000000001" customHeight="1" x14ac:dyDescent="0.2">
      <c r="D616" s="106" t="s">
        <v>1875</v>
      </c>
      <c r="E616" s="107" t="s">
        <v>1876</v>
      </c>
      <c r="F616" s="109"/>
      <c r="G616" s="106" t="s">
        <v>1700</v>
      </c>
      <c r="H616" s="251" t="s">
        <v>1325</v>
      </c>
    </row>
    <row r="617" spans="1:13" ht="20.100000000000001" customHeight="1" x14ac:dyDescent="0.2">
      <c r="D617" s="106" t="s">
        <v>1877</v>
      </c>
      <c r="E617" s="107" t="s">
        <v>1878</v>
      </c>
      <c r="F617" s="109"/>
      <c r="G617" s="106" t="s">
        <v>1881</v>
      </c>
      <c r="H617" s="251" t="s">
        <v>1325</v>
      </c>
    </row>
    <row r="618" spans="1:13" ht="20.100000000000001" customHeight="1" x14ac:dyDescent="0.2">
      <c r="D618" s="106" t="s">
        <v>1778</v>
      </c>
      <c r="E618" s="107" t="s">
        <v>1879</v>
      </c>
      <c r="F618" s="109"/>
      <c r="G618" s="106" t="s">
        <v>1882</v>
      </c>
      <c r="H618" s="111" t="s">
        <v>1326</v>
      </c>
    </row>
    <row r="619" spans="1:13" ht="20.100000000000001" customHeight="1" x14ac:dyDescent="0.2">
      <c r="D619" s="106" t="s">
        <v>1496</v>
      </c>
      <c r="E619" s="107" t="s">
        <v>1880</v>
      </c>
      <c r="F619" s="109"/>
      <c r="G619" s="106"/>
      <c r="H619" s="251" t="s">
        <v>1325</v>
      </c>
    </row>
    <row r="621" spans="1:13" ht="20.100000000000001" customHeight="1" x14ac:dyDescent="0.2">
      <c r="D621" s="241" t="s">
        <v>1145</v>
      </c>
    </row>
    <row r="623" spans="1:13" ht="20.100000000000001" customHeight="1" x14ac:dyDescent="0.2">
      <c r="D623" s="82" t="s">
        <v>1283</v>
      </c>
      <c r="E623" s="82" t="s">
        <v>1284</v>
      </c>
      <c r="F623" s="82" t="s">
        <v>1285</v>
      </c>
      <c r="G623" s="115" t="s">
        <v>1286</v>
      </c>
      <c r="H623" s="115" t="s">
        <v>1175</v>
      </c>
      <c r="I623" s="82" t="s">
        <v>1224</v>
      </c>
      <c r="J623" s="115" t="s">
        <v>1178</v>
      </c>
      <c r="K623" s="82" t="s">
        <v>1179</v>
      </c>
      <c r="L623" s="82" t="s">
        <v>1180</v>
      </c>
      <c r="M623" s="82" t="s">
        <v>1181</v>
      </c>
    </row>
    <row r="624" spans="1:13" ht="20.100000000000001" customHeight="1" x14ac:dyDescent="0.2">
      <c r="D624" s="15" t="str" cm="1">
        <f t="array" ref="D624:D633">IFERROR(INDEX(Table_Input_FreightIncoming[Route name], _xlfn.SEQUENCE(10)), "")</f>
        <v>Melbourne depot to farm depot weekly</v>
      </c>
      <c r="E624" s="15" cm="1">
        <f t="array" ref="E624:E633">IFERROR(INDEX(Table_Input_FreightIncoming[Average weight of freight per trip (t)], _xlfn.SEQUENCE(10)), "")</f>
        <v>10</v>
      </c>
      <c r="F624" s="15" cm="1">
        <f t="array" ref="F624:F633">IFERROR(INDEX(Table_Input_FreightIncoming[Route distance (km)], _xlfn.SEQUENCE(10))*INDEX(Table_Input_FreightIncoming[Number of trips taken], _xlfn.SEQUENCE(10)), "")</f>
        <v>51272</v>
      </c>
      <c r="G624" s="15" t="s">
        <v>1263</v>
      </c>
      <c r="H624" s="15" t="s">
        <v>1263</v>
      </c>
      <c r="I624" s="76">
        <v>0.01</v>
      </c>
      <c r="J624" s="15">
        <f>((E624 * F624) * I624)</f>
        <v>5127.2</v>
      </c>
      <c r="K624" s="34"/>
      <c r="L624" s="13"/>
      <c r="M624" s="34"/>
    </row>
    <row r="625" spans="4:13" ht="20.100000000000001" customHeight="1" x14ac:dyDescent="0.2">
      <c r="D625" s="15" t="str">
        <v>Fertiliser supplier to farm</v>
      </c>
      <c r="E625" s="15">
        <v>10</v>
      </c>
      <c r="F625" s="15">
        <v>390</v>
      </c>
      <c r="G625" s="15" t="s">
        <v>1263</v>
      </c>
      <c r="H625" s="15" t="s">
        <v>1263</v>
      </c>
      <c r="I625" s="76">
        <v>0.01</v>
      </c>
      <c r="J625" s="15">
        <f>((E625 * F625) * I625)</f>
        <v>39</v>
      </c>
      <c r="K625" s="34"/>
      <c r="L625" s="13"/>
      <c r="M625" s="34"/>
    </row>
    <row r="626" spans="4:13" ht="20.100000000000001" customHeight="1" x14ac:dyDescent="0.2">
      <c r="D626" s="15">
        <v>0</v>
      </c>
      <c r="E626" s="15">
        <v>0</v>
      </c>
      <c r="F626" s="15">
        <v>0</v>
      </c>
      <c r="G626" s="15" t="s">
        <v>1263</v>
      </c>
      <c r="H626" s="15" t="s">
        <v>1263</v>
      </c>
      <c r="I626" s="76"/>
      <c r="J626" s="15">
        <f>((E626 * F626) * I626)</f>
        <v>0</v>
      </c>
      <c r="K626" s="34"/>
      <c r="L626" s="13"/>
      <c r="M626" s="34"/>
    </row>
    <row r="627" spans="4:13" ht="20.100000000000001" customHeight="1" x14ac:dyDescent="0.2">
      <c r="D627" s="15">
        <v>0</v>
      </c>
      <c r="E627" s="15">
        <v>0</v>
      </c>
      <c r="F627" s="15">
        <v>0</v>
      </c>
      <c r="G627" s="15" t="s">
        <v>1263</v>
      </c>
      <c r="H627" s="15" t="s">
        <v>1263</v>
      </c>
      <c r="I627" s="76"/>
      <c r="J627" s="15">
        <f>((E627 * F627) * I627)</f>
        <v>0</v>
      </c>
      <c r="K627" s="34"/>
      <c r="L627" s="13"/>
      <c r="M627" s="34"/>
    </row>
    <row r="628" spans="4:13" ht="20.100000000000001" customHeight="1" x14ac:dyDescent="0.2">
      <c r="D628" s="15">
        <v>0</v>
      </c>
      <c r="E628" s="15">
        <v>0</v>
      </c>
      <c r="F628" s="15">
        <v>0</v>
      </c>
      <c r="G628" s="15" t="s">
        <v>1263</v>
      </c>
      <c r="H628" s="15" t="s">
        <v>1263</v>
      </c>
      <c r="I628" s="76"/>
      <c r="J628" s="15">
        <f>((E628 * F628) * I628)</f>
        <v>0</v>
      </c>
      <c r="K628" s="34"/>
      <c r="L628" s="13"/>
      <c r="M628" s="34"/>
    </row>
    <row r="629" spans="4:13" ht="20.100000000000001" customHeight="1" x14ac:dyDescent="0.2">
      <c r="D629" s="15">
        <v>0</v>
      </c>
      <c r="E629" s="15">
        <v>0</v>
      </c>
      <c r="F629" s="15">
        <v>0</v>
      </c>
      <c r="G629" s="15" t="s">
        <v>1263</v>
      </c>
      <c r="H629" s="15" t="s">
        <v>1263</v>
      </c>
      <c r="I629" s="76"/>
      <c r="J629" s="15">
        <f>((E629 * F629) * I629)</f>
        <v>0</v>
      </c>
      <c r="K629" s="34"/>
      <c r="L629" s="13"/>
      <c r="M629" s="34"/>
    </row>
    <row r="630" spans="4:13" ht="20.100000000000001" customHeight="1" x14ac:dyDescent="0.2">
      <c r="D630" s="15">
        <v>0</v>
      </c>
      <c r="E630" s="15">
        <v>0</v>
      </c>
      <c r="F630" s="15">
        <v>0</v>
      </c>
      <c r="G630" s="15" t="s">
        <v>1263</v>
      </c>
      <c r="H630" s="15" t="s">
        <v>1263</v>
      </c>
      <c r="I630" s="76"/>
      <c r="J630" s="15">
        <f>((E630 * F630) * I630)</f>
        <v>0</v>
      </c>
      <c r="K630" s="34"/>
      <c r="L630" s="13"/>
      <c r="M630" s="34"/>
    </row>
    <row r="631" spans="4:13" ht="20.100000000000001" customHeight="1" x14ac:dyDescent="0.2">
      <c r="D631" s="15">
        <v>0</v>
      </c>
      <c r="E631" s="15">
        <v>0</v>
      </c>
      <c r="F631" s="15">
        <v>0</v>
      </c>
      <c r="G631" s="15" t="s">
        <v>1263</v>
      </c>
      <c r="H631" s="15" t="s">
        <v>1263</v>
      </c>
      <c r="I631" s="76"/>
      <c r="J631" s="15">
        <f>((E631 * F631) * I631)</f>
        <v>0</v>
      </c>
      <c r="K631" s="34"/>
      <c r="L631" s="13"/>
      <c r="M631" s="34"/>
    </row>
    <row r="632" spans="4:13" ht="20.100000000000001" customHeight="1" x14ac:dyDescent="0.2">
      <c r="D632" s="15">
        <v>0</v>
      </c>
      <c r="E632" s="15">
        <v>0</v>
      </c>
      <c r="F632" s="15">
        <v>0</v>
      </c>
      <c r="G632" s="15" t="s">
        <v>1263</v>
      </c>
      <c r="H632" s="15" t="s">
        <v>1263</v>
      </c>
      <c r="I632" s="76"/>
      <c r="J632" s="15">
        <f>((E632 * F632) * I632)</f>
        <v>0</v>
      </c>
      <c r="K632" s="34"/>
      <c r="L632" s="13"/>
      <c r="M632" s="34"/>
    </row>
    <row r="633" spans="4:13" ht="20.100000000000001" customHeight="1" x14ac:dyDescent="0.2">
      <c r="D633" s="15">
        <v>0</v>
      </c>
      <c r="E633" s="15">
        <v>0</v>
      </c>
      <c r="F633" s="15">
        <v>0</v>
      </c>
      <c r="G633" s="15" t="s">
        <v>1263</v>
      </c>
      <c r="H633" s="15" t="s">
        <v>1263</v>
      </c>
      <c r="I633" s="76"/>
      <c r="J633" s="15">
        <f>((E633 * F633) * I633)</f>
        <v>0</v>
      </c>
      <c r="K633" s="34"/>
      <c r="L633" s="13"/>
      <c r="M633" s="34"/>
    </row>
    <row r="635" spans="4:13" ht="20.100000000000001" customHeight="1" x14ac:dyDescent="0.2">
      <c r="D635" s="94" t="s">
        <v>1287</v>
      </c>
      <c r="E635" s="88" t="s">
        <v>1263</v>
      </c>
      <c r="F635" s="95" t="str">
        <f>$E$105</f>
        <v>t CO2e</v>
      </c>
    </row>
    <row r="636" spans="4:13" ht="20.100000000000001" customHeight="1" x14ac:dyDescent="0.2">
      <c r="D636" s="94" t="s">
        <v>1288</v>
      </c>
      <c r="E636" s="88">
        <f>SUM(J624:J633)</f>
        <v>5166.2</v>
      </c>
      <c r="F636" s="95" t="str">
        <f>$E$105</f>
        <v>t CO2e</v>
      </c>
    </row>
    <row r="639" spans="4:13" ht="20.100000000000001" customHeight="1" x14ac:dyDescent="0.2">
      <c r="D639" s="241" t="s">
        <v>1155</v>
      </c>
    </row>
    <row r="641" spans="1:13" ht="20.100000000000001" customHeight="1" x14ac:dyDescent="0.2">
      <c r="A641" s="85" t="str">
        <f>HYPERLINK("#A1", "▲ Back to top")</f>
        <v>▲ Back to top</v>
      </c>
      <c r="D641" s="82" t="s">
        <v>1283</v>
      </c>
      <c r="E641" s="82" t="s">
        <v>1284</v>
      </c>
      <c r="F641" s="82" t="s">
        <v>1285</v>
      </c>
      <c r="G641" s="115" t="s">
        <v>1286</v>
      </c>
      <c r="H641" s="115" t="s">
        <v>1175</v>
      </c>
      <c r="I641" s="82" t="s">
        <v>1224</v>
      </c>
      <c r="J641" s="115" t="s">
        <v>1178</v>
      </c>
      <c r="K641" s="82" t="s">
        <v>1179</v>
      </c>
      <c r="L641" s="82" t="s">
        <v>1180</v>
      </c>
      <c r="M641" s="82" t="s">
        <v>1181</v>
      </c>
    </row>
    <row r="642" spans="1:13" ht="20.100000000000001" customHeight="1" x14ac:dyDescent="0.2">
      <c r="D642" s="15" t="str" cm="1">
        <f t="array" ref="D642:D651">IFERROR(INDEX(Table_Input_FreightOutgoing[Route name], _xlfn.SEQUENCE(10)), "")</f>
        <v>Farm to bulk handler</v>
      </c>
      <c r="E642" s="15" cm="1">
        <f t="array" ref="E642:E651">IFERROR(INDEX(Table_Input_FreightOutgoing[Average weight of freight per trip (t)], _xlfn.SEQUENCE(10)), "")</f>
        <v>20</v>
      </c>
      <c r="F642" s="15" cm="1">
        <f t="array" ref="F642:F651">IFERROR(INDEX(Table_Input_FreightOutgoing[Route distance (km)], _xlfn.SEQUENCE(10))*INDEX(Table_Input_FreightOutgoing[Number of trips taken], _xlfn.SEQUENCE(10)), "")</f>
        <v>3380</v>
      </c>
      <c r="G642" s="15" t="s">
        <v>1263</v>
      </c>
      <c r="H642" s="15" t="s">
        <v>1263</v>
      </c>
      <c r="I642" s="76">
        <v>0.01</v>
      </c>
      <c r="J642" s="15">
        <f>((E642 * F642) * I642)</f>
        <v>676</v>
      </c>
      <c r="K642" s="34"/>
      <c r="L642" s="13"/>
      <c r="M642" s="34"/>
    </row>
    <row r="643" spans="1:13" ht="20.100000000000001" customHeight="1" x14ac:dyDescent="0.2">
      <c r="D643" s="15">
        <v>0</v>
      </c>
      <c r="E643" s="15">
        <v>0</v>
      </c>
      <c r="F643" s="15">
        <v>0</v>
      </c>
      <c r="G643" s="15" t="s">
        <v>1263</v>
      </c>
      <c r="H643" s="15" t="s">
        <v>1263</v>
      </c>
      <c r="I643" s="76"/>
      <c r="J643" s="15">
        <f>((E643 * F643) * I643)</f>
        <v>0</v>
      </c>
      <c r="K643" s="34"/>
      <c r="L643" s="13"/>
      <c r="M643" s="34"/>
    </row>
    <row r="644" spans="1:13" ht="20.100000000000001" customHeight="1" x14ac:dyDescent="0.2">
      <c r="D644" s="15">
        <v>0</v>
      </c>
      <c r="E644" s="15">
        <v>0</v>
      </c>
      <c r="F644" s="15">
        <v>0</v>
      </c>
      <c r="G644" s="15" t="s">
        <v>1263</v>
      </c>
      <c r="H644" s="15" t="s">
        <v>1263</v>
      </c>
      <c r="I644" s="76"/>
      <c r="J644" s="15">
        <f>((E644 * F644) * I644)</f>
        <v>0</v>
      </c>
      <c r="K644" s="34"/>
      <c r="L644" s="13"/>
      <c r="M644" s="34"/>
    </row>
    <row r="645" spans="1:13" ht="20.100000000000001" customHeight="1" x14ac:dyDescent="0.2">
      <c r="D645" s="15">
        <v>0</v>
      </c>
      <c r="E645" s="15">
        <v>0</v>
      </c>
      <c r="F645" s="15">
        <v>0</v>
      </c>
      <c r="G645" s="15" t="s">
        <v>1263</v>
      </c>
      <c r="H645" s="15" t="s">
        <v>1263</v>
      </c>
      <c r="I645" s="76"/>
      <c r="J645" s="15">
        <f>((E645 * F645) * I645)</f>
        <v>0</v>
      </c>
      <c r="K645" s="34"/>
      <c r="L645" s="13"/>
      <c r="M645" s="34"/>
    </row>
    <row r="646" spans="1:13" ht="20.100000000000001" customHeight="1" x14ac:dyDescent="0.2">
      <c r="D646" s="15">
        <v>0</v>
      </c>
      <c r="E646" s="15">
        <v>0</v>
      </c>
      <c r="F646" s="15">
        <v>0</v>
      </c>
      <c r="G646" s="15" t="s">
        <v>1263</v>
      </c>
      <c r="H646" s="15" t="s">
        <v>1263</v>
      </c>
      <c r="I646" s="76"/>
      <c r="J646" s="15">
        <f>((E646 * F646) * I646)</f>
        <v>0</v>
      </c>
      <c r="K646" s="34"/>
      <c r="L646" s="13"/>
      <c r="M646" s="34"/>
    </row>
    <row r="647" spans="1:13" ht="20.100000000000001" customHeight="1" x14ac:dyDescent="0.2">
      <c r="D647" s="15">
        <v>0</v>
      </c>
      <c r="E647" s="15">
        <v>0</v>
      </c>
      <c r="F647" s="15">
        <v>0</v>
      </c>
      <c r="G647" s="15" t="s">
        <v>1263</v>
      </c>
      <c r="H647" s="15" t="s">
        <v>1263</v>
      </c>
      <c r="I647" s="76"/>
      <c r="J647" s="15">
        <f>((E647 * F647) * I647)</f>
        <v>0</v>
      </c>
      <c r="K647" s="34"/>
      <c r="L647" s="13"/>
      <c r="M647" s="34"/>
    </row>
    <row r="648" spans="1:13" ht="20.100000000000001" customHeight="1" x14ac:dyDescent="0.2">
      <c r="D648" s="15">
        <v>0</v>
      </c>
      <c r="E648" s="15">
        <v>0</v>
      </c>
      <c r="F648" s="15">
        <v>0</v>
      </c>
      <c r="G648" s="15" t="s">
        <v>1263</v>
      </c>
      <c r="H648" s="15" t="s">
        <v>1263</v>
      </c>
      <c r="I648" s="76"/>
      <c r="J648" s="15">
        <f>((E648 * F648) * I648)</f>
        <v>0</v>
      </c>
      <c r="K648" s="34"/>
      <c r="L648" s="13"/>
      <c r="M648" s="34"/>
    </row>
    <row r="649" spans="1:13" ht="20.100000000000001" customHeight="1" x14ac:dyDescent="0.2">
      <c r="D649" s="15">
        <v>0</v>
      </c>
      <c r="E649" s="15">
        <v>0</v>
      </c>
      <c r="F649" s="15">
        <v>0</v>
      </c>
      <c r="G649" s="15" t="s">
        <v>1263</v>
      </c>
      <c r="H649" s="15" t="s">
        <v>1263</v>
      </c>
      <c r="I649" s="76"/>
      <c r="J649" s="15">
        <f>((E649 * F649) * I649)</f>
        <v>0</v>
      </c>
      <c r="K649" s="34"/>
      <c r="L649" s="13"/>
      <c r="M649" s="34"/>
    </row>
    <row r="650" spans="1:13" ht="20.100000000000001" customHeight="1" x14ac:dyDescent="0.2">
      <c r="D650" s="15">
        <v>0</v>
      </c>
      <c r="E650" s="15">
        <v>0</v>
      </c>
      <c r="F650" s="15">
        <v>0</v>
      </c>
      <c r="G650" s="15" t="s">
        <v>1263</v>
      </c>
      <c r="H650" s="15" t="s">
        <v>1263</v>
      </c>
      <c r="I650" s="76"/>
      <c r="J650" s="15">
        <f>((E650 * F650) * I650)</f>
        <v>0</v>
      </c>
      <c r="K650" s="34"/>
      <c r="L650" s="13"/>
      <c r="M650" s="34"/>
    </row>
    <row r="651" spans="1:13" ht="20.100000000000001" customHeight="1" x14ac:dyDescent="0.2">
      <c r="D651" s="15">
        <v>0</v>
      </c>
      <c r="E651" s="15">
        <v>0</v>
      </c>
      <c r="F651" s="15">
        <v>0</v>
      </c>
      <c r="G651" s="15" t="s">
        <v>1263</v>
      </c>
      <c r="H651" s="15" t="s">
        <v>1263</v>
      </c>
      <c r="I651" s="76"/>
      <c r="J651" s="15">
        <f>((E651 * F651) * I651)</f>
        <v>0</v>
      </c>
      <c r="K651" s="34"/>
      <c r="L651" s="13"/>
      <c r="M651" s="34"/>
    </row>
    <row r="653" spans="1:13" ht="20.100000000000001" customHeight="1" x14ac:dyDescent="0.2">
      <c r="D653" s="94" t="s">
        <v>1289</v>
      </c>
      <c r="E653" s="88" t="s">
        <v>1263</v>
      </c>
      <c r="F653" s="95" t="str">
        <f>$E$105</f>
        <v>t CO2e</v>
      </c>
    </row>
    <row r="654" spans="1:13" ht="20.100000000000001" customHeight="1" x14ac:dyDescent="0.2">
      <c r="D654" s="94" t="s">
        <v>1290</v>
      </c>
      <c r="E654" s="88">
        <f>SUM(J642:J651)</f>
        <v>676</v>
      </c>
      <c r="F654" s="95" t="str">
        <f>$E$105</f>
        <v>t CO2e</v>
      </c>
    </row>
    <row r="656" spans="1:13" ht="20.100000000000001" customHeight="1" x14ac:dyDescent="0.2">
      <c r="D656" s="91" t="s">
        <v>1175</v>
      </c>
      <c r="E656" s="92" t="s">
        <v>1263</v>
      </c>
      <c r="F656" s="96" t="str">
        <f>$E$105</f>
        <v>t CO2e</v>
      </c>
    </row>
    <row r="657" spans="4:6" ht="20.100000000000001" customHeight="1" x14ac:dyDescent="0.2">
      <c r="D657" s="91" t="s">
        <v>1178</v>
      </c>
      <c r="E657" s="92">
        <f>VEERG_15_14_1_1__1_EmbeddedEmissionsFromUpstreamFreight_Incoming_Result_Method2+VEERG_15_14_1_1__1_EmbeddedEmissionsFromUpstreamFreight_Outgoing_Result_Method2</f>
        <v>5842.2</v>
      </c>
      <c r="F657" s="96" t="str">
        <f>$E$105</f>
        <v>t CO2e</v>
      </c>
    </row>
  </sheetData>
  <dataValidations count="2">
    <dataValidation type="list" allowBlank="1" showInputMessage="1" showErrorMessage="1" sqref="J505:J514" xr:uid="{B8D86A2C-0025-459C-873C-0BC0FBF373B7}">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0AB88336-0FC1-43D3-A602-9631DE78805A}">
      <formula1>INDIRECT("Table_SourceData_DataScores_Scope3[Data source]")</formula1>
    </dataValidation>
  </dataValidations>
  <pageMargins left="0.7" right="0.7" top="0.75" bottom="0.75" header="0.3" footer="0.3"/>
  <pageSetup paperSize="9"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FE339-0C98-4A16-827A-648A24F33F56}">
  <sheetPr>
    <tabColor theme="9" tint="-0.249977111117893"/>
  </sheetPr>
  <dimension ref="A1:U9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5703125" customWidth="1"/>
    <col min="3" max="3" width="4.5703125" style="1" customWidth="1"/>
    <col min="4" max="10" width="30.5703125" style="1" customWidth="1"/>
    <col min="11" max="11" width="4.5703125" style="1" customWidth="1"/>
    <col min="12" max="12" width="4.5703125" customWidth="1"/>
    <col min="13" max="13" width="4.5703125" style="1" customWidth="1"/>
    <col min="14" max="20" width="30.5703125" style="1" customWidth="1"/>
    <col min="21" max="21" width="4.5703125" style="1" customWidth="1"/>
  </cols>
  <sheetData>
    <row r="1" spans="1:21" ht="30" customHeight="1" x14ac:dyDescent="0.35">
      <c r="A1" s="10" t="e" vm="1">
        <v>#VALUE!</v>
      </c>
      <c r="C1" s="21" t="s">
        <v>1291</v>
      </c>
      <c r="D1" s="21"/>
      <c r="E1" s="21"/>
      <c r="F1" s="21"/>
      <c r="G1" s="21"/>
      <c r="H1" s="21"/>
      <c r="I1" s="21"/>
      <c r="J1" s="21"/>
      <c r="K1" s="21"/>
      <c r="M1" s="21"/>
      <c r="N1" s="21"/>
      <c r="O1" s="21"/>
      <c r="P1" s="21"/>
      <c r="Q1" s="21"/>
      <c r="R1" s="21"/>
      <c r="S1" s="21"/>
      <c r="T1" s="21"/>
      <c r="U1" s="21"/>
    </row>
    <row r="2" spans="1:21" ht="20.100000000000001" customHeight="1" x14ac:dyDescent="0.2">
      <c r="C2" s="3"/>
      <c r="D2" s="3"/>
      <c r="E2" s="3"/>
      <c r="F2" s="3"/>
      <c r="G2" s="3"/>
      <c r="H2" s="3"/>
      <c r="I2" s="3"/>
      <c r="J2" s="3"/>
      <c r="K2" s="3"/>
      <c r="M2" s="3"/>
      <c r="N2" s="3"/>
      <c r="O2" s="3"/>
      <c r="P2" s="3"/>
      <c r="Q2" s="3"/>
      <c r="R2" s="3"/>
      <c r="S2" s="3"/>
      <c r="T2" s="3"/>
      <c r="U2" s="3"/>
    </row>
    <row r="3" spans="1:21" ht="20.100000000000001" customHeight="1" x14ac:dyDescent="0.2">
      <c r="A3" s="5" t="str">
        <f>HYPERLINK("#'Home'!A1", "Home")</f>
        <v>Home</v>
      </c>
      <c r="C3" s="23"/>
      <c r="D3" s="23" t="s">
        <v>141</v>
      </c>
      <c r="E3" s="23"/>
      <c r="F3" s="23"/>
      <c r="G3" s="23"/>
      <c r="H3" s="23"/>
      <c r="I3" s="23"/>
      <c r="J3" s="23"/>
      <c r="K3" s="23"/>
      <c r="M3" s="23"/>
      <c r="N3" s="23" t="s">
        <v>142</v>
      </c>
      <c r="O3" s="23"/>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Emissions Intensity")</f>
        <v>Results - Product Emissions Intensity</v>
      </c>
      <c r="D5" s="2" t="s">
        <v>1541</v>
      </c>
      <c r="N5" s="2" t="s">
        <v>1541</v>
      </c>
    </row>
    <row r="6" spans="1:21" ht="20.100000000000001" customHeight="1" x14ac:dyDescent="0.2">
      <c r="D6" s="17" t="s">
        <v>1542</v>
      </c>
      <c r="N6" s="17" t="s">
        <v>1542</v>
      </c>
    </row>
    <row r="7" spans="1:21" ht="20.100000000000001" customHeight="1" x14ac:dyDescent="0.2">
      <c r="D7" s="104"/>
      <c r="E7" s="104"/>
      <c r="N7" s="104"/>
      <c r="O7" s="104"/>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374</v>
      </c>
      <c r="E10" s="1" t="s">
        <v>1013</v>
      </c>
      <c r="N10" s="77" t="s">
        <v>374</v>
      </c>
      <c r="O10" s="1" t="s">
        <v>1013</v>
      </c>
    </row>
    <row r="11" spans="1:21" ht="20.100000000000001" customHeight="1" x14ac:dyDescent="0.2">
      <c r="A11" s="5" t="str">
        <f>HYPERLINK("#'Input - Pasture Beef'!A1", "Pasture Beef")</f>
        <v>Pasture Beef</v>
      </c>
      <c r="D11" s="77" t="s">
        <v>126</v>
      </c>
      <c r="E11" s="9" t="s">
        <v>12</v>
      </c>
      <c r="N11" s="77" t="s">
        <v>126</v>
      </c>
      <c r="O11" s="9" t="s">
        <v>12</v>
      </c>
    </row>
    <row r="12" spans="1:21" ht="20.100000000000001" customHeight="1" x14ac:dyDescent="0.2">
      <c r="A12" s="5" t="str">
        <f>HYPERLINK("#'Input - Livestock sales'!A1", "Livestock sales")</f>
        <v>Livestock sales</v>
      </c>
    </row>
    <row r="13" spans="1:21" ht="20.100000000000001" customHeight="1" x14ac:dyDescent="0.2">
      <c r="A13" s="5" t="str">
        <f>HYPERLINK("#'Input - Beef cattle purchases'!A1", "Beef cattle purchases")</f>
        <v>Beef cattle purchases</v>
      </c>
      <c r="D13" s="106" t="s">
        <v>1536</v>
      </c>
      <c r="E13" s="107" t="s">
        <v>1543</v>
      </c>
      <c r="F13" s="108"/>
      <c r="G13" s="109"/>
      <c r="H13" s="106" t="s">
        <v>1162</v>
      </c>
      <c r="I13" s="111" t="s">
        <v>1546</v>
      </c>
      <c r="J13" s="106">
        <f>X_Cell_ManureSentOffsite_MassNitrogenManure_Method1</f>
        <v>1000</v>
      </c>
      <c r="N13" s="106" t="s">
        <v>1536</v>
      </c>
      <c r="O13" s="107" t="s">
        <v>1543</v>
      </c>
      <c r="P13" s="108"/>
      <c r="Q13" s="109"/>
      <c r="R13" s="106" t="s">
        <v>1162</v>
      </c>
      <c r="S13" s="111" t="s">
        <v>1546</v>
      </c>
      <c r="T13" s="106">
        <f>X_Cell_ManureSentOffsite_MassNitrogenManure_Method2</f>
        <v>2000</v>
      </c>
    </row>
    <row r="14" spans="1:21" ht="20.100000000000001" customHeight="1" x14ac:dyDescent="0.2">
      <c r="A14" s="5" t="str">
        <f>HYPERLINK("#'Input - Pasture'!A1", "Pasture")</f>
        <v>Pasture</v>
      </c>
      <c r="D14" s="106" t="s">
        <v>1544</v>
      </c>
      <c r="E14" s="107" t="s">
        <v>1545</v>
      </c>
      <c r="F14" s="108"/>
      <c r="G14" s="109"/>
      <c r="H14" s="106" t="s">
        <v>1462</v>
      </c>
      <c r="I14" s="111" t="s">
        <v>1523</v>
      </c>
      <c r="J14" s="106">
        <f>Common_InputFunctions.Utility_LookupValueInTableNumber(J17, Table_SourceData_Common_EFOrganicFertCropResidues[Climate Zone],Table_SourceData_Common_EFOrganicFertCropResidues[EFNi &amp; EFN2Oi])</f>
        <v>5.0000000000000001E-3</v>
      </c>
      <c r="N14" s="106" t="s">
        <v>1544</v>
      </c>
      <c r="O14" s="107" t="s">
        <v>1545</v>
      </c>
      <c r="P14" s="108"/>
      <c r="Q14" s="109"/>
      <c r="R14" s="106" t="s">
        <v>1462</v>
      </c>
      <c r="S14" s="111" t="s">
        <v>1523</v>
      </c>
      <c r="T14" s="106"/>
    </row>
    <row r="15" spans="1:21" ht="20.100000000000001" customHeight="1" x14ac:dyDescent="0.2">
      <c r="A15" s="5" t="str">
        <f>HYPERLINK("#'Input - Fert Prod System'!A1", "Fert Prod System")</f>
        <v>Fert Prod System</v>
      </c>
      <c r="D15" s="106" t="s">
        <v>1454</v>
      </c>
      <c r="E15" s="107" t="s">
        <v>1502</v>
      </c>
      <c r="F15" s="108"/>
      <c r="G15" s="109"/>
      <c r="H15" s="106"/>
      <c r="I15" s="111" t="s">
        <v>1326</v>
      </c>
      <c r="J15" s="106">
        <f>Common_InputFunctions.Utility_LookupValueInTableNumber("N2O",Table_GasToMolecularConversionFactor[Gas],Table_GasToMolecularConversionFactor[Conversion factor combined])</f>
        <v>1.5714285714285714</v>
      </c>
      <c r="N15" s="106" t="s">
        <v>1454</v>
      </c>
      <c r="O15" s="107" t="s">
        <v>1502</v>
      </c>
      <c r="P15" s="108"/>
      <c r="Q15" s="109"/>
      <c r="R15" s="106"/>
      <c r="S15" s="111" t="s">
        <v>1326</v>
      </c>
      <c r="T15" s="106"/>
    </row>
    <row r="16" spans="1:21" ht="20.100000000000001" customHeight="1" x14ac:dyDescent="0.2">
      <c r="A16" s="5" t="str">
        <f>HYPERLINK("#'Input - Fertiliser'!A1", "Fertiliser")</f>
        <v>Fertiliser</v>
      </c>
      <c r="D16" s="106" t="s">
        <v>1456</v>
      </c>
      <c r="E16" s="107" t="s">
        <v>176</v>
      </c>
      <c r="F16" s="108"/>
      <c r="G16" s="109"/>
      <c r="H16" s="106"/>
      <c r="I16" s="251" t="s">
        <v>1325</v>
      </c>
      <c r="J16" s="106" t="str">
        <f>X_Cell_ManureSentOffsite_ManureProductionSystem</f>
        <v>Crop</v>
      </c>
      <c r="N16" s="106" t="s">
        <v>1456</v>
      </c>
      <c r="O16" s="107" t="s">
        <v>176</v>
      </c>
      <c r="P16" s="108"/>
      <c r="Q16" s="109"/>
      <c r="R16" s="106"/>
      <c r="S16" s="251" t="s">
        <v>1325</v>
      </c>
      <c r="T16" s="106"/>
    </row>
    <row r="17" spans="1:20" ht="20.100000000000001" customHeight="1" x14ac:dyDescent="0.2">
      <c r="A17" s="5" t="str">
        <f>HYPERLINK("#'Input - Fuel'!A1", "Fuel")</f>
        <v>Fuel</v>
      </c>
      <c r="D17" s="106" t="s">
        <v>1373</v>
      </c>
      <c r="E17" s="107" t="s">
        <v>123</v>
      </c>
      <c r="F17" s="108"/>
      <c r="G17" s="109"/>
      <c r="H17" s="106"/>
      <c r="I17" s="251" t="s">
        <v>1325</v>
      </c>
      <c r="J17" s="106" t="str">
        <f>X_Cell_Site_WetOrDryClimateZone</f>
        <v>Dry climate zone</v>
      </c>
      <c r="N17" s="106" t="s">
        <v>1373</v>
      </c>
      <c r="O17" s="107" t="s">
        <v>123</v>
      </c>
      <c r="P17" s="108"/>
      <c r="Q17" s="109"/>
      <c r="R17" s="106"/>
      <c r="S17" s="251" t="s">
        <v>1325</v>
      </c>
      <c r="T17" s="106"/>
    </row>
    <row r="18" spans="1:20" ht="20.100000000000001" customHeight="1" x14ac:dyDescent="0.2">
      <c r="A18" s="5" t="str">
        <f>HYPERLINK("#'Input - Electricity'!A1", "Electricity")</f>
        <v>Electricity</v>
      </c>
    </row>
    <row r="19" spans="1:20" ht="20.100000000000001" customHeight="1" x14ac:dyDescent="0.2">
      <c r="A19" s="5" t="str">
        <f>HYPERLINK("#'Input - Common farm inputs'!A1", "Common farm inputs")</f>
        <v>Common farm inputs</v>
      </c>
      <c r="D19" s="91" t="s">
        <v>676</v>
      </c>
      <c r="E19" s="92">
        <f>((J13 * J14 * J15) * 10 ^ -3)</f>
        <v>7.8571428571428577E-3</v>
      </c>
      <c r="F19" s="96" t="str">
        <f>$E$11</f>
        <v>t N2O</v>
      </c>
      <c r="N19" s="91" t="s">
        <v>676</v>
      </c>
      <c r="O19" s="92">
        <f>((T13 * J14 * J15) * 10 ^ -3)</f>
        <v>1.5714285714285715E-2</v>
      </c>
      <c r="P19" s="96" t="str">
        <f>$E$11</f>
        <v>t N2O</v>
      </c>
    </row>
    <row r="20" spans="1:20" ht="20.100000000000001" customHeight="1" x14ac:dyDescent="0.2">
      <c r="A20" s="5" t="str">
        <f>HYPERLINK("#'Input - Crop pasture farm input'!A1", "Crop pasture farm input")</f>
        <v>Crop pasture farm input</v>
      </c>
    </row>
    <row r="21" spans="1:20" ht="20.100000000000001" customHeight="1" x14ac:dyDescent="0.2">
      <c r="A21" s="5" t="str">
        <f>HYPERLINK("#'Input - Livestock farm Inputs'!A1", "Livestock farm Inputs")</f>
        <v>Livestock farm Inputs</v>
      </c>
    </row>
    <row r="22" spans="1:20" ht="20.100000000000001" customHeight="1" x14ac:dyDescent="0.2">
      <c r="A22" s="5" t="str">
        <f>HYPERLINK("#'Input - Freight'!A1", "Freight")</f>
        <v>Freight</v>
      </c>
    </row>
    <row r="23" spans="1:20" ht="20.100000000000001" customHeight="1" x14ac:dyDescent="0.2">
      <c r="A23" s="5" t="str">
        <f>HYPERLINK("#'Input - Solid waste'!A1", "Solid waste")</f>
        <v>Solid waste</v>
      </c>
    </row>
    <row r="24" spans="1:20" ht="20.100000000000001" customHeight="1" x14ac:dyDescent="0.2">
      <c r="A24" s="5" t="str">
        <f>HYPERLINK("#'Input - Manure sent off-site'!A1", "Manure sent off-site")</f>
        <v>Manure sent off-site</v>
      </c>
      <c r="D24" s="2" t="s">
        <v>1579</v>
      </c>
      <c r="N24" s="2" t="s">
        <v>1579</v>
      </c>
    </row>
    <row r="25" spans="1:20" ht="20.100000000000001" customHeight="1" x14ac:dyDescent="0.2">
      <c r="A25" s="5" t="str">
        <f>HYPERLINK("#'Input - Data quality'!A1", "Data quality")</f>
        <v>Data quality</v>
      </c>
      <c r="D25" s="17" t="s">
        <v>1580</v>
      </c>
      <c r="N25" s="17" t="s">
        <v>1580</v>
      </c>
    </row>
    <row r="26" spans="1:20" ht="20.100000000000001" customHeight="1" x14ac:dyDescent="0.2">
      <c r="D26" s="104"/>
      <c r="E26" s="104"/>
      <c r="N26" s="104"/>
      <c r="O26" s="104"/>
    </row>
    <row r="28" spans="1:20" ht="20.100000000000001" customHeight="1" x14ac:dyDescent="0.2">
      <c r="A28" s="6" t="s">
        <v>2</v>
      </c>
    </row>
    <row r="29" spans="1:20" ht="20.100000000000001" customHeight="1" x14ac:dyDescent="0.2">
      <c r="A29" s="5" t="str">
        <f>HYPERLINK("#'3.2.1.1-2 Enteric Methane'!A1", "3.2.1.1-2 Enteric Methane")</f>
        <v>3.2.1.1-2 Enteric Methane</v>
      </c>
      <c r="D29" s="77" t="s">
        <v>374</v>
      </c>
      <c r="E29" s="1" t="s">
        <v>1581</v>
      </c>
      <c r="N29" s="77" t="s">
        <v>374</v>
      </c>
      <c r="O29" s="1" t="s">
        <v>1581</v>
      </c>
    </row>
    <row r="30" spans="1:20" ht="20.100000000000001" customHeight="1" x14ac:dyDescent="0.2">
      <c r="A30" s="5" t="str">
        <f>HYPERLINK("#'4.2.1.1-2 Methane'!A1", "4.2.1.1-2 Manure methane")</f>
        <v>4.2.1.1-2 Manure methane</v>
      </c>
      <c r="D30" s="77" t="s">
        <v>126</v>
      </c>
      <c r="E30" s="9" t="s">
        <v>1162</v>
      </c>
      <c r="N30" s="77" t="s">
        <v>126</v>
      </c>
      <c r="O30" s="9" t="s">
        <v>1162</v>
      </c>
    </row>
    <row r="31" spans="1:20" ht="20.100000000000001" customHeight="1" x14ac:dyDescent="0.2">
      <c r="A31" s="5" t="str">
        <f>HYPERLINK("#'4.2.1.3-4 Soil direct N20'!A1", "4.2.1.3-4 Soil direct N2O")</f>
        <v>4.2.1.3-4 Soil direct N2O</v>
      </c>
    </row>
    <row r="32" spans="1:20" ht="20.100000000000001" customHeight="1" x14ac:dyDescent="0.2">
      <c r="A32" s="5" t="str">
        <f>HYPERLINK("#'4.2.1.5-6 Soil Atmos Dep'!A1", "4.2.1.5-6 Soil atm. deposition")</f>
        <v>4.2.1.5-6 Soil atm. deposition</v>
      </c>
      <c r="D32" s="106" t="s">
        <v>1536</v>
      </c>
      <c r="E32" s="106" t="s">
        <v>1543</v>
      </c>
      <c r="F32" s="106"/>
      <c r="G32" s="106" t="s">
        <v>1162</v>
      </c>
      <c r="H32" s="111" t="s">
        <v>1546</v>
      </c>
      <c r="I32" s="106">
        <f>X_Cell_ManureSentOffsite_MassNitrogenManure_Method1</f>
        <v>1000</v>
      </c>
      <c r="N32" s="106" t="s">
        <v>1536</v>
      </c>
      <c r="O32" s="106" t="s">
        <v>1543</v>
      </c>
      <c r="P32" s="106"/>
      <c r="Q32" s="106" t="s">
        <v>1162</v>
      </c>
      <c r="R32" s="111" t="s">
        <v>1546</v>
      </c>
      <c r="S32" s="106">
        <f>X_Cell_ManureSentOffsite_MassNitrogenManure_Method2</f>
        <v>2000</v>
      </c>
    </row>
    <row r="33" spans="1:19" ht="20.100000000000001" customHeight="1" x14ac:dyDescent="0.2">
      <c r="A33" s="5" t="str">
        <f>HYPERLINK("#'4.2.1.7-8 Soil leach runoff'!A1", "4.2.1.7-8 Soil leach &amp; runoff")</f>
        <v>4.2.1.7-8 Soil leach &amp; runoff</v>
      </c>
      <c r="D33" s="106" t="s">
        <v>1582</v>
      </c>
      <c r="E33" s="106" t="s">
        <v>1583</v>
      </c>
      <c r="F33" s="106"/>
      <c r="G33" s="106" t="s">
        <v>1570</v>
      </c>
      <c r="H33" s="111" t="s">
        <v>1326</v>
      </c>
      <c r="I33" s="106">
        <f>Fertiliser_FracGASMSoil_Data</f>
        <v>0.21</v>
      </c>
      <c r="N33" s="106" t="s">
        <v>1582</v>
      </c>
      <c r="O33" s="106" t="s">
        <v>1583</v>
      </c>
      <c r="P33" s="106"/>
      <c r="Q33" s="106" t="s">
        <v>1570</v>
      </c>
      <c r="R33" s="111" t="s">
        <v>1326</v>
      </c>
      <c r="S33" s="106"/>
    </row>
    <row r="34" spans="1:19" ht="20.100000000000001" customHeight="1" x14ac:dyDescent="0.2">
      <c r="A34" s="5" t="str">
        <f>HYPERLINK("#'5.1.1.1-2 Inorganic fert N2O'!A1", "5.1.1.1-2 Inorganic fert N2O")</f>
        <v>5.1.1.1-2 Inorganic fert N2O</v>
      </c>
    </row>
    <row r="35" spans="1:19" ht="20.100000000000001" customHeight="1" x14ac:dyDescent="0.2">
      <c r="A35" s="5" t="str">
        <f>HYPERLINK("#'5.1.1.3-4 Inorganic fert CO2'!A1", "5.1.1.3-4 Inorganic fert CO2")</f>
        <v>5.1.1.3-4 Inorganic fert CO2</v>
      </c>
      <c r="D35" s="94" t="s">
        <v>1292</v>
      </c>
      <c r="E35" s="88">
        <f>(I32 * I33)</f>
        <v>210</v>
      </c>
      <c r="F35" s="95" t="str">
        <f>E30</f>
        <v>kg N</v>
      </c>
      <c r="N35" s="94" t="s">
        <v>1292</v>
      </c>
      <c r="O35" s="88">
        <f>(S32 * I33)</f>
        <v>420</v>
      </c>
      <c r="P35" s="95" t="str">
        <f>O30</f>
        <v>kg N</v>
      </c>
    </row>
    <row r="36" spans="1:19" ht="20.100000000000001" customHeight="1" x14ac:dyDescent="0.2">
      <c r="A36" s="5" t="str">
        <f>HYPERLINK("#'5.2.1.1-2 Organic Fert N2O'!A1", "5.2.1.1-2 Organic fert N2O")</f>
        <v>5.2.1.1-2 Organic fert N2O</v>
      </c>
    </row>
    <row r="37" spans="1:19" ht="20.100000000000001" customHeight="1" x14ac:dyDescent="0.2">
      <c r="A37" s="5" t="str">
        <f>HYPERLINK("#'5.3.1.1-2 Lime CO2'!A1", "5.3.1.1-2 Lime CO2")</f>
        <v>5.3.1.1-2 Lime CO2</v>
      </c>
    </row>
    <row r="38" spans="1:19" ht="20.100000000000001" customHeight="1" x14ac:dyDescent="0.2">
      <c r="A38" s="5" t="str">
        <f>HYPERLINK("#'5.4.1.1-4 Atmos deposition'!A1", "5.4.1.1-4 Atmos. deposition")</f>
        <v>5.4.1.1-4 Atmos. deposition</v>
      </c>
    </row>
    <row r="39" spans="1:19" ht="20.100000000000001" customHeight="1" x14ac:dyDescent="0.2">
      <c r="A39" s="5" t="str">
        <f>HYPERLINK("#'5.5.1.1-2 Leaching and runoff'!A1", "5.5.1.1-2 Leaching &amp; runoff")</f>
        <v>5.5.1.1-2 Leaching &amp; runoff</v>
      </c>
    </row>
    <row r="40" spans="1:19" ht="20.100000000000001" customHeight="1" x14ac:dyDescent="0.2">
      <c r="A40" s="5" t="str">
        <f>HYPERLINK("#'6.2.1.1-2 Pasture residue N2O'!A1", "6.2.1.1-2 Pasture residue N2O")</f>
        <v>6.2.1.1-2 Pasture residue N2O</v>
      </c>
      <c r="D40" s="2" t="s">
        <v>1584</v>
      </c>
      <c r="N40" s="2" t="s">
        <v>1584</v>
      </c>
    </row>
    <row r="41" spans="1:19" ht="20.100000000000001" customHeight="1" x14ac:dyDescent="0.2">
      <c r="A41" s="5" t="str">
        <f>HYPERLINK("#'6.3.1.1-2 Leach runoff pasture'!A1", "6.3.1.1-2 Leach &amp; runoff (pasture)")</f>
        <v>6.3.1.1-2 Leach &amp; runoff (pasture)</v>
      </c>
      <c r="D41" s="17" t="s">
        <v>1585</v>
      </c>
      <c r="N41" s="17" t="s">
        <v>1585</v>
      </c>
    </row>
    <row r="42" spans="1:19" ht="20.100000000000001" customHeight="1" x14ac:dyDescent="0.2">
      <c r="A42" s="5" t="str">
        <f>HYPERLINK("#'8.1.1.1-2 Transport fuel'!A1", "8.1.1.1-2 Transport fuel")</f>
        <v>8.1.1.1-2 Transport fuel</v>
      </c>
      <c r="D42" s="104"/>
      <c r="E42" s="104"/>
      <c r="N42" s="104"/>
      <c r="O42" s="104"/>
    </row>
    <row r="43" spans="1:19" ht="20.100000000000001" customHeight="1" x14ac:dyDescent="0.2">
      <c r="A43" s="5" t="str">
        <f>HYPERLINK("#'8.2.1.1-2 Stationary fuel'!A1", "8.2.1.1-2 Stationary fuel")</f>
        <v>8.2.1.1-2 Stationary fuel</v>
      </c>
    </row>
    <row r="44" spans="1:19" ht="20.100000000000001" customHeight="1" x14ac:dyDescent="0.2">
      <c r="A44" s="5" t="str">
        <f>HYPERLINK("#'10.1.1-2 Solid waste treatment'!A1", "10.1.1.1-2 Solid waste")</f>
        <v>10.1.1.1-2 Solid waste</v>
      </c>
    </row>
    <row r="45" spans="1:19" ht="20.100000000000001" customHeight="1" x14ac:dyDescent="0.2">
      <c r="A45" s="5" t="str">
        <f>HYPERLINK("#'14.1.1-2 Purchased electricity'!A1", "14.1.1-2 Purchased electricity")</f>
        <v>14.1.1-2 Purchased electricity</v>
      </c>
      <c r="D45" s="77" t="s">
        <v>374</v>
      </c>
      <c r="E45" s="1" t="s">
        <v>1586</v>
      </c>
      <c r="N45" s="77" t="s">
        <v>374</v>
      </c>
      <c r="O45" s="1" t="s">
        <v>1586</v>
      </c>
    </row>
    <row r="46" spans="1:19" ht="20.100000000000001" customHeight="1" x14ac:dyDescent="0.2">
      <c r="A46" s="5" t="str">
        <f>HYPERLINK("#'15 Scope 3'!A1", "15 Scope 3")</f>
        <v>15 Scope 3</v>
      </c>
      <c r="D46" s="77" t="s">
        <v>126</v>
      </c>
      <c r="E46" s="9" t="s">
        <v>12</v>
      </c>
      <c r="N46" s="77" t="s">
        <v>126</v>
      </c>
      <c r="O46" s="9" t="s">
        <v>12</v>
      </c>
    </row>
    <row r="47" spans="1:19" ht="20.100000000000001" customHeight="1" x14ac:dyDescent="0.2">
      <c r="A47" s="105" t="str">
        <f>HYPERLINK("#'Calcs - Manure sent off-site'!A1", "Calcs - Manure sent off-site")</f>
        <v>Calcs - Manure sent off-site</v>
      </c>
    </row>
    <row r="48" spans="1:19" ht="20.100000000000001" customHeight="1" x14ac:dyDescent="0.2">
      <c r="D48" s="106" t="s">
        <v>1581</v>
      </c>
      <c r="E48" s="107" t="s">
        <v>1587</v>
      </c>
      <c r="F48" s="109"/>
      <c r="G48" s="106" t="s">
        <v>1162</v>
      </c>
      <c r="H48" s="111" t="s">
        <v>1589</v>
      </c>
      <c r="I48" s="106">
        <f>E35</f>
        <v>210</v>
      </c>
      <c r="N48" s="106" t="s">
        <v>1581</v>
      </c>
      <c r="O48" s="107" t="s">
        <v>1587</v>
      </c>
      <c r="P48" s="109"/>
      <c r="Q48" s="106" t="s">
        <v>1162</v>
      </c>
      <c r="R48" s="111" t="s">
        <v>1589</v>
      </c>
      <c r="S48" s="106">
        <f>O35</f>
        <v>420</v>
      </c>
    </row>
    <row r="49" spans="1:19" ht="20.100000000000001" customHeight="1" x14ac:dyDescent="0.2">
      <c r="D49" s="106" t="s">
        <v>1575</v>
      </c>
      <c r="E49" s="107" t="s">
        <v>1588</v>
      </c>
      <c r="F49" s="109"/>
      <c r="G49" s="106" t="s">
        <v>1462</v>
      </c>
      <c r="H49" s="111" t="s">
        <v>1326</v>
      </c>
      <c r="I49" s="106">
        <f>Common_InputFunctions.Utility_LookupN2OEFFromProdIrrigationRainfall(I51,I52,I53,Table_SourceData_Common_EFN2O[Production system only],Table_SourceData_Common_EFN2O[Irrigation method],Table_SourceData_Common_EFN2O[Rainfall zone],Table_SourceData_Common_EFN2O[EFN2O])</f>
        <v>7.0000000000000001E-3</v>
      </c>
      <c r="N49" s="106" t="s">
        <v>1575</v>
      </c>
      <c r="O49" s="107" t="s">
        <v>1588</v>
      </c>
      <c r="P49" s="109"/>
      <c r="Q49" s="106" t="s">
        <v>1462</v>
      </c>
      <c r="R49" s="111" t="s">
        <v>1326</v>
      </c>
      <c r="S49" s="106"/>
    </row>
    <row r="50" spans="1:19" ht="20.100000000000001" customHeight="1" x14ac:dyDescent="0.2">
      <c r="A50" s="86" t="s">
        <v>1</v>
      </c>
      <c r="D50" s="106" t="s">
        <v>1454</v>
      </c>
      <c r="E50" s="107" t="s">
        <v>1502</v>
      </c>
      <c r="F50" s="109"/>
      <c r="G50" s="106"/>
      <c r="H50" s="111" t="s">
        <v>1326</v>
      </c>
      <c r="I50" s="117">
        <f>Common_InputFunctions.Utility_LookupValueInTableNumber("N2O",Table_GasToMolecularConversionFactor[Gas],Table_GasToMolecularConversionFactor[Conversion factor combined])</f>
        <v>1.5714285714285714</v>
      </c>
      <c r="N50" s="106" t="s">
        <v>1454</v>
      </c>
      <c r="O50" s="107" t="s">
        <v>1502</v>
      </c>
      <c r="P50" s="109"/>
      <c r="Q50" s="106"/>
      <c r="R50" s="111" t="s">
        <v>1326</v>
      </c>
      <c r="S50" s="117"/>
    </row>
    <row r="51" spans="1:19" ht="20.100000000000001" customHeight="1" x14ac:dyDescent="0.2">
      <c r="A51" s="5" t="str">
        <f>HYPERLINK("#'Constants - Pasture Beef'!A1", "Constants - Pasture Beef")</f>
        <v>Constants - Pasture Beef</v>
      </c>
      <c r="D51" s="106" t="s">
        <v>1456</v>
      </c>
      <c r="E51" s="107" t="s">
        <v>176</v>
      </c>
      <c r="F51" s="109"/>
      <c r="G51" s="106"/>
      <c r="H51" s="251" t="s">
        <v>1325</v>
      </c>
      <c r="I51" s="106" t="str">
        <f>IF(ISBLANK(X_Cell_ManureSentOffsite_ManureProductionSystem), "Pasture", X_Cell_ManureSentOffsite_ManureProductionSystem)</f>
        <v>Crop</v>
      </c>
      <c r="N51" s="106" t="s">
        <v>1456</v>
      </c>
      <c r="O51" s="107" t="s">
        <v>176</v>
      </c>
      <c r="P51" s="109"/>
      <c r="Q51" s="106"/>
      <c r="R51" s="251" t="s">
        <v>1325</v>
      </c>
      <c r="S51" s="106"/>
    </row>
    <row r="52" spans="1:19" ht="20.100000000000001" customHeight="1" x14ac:dyDescent="0.2">
      <c r="A52" s="5" t="str">
        <f>HYPERLINK("#'Constants - Ag Residue'!A1", "Constants - Ag residue")</f>
        <v>Constants - Ag residue</v>
      </c>
      <c r="D52" s="106" t="s">
        <v>1472</v>
      </c>
      <c r="E52" s="107" t="s">
        <v>1458</v>
      </c>
      <c r="F52" s="109"/>
      <c r="G52" s="106"/>
      <c r="H52" s="251" t="s">
        <v>1325</v>
      </c>
      <c r="I52" s="106" t="str">
        <f>IF(ISBLANK(X_Cell_ManureSentOffsite_ManureIrrigationMethod), "Not irrigated", X_Cell_ManureSentOffsite_ManureIrrigationMethod)</f>
        <v>Sprinkler irrigation</v>
      </c>
      <c r="N52" s="106" t="s">
        <v>1472</v>
      </c>
      <c r="O52" s="107" t="s">
        <v>1458</v>
      </c>
      <c r="P52" s="109"/>
      <c r="Q52" s="106"/>
      <c r="R52" s="251" t="s">
        <v>1325</v>
      </c>
      <c r="S52" s="106"/>
    </row>
    <row r="53" spans="1:19" ht="20.100000000000001" customHeight="1" x14ac:dyDescent="0.2">
      <c r="A53" s="5" t="str">
        <f>HYPERLINK("#'Constants - Common Livestock'!A1", "Constants - Common Livestock")</f>
        <v>Constants - Common Livestock</v>
      </c>
      <c r="D53" s="106" t="s">
        <v>1459</v>
      </c>
      <c r="E53" s="107" t="s">
        <v>1577</v>
      </c>
      <c r="F53" s="109"/>
      <c r="G53" s="106"/>
      <c r="H53" s="251" t="s">
        <v>1325</v>
      </c>
      <c r="I53" s="106" t="str">
        <f>IF(ISBLANK(X_Cell_Site_RainfallZone), "Low rainfall", X_Cell_Site_RainfallZone)</f>
        <v>High rainfall</v>
      </c>
      <c r="N53" s="106" t="s">
        <v>1459</v>
      </c>
      <c r="O53" s="107" t="s">
        <v>1577</v>
      </c>
      <c r="P53" s="109"/>
      <c r="Q53" s="106"/>
      <c r="R53" s="251" t="s">
        <v>1325</v>
      </c>
      <c r="S53" s="106"/>
    </row>
    <row r="54" spans="1:19" ht="20.100000000000001" customHeight="1" x14ac:dyDescent="0.2">
      <c r="A54" s="5" t="str">
        <f>HYPERLINK("#'Constants - Electricity'!A1", "Constants - Electricity")</f>
        <v>Constants - Electricity</v>
      </c>
    </row>
    <row r="55" spans="1:19" ht="20.100000000000001" customHeight="1" x14ac:dyDescent="0.2">
      <c r="A55" s="5" t="str">
        <f>HYPERLINK("#'Constants - Fertiliser'!A1", "Constants - Fertiliser")</f>
        <v>Constants - Fertiliser</v>
      </c>
      <c r="D55" s="91" t="s">
        <v>722</v>
      </c>
      <c r="E55" s="92">
        <f>((I48 * I49) * I50 * 10 ^ -3)</f>
        <v>2.31E-3</v>
      </c>
      <c r="F55" s="96" t="str">
        <f>$E$46</f>
        <v>t N2O</v>
      </c>
      <c r="N55" s="91" t="s">
        <v>722</v>
      </c>
      <c r="O55" s="92">
        <f>((S48 * I49) * I50 * 10 ^ -3)</f>
        <v>4.62E-3</v>
      </c>
      <c r="P55" s="96" t="str">
        <f>$E$46</f>
        <v>t N2O</v>
      </c>
    </row>
    <row r="56" spans="1:19" ht="20.100000000000001" customHeight="1" x14ac:dyDescent="0.2">
      <c r="A56" s="5" t="str">
        <f>HYPERLINK("#'Constants - Fuel'!A1", "Constants - Fuel")</f>
        <v>Constants - Fuel</v>
      </c>
    </row>
    <row r="57" spans="1:19" ht="20.100000000000001" customHeight="1" x14ac:dyDescent="0.2">
      <c r="A57" s="5" t="str">
        <f>HYPERLINK("#'Constants - Scope 3'!A1", "Constants - Scope 3")</f>
        <v>Constants - Scope 3</v>
      </c>
    </row>
    <row r="58" spans="1:19" ht="20.100000000000001" customHeight="1" x14ac:dyDescent="0.2">
      <c r="A58" s="5" t="str">
        <f>HYPERLINK("#'Constants - Solid Waste'!A1", "Constants - Solid Waste")</f>
        <v>Constants - Solid Waste</v>
      </c>
    </row>
    <row r="59" spans="1:19" ht="20.100000000000001" customHeight="1" x14ac:dyDescent="0.2">
      <c r="A59" s="5" t="str">
        <f>HYPERLINK("#'Constants - Common'!A1", "Constants - Common")</f>
        <v>Constants - Common</v>
      </c>
      <c r="D59" s="2" t="s">
        <v>1596</v>
      </c>
      <c r="N59" s="2" t="s">
        <v>1596</v>
      </c>
    </row>
    <row r="60" spans="1:19" ht="20.100000000000001" customHeight="1" x14ac:dyDescent="0.2">
      <c r="A60" s="5" t="str">
        <f>HYPERLINK("#'Acknowledgements'!A1", "Acknowledgements")</f>
        <v>Acknowledgements</v>
      </c>
      <c r="D60" s="17" t="s">
        <v>1597</v>
      </c>
      <c r="N60" s="17" t="s">
        <v>1597</v>
      </c>
    </row>
    <row r="61" spans="1:19" ht="20.100000000000001" customHeight="1" x14ac:dyDescent="0.2">
      <c r="D61" s="104"/>
      <c r="E61" s="104"/>
      <c r="N61" s="104"/>
      <c r="O61" s="104"/>
    </row>
    <row r="64" spans="1:19" ht="20.100000000000001" customHeight="1" x14ac:dyDescent="0.2">
      <c r="D64" s="77" t="s">
        <v>374</v>
      </c>
      <c r="E64" s="1" t="s">
        <v>1598</v>
      </c>
      <c r="N64" s="77" t="s">
        <v>374</v>
      </c>
      <c r="O64" s="1" t="s">
        <v>1598</v>
      </c>
    </row>
    <row r="65" spans="1:19" ht="20.100000000000001" customHeight="1" x14ac:dyDescent="0.2">
      <c r="D65" s="77" t="s">
        <v>126</v>
      </c>
      <c r="E65" s="9" t="s">
        <v>1162</v>
      </c>
      <c r="N65" s="77" t="s">
        <v>126</v>
      </c>
      <c r="O65" s="9" t="s">
        <v>1162</v>
      </c>
    </row>
    <row r="67" spans="1:19" ht="20.100000000000001" customHeight="1" x14ac:dyDescent="0.2">
      <c r="D67" s="106" t="s">
        <v>1536</v>
      </c>
      <c r="E67" s="107" t="s">
        <v>1599</v>
      </c>
      <c r="F67" s="109"/>
      <c r="G67" s="106" t="s">
        <v>1162</v>
      </c>
      <c r="H67" s="111" t="s">
        <v>1546</v>
      </c>
      <c r="I67" s="106">
        <f>X_Cell_ManureSentOffsite_MassNitrogenManure_Method1</f>
        <v>1000</v>
      </c>
      <c r="N67" s="106" t="s">
        <v>1536</v>
      </c>
      <c r="O67" s="107" t="s">
        <v>1599</v>
      </c>
      <c r="P67" s="109"/>
      <c r="Q67" s="106" t="s">
        <v>1162</v>
      </c>
      <c r="R67" s="111" t="s">
        <v>1546</v>
      </c>
      <c r="S67" s="106">
        <f>X_Cell_ManureSentOffsite_MassNitrogenManure_Method2</f>
        <v>2000</v>
      </c>
    </row>
    <row r="68" spans="1:19" ht="20.100000000000001" customHeight="1" x14ac:dyDescent="0.2">
      <c r="D68" s="106" t="s">
        <v>1594</v>
      </c>
      <c r="E68" s="107" t="s">
        <v>1467</v>
      </c>
      <c r="F68" s="109"/>
      <c r="G68" s="106" t="s">
        <v>347</v>
      </c>
      <c r="H68" s="111" t="s">
        <v>1326</v>
      </c>
      <c r="I68" s="106">
        <f>Common_InputFunctions.CommonCropping_GetFracWET(I70,I72,Table_SourceData_FracWET[Is in leaching zone],Table_SourceData_FracWET[FracWET],Table_SourceData_FracWETIrrigation[Irrigation type i],Table_SourceData_FracWETIrrigation[FracWET])</f>
        <v>1</v>
      </c>
      <c r="N68" s="106" t="s">
        <v>1594</v>
      </c>
      <c r="O68" s="107" t="s">
        <v>1467</v>
      </c>
      <c r="P68" s="109"/>
      <c r="Q68" s="106" t="s">
        <v>347</v>
      </c>
      <c r="R68" s="111" t="s">
        <v>1326</v>
      </c>
      <c r="S68" s="106"/>
    </row>
    <row r="69" spans="1:19" ht="20.100000000000001" customHeight="1" x14ac:dyDescent="0.2">
      <c r="D69" s="106" t="s">
        <v>1468</v>
      </c>
      <c r="E69" s="107" t="s">
        <v>1595</v>
      </c>
      <c r="F69" s="109"/>
      <c r="G69" s="106" t="s">
        <v>347</v>
      </c>
      <c r="H69" s="111" t="s">
        <v>1326</v>
      </c>
      <c r="I69" s="106">
        <f>Fertiliser_FracLEACH_Data</f>
        <v>0.24</v>
      </c>
      <c r="N69" s="106" t="s">
        <v>1468</v>
      </c>
      <c r="O69" s="107" t="s">
        <v>1595</v>
      </c>
      <c r="P69" s="109"/>
      <c r="Q69" s="106" t="s">
        <v>347</v>
      </c>
      <c r="R69" s="111" t="s">
        <v>1326</v>
      </c>
      <c r="S69" s="106"/>
    </row>
    <row r="70" spans="1:19" ht="20.100000000000001" customHeight="1" x14ac:dyDescent="0.2">
      <c r="D70" s="106" t="s">
        <v>1470</v>
      </c>
      <c r="E70" s="107" t="s">
        <v>1471</v>
      </c>
      <c r="F70" s="109"/>
      <c r="G70" s="106"/>
      <c r="H70" s="251" t="s">
        <v>1325</v>
      </c>
      <c r="I70" s="106" t="str">
        <f>X_Cell_Site_LeachingZone</f>
        <v>NO - Not in leaching zone</v>
      </c>
      <c r="N70" s="106" t="s">
        <v>1470</v>
      </c>
      <c r="O70" s="107" t="s">
        <v>1471</v>
      </c>
      <c r="P70" s="109"/>
      <c r="Q70" s="106"/>
      <c r="R70" s="251" t="s">
        <v>1325</v>
      </c>
      <c r="S70" s="106"/>
    </row>
    <row r="71" spans="1:19" ht="20.100000000000001" customHeight="1" x14ac:dyDescent="0.2">
      <c r="A71" s="85" t="str">
        <f>HYPERLINK("#A1", "▲ Back to top")</f>
        <v>▲ Back to top</v>
      </c>
      <c r="D71" s="106" t="s">
        <v>1456</v>
      </c>
      <c r="E71" s="107" t="s">
        <v>1457</v>
      </c>
      <c r="F71" s="109"/>
      <c r="G71" s="106"/>
      <c r="H71" s="251" t="s">
        <v>1325</v>
      </c>
      <c r="I71" s="106" t="str">
        <f>IF(ISBLANK(X_Cell_ManureSentOffsite_ManureProductionSystem), "Pasture", X_Cell_ManureSentOffsite_ManureProductionSystem)</f>
        <v>Crop</v>
      </c>
      <c r="N71" s="106" t="s">
        <v>1456</v>
      </c>
      <c r="O71" s="107" t="s">
        <v>1457</v>
      </c>
      <c r="P71" s="109"/>
      <c r="Q71" s="106"/>
      <c r="R71" s="251" t="s">
        <v>1325</v>
      </c>
      <c r="S71" s="106"/>
    </row>
    <row r="72" spans="1:19" ht="20.100000000000001" customHeight="1" x14ac:dyDescent="0.2">
      <c r="D72" s="106" t="s">
        <v>1472</v>
      </c>
      <c r="E72" s="107" t="s">
        <v>1458</v>
      </c>
      <c r="F72" s="109"/>
      <c r="G72" s="106"/>
      <c r="H72" s="251" t="s">
        <v>1325</v>
      </c>
      <c r="I72" s="106" t="str">
        <f>IF(ISBLANK(X_Cell_ManureSentOffsite_ManureIrrigationMethod), "Not irrigated", X_Cell_ManureSentOffsite_ManureIrrigationMethod)</f>
        <v>Sprinkler irrigation</v>
      </c>
      <c r="N72" s="106" t="s">
        <v>1472</v>
      </c>
      <c r="O72" s="107" t="s">
        <v>1458</v>
      </c>
      <c r="P72" s="109"/>
      <c r="Q72" s="106"/>
      <c r="R72" s="251" t="s">
        <v>1325</v>
      </c>
      <c r="S72" s="106"/>
    </row>
    <row r="74" spans="1:19" ht="20.100000000000001" customHeight="1" x14ac:dyDescent="0.2">
      <c r="D74" s="94" t="s">
        <v>1293</v>
      </c>
      <c r="E74" s="88">
        <f>(I67 * I68 * I69)</f>
        <v>240</v>
      </c>
      <c r="F74" s="95" t="str">
        <f>$E$65</f>
        <v>kg N</v>
      </c>
      <c r="N74" s="94" t="s">
        <v>1293</v>
      </c>
      <c r="O74" s="88">
        <f>(S67 * I68 * I69)</f>
        <v>480</v>
      </c>
      <c r="P74" s="95" t="str">
        <f>$E$65</f>
        <v>kg N</v>
      </c>
    </row>
    <row r="77" spans="1:19" ht="20.100000000000001" customHeight="1" x14ac:dyDescent="0.2">
      <c r="D77" s="2" t="s">
        <v>1600</v>
      </c>
      <c r="N77" s="2" t="s">
        <v>1600</v>
      </c>
    </row>
    <row r="78" spans="1:19" ht="20.100000000000001" customHeight="1" x14ac:dyDescent="0.2">
      <c r="D78" s="17" t="s">
        <v>1601</v>
      </c>
      <c r="N78" s="17" t="s">
        <v>1601</v>
      </c>
    </row>
    <row r="79" spans="1:19" ht="20.100000000000001" customHeight="1" x14ac:dyDescent="0.2">
      <c r="D79" s="104"/>
      <c r="E79" s="104"/>
      <c r="N79" s="104"/>
      <c r="O79" s="104"/>
    </row>
    <row r="82" spans="4:20" ht="20.100000000000001" customHeight="1" x14ac:dyDescent="0.2">
      <c r="D82" s="77" t="s">
        <v>374</v>
      </c>
      <c r="E82" s="1" t="s">
        <v>1602</v>
      </c>
      <c r="N82" s="77" t="s">
        <v>374</v>
      </c>
      <c r="O82" s="1" t="s">
        <v>1602</v>
      </c>
    </row>
    <row r="83" spans="4:20" ht="20.100000000000001" customHeight="1" x14ac:dyDescent="0.2">
      <c r="D83" s="77" t="s">
        <v>126</v>
      </c>
      <c r="E83" s="9" t="s">
        <v>12</v>
      </c>
      <c r="N83" s="77" t="s">
        <v>126</v>
      </c>
      <c r="O83" s="9" t="s">
        <v>12</v>
      </c>
    </row>
    <row r="85" spans="4:20" ht="20.100000000000001" customHeight="1" x14ac:dyDescent="0.2">
      <c r="D85" s="106" t="s">
        <v>1592</v>
      </c>
      <c r="E85" s="107" t="s">
        <v>1603</v>
      </c>
      <c r="F85" s="108"/>
      <c r="G85" s="109"/>
      <c r="H85" s="106" t="s">
        <v>1162</v>
      </c>
      <c r="I85" s="111" t="s">
        <v>1606</v>
      </c>
      <c r="J85" s="106">
        <v>0</v>
      </c>
      <c r="N85" s="106" t="s">
        <v>1592</v>
      </c>
      <c r="O85" s="107" t="s">
        <v>1603</v>
      </c>
      <c r="P85" s="108"/>
      <c r="Q85" s="109"/>
      <c r="R85" s="106" t="s">
        <v>1162</v>
      </c>
      <c r="S85" s="111" t="s">
        <v>1606</v>
      </c>
      <c r="T85" s="106"/>
    </row>
    <row r="86" spans="4:20" ht="20.100000000000001" customHeight="1" x14ac:dyDescent="0.2">
      <c r="D86" s="106" t="s">
        <v>1598</v>
      </c>
      <c r="E86" s="107" t="s">
        <v>1604</v>
      </c>
      <c r="F86" s="108"/>
      <c r="G86" s="109"/>
      <c r="H86" s="106" t="s">
        <v>1162</v>
      </c>
      <c r="I86" s="111" t="s">
        <v>1607</v>
      </c>
      <c r="J86" s="106">
        <f>E74</f>
        <v>240</v>
      </c>
      <c r="N86" s="106" t="s">
        <v>1598</v>
      </c>
      <c r="O86" s="107" t="s">
        <v>1604</v>
      </c>
      <c r="P86" s="108"/>
      <c r="Q86" s="109"/>
      <c r="R86" s="106" t="s">
        <v>1162</v>
      </c>
      <c r="S86" s="111" t="s">
        <v>1607</v>
      </c>
      <c r="T86" s="106">
        <f>O74</f>
        <v>480</v>
      </c>
    </row>
    <row r="87" spans="4:20" ht="20.100000000000001" customHeight="1" x14ac:dyDescent="0.2">
      <c r="D87" s="106" t="s">
        <v>1477</v>
      </c>
      <c r="E87" s="107" t="s">
        <v>1605</v>
      </c>
      <c r="F87" s="108"/>
      <c r="G87" s="109"/>
      <c r="H87" s="106" t="s">
        <v>1462</v>
      </c>
      <c r="I87" s="111" t="s">
        <v>1326</v>
      </c>
      <c r="J87" s="106">
        <f>Fertiliser_EFLeach_Data</f>
        <v>1.0999999999999999E-2</v>
      </c>
      <c r="N87" s="106" t="s">
        <v>1477</v>
      </c>
      <c r="O87" s="107" t="s">
        <v>1605</v>
      </c>
      <c r="P87" s="108"/>
      <c r="Q87" s="109"/>
      <c r="R87" s="106" t="s">
        <v>1462</v>
      </c>
      <c r="S87" s="111" t="s">
        <v>1326</v>
      </c>
      <c r="T87" s="106"/>
    </row>
    <row r="88" spans="4:20" ht="20.100000000000001" customHeight="1" x14ac:dyDescent="0.2">
      <c r="D88" s="106" t="s">
        <v>1454</v>
      </c>
      <c r="E88" s="107" t="s">
        <v>1502</v>
      </c>
      <c r="F88" s="108"/>
      <c r="G88" s="109"/>
      <c r="H88" s="106"/>
      <c r="I88" s="111" t="s">
        <v>1326</v>
      </c>
      <c r="J88" s="117">
        <f>Common_InputFunctions.Utility_LookupValueInTableNumber("N2O",Table_GasToMolecularConversionFactor[Gas],Table_GasToMolecularConversionFactor[Conversion factor combined])</f>
        <v>1.5714285714285714</v>
      </c>
      <c r="N88" s="106" t="s">
        <v>1454</v>
      </c>
      <c r="O88" s="107" t="s">
        <v>1502</v>
      </c>
      <c r="P88" s="108"/>
      <c r="Q88" s="109"/>
      <c r="R88" s="106"/>
      <c r="S88" s="111" t="s">
        <v>1326</v>
      </c>
      <c r="T88" s="117"/>
    </row>
    <row r="90" spans="4:20" ht="20.100000000000001" customHeight="1" x14ac:dyDescent="0.2">
      <c r="D90" s="91" t="s">
        <v>739</v>
      </c>
      <c r="E90" s="92">
        <f>((J85 + J86) * J87 * J88 * 10 ^ -3)</f>
        <v>4.1485714285714277E-3</v>
      </c>
      <c r="F90" s="96" t="str">
        <f>$E$83</f>
        <v>t N2O</v>
      </c>
      <c r="N90" s="91" t="s">
        <v>739</v>
      </c>
      <c r="O90" s="92">
        <f>((J85 + T86) * J87 * J88 * 10 ^ -3)</f>
        <v>8.2971428571428554E-3</v>
      </c>
      <c r="P90" s="96" t="str">
        <f>$E$83</f>
        <v>t N2O</v>
      </c>
    </row>
  </sheetData>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23A72-D43D-49A6-839F-B905147957DF}">
  <sheetPr>
    <tabColor theme="2" tint="-0.499984740745262"/>
  </sheetPr>
  <dimension ref="A1:V483"/>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21" customFormat="1" ht="30" customHeight="1" x14ac:dyDescent="0.35">
      <c r="A1" s="10" t="e" vm="1">
        <v>#VALUE!</v>
      </c>
      <c r="C1" s="21" t="s">
        <v>483</v>
      </c>
    </row>
    <row r="2" spans="1:21" s="3" customFormat="1" ht="20.100000000000001" customHeight="1" x14ac:dyDescent="0.2">
      <c r="A2"/>
    </row>
    <row r="3" spans="1:21"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row>
    <row r="4" spans="1:21" ht="20.100000000000001" customHeight="1" x14ac:dyDescent="0.2">
      <c r="A4" s="5" t="str">
        <f>HYPERLINK("#'Results - Activity period'!A1", "Results - Activity period")</f>
        <v>Results - Activity period</v>
      </c>
      <c r="M4" s="8"/>
    </row>
    <row r="5" spans="1:21" ht="20.100000000000001" customHeight="1" x14ac:dyDescent="0.2">
      <c r="A5" s="5" t="str">
        <f>HYPERLINK("#'Results - Product EI'!A1", "Results - Product Emissions Intensity")</f>
        <v>Results - Product Emissions Intensity</v>
      </c>
      <c r="D5" s="2" t="s">
        <v>484</v>
      </c>
      <c r="G5" s="2" t="s">
        <v>485</v>
      </c>
      <c r="M5" s="1" t="s">
        <v>486</v>
      </c>
      <c r="O5" s="1" t="s">
        <v>487</v>
      </c>
      <c r="Q5" s="1" t="s">
        <v>488</v>
      </c>
      <c r="S5" s="1" t="s">
        <v>489</v>
      </c>
    </row>
    <row r="6" spans="1:21" ht="20.100000000000001" customHeight="1" x14ac:dyDescent="0.2">
      <c r="M6" s="1"/>
    </row>
    <row r="7" spans="1:21" ht="20.100000000000001" customHeight="1" x14ac:dyDescent="0.2">
      <c r="D7" s="20" t="s">
        <v>176</v>
      </c>
      <c r="G7" s="20" t="s">
        <v>72</v>
      </c>
      <c r="M7" t="s">
        <v>490</v>
      </c>
      <c r="O7" s="20" t="s">
        <v>490</v>
      </c>
      <c r="Q7" s="20" t="s">
        <v>490</v>
      </c>
      <c r="S7" s="20" t="s">
        <v>490</v>
      </c>
    </row>
    <row r="8" spans="1:21" ht="20.100000000000001" customHeight="1" x14ac:dyDescent="0.2">
      <c r="A8" s="7" t="s">
        <v>0</v>
      </c>
      <c r="D8" s="20" t="str">
        <f>'Constants - Common'!$F$187</f>
        <v>Pasture</v>
      </c>
      <c r="G8" s="20" t="s">
        <v>491</v>
      </c>
      <c r="M8" s="20" t="s">
        <v>319</v>
      </c>
      <c r="O8" s="20" t="s">
        <v>492</v>
      </c>
      <c r="Q8" s="20" t="s">
        <v>493</v>
      </c>
      <c r="S8" s="20" t="s">
        <v>494</v>
      </c>
    </row>
    <row r="9" spans="1:21" ht="20.100000000000001" customHeight="1" x14ac:dyDescent="0.2">
      <c r="A9" s="5" t="str">
        <f>HYPERLINK("#'Input - Enterprise'!A1", "Enterprise")</f>
        <v>Enterprise</v>
      </c>
      <c r="D9" s="1" t="str">
        <f>'Constants - Common'!$F$188</f>
        <v>Crop</v>
      </c>
      <c r="G9" s="20" t="s">
        <v>495</v>
      </c>
      <c r="M9" s="20" t="s">
        <v>496</v>
      </c>
      <c r="O9" s="20" t="s">
        <v>497</v>
      </c>
      <c r="Q9" s="20" t="s">
        <v>498</v>
      </c>
    </row>
    <row r="10" spans="1:21" ht="20.100000000000001" customHeight="1" x14ac:dyDescent="0.2">
      <c r="A10" s="5" t="str">
        <f>HYPERLINK("#'Input - Site'!A1", "Site")</f>
        <v>Site</v>
      </c>
      <c r="G10" s="1" t="s">
        <v>356</v>
      </c>
      <c r="M10" s="20" t="s">
        <v>499</v>
      </c>
      <c r="O10" s="20" t="s">
        <v>500</v>
      </c>
      <c r="Q10" s="20" t="s">
        <v>501</v>
      </c>
      <c r="S10" s="1" t="s">
        <v>502</v>
      </c>
    </row>
    <row r="11" spans="1:21" ht="20.100000000000001" customHeight="1" x14ac:dyDescent="0.2">
      <c r="A11" s="5" t="str">
        <f>HYPERLINK("#'Input - Pasture Beef'!A1", "Pasture Beef")</f>
        <v>Pasture Beef</v>
      </c>
      <c r="G11" s="1" t="s">
        <v>503</v>
      </c>
      <c r="M11" s="1"/>
      <c r="Q11" s="20" t="s">
        <v>504</v>
      </c>
    </row>
    <row r="12" spans="1:21" ht="20.100000000000001" customHeight="1" x14ac:dyDescent="0.2">
      <c r="A12" s="5" t="str">
        <f>HYPERLINK("#'Input - Livestock sales'!A1", "Livestock sales")</f>
        <v>Livestock sales</v>
      </c>
      <c r="G12" s="1" t="s">
        <v>505</v>
      </c>
      <c r="M12" s="1"/>
      <c r="S12" s="20" t="s">
        <v>490</v>
      </c>
    </row>
    <row r="13" spans="1:21" ht="20.100000000000001" customHeight="1" x14ac:dyDescent="0.2">
      <c r="A13" s="5" t="str">
        <f>HYPERLINK("#'Input - Beef cattle purchases'!A1", "Beef cattle purchases")</f>
        <v>Beef cattle purchases</v>
      </c>
      <c r="M13" s="1"/>
      <c r="S13" s="20" t="s">
        <v>494</v>
      </c>
    </row>
    <row r="14" spans="1:21" ht="20.100000000000001" customHeight="1" x14ac:dyDescent="0.2">
      <c r="A14" s="5" t="str">
        <f>HYPERLINK("#'Input - Pasture'!A1", "Pasture")</f>
        <v>Pasture</v>
      </c>
      <c r="D14" s="2" t="s">
        <v>1883</v>
      </c>
      <c r="M14" s="1"/>
    </row>
    <row r="15" spans="1:21" ht="20.100000000000001" customHeight="1" x14ac:dyDescent="0.2">
      <c r="A15" s="5" t="str">
        <f>HYPERLINK("#'Input - Fert Prod System'!A1", "Fert Prod System")</f>
        <v>Fert Prod System</v>
      </c>
      <c r="D15" s="17" t="s">
        <v>1884</v>
      </c>
      <c r="M15" s="1"/>
      <c r="S15" s="1" t="s">
        <v>506</v>
      </c>
    </row>
    <row r="16" spans="1:21" ht="20.100000000000001" customHeight="1" x14ac:dyDescent="0.2">
      <c r="A16" s="5" t="str">
        <f>HYPERLINK("#'Input - Fertiliser'!A1", "Fertiliser")</f>
        <v>Fertiliser</v>
      </c>
      <c r="D16" s="1" t="s">
        <v>1885</v>
      </c>
      <c r="M16" s="1"/>
    </row>
    <row r="17" spans="1:19" ht="20.100000000000001" customHeight="1" x14ac:dyDescent="0.2">
      <c r="A17" s="5" t="str">
        <f>HYPERLINK("#'Input - Fuel'!A1", "Fuel")</f>
        <v>Fuel</v>
      </c>
      <c r="D17" s="9" t="s">
        <v>653</v>
      </c>
      <c r="M17" s="1"/>
      <c r="O17" s="1" t="s">
        <v>507</v>
      </c>
      <c r="S17" s="20" t="s">
        <v>490</v>
      </c>
    </row>
    <row r="18" spans="1:19" ht="20.100000000000001" customHeight="1" x14ac:dyDescent="0.2">
      <c r="A18" s="5" t="str">
        <f>HYPERLINK("#'Input - Electricity'!A1", "Electricity")</f>
        <v>Electricity</v>
      </c>
      <c r="D18" s="20" t="s">
        <v>107</v>
      </c>
      <c r="E18" s="20" t="s">
        <v>490</v>
      </c>
      <c r="F18" s="20" t="s">
        <v>76</v>
      </c>
      <c r="G18" s="20" t="s">
        <v>508</v>
      </c>
      <c r="H18" s="20" t="s">
        <v>509</v>
      </c>
      <c r="I18" s="20" t="s">
        <v>510</v>
      </c>
      <c r="J18" s="20" t="s">
        <v>511</v>
      </c>
      <c r="K18" s="20" t="s">
        <v>512</v>
      </c>
      <c r="L18" s="20" t="s">
        <v>513</v>
      </c>
      <c r="M18" s="20" t="s">
        <v>514</v>
      </c>
      <c r="O18" s="20" t="s">
        <v>515</v>
      </c>
      <c r="S18" s="20" t="s">
        <v>494</v>
      </c>
    </row>
    <row r="19" spans="1:19" ht="20.100000000000001" customHeight="1" x14ac:dyDescent="0.2">
      <c r="A19" s="5" t="str">
        <f>HYPERLINK("#'Input - Common farm inputs'!A1", "Common farm inputs")</f>
        <v>Common farm inputs</v>
      </c>
      <c r="D19" s="20" t="s">
        <v>1886</v>
      </c>
      <c r="E19" s="20" t="s">
        <v>494</v>
      </c>
      <c r="F19" s="20" t="s">
        <v>334</v>
      </c>
      <c r="G19" s="20">
        <v>80</v>
      </c>
      <c r="H19" s="20">
        <v>480</v>
      </c>
      <c r="I19" s="20">
        <v>75</v>
      </c>
      <c r="J19" s="20">
        <v>300</v>
      </c>
      <c r="K19" s="20">
        <v>440</v>
      </c>
      <c r="L19" s="20">
        <v>75</v>
      </c>
      <c r="M19" s="20">
        <v>380</v>
      </c>
      <c r="O19" t="s">
        <v>325</v>
      </c>
    </row>
    <row r="20" spans="1:19" ht="20.100000000000001" customHeight="1" x14ac:dyDescent="0.2">
      <c r="A20" s="5" t="str">
        <f>HYPERLINK("#'Input - Crop pasture farm input'!A1", "Crop pasture farm input")</f>
        <v>Crop pasture farm input</v>
      </c>
      <c r="D20" s="1" t="s">
        <v>1886</v>
      </c>
      <c r="E20" s="20" t="s">
        <v>494</v>
      </c>
      <c r="F20" s="20" t="s">
        <v>335</v>
      </c>
      <c r="G20" s="20">
        <v>170</v>
      </c>
      <c r="H20" s="20">
        <v>520</v>
      </c>
      <c r="I20" s="20">
        <v>160</v>
      </c>
      <c r="J20" s="20">
        <v>360</v>
      </c>
      <c r="K20" s="20">
        <v>470</v>
      </c>
      <c r="L20" s="20">
        <v>160</v>
      </c>
      <c r="M20" s="20">
        <v>420</v>
      </c>
      <c r="O20" t="s">
        <v>189</v>
      </c>
      <c r="S20" s="1" t="s">
        <v>516</v>
      </c>
    </row>
    <row r="21" spans="1:19" ht="20.100000000000001" customHeight="1" x14ac:dyDescent="0.2">
      <c r="A21" s="5" t="str">
        <f>HYPERLINK("#'Input - Livestock farm Inputs'!A1", "Livestock farm Inputs")</f>
        <v>Livestock farm Inputs</v>
      </c>
      <c r="D21" s="1" t="s">
        <v>1886</v>
      </c>
      <c r="E21" s="20" t="s">
        <v>494</v>
      </c>
      <c r="F21" s="20" t="s">
        <v>336</v>
      </c>
      <c r="G21" s="20">
        <v>240</v>
      </c>
      <c r="H21" s="20">
        <v>550</v>
      </c>
      <c r="I21" s="20">
        <v>220</v>
      </c>
      <c r="J21" s="20">
        <v>390</v>
      </c>
      <c r="K21" s="20">
        <v>490</v>
      </c>
      <c r="L21" s="20">
        <v>220</v>
      </c>
      <c r="M21" s="20">
        <v>450</v>
      </c>
      <c r="O21" t="s">
        <v>326</v>
      </c>
    </row>
    <row r="22" spans="1:19" ht="20.100000000000001" customHeight="1" x14ac:dyDescent="0.2">
      <c r="A22" s="5" t="str">
        <f>HYPERLINK("#'Input - Freight'!A1", "Freight")</f>
        <v>Freight</v>
      </c>
      <c r="D22" s="1" t="s">
        <v>1886</v>
      </c>
      <c r="E22" s="20" t="s">
        <v>494</v>
      </c>
      <c r="F22" s="20" t="s">
        <v>337</v>
      </c>
      <c r="G22" s="20">
        <v>280</v>
      </c>
      <c r="H22" s="20">
        <v>560</v>
      </c>
      <c r="I22" s="20">
        <v>260</v>
      </c>
      <c r="J22" s="20">
        <v>410</v>
      </c>
      <c r="K22" s="20">
        <v>500</v>
      </c>
      <c r="L22" s="20">
        <v>260</v>
      </c>
      <c r="M22" s="20">
        <v>460</v>
      </c>
      <c r="O22" t="s">
        <v>327</v>
      </c>
      <c r="S22" s="20" t="s">
        <v>490</v>
      </c>
    </row>
    <row r="23" spans="1:19" ht="20.100000000000001" customHeight="1" x14ac:dyDescent="0.2">
      <c r="A23" s="5" t="str">
        <f>HYPERLINK("#'Input - Solid waste'!A1", "Solid waste")</f>
        <v>Solid waste</v>
      </c>
      <c r="D23" s="1" t="s">
        <v>1887</v>
      </c>
      <c r="E23" s="20" t="s">
        <v>494</v>
      </c>
      <c r="F23" s="20" t="s">
        <v>334</v>
      </c>
      <c r="G23" s="20">
        <v>250</v>
      </c>
      <c r="H23" s="20">
        <v>800</v>
      </c>
      <c r="I23" s="20">
        <v>220</v>
      </c>
      <c r="J23" s="20">
        <v>400</v>
      </c>
      <c r="K23" s="20">
        <v>500</v>
      </c>
      <c r="L23" s="20">
        <v>230</v>
      </c>
      <c r="M23" s="20">
        <v>420</v>
      </c>
      <c r="O23" t="s">
        <v>328</v>
      </c>
      <c r="S23" s="20" t="s">
        <v>494</v>
      </c>
    </row>
    <row r="24" spans="1:19" ht="20.100000000000001" customHeight="1" x14ac:dyDescent="0.2">
      <c r="A24" s="5" t="str">
        <f>HYPERLINK("#'Input - Manure sent off-site'!A1", "Manure sent off-site")</f>
        <v>Manure sent off-site</v>
      </c>
      <c r="D24" s="1" t="s">
        <v>1887</v>
      </c>
      <c r="E24" s="20" t="s">
        <v>494</v>
      </c>
      <c r="F24" s="20" t="s">
        <v>335</v>
      </c>
      <c r="G24" s="20">
        <v>320</v>
      </c>
      <c r="H24" s="20">
        <v>800</v>
      </c>
      <c r="I24" s="20">
        <v>280</v>
      </c>
      <c r="J24" s="20">
        <v>420</v>
      </c>
      <c r="K24" s="20">
        <v>500</v>
      </c>
      <c r="L24" s="20">
        <v>290</v>
      </c>
      <c r="M24" s="20">
        <v>420</v>
      </c>
      <c r="O24" t="s">
        <v>329</v>
      </c>
    </row>
    <row r="25" spans="1:19" ht="20.100000000000001" customHeight="1" x14ac:dyDescent="0.2">
      <c r="A25" s="5" t="str">
        <f>HYPERLINK("#'Input - Data quality'!A1", "Data quality")</f>
        <v>Data quality</v>
      </c>
      <c r="D25" s="1" t="s">
        <v>1887</v>
      </c>
      <c r="E25" s="20" t="s">
        <v>494</v>
      </c>
      <c r="F25" s="20" t="s">
        <v>336</v>
      </c>
      <c r="G25" s="20">
        <v>80</v>
      </c>
      <c r="H25" s="20">
        <v>700</v>
      </c>
      <c r="I25" s="20">
        <v>70</v>
      </c>
      <c r="J25" s="20">
        <v>300</v>
      </c>
      <c r="K25" s="20">
        <v>450</v>
      </c>
      <c r="L25" s="20">
        <v>75</v>
      </c>
      <c r="M25" s="20">
        <v>400</v>
      </c>
      <c r="O25" t="s">
        <v>330</v>
      </c>
      <c r="S25" s="1" t="s">
        <v>517</v>
      </c>
    </row>
    <row r="26" spans="1:19" ht="20.100000000000001" customHeight="1" x14ac:dyDescent="0.2">
      <c r="D26" s="1" t="s">
        <v>1887</v>
      </c>
      <c r="E26" s="20" t="s">
        <v>494</v>
      </c>
      <c r="F26" s="20" t="s">
        <v>337</v>
      </c>
      <c r="G26" s="20">
        <v>160</v>
      </c>
      <c r="H26" s="20">
        <v>700</v>
      </c>
      <c r="I26" s="20">
        <v>140</v>
      </c>
      <c r="J26" s="20">
        <v>350</v>
      </c>
      <c r="K26" s="20">
        <v>450</v>
      </c>
      <c r="L26" s="20">
        <v>150</v>
      </c>
      <c r="M26" s="20">
        <v>400</v>
      </c>
      <c r="O26" t="s">
        <v>331</v>
      </c>
    </row>
    <row r="27" spans="1:19" ht="20.100000000000001" customHeight="1" x14ac:dyDescent="0.2">
      <c r="D27" s="1" t="s">
        <v>1888</v>
      </c>
      <c r="E27" s="20" t="s">
        <v>494</v>
      </c>
      <c r="F27" s="20" t="s">
        <v>334</v>
      </c>
      <c r="G27" s="20">
        <v>105</v>
      </c>
      <c r="H27" s="20">
        <v>700</v>
      </c>
      <c r="I27" s="20">
        <v>85</v>
      </c>
      <c r="J27" s="20">
        <v>300</v>
      </c>
      <c r="K27" s="20">
        <v>490</v>
      </c>
      <c r="L27" s="20">
        <v>90</v>
      </c>
      <c r="M27" s="20">
        <v>480</v>
      </c>
      <c r="O27" t="s">
        <v>332</v>
      </c>
      <c r="S27" s="20" t="s">
        <v>490</v>
      </c>
    </row>
    <row r="28" spans="1:19" ht="20.100000000000001" customHeight="1" x14ac:dyDescent="0.2">
      <c r="A28" s="6" t="s">
        <v>2</v>
      </c>
      <c r="D28" s="1" t="s">
        <v>1888</v>
      </c>
      <c r="E28" s="20" t="s">
        <v>494</v>
      </c>
      <c r="F28" s="20" t="s">
        <v>335</v>
      </c>
      <c r="G28" s="20">
        <v>480</v>
      </c>
      <c r="H28" s="20">
        <v>750</v>
      </c>
      <c r="I28" s="20">
        <v>150</v>
      </c>
      <c r="J28" s="20">
        <v>350</v>
      </c>
      <c r="K28" s="20">
        <v>530</v>
      </c>
      <c r="L28" s="20">
        <v>160</v>
      </c>
      <c r="M28" s="20">
        <v>460</v>
      </c>
      <c r="O28" t="s">
        <v>333</v>
      </c>
      <c r="S28" s="20" t="s">
        <v>494</v>
      </c>
    </row>
    <row r="29" spans="1:19" ht="20.100000000000001" customHeight="1" x14ac:dyDescent="0.2">
      <c r="A29" s="5" t="str">
        <f>HYPERLINK("#'3.2.1.1-2 Enteric Methane'!A1", "3.2.1.1-2 Enteric Methane")</f>
        <v>3.2.1.1-2 Enteric Methane</v>
      </c>
      <c r="D29" s="1" t="s">
        <v>1888</v>
      </c>
      <c r="E29" s="20" t="s">
        <v>494</v>
      </c>
      <c r="F29" s="20" t="s">
        <v>336</v>
      </c>
      <c r="G29" s="20">
        <v>250</v>
      </c>
      <c r="H29" s="20">
        <v>725</v>
      </c>
      <c r="I29" s="20">
        <v>200</v>
      </c>
      <c r="J29" s="20">
        <v>360</v>
      </c>
      <c r="K29" s="20">
        <v>500</v>
      </c>
      <c r="L29" s="20">
        <v>215</v>
      </c>
      <c r="M29" s="20">
        <v>490</v>
      </c>
    </row>
    <row r="30" spans="1:19" ht="20.100000000000001" customHeight="1" x14ac:dyDescent="0.2">
      <c r="A30" s="5" t="str">
        <f>HYPERLINK("#'4.2.1.1-2 Methane'!A1", "4.2.1.1-2 Manure methane")</f>
        <v>4.2.1.1-2 Manure methane</v>
      </c>
      <c r="D30" s="1" t="s">
        <v>1888</v>
      </c>
      <c r="E30" s="20" t="s">
        <v>494</v>
      </c>
      <c r="F30" s="20" t="s">
        <v>337</v>
      </c>
      <c r="G30" s="20">
        <v>260</v>
      </c>
      <c r="H30" s="20">
        <v>700</v>
      </c>
      <c r="I30" s="20">
        <v>210</v>
      </c>
      <c r="J30" s="20">
        <v>380</v>
      </c>
      <c r="K30" s="20">
        <v>460</v>
      </c>
      <c r="L30" s="20">
        <v>230</v>
      </c>
      <c r="M30" s="20">
        <v>470</v>
      </c>
    </row>
    <row r="31" spans="1:19" ht="20.100000000000001" customHeight="1" x14ac:dyDescent="0.2">
      <c r="A31" s="5" t="str">
        <f>HYPERLINK("#'4.2.1.3-4 Soil direct N20'!A1", "4.2.1.3-4 Soil direct N2O")</f>
        <v>4.2.1.3-4 Soil direct N2O</v>
      </c>
      <c r="D31" s="1" t="s">
        <v>1889</v>
      </c>
      <c r="E31" s="20" t="s">
        <v>494</v>
      </c>
      <c r="F31" s="20" t="s">
        <v>334</v>
      </c>
      <c r="G31" s="20">
        <v>250</v>
      </c>
      <c r="H31" s="20">
        <v>820</v>
      </c>
      <c r="I31" s="20">
        <v>240</v>
      </c>
      <c r="J31" s="20">
        <v>410</v>
      </c>
      <c r="K31" s="20">
        <v>560</v>
      </c>
      <c r="L31" s="20">
        <v>240</v>
      </c>
      <c r="M31" s="20">
        <v>510</v>
      </c>
      <c r="O31" s="1" t="s">
        <v>518</v>
      </c>
    </row>
    <row r="32" spans="1:19" ht="20.100000000000001" customHeight="1" x14ac:dyDescent="0.2">
      <c r="A32" s="5" t="str">
        <f>HYPERLINK("#'4.2.1.5-6 Soil Atmos Dep'!A1", "4.2.1.5-6 Soil atm. deposition")</f>
        <v>4.2.1.5-6 Soil atm. deposition</v>
      </c>
      <c r="D32" s="1" t="s">
        <v>1889</v>
      </c>
      <c r="E32" s="20" t="s">
        <v>494</v>
      </c>
      <c r="F32" s="20" t="s">
        <v>335</v>
      </c>
      <c r="G32" s="20">
        <v>280</v>
      </c>
      <c r="H32" s="20">
        <v>850</v>
      </c>
      <c r="I32" s="20">
        <v>260</v>
      </c>
      <c r="J32" s="20">
        <v>440</v>
      </c>
      <c r="K32" s="20">
        <v>550</v>
      </c>
      <c r="L32" s="20">
        <v>270</v>
      </c>
      <c r="M32" s="20">
        <v>520</v>
      </c>
      <c r="O32" s="20" t="s">
        <v>490</v>
      </c>
      <c r="P32" s="20" t="s">
        <v>519</v>
      </c>
    </row>
    <row r="33" spans="1:16" ht="20.100000000000001" customHeight="1" x14ac:dyDescent="0.2">
      <c r="A33" s="5" t="str">
        <f>HYPERLINK("#'4.2.1.7-8 Soil leach runoff'!A1", "4.2.1.7-8 Soil leach &amp; runoff")</f>
        <v>4.2.1.7-8 Soil leach &amp; runoff</v>
      </c>
      <c r="D33" s="1" t="s">
        <v>1889</v>
      </c>
      <c r="E33" s="20" t="s">
        <v>494</v>
      </c>
      <c r="F33" s="20" t="s">
        <v>336</v>
      </c>
      <c r="G33" s="20">
        <v>100</v>
      </c>
      <c r="H33" s="20">
        <v>700</v>
      </c>
      <c r="I33" s="20">
        <v>95</v>
      </c>
      <c r="J33" s="20">
        <v>300</v>
      </c>
      <c r="K33" s="20">
        <v>450</v>
      </c>
      <c r="L33" s="20">
        <v>95</v>
      </c>
      <c r="M33" s="20">
        <v>410</v>
      </c>
      <c r="O33" s="20" t="s">
        <v>520</v>
      </c>
      <c r="P33" s="20" t="s">
        <v>521</v>
      </c>
    </row>
    <row r="34" spans="1:16" ht="20.100000000000001" customHeight="1" x14ac:dyDescent="0.2">
      <c r="A34" s="5" t="str">
        <f>HYPERLINK("#'5.1.1.1-2 Inorganic fert N2O'!A1", "5.1.1.1-2 Inorganic fert N2O")</f>
        <v>5.1.1.1-2 Inorganic fert N2O</v>
      </c>
      <c r="D34" s="1" t="s">
        <v>1889</v>
      </c>
      <c r="E34" s="20" t="s">
        <v>494</v>
      </c>
      <c r="F34" s="20" t="s">
        <v>337</v>
      </c>
      <c r="G34" s="20">
        <v>150</v>
      </c>
      <c r="H34" s="20">
        <v>720</v>
      </c>
      <c r="I34" s="20">
        <v>140</v>
      </c>
      <c r="J34" s="20">
        <v>320</v>
      </c>
      <c r="K34" s="20">
        <v>470</v>
      </c>
      <c r="L34" s="20">
        <v>140</v>
      </c>
      <c r="M34" s="20">
        <v>440</v>
      </c>
      <c r="O34" s="20" t="s">
        <v>521</v>
      </c>
      <c r="P34" s="20" t="s">
        <v>521</v>
      </c>
    </row>
    <row r="35" spans="1:16" ht="20.100000000000001" customHeight="1" x14ac:dyDescent="0.2">
      <c r="A35" s="5" t="str">
        <f>HYPERLINK("#'5.1.1.3-4 Inorganic fert CO2'!A1", "5.1.1.3-4 Inorganic fert CO2")</f>
        <v>5.1.1.3-4 Inorganic fert CO2</v>
      </c>
      <c r="D35" s="1" t="s">
        <v>108</v>
      </c>
      <c r="E35" s="20" t="s">
        <v>319</v>
      </c>
      <c r="F35" s="20" t="s">
        <v>334</v>
      </c>
      <c r="G35" s="20">
        <v>340</v>
      </c>
      <c r="H35" s="20">
        <v>800</v>
      </c>
      <c r="I35" s="20">
        <v>260</v>
      </c>
      <c r="J35" s="20">
        <v>420</v>
      </c>
      <c r="K35" s="20">
        <v>550</v>
      </c>
      <c r="L35" s="20">
        <v>300</v>
      </c>
      <c r="M35" s="20">
        <v>480</v>
      </c>
      <c r="O35" s="20" t="s">
        <v>522</v>
      </c>
      <c r="P35" s="20" t="s">
        <v>522</v>
      </c>
    </row>
    <row r="36" spans="1:16" ht="20.100000000000001" customHeight="1" x14ac:dyDescent="0.2">
      <c r="A36" s="5" t="str">
        <f>HYPERLINK("#'5.2.1.1-2 Organic Fert N2O'!A1", "5.2.1.1-2 Organic fert N2O")</f>
        <v>5.2.1.1-2 Organic fert N2O</v>
      </c>
      <c r="D36" s="1" t="s">
        <v>108</v>
      </c>
      <c r="E36" s="20" t="s">
        <v>319</v>
      </c>
      <c r="F36" s="20" t="s">
        <v>335</v>
      </c>
      <c r="G36" s="20">
        <v>380</v>
      </c>
      <c r="H36" s="20">
        <v>780</v>
      </c>
      <c r="I36" s="20">
        <v>300</v>
      </c>
      <c r="J36" s="20">
        <v>450</v>
      </c>
      <c r="K36" s="20">
        <v>530</v>
      </c>
      <c r="L36" s="20">
        <v>340</v>
      </c>
      <c r="M36" s="20">
        <v>470</v>
      </c>
      <c r="O36" s="20" t="s">
        <v>523</v>
      </c>
      <c r="P36" s="20" t="s">
        <v>523</v>
      </c>
    </row>
    <row r="37" spans="1:16" ht="20.100000000000001" customHeight="1" x14ac:dyDescent="0.2">
      <c r="A37" s="5" t="str">
        <f>HYPERLINK("#'5.3.1.1-2 Lime CO2'!A1", "5.3.1.1-2 Lime CO2")</f>
        <v>5.3.1.1-2 Lime CO2</v>
      </c>
      <c r="D37" s="1" t="s">
        <v>108</v>
      </c>
      <c r="E37" s="20" t="s">
        <v>319</v>
      </c>
      <c r="F37" s="20" t="s">
        <v>336</v>
      </c>
      <c r="G37" s="20">
        <v>100</v>
      </c>
      <c r="H37" s="20">
        <v>680</v>
      </c>
      <c r="I37" s="20">
        <v>80</v>
      </c>
      <c r="J37" s="20">
        <v>320</v>
      </c>
      <c r="K37" s="20">
        <v>480</v>
      </c>
      <c r="L37" s="20">
        <v>100</v>
      </c>
      <c r="M37" s="20">
        <v>340</v>
      </c>
      <c r="O37" s="20" t="s">
        <v>524</v>
      </c>
      <c r="P37" s="20" t="s">
        <v>524</v>
      </c>
    </row>
    <row r="38" spans="1:16" ht="20.100000000000001" customHeight="1" x14ac:dyDescent="0.2">
      <c r="A38" s="5" t="str">
        <f>HYPERLINK("#'5.4.1.1-4 Atmos deposition'!A1", "5.4.1.1-4 Atmos. deposition")</f>
        <v>5.4.1.1-4 Atmos. deposition</v>
      </c>
      <c r="D38" s="1" t="s">
        <v>108</v>
      </c>
      <c r="E38" s="20" t="s">
        <v>319</v>
      </c>
      <c r="F38" s="20" t="s">
        <v>337</v>
      </c>
      <c r="G38" s="20">
        <v>190</v>
      </c>
      <c r="H38" s="20">
        <v>700</v>
      </c>
      <c r="I38" s="20">
        <v>150</v>
      </c>
      <c r="J38" s="20">
        <v>330</v>
      </c>
      <c r="K38" s="20">
        <v>490</v>
      </c>
      <c r="L38" s="20">
        <v>170</v>
      </c>
      <c r="M38" s="20">
        <v>360</v>
      </c>
      <c r="O38" s="20" t="s">
        <v>525</v>
      </c>
      <c r="P38" s="20" t="s">
        <v>526</v>
      </c>
    </row>
    <row r="39" spans="1:16" ht="20.100000000000001" customHeight="1" x14ac:dyDescent="0.2">
      <c r="A39" s="5" t="str">
        <f>HYPERLINK("#'5.5.1.1-2 Leaching and runoff'!A1", "5.5.1.1-2 Leaching &amp; runoff")</f>
        <v>5.5.1.1-2 Leaching &amp; runoff</v>
      </c>
      <c r="D39" s="1" t="s">
        <v>108</v>
      </c>
      <c r="E39" s="20" t="s">
        <v>496</v>
      </c>
      <c r="F39" s="20" t="s">
        <v>334</v>
      </c>
      <c r="G39" s="20">
        <v>80</v>
      </c>
      <c r="H39" s="20">
        <v>450</v>
      </c>
      <c r="I39" s="20">
        <v>70</v>
      </c>
      <c r="J39" s="20">
        <v>260</v>
      </c>
      <c r="K39" s="20">
        <v>340</v>
      </c>
      <c r="L39" s="20">
        <v>80</v>
      </c>
      <c r="M39" s="20">
        <v>370</v>
      </c>
      <c r="O39" s="20" t="s">
        <v>527</v>
      </c>
      <c r="P39" s="20" t="s">
        <v>526</v>
      </c>
    </row>
    <row r="40" spans="1:16" ht="20.100000000000001" customHeight="1" x14ac:dyDescent="0.2">
      <c r="A40" s="5" t="str">
        <f>HYPERLINK("#'6.2.1.1-2 Pasture residue N2O'!A1", "6.2.1.1-2 Pasture residue N2O")</f>
        <v>6.2.1.1-2 Pasture residue N2O</v>
      </c>
      <c r="D40" s="1" t="s">
        <v>108</v>
      </c>
      <c r="E40" s="20" t="s">
        <v>496</v>
      </c>
      <c r="F40" s="20" t="s">
        <v>335</v>
      </c>
      <c r="G40" s="20">
        <v>150</v>
      </c>
      <c r="H40" s="20">
        <v>500</v>
      </c>
      <c r="I40" s="20">
        <v>140</v>
      </c>
      <c r="J40" s="20">
        <v>310</v>
      </c>
      <c r="K40" s="20">
        <v>360</v>
      </c>
      <c r="L40" s="20">
        <v>150</v>
      </c>
      <c r="M40" s="20">
        <v>400</v>
      </c>
      <c r="O40" s="20" t="s">
        <v>528</v>
      </c>
      <c r="P40" s="20" t="s">
        <v>526</v>
      </c>
    </row>
    <row r="41" spans="1:16" ht="20.100000000000001" customHeight="1" x14ac:dyDescent="0.2">
      <c r="A41" s="5" t="str">
        <f>HYPERLINK("#'6.3.1.1-2 Leach runoff pasture'!A1", "6.3.1.1-2 Leach &amp; runoff (pasture)")</f>
        <v>6.3.1.1-2 Leach &amp; runoff (pasture)</v>
      </c>
      <c r="D41" s="1" t="s">
        <v>108</v>
      </c>
      <c r="E41" s="20" t="s">
        <v>496</v>
      </c>
      <c r="F41" s="20" t="s">
        <v>336</v>
      </c>
      <c r="G41" s="20">
        <v>230</v>
      </c>
      <c r="H41" s="20">
        <v>550</v>
      </c>
      <c r="I41" s="20">
        <v>220</v>
      </c>
      <c r="J41" s="20">
        <v>330</v>
      </c>
      <c r="K41" s="20">
        <v>380</v>
      </c>
      <c r="L41" s="20">
        <v>230</v>
      </c>
      <c r="M41" s="20">
        <v>420</v>
      </c>
      <c r="O41" s="20" t="s">
        <v>529</v>
      </c>
      <c r="P41" s="20" t="s">
        <v>530</v>
      </c>
    </row>
    <row r="42" spans="1:16" ht="20.100000000000001" customHeight="1" x14ac:dyDescent="0.2">
      <c r="A42" s="5" t="str">
        <f>HYPERLINK("#'8.1.1.1-2 Transport fuel'!A1", "8.1.1.1-2 Transport fuel")</f>
        <v>8.1.1.1-2 Transport fuel</v>
      </c>
      <c r="D42" s="1" t="s">
        <v>108</v>
      </c>
      <c r="E42" s="20" t="s">
        <v>496</v>
      </c>
      <c r="F42" s="20" t="s">
        <v>337</v>
      </c>
      <c r="G42" s="20">
        <v>250</v>
      </c>
      <c r="H42" s="20">
        <v>500</v>
      </c>
      <c r="I42" s="20">
        <v>240</v>
      </c>
      <c r="J42" s="20">
        <v>340</v>
      </c>
      <c r="K42" s="20">
        <v>360</v>
      </c>
      <c r="L42" s="20">
        <v>250</v>
      </c>
      <c r="M42" s="20">
        <v>390</v>
      </c>
      <c r="O42" s="20" t="s">
        <v>531</v>
      </c>
      <c r="P42" s="20" t="s">
        <v>530</v>
      </c>
    </row>
    <row r="43" spans="1:16" ht="20.100000000000001" customHeight="1" x14ac:dyDescent="0.2">
      <c r="A43" s="5" t="str">
        <f>HYPERLINK("#'8.2.1.1-2 Stationary fuel'!A1", "8.2.1.1-2 Stationary fuel")</f>
        <v>8.2.1.1-2 Stationary fuel</v>
      </c>
      <c r="D43" s="1" t="s">
        <v>108</v>
      </c>
      <c r="E43" s="20" t="s">
        <v>499</v>
      </c>
      <c r="F43" s="20" t="s">
        <v>334</v>
      </c>
      <c r="G43" s="20">
        <v>220</v>
      </c>
      <c r="H43" s="20">
        <v>500</v>
      </c>
      <c r="I43" s="20">
        <v>180</v>
      </c>
      <c r="J43" s="20">
        <v>300</v>
      </c>
      <c r="K43" s="20">
        <v>320</v>
      </c>
      <c r="L43" s="20">
        <v>210</v>
      </c>
      <c r="M43" s="20">
        <v>340</v>
      </c>
      <c r="O43" s="20" t="s">
        <v>532</v>
      </c>
      <c r="P43" s="20" t="s">
        <v>530</v>
      </c>
    </row>
    <row r="44" spans="1:16" ht="20.100000000000001" customHeight="1" x14ac:dyDescent="0.2">
      <c r="A44" s="5" t="str">
        <f>HYPERLINK("#'10.1.1-2 Solid waste treatment'!A1", "10.1.1.1-2 Solid waste")</f>
        <v>10.1.1.1-2 Solid waste</v>
      </c>
      <c r="D44" s="1" t="s">
        <v>108</v>
      </c>
      <c r="E44" s="20" t="s">
        <v>499</v>
      </c>
      <c r="F44" s="20" t="s">
        <v>335</v>
      </c>
      <c r="G44" s="20">
        <v>110</v>
      </c>
      <c r="H44" s="20">
        <v>550</v>
      </c>
      <c r="I44" s="20">
        <v>90</v>
      </c>
      <c r="J44" s="20">
        <v>220</v>
      </c>
      <c r="K44" s="20">
        <v>380</v>
      </c>
      <c r="L44" s="20">
        <v>100</v>
      </c>
      <c r="M44" s="20">
        <v>390</v>
      </c>
      <c r="O44" s="20" t="s">
        <v>533</v>
      </c>
      <c r="P44" s="20" t="s">
        <v>534</v>
      </c>
    </row>
    <row r="45" spans="1:16" ht="20.100000000000001" customHeight="1" x14ac:dyDescent="0.2">
      <c r="A45" s="5" t="str">
        <f>HYPERLINK("#'14.1.1-2 Purchased electricity'!A1", "14.1.1-2 Purchased electricity")</f>
        <v>14.1.1-2 Purchased electricity</v>
      </c>
      <c r="D45" s="1" t="s">
        <v>108</v>
      </c>
      <c r="E45" s="20" t="s">
        <v>499</v>
      </c>
      <c r="F45" s="20" t="s">
        <v>336</v>
      </c>
      <c r="G45" s="20">
        <v>170</v>
      </c>
      <c r="H45" s="20">
        <v>600</v>
      </c>
      <c r="I45" s="20">
        <v>140</v>
      </c>
      <c r="J45" s="20">
        <v>270</v>
      </c>
      <c r="K45" s="20">
        <v>390</v>
      </c>
      <c r="L45" s="20">
        <v>160</v>
      </c>
      <c r="M45" s="20">
        <v>430</v>
      </c>
      <c r="O45" s="20" t="s">
        <v>535</v>
      </c>
      <c r="P45" s="20" t="s">
        <v>534</v>
      </c>
    </row>
    <row r="46" spans="1:16" ht="20.100000000000001" customHeight="1" x14ac:dyDescent="0.2">
      <c r="A46" s="5" t="str">
        <f>HYPERLINK("#'15 Scope 3'!A1", "15 Scope 3")</f>
        <v>15 Scope 3</v>
      </c>
      <c r="D46" s="1" t="s">
        <v>108</v>
      </c>
      <c r="E46" s="20" t="s">
        <v>499</v>
      </c>
      <c r="F46" s="20" t="s">
        <v>337</v>
      </c>
      <c r="G46" s="20">
        <v>200</v>
      </c>
      <c r="H46" s="20">
        <v>550</v>
      </c>
      <c r="I46" s="20">
        <v>150</v>
      </c>
      <c r="J46" s="20">
        <v>280</v>
      </c>
      <c r="K46" s="20">
        <v>350</v>
      </c>
      <c r="L46" s="20">
        <v>190</v>
      </c>
      <c r="M46" s="20">
        <v>400</v>
      </c>
      <c r="O46" s="20" t="s">
        <v>536</v>
      </c>
      <c r="P46" s="20" t="s">
        <v>534</v>
      </c>
    </row>
    <row r="47" spans="1:16" ht="20.100000000000001" customHeight="1" x14ac:dyDescent="0.2">
      <c r="A47" s="5" t="str">
        <f>HYPERLINK("#'Calcs - Manure sent off-site'!A1", "Calcs - Manure sent off-site")</f>
        <v>Calcs - Manure sent off-site</v>
      </c>
      <c r="M47" s="1"/>
      <c r="O47" s="20" t="s">
        <v>537</v>
      </c>
      <c r="P47" s="20" t="s">
        <v>534</v>
      </c>
    </row>
    <row r="48" spans="1:16" ht="20.100000000000001" customHeight="1" x14ac:dyDescent="0.2">
      <c r="M48" s="1"/>
      <c r="O48" s="1" t="s">
        <v>538</v>
      </c>
      <c r="P48" s="1" t="s">
        <v>538</v>
      </c>
    </row>
    <row r="49" spans="1:16" ht="20.100000000000001" customHeight="1" x14ac:dyDescent="0.2">
      <c r="D49" s="2" t="s">
        <v>1890</v>
      </c>
      <c r="M49" s="1"/>
    </row>
    <row r="50" spans="1:16" ht="20.100000000000001" customHeight="1" x14ac:dyDescent="0.2">
      <c r="A50" s="86" t="s">
        <v>1</v>
      </c>
      <c r="D50" s="17" t="s">
        <v>1891</v>
      </c>
      <c r="M50" s="1"/>
    </row>
    <row r="51" spans="1:16" ht="20.100000000000001" customHeight="1" x14ac:dyDescent="0.2">
      <c r="A51" s="87" t="str">
        <f>HYPERLINK("#'Constants - Pasture Beef'!A1", "Constants - Pasture Beef")</f>
        <v>Constants - Pasture Beef</v>
      </c>
      <c r="D51" s="1" t="s">
        <v>1885</v>
      </c>
      <c r="M51" s="1"/>
    </row>
    <row r="52" spans="1:16" ht="20.100000000000001" customHeight="1" x14ac:dyDescent="0.2">
      <c r="A52" s="5" t="str">
        <f>HYPERLINK("#'Constants - Ag Residue'!A1", "Constants - Ag residue")</f>
        <v>Constants - Ag residue</v>
      </c>
      <c r="D52" s="9" t="s">
        <v>653</v>
      </c>
      <c r="M52" s="1"/>
    </row>
    <row r="53" spans="1:16" ht="20.100000000000001" customHeight="1" x14ac:dyDescent="0.2">
      <c r="A53" s="5" t="str">
        <f>HYPERLINK("#'Constants - Common Livestock'!A1", "Constants - Common Livestock")</f>
        <v>Constants - Common Livestock</v>
      </c>
      <c r="D53" s="20" t="s">
        <v>107</v>
      </c>
      <c r="E53" s="20" t="s">
        <v>490</v>
      </c>
      <c r="F53" s="20" t="s">
        <v>76</v>
      </c>
      <c r="G53" s="20" t="s">
        <v>539</v>
      </c>
      <c r="H53" s="20" t="s">
        <v>540</v>
      </c>
      <c r="I53" s="20" t="s">
        <v>541</v>
      </c>
      <c r="J53" s="20" t="s">
        <v>542</v>
      </c>
      <c r="K53" s="20" t="s">
        <v>543</v>
      </c>
      <c r="L53" s="20" t="s">
        <v>544</v>
      </c>
      <c r="M53" s="20" t="s">
        <v>545</v>
      </c>
      <c r="N53" s="20" t="s">
        <v>546</v>
      </c>
      <c r="O53" s="20" t="s">
        <v>547</v>
      </c>
      <c r="P53" s="20" t="s">
        <v>548</v>
      </c>
    </row>
    <row r="54" spans="1:16" ht="20.100000000000001" customHeight="1" x14ac:dyDescent="0.2">
      <c r="A54" s="5" t="str">
        <f>HYPERLINK("#'Constants - Electricity'!A1", "Constants - Electricity")</f>
        <v>Constants - Electricity</v>
      </c>
      <c r="D54" s="20" t="s">
        <v>1892</v>
      </c>
      <c r="E54" s="20" t="s">
        <v>492</v>
      </c>
      <c r="F54" s="20" t="s">
        <v>334</v>
      </c>
      <c r="G54" s="20">
        <v>220</v>
      </c>
      <c r="H54" s="20">
        <v>706</v>
      </c>
      <c r="I54" s="20">
        <v>208</v>
      </c>
      <c r="J54" s="20">
        <v>323</v>
      </c>
      <c r="K54" s="20">
        <v>415</v>
      </c>
      <c r="L54" s="20">
        <v>467</v>
      </c>
      <c r="M54" s="20">
        <v>223</v>
      </c>
      <c r="N54" s="20">
        <v>371</v>
      </c>
      <c r="O54" s="20">
        <v>493</v>
      </c>
      <c r="P54" s="20">
        <v>585</v>
      </c>
    </row>
    <row r="55" spans="1:16" ht="20.100000000000001" customHeight="1" x14ac:dyDescent="0.2">
      <c r="A55" s="5" t="str">
        <f>HYPERLINK("#'Constants - Fertiliser'!A1", "Constants - Fertiliser")</f>
        <v>Constants - Fertiliser</v>
      </c>
      <c r="D55" s="1" t="s">
        <v>1892</v>
      </c>
      <c r="E55" s="20" t="s">
        <v>492</v>
      </c>
      <c r="F55" s="20" t="s">
        <v>335</v>
      </c>
      <c r="G55" s="20">
        <v>110</v>
      </c>
      <c r="H55" s="20">
        <v>703</v>
      </c>
      <c r="I55" s="20">
        <v>112</v>
      </c>
      <c r="J55" s="20">
        <v>256</v>
      </c>
      <c r="K55" s="20">
        <v>368</v>
      </c>
      <c r="L55" s="20">
        <v>465</v>
      </c>
      <c r="M55" s="20">
        <v>108</v>
      </c>
      <c r="N55" s="20">
        <v>280</v>
      </c>
      <c r="O55" s="20">
        <v>421</v>
      </c>
      <c r="P55" s="20">
        <v>543</v>
      </c>
    </row>
    <row r="56" spans="1:16" ht="20.100000000000001" customHeight="1" x14ac:dyDescent="0.2">
      <c r="A56" s="5" t="str">
        <f>HYPERLINK("#'Constants - Fuel'!A1", "Constants - Fuel")</f>
        <v>Constants - Fuel</v>
      </c>
      <c r="D56" s="1" t="s">
        <v>1892</v>
      </c>
      <c r="E56" s="20" t="s">
        <v>492</v>
      </c>
      <c r="F56" s="20" t="s">
        <v>336</v>
      </c>
      <c r="G56" s="20">
        <v>170</v>
      </c>
      <c r="H56" s="20">
        <v>721</v>
      </c>
      <c r="I56" s="20">
        <v>169</v>
      </c>
      <c r="J56" s="20">
        <v>306</v>
      </c>
      <c r="K56" s="20">
        <v>392</v>
      </c>
      <c r="L56" s="20">
        <v>464</v>
      </c>
      <c r="M56" s="20">
        <v>176</v>
      </c>
      <c r="N56" s="20">
        <v>339</v>
      </c>
      <c r="O56" s="20">
        <v>470</v>
      </c>
      <c r="P56" s="20">
        <v>580</v>
      </c>
    </row>
    <row r="57" spans="1:16" ht="20.100000000000001" customHeight="1" x14ac:dyDescent="0.2">
      <c r="A57" s="5" t="str">
        <f>HYPERLINK("#'Constants - Scope 3'!A1", "Constants - Scope 3")</f>
        <v>Constants - Scope 3</v>
      </c>
      <c r="D57" s="1" t="s">
        <v>1892</v>
      </c>
      <c r="E57" s="20" t="s">
        <v>492</v>
      </c>
      <c r="F57" s="20" t="s">
        <v>337</v>
      </c>
      <c r="G57" s="20">
        <v>200</v>
      </c>
      <c r="H57" s="20">
        <v>727</v>
      </c>
      <c r="I57" s="20">
        <v>211</v>
      </c>
      <c r="J57" s="20">
        <v>338</v>
      </c>
      <c r="K57" s="20">
        <v>432</v>
      </c>
      <c r="L57" s="20">
        <v>492</v>
      </c>
      <c r="M57" s="20">
        <v>222</v>
      </c>
      <c r="N57" s="20">
        <v>377</v>
      </c>
      <c r="O57" s="20">
        <v>498</v>
      </c>
      <c r="P57" s="20">
        <v>590</v>
      </c>
    </row>
    <row r="58" spans="1:16" ht="20.100000000000001" customHeight="1" x14ac:dyDescent="0.2">
      <c r="A58" s="5" t="str">
        <f>HYPERLINK("#'Constants - Solid Waste'!A1", "Constants - Solid Waste")</f>
        <v>Constants - Solid Waste</v>
      </c>
      <c r="D58" s="1" t="s">
        <v>1892</v>
      </c>
      <c r="E58" s="20" t="s">
        <v>497</v>
      </c>
      <c r="F58" s="20" t="s">
        <v>334</v>
      </c>
      <c r="G58" s="20">
        <v>220</v>
      </c>
      <c r="H58" s="20">
        <v>620</v>
      </c>
      <c r="I58" s="20">
        <v>227</v>
      </c>
      <c r="J58" s="20">
        <v>319</v>
      </c>
      <c r="K58" s="20">
        <v>398</v>
      </c>
      <c r="L58" s="20">
        <v>452</v>
      </c>
      <c r="M58" s="20">
        <v>216</v>
      </c>
      <c r="N58" s="20">
        <v>334</v>
      </c>
      <c r="O58" s="20" t="s">
        <v>1893</v>
      </c>
      <c r="P58" s="20" t="s">
        <v>1893</v>
      </c>
    </row>
    <row r="59" spans="1:16" ht="20.100000000000001" customHeight="1" x14ac:dyDescent="0.2">
      <c r="A59" s="5" t="str">
        <f>HYPERLINK("#'Constants - Common'!A1", "Constants - Common")</f>
        <v>Constants - Common</v>
      </c>
      <c r="D59" s="1" t="s">
        <v>1892</v>
      </c>
      <c r="E59" s="20" t="s">
        <v>497</v>
      </c>
      <c r="F59" s="20" t="s">
        <v>335</v>
      </c>
      <c r="G59" s="20">
        <v>110</v>
      </c>
      <c r="H59" s="20">
        <v>650</v>
      </c>
      <c r="I59" s="20">
        <v>108</v>
      </c>
      <c r="J59" s="20">
        <v>262</v>
      </c>
      <c r="K59" s="20">
        <v>346</v>
      </c>
      <c r="L59" s="20">
        <v>430</v>
      </c>
      <c r="M59" s="20">
        <v>111</v>
      </c>
      <c r="N59" s="20">
        <v>236</v>
      </c>
      <c r="O59" s="20" t="s">
        <v>1893</v>
      </c>
      <c r="P59" s="20" t="s">
        <v>1893</v>
      </c>
    </row>
    <row r="60" spans="1:16" ht="20.100000000000001" customHeight="1" x14ac:dyDescent="0.2">
      <c r="A60" s="5" t="str">
        <f>HYPERLINK("#'Acknowledgements'!A1", "Acknowledgements")</f>
        <v>Acknowledgements</v>
      </c>
      <c r="D60" s="1" t="s">
        <v>1892</v>
      </c>
      <c r="E60" s="20" t="s">
        <v>497</v>
      </c>
      <c r="F60" s="20" t="s">
        <v>336</v>
      </c>
      <c r="G60" s="20">
        <v>170</v>
      </c>
      <c r="H60" s="20">
        <v>670</v>
      </c>
      <c r="I60" s="20">
        <v>170</v>
      </c>
      <c r="J60" s="20">
        <v>266</v>
      </c>
      <c r="K60" s="20">
        <v>363</v>
      </c>
      <c r="L60" s="20">
        <v>444</v>
      </c>
      <c r="M60" s="20">
        <v>169</v>
      </c>
      <c r="N60" s="20">
        <v>282</v>
      </c>
      <c r="O60" s="20" t="s">
        <v>1893</v>
      </c>
      <c r="P60" s="20" t="s">
        <v>1893</v>
      </c>
    </row>
    <row r="61" spans="1:16" ht="20.100000000000001" customHeight="1" x14ac:dyDescent="0.2">
      <c r="D61" s="1" t="s">
        <v>1892</v>
      </c>
      <c r="E61" s="20" t="s">
        <v>497</v>
      </c>
      <c r="F61" s="20" t="s">
        <v>337</v>
      </c>
      <c r="G61" s="20">
        <v>200</v>
      </c>
      <c r="H61" s="20">
        <v>660</v>
      </c>
      <c r="I61" s="20">
        <v>225</v>
      </c>
      <c r="J61" s="20">
        <v>307</v>
      </c>
      <c r="K61" s="20">
        <v>398</v>
      </c>
      <c r="L61" s="20">
        <v>452</v>
      </c>
      <c r="M61" s="20">
        <v>214</v>
      </c>
      <c r="N61" s="20">
        <v>326</v>
      </c>
      <c r="O61" s="20" t="s">
        <v>1893</v>
      </c>
      <c r="P61" s="20" t="s">
        <v>1893</v>
      </c>
    </row>
    <row r="62" spans="1:16" ht="20.100000000000001" customHeight="1" x14ac:dyDescent="0.2">
      <c r="D62" s="1" t="s">
        <v>1892</v>
      </c>
      <c r="E62" s="20" t="s">
        <v>500</v>
      </c>
      <c r="F62" s="20" t="s">
        <v>334</v>
      </c>
      <c r="G62" s="20">
        <v>220</v>
      </c>
      <c r="H62" s="20">
        <v>620</v>
      </c>
      <c r="I62" s="20">
        <v>177</v>
      </c>
      <c r="J62" s="20">
        <v>267</v>
      </c>
      <c r="K62" s="20">
        <v>365</v>
      </c>
      <c r="L62" s="20">
        <v>406</v>
      </c>
      <c r="M62" s="20">
        <v>231</v>
      </c>
      <c r="N62" s="20">
        <v>249</v>
      </c>
      <c r="O62" s="20">
        <v>324</v>
      </c>
      <c r="P62" s="20" t="s">
        <v>1893</v>
      </c>
    </row>
    <row r="63" spans="1:16" ht="20.100000000000001" customHeight="1" x14ac:dyDescent="0.2">
      <c r="D63" s="1" t="s">
        <v>1892</v>
      </c>
      <c r="E63" s="20" t="s">
        <v>500</v>
      </c>
      <c r="F63" s="20" t="s">
        <v>335</v>
      </c>
      <c r="G63" s="20">
        <v>110</v>
      </c>
      <c r="H63" s="20">
        <v>650</v>
      </c>
      <c r="I63" s="20">
        <v>102</v>
      </c>
      <c r="J63" s="20">
        <v>203</v>
      </c>
      <c r="K63" s="20">
        <v>299</v>
      </c>
      <c r="L63" s="20">
        <v>380</v>
      </c>
      <c r="M63" s="20">
        <v>102</v>
      </c>
      <c r="N63" s="20">
        <v>218</v>
      </c>
      <c r="O63" s="20">
        <v>263</v>
      </c>
      <c r="P63" s="20" t="s">
        <v>1893</v>
      </c>
    </row>
    <row r="64" spans="1:16" ht="20.100000000000001" customHeight="1" x14ac:dyDescent="0.2">
      <c r="D64" s="1" t="s">
        <v>1892</v>
      </c>
      <c r="E64" s="20" t="s">
        <v>500</v>
      </c>
      <c r="F64" s="20" t="s">
        <v>336</v>
      </c>
      <c r="G64" s="20">
        <v>170</v>
      </c>
      <c r="H64" s="20">
        <v>670</v>
      </c>
      <c r="I64" s="20">
        <v>173</v>
      </c>
      <c r="J64" s="20">
        <v>250</v>
      </c>
      <c r="K64" s="20">
        <v>336</v>
      </c>
      <c r="L64" s="20">
        <v>414</v>
      </c>
      <c r="M64" s="20">
        <v>175</v>
      </c>
      <c r="N64" s="20">
        <v>243</v>
      </c>
      <c r="O64" s="20">
        <v>304</v>
      </c>
      <c r="P64" s="20" t="s">
        <v>1893</v>
      </c>
    </row>
    <row r="65" spans="1:22" ht="20.100000000000001" customHeight="1" x14ac:dyDescent="0.2">
      <c r="D65" s="1" t="s">
        <v>1892</v>
      </c>
      <c r="E65" s="20" t="s">
        <v>500</v>
      </c>
      <c r="F65" s="20" t="s">
        <v>337</v>
      </c>
      <c r="G65" s="20">
        <v>200</v>
      </c>
      <c r="H65" s="20">
        <v>660</v>
      </c>
      <c r="I65" s="20">
        <v>202</v>
      </c>
      <c r="J65" s="20">
        <v>272</v>
      </c>
      <c r="K65" s="20">
        <v>365</v>
      </c>
      <c r="L65" s="20">
        <v>390</v>
      </c>
      <c r="M65" s="20">
        <v>208</v>
      </c>
      <c r="N65" s="20">
        <v>260</v>
      </c>
      <c r="O65" s="20">
        <v>337</v>
      </c>
      <c r="P65" s="20" t="s">
        <v>1893</v>
      </c>
    </row>
    <row r="66" spans="1:22" ht="20.100000000000001" customHeight="1" x14ac:dyDescent="0.2">
      <c r="D66" s="1" t="s">
        <v>1894</v>
      </c>
      <c r="E66" s="20" t="s">
        <v>493</v>
      </c>
      <c r="F66" s="20" t="s">
        <v>334</v>
      </c>
      <c r="G66" s="20">
        <v>260</v>
      </c>
      <c r="H66" s="20">
        <v>705</v>
      </c>
      <c r="I66" s="20">
        <v>215</v>
      </c>
      <c r="J66" s="20">
        <v>302</v>
      </c>
      <c r="K66" s="20">
        <v>416</v>
      </c>
      <c r="L66" s="20">
        <v>519</v>
      </c>
      <c r="M66" s="20">
        <v>234</v>
      </c>
      <c r="N66" s="20">
        <v>455</v>
      </c>
      <c r="O66" s="20">
        <v>551</v>
      </c>
      <c r="P66" s="20">
        <v>660</v>
      </c>
    </row>
    <row r="67" spans="1:22" ht="20.100000000000001" customHeight="1" x14ac:dyDescent="0.2">
      <c r="D67" s="1" t="s">
        <v>1894</v>
      </c>
      <c r="E67" s="20" t="s">
        <v>493</v>
      </c>
      <c r="F67" s="20" t="s">
        <v>335</v>
      </c>
      <c r="G67" s="20">
        <v>153</v>
      </c>
      <c r="H67" s="20">
        <v>703</v>
      </c>
      <c r="I67" s="20">
        <v>118</v>
      </c>
      <c r="J67" s="20">
        <v>277</v>
      </c>
      <c r="K67" s="20">
        <v>397</v>
      </c>
      <c r="L67" s="20">
        <v>483</v>
      </c>
      <c r="M67" s="20">
        <v>111</v>
      </c>
      <c r="N67" s="20">
        <v>304</v>
      </c>
      <c r="O67" s="20">
        <v>521</v>
      </c>
      <c r="P67" s="20">
        <v>547</v>
      </c>
    </row>
    <row r="68" spans="1:22" ht="20.100000000000001" customHeight="1" x14ac:dyDescent="0.2">
      <c r="D68" s="1" t="s">
        <v>1894</v>
      </c>
      <c r="E68" s="20" t="s">
        <v>493</v>
      </c>
      <c r="F68" s="20" t="s">
        <v>336</v>
      </c>
      <c r="G68" s="20">
        <v>168</v>
      </c>
      <c r="H68" s="20">
        <v>718</v>
      </c>
      <c r="I68" s="20">
        <v>191</v>
      </c>
      <c r="J68" s="20">
        <v>319</v>
      </c>
      <c r="K68" s="20">
        <v>440</v>
      </c>
      <c r="L68" s="20">
        <v>506</v>
      </c>
      <c r="M68" s="20">
        <v>188</v>
      </c>
      <c r="N68" s="20">
        <v>326</v>
      </c>
      <c r="O68" s="20">
        <v>520</v>
      </c>
      <c r="P68" s="20">
        <v>582</v>
      </c>
    </row>
    <row r="69" spans="1:22" ht="20.100000000000001" customHeight="1" x14ac:dyDescent="0.2">
      <c r="D69" s="1" t="s">
        <v>1894</v>
      </c>
      <c r="E69" s="20" t="s">
        <v>493</v>
      </c>
      <c r="F69" s="20" t="s">
        <v>337</v>
      </c>
      <c r="G69" s="20">
        <v>235</v>
      </c>
      <c r="H69" s="20">
        <v>722</v>
      </c>
      <c r="I69" s="20">
        <v>207</v>
      </c>
      <c r="J69" s="20">
        <v>352</v>
      </c>
      <c r="K69" s="20">
        <v>470</v>
      </c>
      <c r="L69" s="20">
        <v>514</v>
      </c>
      <c r="M69" s="20">
        <v>209</v>
      </c>
      <c r="N69" s="20">
        <v>421</v>
      </c>
      <c r="O69" s="20">
        <v>512</v>
      </c>
      <c r="P69" s="20">
        <v>605</v>
      </c>
    </row>
    <row r="70" spans="1:22" ht="20.100000000000001" customHeight="1" x14ac:dyDescent="0.2">
      <c r="D70" s="1" t="s">
        <v>1894</v>
      </c>
      <c r="E70" s="20" t="s">
        <v>498</v>
      </c>
      <c r="F70" s="20" t="s">
        <v>334</v>
      </c>
      <c r="G70" s="20">
        <v>230</v>
      </c>
      <c r="H70" s="20">
        <v>674</v>
      </c>
      <c r="I70" s="20">
        <v>217</v>
      </c>
      <c r="J70" s="20">
        <v>344</v>
      </c>
      <c r="K70" s="20">
        <v>357</v>
      </c>
      <c r="L70" s="20">
        <v>467</v>
      </c>
      <c r="M70" s="20">
        <v>242</v>
      </c>
      <c r="N70" s="20">
        <v>370</v>
      </c>
      <c r="O70" s="20">
        <v>550</v>
      </c>
      <c r="P70" s="20">
        <v>620</v>
      </c>
    </row>
    <row r="71" spans="1:22" ht="20.100000000000001" customHeight="1" x14ac:dyDescent="0.2">
      <c r="A71" s="85" t="str">
        <f>HYPERLINK("#A1", "▲ Back to top")</f>
        <v>▲ Back to top</v>
      </c>
      <c r="D71" s="1" t="s">
        <v>1894</v>
      </c>
      <c r="E71" s="20" t="s">
        <v>498</v>
      </c>
      <c r="F71" s="20" t="s">
        <v>335</v>
      </c>
      <c r="G71" s="20">
        <v>113</v>
      </c>
      <c r="H71" s="20">
        <v>669</v>
      </c>
      <c r="I71" s="20">
        <v>113</v>
      </c>
      <c r="J71" s="20">
        <v>283</v>
      </c>
      <c r="K71" s="20">
        <v>361</v>
      </c>
      <c r="L71" s="20">
        <v>477</v>
      </c>
      <c r="M71" s="20">
        <v>120</v>
      </c>
      <c r="N71" s="20">
        <v>273</v>
      </c>
      <c r="O71" s="20">
        <v>545</v>
      </c>
      <c r="P71" s="20">
        <v>553</v>
      </c>
      <c r="V71" s="1"/>
    </row>
    <row r="72" spans="1:22" ht="20.100000000000001" customHeight="1" x14ac:dyDescent="0.2">
      <c r="D72" s="1" t="s">
        <v>1894</v>
      </c>
      <c r="E72" s="20" t="s">
        <v>498</v>
      </c>
      <c r="F72" s="20" t="s">
        <v>336</v>
      </c>
      <c r="G72" s="20">
        <v>172</v>
      </c>
      <c r="H72" s="20">
        <v>685</v>
      </c>
      <c r="I72" s="20">
        <v>172</v>
      </c>
      <c r="J72" s="20">
        <v>309</v>
      </c>
      <c r="K72" s="20">
        <v>376</v>
      </c>
      <c r="L72" s="20">
        <v>471</v>
      </c>
      <c r="M72" s="20">
        <v>238</v>
      </c>
      <c r="N72" s="20">
        <v>329</v>
      </c>
      <c r="O72" s="20">
        <v>573</v>
      </c>
      <c r="P72" s="20">
        <v>620</v>
      </c>
      <c r="V72" s="1"/>
    </row>
    <row r="73" spans="1:22" ht="20.100000000000001" customHeight="1" x14ac:dyDescent="0.2">
      <c r="D73" s="1" t="s">
        <v>1894</v>
      </c>
      <c r="E73" s="20" t="s">
        <v>498</v>
      </c>
      <c r="F73" s="20" t="s">
        <v>337</v>
      </c>
      <c r="G73" s="20">
        <v>241</v>
      </c>
      <c r="H73" s="20">
        <v>692</v>
      </c>
      <c r="I73" s="20">
        <v>208</v>
      </c>
      <c r="J73" s="20">
        <v>344</v>
      </c>
      <c r="K73" s="20">
        <v>364</v>
      </c>
      <c r="L73" s="20">
        <v>484</v>
      </c>
      <c r="M73" s="20">
        <v>260</v>
      </c>
      <c r="N73" s="20">
        <v>350</v>
      </c>
      <c r="O73" s="20">
        <v>567</v>
      </c>
      <c r="P73" s="20">
        <v>620</v>
      </c>
      <c r="V73" s="1"/>
    </row>
    <row r="74" spans="1:22" ht="20.100000000000001" customHeight="1" x14ac:dyDescent="0.2">
      <c r="D74" s="1" t="s">
        <v>1894</v>
      </c>
      <c r="E74" s="20" t="s">
        <v>501</v>
      </c>
      <c r="F74" s="20" t="s">
        <v>334</v>
      </c>
      <c r="G74" s="20">
        <v>236</v>
      </c>
      <c r="H74" s="20">
        <v>674</v>
      </c>
      <c r="I74" s="20">
        <v>178</v>
      </c>
      <c r="J74" s="20">
        <v>310</v>
      </c>
      <c r="K74" s="20">
        <v>428</v>
      </c>
      <c r="L74" s="20">
        <v>466</v>
      </c>
      <c r="M74" s="20">
        <v>193</v>
      </c>
      <c r="N74" s="20">
        <v>370</v>
      </c>
      <c r="O74" s="20">
        <v>519</v>
      </c>
      <c r="P74" s="20">
        <v>565</v>
      </c>
      <c r="V74" s="1"/>
    </row>
    <row r="75" spans="1:22" ht="20.100000000000001" customHeight="1" x14ac:dyDescent="0.2">
      <c r="D75" s="1" t="s">
        <v>1894</v>
      </c>
      <c r="E75" s="20" t="s">
        <v>501</v>
      </c>
      <c r="F75" s="20" t="s">
        <v>335</v>
      </c>
      <c r="G75" s="20">
        <v>120</v>
      </c>
      <c r="H75" s="20">
        <v>669</v>
      </c>
      <c r="I75" s="20">
        <v>112</v>
      </c>
      <c r="J75" s="20">
        <v>250</v>
      </c>
      <c r="K75" s="20">
        <v>390</v>
      </c>
      <c r="L75" s="20">
        <v>448</v>
      </c>
      <c r="M75" s="20">
        <v>115</v>
      </c>
      <c r="N75" s="20">
        <v>273</v>
      </c>
      <c r="O75" s="20">
        <v>433</v>
      </c>
      <c r="P75" s="20">
        <v>556</v>
      </c>
      <c r="V75" s="1"/>
    </row>
    <row r="76" spans="1:22" ht="20.100000000000001" customHeight="1" x14ac:dyDescent="0.2">
      <c r="D76" s="1" t="s">
        <v>1894</v>
      </c>
      <c r="E76" s="20" t="s">
        <v>501</v>
      </c>
      <c r="F76" s="20" t="s">
        <v>336</v>
      </c>
      <c r="G76" s="20">
        <v>125</v>
      </c>
      <c r="H76" s="20">
        <v>685</v>
      </c>
      <c r="I76" s="20">
        <v>140</v>
      </c>
      <c r="J76" s="20">
        <v>277</v>
      </c>
      <c r="K76" s="20">
        <v>407</v>
      </c>
      <c r="L76" s="20">
        <v>455</v>
      </c>
      <c r="M76" s="20">
        <v>141</v>
      </c>
      <c r="N76" s="20">
        <v>296</v>
      </c>
      <c r="O76" s="20">
        <v>445</v>
      </c>
      <c r="P76" s="20">
        <v>593</v>
      </c>
      <c r="V76" s="1"/>
    </row>
    <row r="77" spans="1:22" ht="20.100000000000001" customHeight="1" x14ac:dyDescent="0.2">
      <c r="D77" s="1" t="s">
        <v>1894</v>
      </c>
      <c r="E77" s="20" t="s">
        <v>501</v>
      </c>
      <c r="F77" s="20" t="s">
        <v>337</v>
      </c>
      <c r="G77" s="20">
        <v>180</v>
      </c>
      <c r="H77" s="20">
        <v>692</v>
      </c>
      <c r="I77" s="20">
        <v>183</v>
      </c>
      <c r="J77" s="20">
        <v>316</v>
      </c>
      <c r="K77" s="20">
        <v>438</v>
      </c>
      <c r="L77" s="20">
        <v>468</v>
      </c>
      <c r="M77" s="20">
        <v>189</v>
      </c>
      <c r="N77" s="20">
        <v>354</v>
      </c>
      <c r="O77" s="20">
        <v>500</v>
      </c>
      <c r="P77" s="20">
        <v>553</v>
      </c>
      <c r="V77" s="1"/>
    </row>
    <row r="78" spans="1:22" ht="20.100000000000001" customHeight="1" x14ac:dyDescent="0.2">
      <c r="D78" s="1" t="s">
        <v>1894</v>
      </c>
      <c r="E78" s="20" t="s">
        <v>504</v>
      </c>
      <c r="F78" s="20" t="s">
        <v>334</v>
      </c>
      <c r="G78" s="20">
        <v>190</v>
      </c>
      <c r="H78" s="20">
        <v>617</v>
      </c>
      <c r="I78" s="20">
        <v>174</v>
      </c>
      <c r="J78" s="20">
        <v>265</v>
      </c>
      <c r="K78" s="20">
        <v>371</v>
      </c>
      <c r="L78" s="20">
        <v>415</v>
      </c>
      <c r="M78" s="20">
        <v>170</v>
      </c>
      <c r="N78" s="20">
        <v>272</v>
      </c>
      <c r="O78" s="20">
        <v>392</v>
      </c>
      <c r="P78" s="20">
        <v>531</v>
      </c>
    </row>
    <row r="79" spans="1:22" ht="20.100000000000001" customHeight="1" x14ac:dyDescent="0.2">
      <c r="D79" s="1" t="s">
        <v>1894</v>
      </c>
      <c r="E79" s="20" t="s">
        <v>504</v>
      </c>
      <c r="F79" s="20" t="s">
        <v>335</v>
      </c>
      <c r="G79" s="20">
        <v>119</v>
      </c>
      <c r="H79" s="20">
        <v>591</v>
      </c>
      <c r="I79" s="20">
        <v>140</v>
      </c>
      <c r="J79" s="20">
        <v>205</v>
      </c>
      <c r="K79" s="20">
        <v>310</v>
      </c>
      <c r="L79" s="20">
        <v>405</v>
      </c>
      <c r="M79" s="20">
        <v>133</v>
      </c>
      <c r="N79" s="20">
        <v>218</v>
      </c>
      <c r="O79" s="20">
        <v>315</v>
      </c>
      <c r="P79" s="20">
        <v>445</v>
      </c>
    </row>
    <row r="80" spans="1:22" ht="20.100000000000001" customHeight="1" x14ac:dyDescent="0.2">
      <c r="D80" s="1" t="s">
        <v>1894</v>
      </c>
      <c r="E80" s="20" t="s">
        <v>504</v>
      </c>
      <c r="F80" s="20" t="s">
        <v>336</v>
      </c>
      <c r="G80" s="20">
        <v>175</v>
      </c>
      <c r="H80" s="20">
        <v>610</v>
      </c>
      <c r="I80" s="20">
        <v>163</v>
      </c>
      <c r="J80" s="20">
        <v>232</v>
      </c>
      <c r="K80" s="20">
        <v>351</v>
      </c>
      <c r="L80" s="20">
        <v>427</v>
      </c>
      <c r="M80" s="20">
        <v>146</v>
      </c>
      <c r="N80" s="20">
        <v>242</v>
      </c>
      <c r="O80" s="20">
        <v>320</v>
      </c>
      <c r="P80" s="20">
        <v>471</v>
      </c>
    </row>
    <row r="81" spans="4:22" ht="20.100000000000001" customHeight="1" x14ac:dyDescent="0.2">
      <c r="D81" s="1" t="s">
        <v>1894</v>
      </c>
      <c r="E81" s="20" t="s">
        <v>504</v>
      </c>
      <c r="F81" s="20" t="s">
        <v>337</v>
      </c>
      <c r="G81" s="20">
        <v>192</v>
      </c>
      <c r="H81" s="20">
        <v>615</v>
      </c>
      <c r="I81" s="20">
        <v>162</v>
      </c>
      <c r="J81" s="20">
        <v>255</v>
      </c>
      <c r="K81" s="20">
        <v>364</v>
      </c>
      <c r="L81" s="20">
        <v>420</v>
      </c>
      <c r="M81" s="20">
        <v>157</v>
      </c>
      <c r="N81" s="20">
        <v>261</v>
      </c>
      <c r="O81" s="20">
        <v>342</v>
      </c>
      <c r="P81" s="20">
        <v>484</v>
      </c>
    </row>
    <row r="82" spans="4:22" ht="20.100000000000001" customHeight="1" x14ac:dyDescent="0.2">
      <c r="M82" s="1"/>
    </row>
    <row r="83" spans="4:22" ht="20.100000000000001" customHeight="1" x14ac:dyDescent="0.2">
      <c r="M83" s="1"/>
    </row>
    <row r="84" spans="4:22" ht="20.100000000000001" customHeight="1" x14ac:dyDescent="0.2">
      <c r="D84" s="2" t="s">
        <v>549</v>
      </c>
      <c r="M84" s="1"/>
    </row>
    <row r="85" spans="4:22" ht="20.100000000000001" customHeight="1" x14ac:dyDescent="0.2">
      <c r="D85" s="20" t="s">
        <v>107</v>
      </c>
      <c r="E85" s="20" t="s">
        <v>490</v>
      </c>
      <c r="F85" s="20" t="s">
        <v>76</v>
      </c>
      <c r="G85" s="124" t="s">
        <v>325</v>
      </c>
      <c r="H85" s="124" t="s">
        <v>189</v>
      </c>
      <c r="I85" s="124" t="s">
        <v>326</v>
      </c>
      <c r="J85" s="124" t="s">
        <v>327</v>
      </c>
      <c r="K85" s="124" t="s">
        <v>328</v>
      </c>
      <c r="L85" s="124" t="s">
        <v>329</v>
      </c>
      <c r="M85" s="124" t="s">
        <v>330</v>
      </c>
      <c r="N85" s="124" t="s">
        <v>331</v>
      </c>
      <c r="O85" s="124" t="s">
        <v>332</v>
      </c>
      <c r="P85" s="124" t="s">
        <v>333</v>
      </c>
      <c r="V85" s="1"/>
    </row>
    <row r="86" spans="4:22" ht="20.100000000000001" customHeight="1" x14ac:dyDescent="0.2">
      <c r="D86" s="20" t="s">
        <v>520</v>
      </c>
      <c r="E86" s="20" t="s">
        <v>494</v>
      </c>
      <c r="F86" s="20" t="str">
        <f>F19</f>
        <v>Spring</v>
      </c>
      <c r="G86" s="20">
        <f>G19</f>
        <v>80</v>
      </c>
      <c r="H86" s="20">
        <f t="shared" ref="H86:K89" si="0">H19</f>
        <v>480</v>
      </c>
      <c r="I86" s="20">
        <f>I19</f>
        <v>75</v>
      </c>
      <c r="J86" s="20">
        <f>J19</f>
        <v>300</v>
      </c>
      <c r="K86" s="20">
        <f>K19</f>
        <v>440</v>
      </c>
      <c r="L86" s="20">
        <f>K19</f>
        <v>440</v>
      </c>
      <c r="M86" s="20">
        <f>L19</f>
        <v>75</v>
      </c>
      <c r="N86" s="20">
        <f>M19</f>
        <v>380</v>
      </c>
      <c r="O86" s="20">
        <f>M19</f>
        <v>380</v>
      </c>
      <c r="P86" s="20">
        <f>M19</f>
        <v>380</v>
      </c>
      <c r="V86" s="1"/>
    </row>
    <row r="87" spans="4:22" ht="20.100000000000001" customHeight="1" x14ac:dyDescent="0.2">
      <c r="D87" s="20" t="s">
        <v>520</v>
      </c>
      <c r="E87" s="20" t="s">
        <v>494</v>
      </c>
      <c r="F87" s="20" t="s">
        <v>335</v>
      </c>
      <c r="G87" s="20">
        <f t="shared" ref="G87:G89" si="1">G20</f>
        <v>170</v>
      </c>
      <c r="H87" s="20">
        <f t="shared" si="0"/>
        <v>520</v>
      </c>
      <c r="I87" s="20">
        <f t="shared" si="0"/>
        <v>160</v>
      </c>
      <c r="J87" s="20">
        <f t="shared" si="0"/>
        <v>360</v>
      </c>
      <c r="K87" s="20">
        <f t="shared" si="0"/>
        <v>470</v>
      </c>
      <c r="L87" s="20">
        <f t="shared" ref="L87:N89" si="2">K20</f>
        <v>470</v>
      </c>
      <c r="M87" s="20">
        <f t="shared" si="2"/>
        <v>160</v>
      </c>
      <c r="N87" s="20">
        <f t="shared" si="2"/>
        <v>420</v>
      </c>
      <c r="O87" s="20">
        <f t="shared" ref="O87:O89" si="3">M20</f>
        <v>420</v>
      </c>
      <c r="P87" s="20">
        <f t="shared" ref="P87:P89" si="4">M20</f>
        <v>420</v>
      </c>
      <c r="V87" s="1"/>
    </row>
    <row r="88" spans="4:22" ht="20.100000000000001" customHeight="1" x14ac:dyDescent="0.2">
      <c r="D88" s="20" t="s">
        <v>520</v>
      </c>
      <c r="E88" s="20" t="s">
        <v>494</v>
      </c>
      <c r="F88" s="20" t="s">
        <v>336</v>
      </c>
      <c r="G88" s="20">
        <f t="shared" si="1"/>
        <v>240</v>
      </c>
      <c r="H88" s="20">
        <f t="shared" si="0"/>
        <v>550</v>
      </c>
      <c r="I88" s="20">
        <f t="shared" si="0"/>
        <v>220</v>
      </c>
      <c r="J88" s="20">
        <f t="shared" si="0"/>
        <v>390</v>
      </c>
      <c r="K88" s="20">
        <f t="shared" si="0"/>
        <v>490</v>
      </c>
      <c r="L88" s="20">
        <f t="shared" si="2"/>
        <v>490</v>
      </c>
      <c r="M88" s="20">
        <f t="shared" si="2"/>
        <v>220</v>
      </c>
      <c r="N88" s="20">
        <f t="shared" si="2"/>
        <v>450</v>
      </c>
      <c r="O88" s="20">
        <f t="shared" si="3"/>
        <v>450</v>
      </c>
      <c r="P88" s="20">
        <f t="shared" si="4"/>
        <v>450</v>
      </c>
      <c r="V88" s="1"/>
    </row>
    <row r="89" spans="4:22" ht="20.100000000000001" customHeight="1" x14ac:dyDescent="0.2">
      <c r="D89" s="20" t="s">
        <v>520</v>
      </c>
      <c r="E89" s="20" t="s">
        <v>494</v>
      </c>
      <c r="F89" s="20" t="s">
        <v>337</v>
      </c>
      <c r="G89" s="20">
        <f t="shared" si="1"/>
        <v>280</v>
      </c>
      <c r="H89" s="20">
        <f t="shared" si="0"/>
        <v>560</v>
      </c>
      <c r="I89" s="20">
        <f t="shared" si="0"/>
        <v>260</v>
      </c>
      <c r="J89" s="20">
        <f t="shared" si="0"/>
        <v>410</v>
      </c>
      <c r="K89" s="20">
        <f t="shared" si="0"/>
        <v>500</v>
      </c>
      <c r="L89" s="20">
        <f t="shared" si="2"/>
        <v>500</v>
      </c>
      <c r="M89" s="20">
        <f t="shared" si="2"/>
        <v>260</v>
      </c>
      <c r="N89" s="20">
        <f t="shared" si="2"/>
        <v>460</v>
      </c>
      <c r="O89" s="20">
        <f t="shared" si="3"/>
        <v>460</v>
      </c>
      <c r="P89" s="20">
        <f t="shared" si="4"/>
        <v>460</v>
      </c>
      <c r="V89" s="1"/>
    </row>
    <row r="90" spans="4:22" ht="20.100000000000001" customHeight="1" x14ac:dyDescent="0.2">
      <c r="D90" s="20" t="s">
        <v>521</v>
      </c>
      <c r="E90" s="20" t="s">
        <v>494</v>
      </c>
      <c r="F90" s="20" t="str">
        <f>F23</f>
        <v>Spring</v>
      </c>
      <c r="G90" s="20">
        <f>G19</f>
        <v>80</v>
      </c>
      <c r="H90" s="20">
        <f t="shared" ref="H90:J90" si="5">H19</f>
        <v>480</v>
      </c>
      <c r="I90" s="20">
        <f t="shared" si="5"/>
        <v>75</v>
      </c>
      <c r="J90" s="20">
        <f t="shared" si="5"/>
        <v>300</v>
      </c>
      <c r="K90" s="20">
        <f>K19</f>
        <v>440</v>
      </c>
      <c r="L90" s="20">
        <f>K19</f>
        <v>440</v>
      </c>
      <c r="M90" s="20">
        <f>L19</f>
        <v>75</v>
      </c>
      <c r="N90" s="20">
        <f>M19</f>
        <v>380</v>
      </c>
      <c r="O90" s="20">
        <f>M19</f>
        <v>380</v>
      </c>
      <c r="P90" s="20">
        <f>M19</f>
        <v>380</v>
      </c>
      <c r="V90" s="1"/>
    </row>
    <row r="91" spans="4:22" ht="20.100000000000001" customHeight="1" x14ac:dyDescent="0.2">
      <c r="D91" s="20" t="s">
        <v>521</v>
      </c>
      <c r="E91" s="20" t="s">
        <v>494</v>
      </c>
      <c r="F91" s="20" t="s">
        <v>335</v>
      </c>
      <c r="G91" s="20">
        <f t="shared" ref="G91:K94" si="6">G20</f>
        <v>170</v>
      </c>
      <c r="H91" s="20">
        <f t="shared" si="6"/>
        <v>520</v>
      </c>
      <c r="I91" s="20">
        <f t="shared" si="6"/>
        <v>160</v>
      </c>
      <c r="J91" s="20">
        <f t="shared" si="6"/>
        <v>360</v>
      </c>
      <c r="K91" s="20">
        <f t="shared" si="6"/>
        <v>470</v>
      </c>
      <c r="L91" s="20">
        <f t="shared" ref="L91:N105" si="7">K20</f>
        <v>470</v>
      </c>
      <c r="M91" s="20">
        <f t="shared" si="7"/>
        <v>160</v>
      </c>
      <c r="N91" s="20">
        <f t="shared" si="7"/>
        <v>420</v>
      </c>
      <c r="O91" s="20">
        <f t="shared" ref="O91:O93" si="8">M20</f>
        <v>420</v>
      </c>
      <c r="P91" s="20">
        <f t="shared" ref="P91:P93" si="9">M20</f>
        <v>420</v>
      </c>
    </row>
    <row r="92" spans="4:22" ht="20.100000000000001" customHeight="1" x14ac:dyDescent="0.2">
      <c r="D92" s="20" t="s">
        <v>521</v>
      </c>
      <c r="E92" s="20" t="s">
        <v>494</v>
      </c>
      <c r="F92" s="20" t="s">
        <v>336</v>
      </c>
      <c r="G92" s="20">
        <f t="shared" si="6"/>
        <v>240</v>
      </c>
      <c r="H92" s="20">
        <f t="shared" si="6"/>
        <v>550</v>
      </c>
      <c r="I92" s="20">
        <f t="shared" si="6"/>
        <v>220</v>
      </c>
      <c r="J92" s="20">
        <f t="shared" si="6"/>
        <v>390</v>
      </c>
      <c r="K92" s="20">
        <f t="shared" si="6"/>
        <v>490</v>
      </c>
      <c r="L92" s="20">
        <f t="shared" si="7"/>
        <v>490</v>
      </c>
      <c r="M92" s="20">
        <f t="shared" si="7"/>
        <v>220</v>
      </c>
      <c r="N92" s="20">
        <f t="shared" si="7"/>
        <v>450</v>
      </c>
      <c r="O92" s="20">
        <f t="shared" si="8"/>
        <v>450</v>
      </c>
      <c r="P92" s="20">
        <f t="shared" si="9"/>
        <v>450</v>
      </c>
    </row>
    <row r="93" spans="4:22" ht="20.100000000000001" customHeight="1" x14ac:dyDescent="0.2">
      <c r="D93" s="20" t="s">
        <v>521</v>
      </c>
      <c r="E93" s="20" t="s">
        <v>494</v>
      </c>
      <c r="F93" s="20" t="s">
        <v>337</v>
      </c>
      <c r="G93" s="20">
        <f t="shared" si="6"/>
        <v>280</v>
      </c>
      <c r="H93" s="20">
        <f t="shared" si="6"/>
        <v>560</v>
      </c>
      <c r="I93" s="20">
        <f t="shared" si="6"/>
        <v>260</v>
      </c>
      <c r="J93" s="20">
        <f t="shared" si="6"/>
        <v>410</v>
      </c>
      <c r="K93" s="20">
        <f t="shared" si="6"/>
        <v>500</v>
      </c>
      <c r="L93" s="20">
        <f t="shared" si="7"/>
        <v>500</v>
      </c>
      <c r="M93" s="20">
        <f t="shared" si="7"/>
        <v>260</v>
      </c>
      <c r="N93" s="20">
        <f t="shared" si="7"/>
        <v>460</v>
      </c>
      <c r="O93" s="20">
        <f t="shared" si="8"/>
        <v>460</v>
      </c>
      <c r="P93" s="20">
        <f t="shared" si="9"/>
        <v>460</v>
      </c>
    </row>
    <row r="94" spans="4:22" ht="20.100000000000001" customHeight="1" x14ac:dyDescent="0.2">
      <c r="D94" s="20" t="s">
        <v>522</v>
      </c>
      <c r="E94" s="20" t="s">
        <v>494</v>
      </c>
      <c r="F94" s="20" t="str">
        <f>F27</f>
        <v>Spring</v>
      </c>
      <c r="G94" s="20">
        <f>G23</f>
        <v>250</v>
      </c>
      <c r="H94" s="20">
        <f t="shared" si="6"/>
        <v>800</v>
      </c>
      <c r="I94" s="20">
        <f t="shared" si="6"/>
        <v>220</v>
      </c>
      <c r="J94" s="20">
        <f>J23</f>
        <v>400</v>
      </c>
      <c r="K94" s="20">
        <f>K23</f>
        <v>500</v>
      </c>
      <c r="L94" s="20">
        <f>K23</f>
        <v>500</v>
      </c>
      <c r="M94" s="20">
        <f>L23</f>
        <v>230</v>
      </c>
      <c r="N94" s="20">
        <f>M23</f>
        <v>420</v>
      </c>
      <c r="O94" s="20">
        <f>M23</f>
        <v>420</v>
      </c>
      <c r="P94" s="20">
        <f>M23</f>
        <v>420</v>
      </c>
    </row>
    <row r="95" spans="4:22" ht="20.100000000000001" customHeight="1" x14ac:dyDescent="0.2">
      <c r="D95" s="20" t="s">
        <v>522</v>
      </c>
      <c r="E95" s="20" t="s">
        <v>494</v>
      </c>
      <c r="F95" s="20" t="s">
        <v>335</v>
      </c>
      <c r="G95" s="20">
        <f t="shared" ref="G95:K98" si="10">G24</f>
        <v>320</v>
      </c>
      <c r="H95" s="20">
        <f t="shared" si="10"/>
        <v>800</v>
      </c>
      <c r="I95" s="20">
        <f t="shared" si="10"/>
        <v>280</v>
      </c>
      <c r="J95" s="20">
        <f t="shared" si="10"/>
        <v>420</v>
      </c>
      <c r="K95" s="20">
        <f t="shared" si="10"/>
        <v>500</v>
      </c>
      <c r="L95" s="20">
        <f t="shared" ref="L95:M97" si="11">K24</f>
        <v>500</v>
      </c>
      <c r="M95" s="20">
        <f t="shared" si="11"/>
        <v>290</v>
      </c>
      <c r="N95" s="20">
        <f t="shared" si="7"/>
        <v>420</v>
      </c>
      <c r="O95" s="20">
        <f t="shared" ref="O95:O97" si="12">M24</f>
        <v>420</v>
      </c>
      <c r="P95" s="20">
        <f t="shared" ref="P95:P97" si="13">M24</f>
        <v>420</v>
      </c>
    </row>
    <row r="96" spans="4:22" ht="20.100000000000001" customHeight="1" x14ac:dyDescent="0.2">
      <c r="D96" s="20" t="s">
        <v>522</v>
      </c>
      <c r="E96" s="20" t="s">
        <v>494</v>
      </c>
      <c r="F96" s="20" t="s">
        <v>336</v>
      </c>
      <c r="G96" s="20">
        <f t="shared" si="10"/>
        <v>80</v>
      </c>
      <c r="H96" s="20">
        <f t="shared" si="10"/>
        <v>700</v>
      </c>
      <c r="I96" s="20">
        <f t="shared" si="10"/>
        <v>70</v>
      </c>
      <c r="J96" s="20">
        <f t="shared" si="10"/>
        <v>300</v>
      </c>
      <c r="K96" s="20">
        <f t="shared" si="10"/>
        <v>450</v>
      </c>
      <c r="L96" s="20">
        <f t="shared" si="11"/>
        <v>450</v>
      </c>
      <c r="M96" s="20">
        <f t="shared" si="11"/>
        <v>75</v>
      </c>
      <c r="N96" s="20">
        <f t="shared" si="7"/>
        <v>400</v>
      </c>
      <c r="O96" s="20">
        <f t="shared" si="12"/>
        <v>400</v>
      </c>
      <c r="P96" s="20">
        <f t="shared" si="13"/>
        <v>400</v>
      </c>
    </row>
    <row r="97" spans="1:16" ht="20.100000000000001" customHeight="1" x14ac:dyDescent="0.2">
      <c r="D97" s="20" t="s">
        <v>522</v>
      </c>
      <c r="E97" s="20" t="s">
        <v>494</v>
      </c>
      <c r="F97" s="20" t="s">
        <v>337</v>
      </c>
      <c r="G97" s="20">
        <f t="shared" si="10"/>
        <v>160</v>
      </c>
      <c r="H97" s="20">
        <f t="shared" si="10"/>
        <v>700</v>
      </c>
      <c r="I97" s="20">
        <f t="shared" si="10"/>
        <v>140</v>
      </c>
      <c r="J97" s="20">
        <f t="shared" si="10"/>
        <v>350</v>
      </c>
      <c r="K97" s="20">
        <f t="shared" si="10"/>
        <v>450</v>
      </c>
      <c r="L97" s="20">
        <f t="shared" si="11"/>
        <v>450</v>
      </c>
      <c r="M97" s="20">
        <f t="shared" si="11"/>
        <v>150</v>
      </c>
      <c r="N97" s="20">
        <f t="shared" si="7"/>
        <v>400</v>
      </c>
      <c r="O97" s="20">
        <f t="shared" si="12"/>
        <v>400</v>
      </c>
      <c r="P97" s="20">
        <f t="shared" si="13"/>
        <v>400</v>
      </c>
    </row>
    <row r="98" spans="1:16" ht="20.100000000000001" customHeight="1" x14ac:dyDescent="0.2">
      <c r="D98" s="20" t="s">
        <v>523</v>
      </c>
      <c r="E98" s="20" t="s">
        <v>494</v>
      </c>
      <c r="F98" s="20" t="str">
        <f>F31</f>
        <v>Spring</v>
      </c>
      <c r="G98" s="20">
        <f>G27</f>
        <v>105</v>
      </c>
      <c r="H98" s="20">
        <f t="shared" si="10"/>
        <v>700</v>
      </c>
      <c r="I98" s="20">
        <f t="shared" si="10"/>
        <v>85</v>
      </c>
      <c r="J98" s="20">
        <f t="shared" si="10"/>
        <v>300</v>
      </c>
      <c r="K98" s="20">
        <f t="shared" si="10"/>
        <v>490</v>
      </c>
      <c r="L98" s="20">
        <f>K27</f>
        <v>490</v>
      </c>
      <c r="M98" s="20">
        <f>L27</f>
        <v>90</v>
      </c>
      <c r="N98" s="20">
        <f>M27</f>
        <v>480</v>
      </c>
      <c r="O98" s="20">
        <f>M27</f>
        <v>480</v>
      </c>
      <c r="P98" s="20">
        <f>M27</f>
        <v>480</v>
      </c>
    </row>
    <row r="99" spans="1:16" ht="20.100000000000001" customHeight="1" x14ac:dyDescent="0.2">
      <c r="D99" s="20" t="s">
        <v>523</v>
      </c>
      <c r="E99" s="20" t="s">
        <v>494</v>
      </c>
      <c r="F99" s="20" t="s">
        <v>335</v>
      </c>
      <c r="G99" s="20">
        <f t="shared" ref="G99:K102" si="14">G28</f>
        <v>480</v>
      </c>
      <c r="H99" s="20">
        <f t="shared" si="14"/>
        <v>750</v>
      </c>
      <c r="I99" s="20">
        <f t="shared" si="14"/>
        <v>150</v>
      </c>
      <c r="J99" s="20">
        <f t="shared" si="14"/>
        <v>350</v>
      </c>
      <c r="K99" s="20">
        <f t="shared" si="14"/>
        <v>530</v>
      </c>
      <c r="L99" s="20">
        <f t="shared" ref="L99:M101" si="15">K28</f>
        <v>530</v>
      </c>
      <c r="M99" s="20">
        <f t="shared" si="15"/>
        <v>160</v>
      </c>
      <c r="N99" s="20">
        <f t="shared" si="7"/>
        <v>460</v>
      </c>
      <c r="O99" s="20">
        <f t="shared" ref="O99:O101" si="16">M28</f>
        <v>460</v>
      </c>
      <c r="P99" s="20">
        <f t="shared" ref="P99:P101" si="17">M28</f>
        <v>460</v>
      </c>
    </row>
    <row r="100" spans="1:16" ht="20.100000000000001" customHeight="1" x14ac:dyDescent="0.2">
      <c r="D100" s="20" t="s">
        <v>523</v>
      </c>
      <c r="E100" s="20" t="s">
        <v>494</v>
      </c>
      <c r="F100" s="20" t="s">
        <v>336</v>
      </c>
      <c r="G100" s="20">
        <f t="shared" si="14"/>
        <v>250</v>
      </c>
      <c r="H100" s="20">
        <f t="shared" si="14"/>
        <v>725</v>
      </c>
      <c r="I100" s="20">
        <f t="shared" si="14"/>
        <v>200</v>
      </c>
      <c r="J100" s="20">
        <f t="shared" si="14"/>
        <v>360</v>
      </c>
      <c r="K100" s="20">
        <f t="shared" si="14"/>
        <v>500</v>
      </c>
      <c r="L100" s="20">
        <f t="shared" si="15"/>
        <v>500</v>
      </c>
      <c r="M100" s="20">
        <f t="shared" si="15"/>
        <v>215</v>
      </c>
      <c r="N100" s="20">
        <f t="shared" si="7"/>
        <v>490</v>
      </c>
      <c r="O100" s="20">
        <f t="shared" si="16"/>
        <v>490</v>
      </c>
      <c r="P100" s="20">
        <f t="shared" si="17"/>
        <v>490</v>
      </c>
    </row>
    <row r="101" spans="1:16" ht="20.100000000000001" customHeight="1" x14ac:dyDescent="0.2">
      <c r="A101" s="85" t="str">
        <f>HYPERLINK("#A1", "▲ Back to top")</f>
        <v>▲ Back to top</v>
      </c>
      <c r="D101" s="20" t="s">
        <v>523</v>
      </c>
      <c r="E101" s="20" t="s">
        <v>494</v>
      </c>
      <c r="F101" s="20" t="s">
        <v>337</v>
      </c>
      <c r="G101" s="20">
        <f t="shared" si="14"/>
        <v>260</v>
      </c>
      <c r="H101" s="20">
        <f t="shared" si="14"/>
        <v>700</v>
      </c>
      <c r="I101" s="20">
        <f t="shared" si="14"/>
        <v>210</v>
      </c>
      <c r="J101" s="20">
        <f t="shared" si="14"/>
        <v>380</v>
      </c>
      <c r="K101" s="20">
        <f t="shared" si="14"/>
        <v>460</v>
      </c>
      <c r="L101" s="20">
        <f t="shared" si="15"/>
        <v>460</v>
      </c>
      <c r="M101" s="20">
        <f t="shared" si="15"/>
        <v>230</v>
      </c>
      <c r="N101" s="20">
        <f t="shared" si="7"/>
        <v>470</v>
      </c>
      <c r="O101" s="20">
        <f t="shared" si="16"/>
        <v>470</v>
      </c>
      <c r="P101" s="20">
        <f t="shared" si="17"/>
        <v>470</v>
      </c>
    </row>
    <row r="102" spans="1:16" ht="20.100000000000001" customHeight="1" x14ac:dyDescent="0.2">
      <c r="D102" s="20" t="s">
        <v>524</v>
      </c>
      <c r="E102" s="20" t="s">
        <v>494</v>
      </c>
      <c r="F102" s="20" t="str">
        <f>F35</f>
        <v>Spring</v>
      </c>
      <c r="G102" s="20">
        <f>G31</f>
        <v>250</v>
      </c>
      <c r="H102" s="20">
        <f t="shared" si="14"/>
        <v>820</v>
      </c>
      <c r="I102" s="20">
        <f t="shared" si="14"/>
        <v>240</v>
      </c>
      <c r="J102" s="20">
        <f t="shared" si="14"/>
        <v>410</v>
      </c>
      <c r="K102" s="20">
        <f>K31</f>
        <v>560</v>
      </c>
      <c r="L102" s="20">
        <f>K31</f>
        <v>560</v>
      </c>
      <c r="M102" s="20">
        <f>L31</f>
        <v>240</v>
      </c>
      <c r="N102" s="20">
        <f>M31</f>
        <v>510</v>
      </c>
      <c r="O102" s="20">
        <f>M31</f>
        <v>510</v>
      </c>
      <c r="P102" s="20">
        <f>M31</f>
        <v>510</v>
      </c>
    </row>
    <row r="103" spans="1:16" ht="20.100000000000001" customHeight="1" x14ac:dyDescent="0.2">
      <c r="D103" s="20" t="s">
        <v>524</v>
      </c>
      <c r="E103" s="20" t="s">
        <v>494</v>
      </c>
      <c r="F103" s="20" t="s">
        <v>335</v>
      </c>
      <c r="G103" s="20">
        <f t="shared" ref="G103:K105" si="18">G32</f>
        <v>280</v>
      </c>
      <c r="H103" s="20">
        <f t="shared" si="18"/>
        <v>850</v>
      </c>
      <c r="I103" s="20">
        <f t="shared" si="18"/>
        <v>260</v>
      </c>
      <c r="J103" s="20">
        <f t="shared" si="18"/>
        <v>440</v>
      </c>
      <c r="K103" s="20">
        <f t="shared" si="18"/>
        <v>550</v>
      </c>
      <c r="L103" s="20">
        <f t="shared" ref="L103:M105" si="19">K32</f>
        <v>550</v>
      </c>
      <c r="M103" s="20">
        <f t="shared" si="19"/>
        <v>270</v>
      </c>
      <c r="N103" s="20">
        <f t="shared" si="7"/>
        <v>520</v>
      </c>
      <c r="O103" s="20">
        <f t="shared" ref="O103:O105" si="20">M32</f>
        <v>520</v>
      </c>
      <c r="P103" s="20">
        <f t="shared" ref="P103:P105" si="21">M32</f>
        <v>520</v>
      </c>
    </row>
    <row r="104" spans="1:16" ht="20.100000000000001" customHeight="1" x14ac:dyDescent="0.2">
      <c r="D104" s="20" t="s">
        <v>524</v>
      </c>
      <c r="E104" s="20" t="s">
        <v>494</v>
      </c>
      <c r="F104" s="20" t="s">
        <v>336</v>
      </c>
      <c r="G104" s="20">
        <f t="shared" si="18"/>
        <v>100</v>
      </c>
      <c r="H104" s="20">
        <f t="shared" si="18"/>
        <v>700</v>
      </c>
      <c r="I104" s="20">
        <f t="shared" si="18"/>
        <v>95</v>
      </c>
      <c r="J104" s="20">
        <f t="shared" si="18"/>
        <v>300</v>
      </c>
      <c r="K104" s="20">
        <f t="shared" si="18"/>
        <v>450</v>
      </c>
      <c r="L104" s="20">
        <f t="shared" si="19"/>
        <v>450</v>
      </c>
      <c r="M104" s="20">
        <f t="shared" si="19"/>
        <v>95</v>
      </c>
      <c r="N104" s="20">
        <f t="shared" si="7"/>
        <v>410</v>
      </c>
      <c r="O104" s="20">
        <f t="shared" si="20"/>
        <v>410</v>
      </c>
      <c r="P104" s="20">
        <f t="shared" si="21"/>
        <v>410</v>
      </c>
    </row>
    <row r="105" spans="1:16" ht="20.100000000000001" customHeight="1" x14ac:dyDescent="0.2">
      <c r="D105" s="20" t="s">
        <v>524</v>
      </c>
      <c r="E105" s="20" t="s">
        <v>494</v>
      </c>
      <c r="F105" s="20" t="s">
        <v>337</v>
      </c>
      <c r="G105" s="20">
        <f t="shared" si="18"/>
        <v>150</v>
      </c>
      <c r="H105" s="20">
        <f t="shared" si="18"/>
        <v>720</v>
      </c>
      <c r="I105" s="20">
        <f t="shared" si="18"/>
        <v>140</v>
      </c>
      <c r="J105" s="20">
        <f t="shared" si="18"/>
        <v>320</v>
      </c>
      <c r="K105" s="20">
        <f t="shared" si="18"/>
        <v>470</v>
      </c>
      <c r="L105" s="20">
        <f t="shared" si="19"/>
        <v>470</v>
      </c>
      <c r="M105" s="20">
        <f t="shared" si="19"/>
        <v>140</v>
      </c>
      <c r="N105" s="20">
        <f t="shared" si="7"/>
        <v>440</v>
      </c>
      <c r="O105" s="20">
        <f t="shared" si="20"/>
        <v>440</v>
      </c>
      <c r="P105" s="20">
        <f t="shared" si="21"/>
        <v>440</v>
      </c>
    </row>
    <row r="106" spans="1:16" ht="20.100000000000001" customHeight="1" x14ac:dyDescent="0.2">
      <c r="D106" s="20" t="s">
        <v>526</v>
      </c>
      <c r="E106" s="20" t="str">
        <f>E35</f>
        <v>South West</v>
      </c>
      <c r="F106" s="20" t="str">
        <f t="shared" ref="F106:K106" si="22">F35</f>
        <v>Spring</v>
      </c>
      <c r="G106" s="20">
        <f t="shared" si="22"/>
        <v>340</v>
      </c>
      <c r="H106" s="20">
        <f t="shared" si="22"/>
        <v>800</v>
      </c>
      <c r="I106" s="20">
        <f t="shared" si="22"/>
        <v>260</v>
      </c>
      <c r="J106" s="20">
        <f t="shared" si="22"/>
        <v>420</v>
      </c>
      <c r="K106" s="20">
        <f t="shared" si="22"/>
        <v>550</v>
      </c>
      <c r="L106" s="20">
        <f>K35</f>
        <v>550</v>
      </c>
      <c r="M106" s="20">
        <f>L35</f>
        <v>300</v>
      </c>
      <c r="N106" s="20">
        <f>M35</f>
        <v>480</v>
      </c>
      <c r="O106" s="20">
        <f>M35</f>
        <v>480</v>
      </c>
      <c r="P106" s="20">
        <f>M35</f>
        <v>480</v>
      </c>
    </row>
    <row r="107" spans="1:16" ht="20.100000000000001" customHeight="1" x14ac:dyDescent="0.2">
      <c r="D107" s="20" t="s">
        <v>526</v>
      </c>
      <c r="E107" s="20" t="str">
        <f t="shared" ref="E107:K117" si="23">E36</f>
        <v>South West</v>
      </c>
      <c r="F107" s="20" t="str">
        <f t="shared" si="23"/>
        <v>Summer</v>
      </c>
      <c r="G107" s="20">
        <f t="shared" si="23"/>
        <v>380</v>
      </c>
      <c r="H107" s="20">
        <f t="shared" si="23"/>
        <v>780</v>
      </c>
      <c r="I107" s="20">
        <f t="shared" si="23"/>
        <v>300</v>
      </c>
      <c r="J107" s="20">
        <f t="shared" si="23"/>
        <v>450</v>
      </c>
      <c r="K107" s="20">
        <f t="shared" si="23"/>
        <v>530</v>
      </c>
      <c r="L107" s="20">
        <f t="shared" ref="L107:N117" si="24">K36</f>
        <v>530</v>
      </c>
      <c r="M107" s="20">
        <f t="shared" si="24"/>
        <v>340</v>
      </c>
      <c r="N107" s="20">
        <f t="shared" si="24"/>
        <v>470</v>
      </c>
      <c r="O107" s="20">
        <f t="shared" ref="O107:O117" si="25">M36</f>
        <v>470</v>
      </c>
      <c r="P107" s="20">
        <f t="shared" ref="P107:P117" si="26">M36</f>
        <v>470</v>
      </c>
    </row>
    <row r="108" spans="1:16" ht="20.100000000000001" customHeight="1" x14ac:dyDescent="0.2">
      <c r="D108" s="20" t="s">
        <v>526</v>
      </c>
      <c r="E108" s="20" t="str">
        <f t="shared" si="23"/>
        <v>South West</v>
      </c>
      <c r="F108" s="20" t="str">
        <f t="shared" si="23"/>
        <v>Autumn</v>
      </c>
      <c r="G108" s="20">
        <f t="shared" si="23"/>
        <v>100</v>
      </c>
      <c r="H108" s="20">
        <f t="shared" si="23"/>
        <v>680</v>
      </c>
      <c r="I108" s="20">
        <f t="shared" si="23"/>
        <v>80</v>
      </c>
      <c r="J108" s="20">
        <f t="shared" si="23"/>
        <v>320</v>
      </c>
      <c r="K108" s="20">
        <f t="shared" si="23"/>
        <v>480</v>
      </c>
      <c r="L108" s="20">
        <f t="shared" si="24"/>
        <v>480</v>
      </c>
      <c r="M108" s="20">
        <f t="shared" si="24"/>
        <v>100</v>
      </c>
      <c r="N108" s="20">
        <f t="shared" si="24"/>
        <v>340</v>
      </c>
      <c r="O108" s="20">
        <f t="shared" si="25"/>
        <v>340</v>
      </c>
      <c r="P108" s="20">
        <f t="shared" si="26"/>
        <v>340</v>
      </c>
    </row>
    <row r="109" spans="1:16" ht="20.100000000000001" customHeight="1" x14ac:dyDescent="0.2">
      <c r="D109" s="20" t="s">
        <v>526</v>
      </c>
      <c r="E109" s="20" t="str">
        <f t="shared" si="23"/>
        <v>South West</v>
      </c>
      <c r="F109" s="20" t="str">
        <f t="shared" si="23"/>
        <v>Winter</v>
      </c>
      <c r="G109" s="20">
        <f t="shared" si="23"/>
        <v>190</v>
      </c>
      <c r="H109" s="20">
        <f t="shared" si="23"/>
        <v>700</v>
      </c>
      <c r="I109" s="20">
        <f t="shared" si="23"/>
        <v>150</v>
      </c>
      <c r="J109" s="20">
        <f t="shared" si="23"/>
        <v>330</v>
      </c>
      <c r="K109" s="20">
        <f t="shared" si="23"/>
        <v>490</v>
      </c>
      <c r="L109" s="20">
        <f t="shared" si="24"/>
        <v>490</v>
      </c>
      <c r="M109" s="20">
        <f t="shared" si="24"/>
        <v>170</v>
      </c>
      <c r="N109" s="20">
        <f t="shared" si="24"/>
        <v>360</v>
      </c>
      <c r="O109" s="20">
        <f t="shared" si="25"/>
        <v>360</v>
      </c>
      <c r="P109" s="20">
        <f t="shared" si="26"/>
        <v>360</v>
      </c>
    </row>
    <row r="110" spans="1:16" ht="20.100000000000001" customHeight="1" x14ac:dyDescent="0.2">
      <c r="D110" s="20" t="s">
        <v>526</v>
      </c>
      <c r="E110" s="20" t="str">
        <f t="shared" si="23"/>
        <v>Pilbara</v>
      </c>
      <c r="F110" s="20" t="str">
        <f t="shared" si="23"/>
        <v>Spring</v>
      </c>
      <c r="G110" s="20">
        <f t="shared" si="23"/>
        <v>80</v>
      </c>
      <c r="H110" s="20">
        <f t="shared" si="23"/>
        <v>450</v>
      </c>
      <c r="I110" s="20">
        <f t="shared" si="23"/>
        <v>70</v>
      </c>
      <c r="J110" s="20">
        <f t="shared" si="23"/>
        <v>260</v>
      </c>
      <c r="K110" s="20">
        <f t="shared" si="23"/>
        <v>340</v>
      </c>
      <c r="L110" s="20">
        <f t="shared" si="24"/>
        <v>340</v>
      </c>
      <c r="M110" s="20">
        <f t="shared" si="24"/>
        <v>80</v>
      </c>
      <c r="N110" s="20">
        <f t="shared" si="24"/>
        <v>370</v>
      </c>
      <c r="O110" s="20">
        <f t="shared" si="25"/>
        <v>370</v>
      </c>
      <c r="P110" s="20">
        <f t="shared" si="26"/>
        <v>370</v>
      </c>
    </row>
    <row r="111" spans="1:16" ht="20.100000000000001" customHeight="1" x14ac:dyDescent="0.2">
      <c r="D111" s="20" t="s">
        <v>526</v>
      </c>
      <c r="E111" s="20" t="str">
        <f t="shared" si="23"/>
        <v>Pilbara</v>
      </c>
      <c r="F111" s="20" t="str">
        <f t="shared" si="23"/>
        <v>Summer</v>
      </c>
      <c r="G111" s="20">
        <f t="shared" si="23"/>
        <v>150</v>
      </c>
      <c r="H111" s="20">
        <f t="shared" si="23"/>
        <v>500</v>
      </c>
      <c r="I111" s="20">
        <f t="shared" si="23"/>
        <v>140</v>
      </c>
      <c r="J111" s="20">
        <f t="shared" si="23"/>
        <v>310</v>
      </c>
      <c r="K111" s="20">
        <f t="shared" si="23"/>
        <v>360</v>
      </c>
      <c r="L111" s="20">
        <f t="shared" si="24"/>
        <v>360</v>
      </c>
      <c r="M111" s="20">
        <f t="shared" si="24"/>
        <v>150</v>
      </c>
      <c r="N111" s="20">
        <f t="shared" si="24"/>
        <v>400</v>
      </c>
      <c r="O111" s="20">
        <f t="shared" si="25"/>
        <v>400</v>
      </c>
      <c r="P111" s="20">
        <f t="shared" si="26"/>
        <v>400</v>
      </c>
    </row>
    <row r="112" spans="1:16" ht="20.100000000000001" customHeight="1" x14ac:dyDescent="0.2">
      <c r="D112" s="20" t="s">
        <v>526</v>
      </c>
      <c r="E112" s="20" t="str">
        <f t="shared" si="23"/>
        <v>Pilbara</v>
      </c>
      <c r="F112" s="20" t="str">
        <f t="shared" si="23"/>
        <v>Autumn</v>
      </c>
      <c r="G112" s="20">
        <f t="shared" si="23"/>
        <v>230</v>
      </c>
      <c r="H112" s="20">
        <f t="shared" si="23"/>
        <v>550</v>
      </c>
      <c r="I112" s="20">
        <f t="shared" si="23"/>
        <v>220</v>
      </c>
      <c r="J112" s="20">
        <f t="shared" si="23"/>
        <v>330</v>
      </c>
      <c r="K112" s="20">
        <f t="shared" si="23"/>
        <v>380</v>
      </c>
      <c r="L112" s="20">
        <f t="shared" si="24"/>
        <v>380</v>
      </c>
      <c r="M112" s="20">
        <f t="shared" si="24"/>
        <v>230</v>
      </c>
      <c r="N112" s="20">
        <f t="shared" si="24"/>
        <v>420</v>
      </c>
      <c r="O112" s="20">
        <f t="shared" si="25"/>
        <v>420</v>
      </c>
      <c r="P112" s="20">
        <f t="shared" si="26"/>
        <v>420</v>
      </c>
    </row>
    <row r="113" spans="4:22" ht="20.100000000000001" customHeight="1" x14ac:dyDescent="0.2">
      <c r="D113" s="20" t="s">
        <v>526</v>
      </c>
      <c r="E113" s="20" t="str">
        <f t="shared" si="23"/>
        <v>Pilbara</v>
      </c>
      <c r="F113" s="20" t="str">
        <f t="shared" si="23"/>
        <v>Winter</v>
      </c>
      <c r="G113" s="20">
        <f t="shared" si="23"/>
        <v>250</v>
      </c>
      <c r="H113" s="20">
        <f t="shared" si="23"/>
        <v>500</v>
      </c>
      <c r="I113" s="20">
        <f t="shared" si="23"/>
        <v>240</v>
      </c>
      <c r="J113" s="20">
        <f t="shared" si="23"/>
        <v>340</v>
      </c>
      <c r="K113" s="20">
        <f t="shared" si="23"/>
        <v>360</v>
      </c>
      <c r="L113" s="20">
        <f t="shared" si="24"/>
        <v>360</v>
      </c>
      <c r="M113" s="20">
        <f t="shared" si="24"/>
        <v>250</v>
      </c>
      <c r="N113" s="20">
        <f t="shared" si="24"/>
        <v>390</v>
      </c>
      <c r="O113" s="20">
        <f t="shared" si="25"/>
        <v>390</v>
      </c>
      <c r="P113" s="20">
        <f t="shared" si="26"/>
        <v>390</v>
      </c>
    </row>
    <row r="114" spans="4:22" ht="20.100000000000001" customHeight="1" x14ac:dyDescent="0.2">
      <c r="D114" s="20" t="s">
        <v>526</v>
      </c>
      <c r="E114" s="20" t="str">
        <f t="shared" si="23"/>
        <v>Kimberley</v>
      </c>
      <c r="F114" s="20" t="str">
        <f t="shared" si="23"/>
        <v>Spring</v>
      </c>
      <c r="G114" s="20">
        <f t="shared" si="23"/>
        <v>220</v>
      </c>
      <c r="H114" s="20">
        <f t="shared" si="23"/>
        <v>500</v>
      </c>
      <c r="I114" s="20">
        <f t="shared" si="23"/>
        <v>180</v>
      </c>
      <c r="J114" s="20">
        <f t="shared" si="23"/>
        <v>300</v>
      </c>
      <c r="K114" s="20">
        <f t="shared" si="23"/>
        <v>320</v>
      </c>
      <c r="L114" s="20">
        <f t="shared" si="24"/>
        <v>320</v>
      </c>
      <c r="M114" s="20">
        <f t="shared" si="24"/>
        <v>210</v>
      </c>
      <c r="N114" s="20">
        <f t="shared" si="24"/>
        <v>340</v>
      </c>
      <c r="O114" s="20">
        <f t="shared" si="25"/>
        <v>340</v>
      </c>
      <c r="P114" s="20">
        <f t="shared" si="26"/>
        <v>340</v>
      </c>
    </row>
    <row r="115" spans="4:22" ht="20.100000000000001" customHeight="1" x14ac:dyDescent="0.2">
      <c r="D115" s="20" t="s">
        <v>526</v>
      </c>
      <c r="E115" s="20" t="str">
        <f t="shared" si="23"/>
        <v>Kimberley</v>
      </c>
      <c r="F115" s="20" t="str">
        <f t="shared" si="23"/>
        <v>Summer</v>
      </c>
      <c r="G115" s="20">
        <f t="shared" si="23"/>
        <v>110</v>
      </c>
      <c r="H115" s="20">
        <f t="shared" si="23"/>
        <v>550</v>
      </c>
      <c r="I115" s="20">
        <f t="shared" si="23"/>
        <v>90</v>
      </c>
      <c r="J115" s="20">
        <f t="shared" si="23"/>
        <v>220</v>
      </c>
      <c r="K115" s="20">
        <f t="shared" si="23"/>
        <v>380</v>
      </c>
      <c r="L115" s="20">
        <f t="shared" si="24"/>
        <v>380</v>
      </c>
      <c r="M115" s="20">
        <f t="shared" si="24"/>
        <v>100</v>
      </c>
      <c r="N115" s="20">
        <f t="shared" si="24"/>
        <v>390</v>
      </c>
      <c r="O115" s="20">
        <f t="shared" si="25"/>
        <v>390</v>
      </c>
      <c r="P115" s="20">
        <f t="shared" si="26"/>
        <v>390</v>
      </c>
      <c r="V115" s="1"/>
    </row>
    <row r="116" spans="4:22" ht="20.100000000000001" customHeight="1" x14ac:dyDescent="0.2">
      <c r="D116" s="20" t="s">
        <v>526</v>
      </c>
      <c r="E116" s="20" t="str">
        <f t="shared" si="23"/>
        <v>Kimberley</v>
      </c>
      <c r="F116" s="20" t="str">
        <f t="shared" si="23"/>
        <v>Autumn</v>
      </c>
      <c r="G116" s="20">
        <f t="shared" si="23"/>
        <v>170</v>
      </c>
      <c r="H116" s="20">
        <f t="shared" si="23"/>
        <v>600</v>
      </c>
      <c r="I116" s="20">
        <f t="shared" si="23"/>
        <v>140</v>
      </c>
      <c r="J116" s="20">
        <f t="shared" si="23"/>
        <v>270</v>
      </c>
      <c r="K116" s="20">
        <f t="shared" si="23"/>
        <v>390</v>
      </c>
      <c r="L116" s="20">
        <f t="shared" si="24"/>
        <v>390</v>
      </c>
      <c r="M116" s="20">
        <f t="shared" si="24"/>
        <v>160</v>
      </c>
      <c r="N116" s="20">
        <f t="shared" si="24"/>
        <v>430</v>
      </c>
      <c r="O116" s="20">
        <f t="shared" si="25"/>
        <v>430</v>
      </c>
      <c r="P116" s="20">
        <f t="shared" si="26"/>
        <v>430</v>
      </c>
      <c r="V116" s="1"/>
    </row>
    <row r="117" spans="4:22" ht="20.100000000000001" customHeight="1" x14ac:dyDescent="0.2">
      <c r="D117" s="20" t="s">
        <v>526</v>
      </c>
      <c r="E117" s="20" t="str">
        <f t="shared" si="23"/>
        <v>Kimberley</v>
      </c>
      <c r="F117" s="20" t="str">
        <f t="shared" si="23"/>
        <v>Winter</v>
      </c>
      <c r="G117" s="20">
        <f t="shared" si="23"/>
        <v>200</v>
      </c>
      <c r="H117" s="20">
        <f t="shared" si="23"/>
        <v>550</v>
      </c>
      <c r="I117" s="20">
        <f t="shared" si="23"/>
        <v>150</v>
      </c>
      <c r="J117" s="20">
        <f t="shared" si="23"/>
        <v>280</v>
      </c>
      <c r="K117" s="20">
        <f t="shared" si="23"/>
        <v>350</v>
      </c>
      <c r="L117" s="20">
        <f t="shared" si="24"/>
        <v>350</v>
      </c>
      <c r="M117" s="20">
        <f t="shared" si="24"/>
        <v>190</v>
      </c>
      <c r="N117" s="20">
        <f t="shared" si="24"/>
        <v>400</v>
      </c>
      <c r="O117" s="20">
        <f t="shared" si="25"/>
        <v>400</v>
      </c>
      <c r="P117" s="20">
        <f t="shared" si="26"/>
        <v>400</v>
      </c>
      <c r="V117" s="1"/>
    </row>
    <row r="118" spans="4:22" ht="20.100000000000001" customHeight="1" x14ac:dyDescent="0.2">
      <c r="D118" s="20" t="s">
        <v>530</v>
      </c>
      <c r="E118" s="20" t="str">
        <f>E54</f>
        <v>Alice Springs</v>
      </c>
      <c r="F118" s="20" t="str">
        <f t="shared" ref="F118:P118" si="27">F54</f>
        <v>Spring</v>
      </c>
      <c r="G118" s="20">
        <f t="shared" si="27"/>
        <v>220</v>
      </c>
      <c r="H118" s="20">
        <f t="shared" si="27"/>
        <v>706</v>
      </c>
      <c r="I118" s="20">
        <f t="shared" si="27"/>
        <v>208</v>
      </c>
      <c r="J118" s="20">
        <f t="shared" si="27"/>
        <v>323</v>
      </c>
      <c r="K118" s="20">
        <f t="shared" si="27"/>
        <v>415</v>
      </c>
      <c r="L118" s="20">
        <f t="shared" si="27"/>
        <v>467</v>
      </c>
      <c r="M118" s="20">
        <f t="shared" si="27"/>
        <v>223</v>
      </c>
      <c r="N118" s="20">
        <f t="shared" si="27"/>
        <v>371</v>
      </c>
      <c r="O118" s="20">
        <f t="shared" si="27"/>
        <v>493</v>
      </c>
      <c r="P118" s="20">
        <f t="shared" si="27"/>
        <v>585</v>
      </c>
    </row>
    <row r="119" spans="4:22" ht="20.100000000000001" customHeight="1" x14ac:dyDescent="0.2">
      <c r="D119" s="20" t="s">
        <v>530</v>
      </c>
      <c r="E119" s="20" t="str">
        <f t="shared" ref="E119:P134" si="28">E55</f>
        <v>Alice Springs</v>
      </c>
      <c r="F119" s="20" t="str">
        <f t="shared" si="28"/>
        <v>Summer</v>
      </c>
      <c r="G119" s="20">
        <f t="shared" si="28"/>
        <v>110</v>
      </c>
      <c r="H119" s="20">
        <f t="shared" si="28"/>
        <v>703</v>
      </c>
      <c r="I119" s="20">
        <f t="shared" si="28"/>
        <v>112</v>
      </c>
      <c r="J119" s="20">
        <f t="shared" si="28"/>
        <v>256</v>
      </c>
      <c r="K119" s="20">
        <f t="shared" si="28"/>
        <v>368</v>
      </c>
      <c r="L119" s="20">
        <f t="shared" si="28"/>
        <v>465</v>
      </c>
      <c r="M119" s="20">
        <f t="shared" si="28"/>
        <v>108</v>
      </c>
      <c r="N119" s="20">
        <f t="shared" si="28"/>
        <v>280</v>
      </c>
      <c r="O119" s="20">
        <f t="shared" si="28"/>
        <v>421</v>
      </c>
      <c r="P119" s="20">
        <f t="shared" si="28"/>
        <v>543</v>
      </c>
    </row>
    <row r="120" spans="4:22" ht="20.100000000000001" customHeight="1" x14ac:dyDescent="0.2">
      <c r="D120" s="20" t="s">
        <v>530</v>
      </c>
      <c r="E120" s="20" t="str">
        <f t="shared" si="28"/>
        <v>Alice Springs</v>
      </c>
      <c r="F120" s="20" t="str">
        <f t="shared" si="28"/>
        <v>Autumn</v>
      </c>
      <c r="G120" s="20">
        <f t="shared" si="28"/>
        <v>170</v>
      </c>
      <c r="H120" s="20">
        <f t="shared" si="28"/>
        <v>721</v>
      </c>
      <c r="I120" s="20">
        <f t="shared" si="28"/>
        <v>169</v>
      </c>
      <c r="J120" s="20">
        <f t="shared" si="28"/>
        <v>306</v>
      </c>
      <c r="K120" s="20">
        <f t="shared" si="28"/>
        <v>392</v>
      </c>
      <c r="L120" s="20">
        <f t="shared" si="28"/>
        <v>464</v>
      </c>
      <c r="M120" s="20">
        <f t="shared" si="28"/>
        <v>176</v>
      </c>
      <c r="N120" s="20">
        <f t="shared" si="28"/>
        <v>339</v>
      </c>
      <c r="O120" s="20">
        <f t="shared" si="28"/>
        <v>470</v>
      </c>
      <c r="P120" s="20">
        <f t="shared" si="28"/>
        <v>580</v>
      </c>
    </row>
    <row r="121" spans="4:22" ht="20.100000000000001" customHeight="1" x14ac:dyDescent="0.2">
      <c r="D121" s="20" t="s">
        <v>530</v>
      </c>
      <c r="E121" s="20" t="str">
        <f t="shared" si="28"/>
        <v>Alice Springs</v>
      </c>
      <c r="F121" s="20" t="str">
        <f t="shared" si="28"/>
        <v>Winter</v>
      </c>
      <c r="G121" s="20">
        <f t="shared" si="28"/>
        <v>200</v>
      </c>
      <c r="H121" s="20">
        <f t="shared" si="28"/>
        <v>727</v>
      </c>
      <c r="I121" s="20">
        <f t="shared" si="28"/>
        <v>211</v>
      </c>
      <c r="J121" s="20">
        <f t="shared" si="28"/>
        <v>338</v>
      </c>
      <c r="K121" s="20">
        <f t="shared" si="28"/>
        <v>432</v>
      </c>
      <c r="L121" s="20">
        <f t="shared" si="28"/>
        <v>492</v>
      </c>
      <c r="M121" s="20">
        <f t="shared" si="28"/>
        <v>222</v>
      </c>
      <c r="N121" s="20">
        <f t="shared" si="28"/>
        <v>377</v>
      </c>
      <c r="O121" s="20">
        <f t="shared" si="28"/>
        <v>498</v>
      </c>
      <c r="P121" s="20">
        <f t="shared" si="28"/>
        <v>590</v>
      </c>
    </row>
    <row r="122" spans="4:22" ht="20.100000000000001" customHeight="1" x14ac:dyDescent="0.2">
      <c r="D122" s="20" t="s">
        <v>530</v>
      </c>
      <c r="E122" s="20" t="str">
        <f t="shared" si="28"/>
        <v>Barkly</v>
      </c>
      <c r="F122" s="20" t="str">
        <f t="shared" si="28"/>
        <v>Spring</v>
      </c>
      <c r="G122" s="20">
        <f t="shared" si="28"/>
        <v>220</v>
      </c>
      <c r="H122" s="20">
        <f t="shared" si="28"/>
        <v>620</v>
      </c>
      <c r="I122" s="20">
        <f t="shared" si="28"/>
        <v>227</v>
      </c>
      <c r="J122" s="20">
        <f t="shared" si="28"/>
        <v>319</v>
      </c>
      <c r="K122" s="20">
        <f t="shared" si="28"/>
        <v>398</v>
      </c>
      <c r="L122" s="20">
        <f t="shared" si="28"/>
        <v>452</v>
      </c>
      <c r="M122" s="20">
        <f t="shared" si="28"/>
        <v>216</v>
      </c>
      <c r="N122" s="20">
        <f t="shared" si="28"/>
        <v>334</v>
      </c>
      <c r="O122" s="20" t="str">
        <f t="shared" si="28"/>
        <v>NO</v>
      </c>
      <c r="P122" s="20" t="str">
        <f t="shared" si="28"/>
        <v>NO</v>
      </c>
    </row>
    <row r="123" spans="4:22" ht="20.100000000000001" customHeight="1" x14ac:dyDescent="0.2">
      <c r="D123" s="20" t="s">
        <v>530</v>
      </c>
      <c r="E123" s="20" t="str">
        <f t="shared" si="28"/>
        <v>Barkly</v>
      </c>
      <c r="F123" s="20" t="str">
        <f t="shared" si="28"/>
        <v>Summer</v>
      </c>
      <c r="G123" s="20">
        <f t="shared" si="28"/>
        <v>110</v>
      </c>
      <c r="H123" s="20">
        <f t="shared" si="28"/>
        <v>650</v>
      </c>
      <c r="I123" s="20">
        <f t="shared" si="28"/>
        <v>108</v>
      </c>
      <c r="J123" s="20">
        <f t="shared" si="28"/>
        <v>262</v>
      </c>
      <c r="K123" s="20">
        <f t="shared" si="28"/>
        <v>346</v>
      </c>
      <c r="L123" s="20">
        <f t="shared" si="28"/>
        <v>430</v>
      </c>
      <c r="M123" s="20">
        <f t="shared" si="28"/>
        <v>111</v>
      </c>
      <c r="N123" s="20">
        <f t="shared" si="28"/>
        <v>236</v>
      </c>
      <c r="O123" s="20" t="str">
        <f t="shared" si="28"/>
        <v>NO</v>
      </c>
      <c r="P123" s="20" t="str">
        <f t="shared" si="28"/>
        <v>NO</v>
      </c>
    </row>
    <row r="124" spans="4:22" ht="20.100000000000001" customHeight="1" x14ac:dyDescent="0.2">
      <c r="D124" s="20" t="s">
        <v>530</v>
      </c>
      <c r="E124" s="20" t="str">
        <f t="shared" si="28"/>
        <v>Barkly</v>
      </c>
      <c r="F124" s="20" t="str">
        <f t="shared" si="28"/>
        <v>Autumn</v>
      </c>
      <c r="G124" s="20">
        <f t="shared" si="28"/>
        <v>170</v>
      </c>
      <c r="H124" s="20">
        <f t="shared" si="28"/>
        <v>670</v>
      </c>
      <c r="I124" s="20">
        <f t="shared" si="28"/>
        <v>170</v>
      </c>
      <c r="J124" s="20">
        <f t="shared" si="28"/>
        <v>266</v>
      </c>
      <c r="K124" s="20">
        <f t="shared" si="28"/>
        <v>363</v>
      </c>
      <c r="L124" s="20">
        <f t="shared" si="28"/>
        <v>444</v>
      </c>
      <c r="M124" s="20">
        <f t="shared" si="28"/>
        <v>169</v>
      </c>
      <c r="N124" s="20">
        <f t="shared" si="28"/>
        <v>282</v>
      </c>
      <c r="O124" s="20" t="str">
        <f t="shared" si="28"/>
        <v>NO</v>
      </c>
      <c r="P124" s="20" t="str">
        <f t="shared" si="28"/>
        <v>NO</v>
      </c>
    </row>
    <row r="125" spans="4:22" ht="20.100000000000001" customHeight="1" x14ac:dyDescent="0.2">
      <c r="D125" s="20" t="s">
        <v>530</v>
      </c>
      <c r="E125" s="20" t="str">
        <f t="shared" si="28"/>
        <v>Barkly</v>
      </c>
      <c r="F125" s="20" t="str">
        <f t="shared" si="28"/>
        <v>Winter</v>
      </c>
      <c r="G125" s="20">
        <f t="shared" si="28"/>
        <v>200</v>
      </c>
      <c r="H125" s="20">
        <f t="shared" si="28"/>
        <v>660</v>
      </c>
      <c r="I125" s="20">
        <f t="shared" si="28"/>
        <v>225</v>
      </c>
      <c r="J125" s="20">
        <f t="shared" si="28"/>
        <v>307</v>
      </c>
      <c r="K125" s="20">
        <f t="shared" si="28"/>
        <v>398</v>
      </c>
      <c r="L125" s="20">
        <f t="shared" si="28"/>
        <v>452</v>
      </c>
      <c r="M125" s="20">
        <f t="shared" si="28"/>
        <v>214</v>
      </c>
      <c r="N125" s="20">
        <f t="shared" si="28"/>
        <v>326</v>
      </c>
      <c r="O125" s="20" t="str">
        <f t="shared" si="28"/>
        <v>NO</v>
      </c>
      <c r="P125" s="20" t="str">
        <f t="shared" si="28"/>
        <v>NO</v>
      </c>
      <c r="V125" s="1"/>
    </row>
    <row r="126" spans="4:22" ht="20.100000000000001" customHeight="1" x14ac:dyDescent="0.2">
      <c r="D126" s="20" t="s">
        <v>530</v>
      </c>
      <c r="E126" s="20" t="str">
        <f t="shared" si="28"/>
        <v>Northern</v>
      </c>
      <c r="F126" s="20" t="str">
        <f t="shared" si="28"/>
        <v>Spring</v>
      </c>
      <c r="G126" s="20">
        <f t="shared" si="28"/>
        <v>220</v>
      </c>
      <c r="H126" s="20">
        <f t="shared" si="28"/>
        <v>620</v>
      </c>
      <c r="I126" s="20">
        <f t="shared" si="28"/>
        <v>177</v>
      </c>
      <c r="J126" s="20">
        <f t="shared" si="28"/>
        <v>267</v>
      </c>
      <c r="K126" s="20">
        <f t="shared" si="28"/>
        <v>365</v>
      </c>
      <c r="L126" s="20">
        <f t="shared" si="28"/>
        <v>406</v>
      </c>
      <c r="M126" s="20">
        <f t="shared" si="28"/>
        <v>231</v>
      </c>
      <c r="N126" s="20">
        <f t="shared" si="28"/>
        <v>249</v>
      </c>
      <c r="O126" s="20">
        <f t="shared" si="28"/>
        <v>324</v>
      </c>
      <c r="P126" s="20" t="str">
        <f t="shared" si="28"/>
        <v>NO</v>
      </c>
      <c r="V126" s="1"/>
    </row>
    <row r="127" spans="4:22" ht="20.100000000000001" customHeight="1" x14ac:dyDescent="0.2">
      <c r="D127" s="20" t="s">
        <v>530</v>
      </c>
      <c r="E127" s="20" t="str">
        <f t="shared" si="28"/>
        <v>Northern</v>
      </c>
      <c r="F127" s="20" t="str">
        <f t="shared" si="28"/>
        <v>Summer</v>
      </c>
      <c r="G127" s="20">
        <f t="shared" si="28"/>
        <v>110</v>
      </c>
      <c r="H127" s="20">
        <f t="shared" si="28"/>
        <v>650</v>
      </c>
      <c r="I127" s="20">
        <f t="shared" si="28"/>
        <v>102</v>
      </c>
      <c r="J127" s="20">
        <f t="shared" si="28"/>
        <v>203</v>
      </c>
      <c r="K127" s="20">
        <f t="shared" si="28"/>
        <v>299</v>
      </c>
      <c r="L127" s="20">
        <f t="shared" si="28"/>
        <v>380</v>
      </c>
      <c r="M127" s="20">
        <f t="shared" si="28"/>
        <v>102</v>
      </c>
      <c r="N127" s="20">
        <f t="shared" si="28"/>
        <v>218</v>
      </c>
      <c r="O127" s="20">
        <f t="shared" si="28"/>
        <v>263</v>
      </c>
      <c r="P127" s="20" t="str">
        <f t="shared" si="28"/>
        <v>NO</v>
      </c>
      <c r="V127" s="1"/>
    </row>
    <row r="128" spans="4:22" ht="20.100000000000001" customHeight="1" x14ac:dyDescent="0.2">
      <c r="D128" s="20" t="s">
        <v>530</v>
      </c>
      <c r="E128" s="20" t="str">
        <f t="shared" si="28"/>
        <v>Northern</v>
      </c>
      <c r="F128" s="20" t="str">
        <f t="shared" si="28"/>
        <v>Autumn</v>
      </c>
      <c r="G128" s="20">
        <f t="shared" si="28"/>
        <v>170</v>
      </c>
      <c r="H128" s="20">
        <f t="shared" si="28"/>
        <v>670</v>
      </c>
      <c r="I128" s="20">
        <f t="shared" si="28"/>
        <v>173</v>
      </c>
      <c r="J128" s="20">
        <f t="shared" si="28"/>
        <v>250</v>
      </c>
      <c r="K128" s="20">
        <f t="shared" si="28"/>
        <v>336</v>
      </c>
      <c r="L128" s="20">
        <f t="shared" si="28"/>
        <v>414</v>
      </c>
      <c r="M128" s="20">
        <f t="shared" si="28"/>
        <v>175</v>
      </c>
      <c r="N128" s="20">
        <f t="shared" si="28"/>
        <v>243</v>
      </c>
      <c r="O128" s="20">
        <f t="shared" si="28"/>
        <v>304</v>
      </c>
      <c r="P128" s="20" t="str">
        <f t="shared" si="28"/>
        <v>NO</v>
      </c>
      <c r="V128" s="1"/>
    </row>
    <row r="129" spans="1:22" ht="20.100000000000001" customHeight="1" x14ac:dyDescent="0.2">
      <c r="D129" s="20" t="s">
        <v>530</v>
      </c>
      <c r="E129" s="20" t="str">
        <f t="shared" si="28"/>
        <v>Northern</v>
      </c>
      <c r="F129" s="20" t="str">
        <f t="shared" si="28"/>
        <v>Winter</v>
      </c>
      <c r="G129" s="20">
        <f t="shared" si="28"/>
        <v>200</v>
      </c>
      <c r="H129" s="20">
        <f t="shared" si="28"/>
        <v>660</v>
      </c>
      <c r="I129" s="20">
        <f t="shared" si="28"/>
        <v>202</v>
      </c>
      <c r="J129" s="20">
        <f t="shared" si="28"/>
        <v>272</v>
      </c>
      <c r="K129" s="20">
        <f t="shared" si="28"/>
        <v>365</v>
      </c>
      <c r="L129" s="20">
        <f t="shared" si="28"/>
        <v>390</v>
      </c>
      <c r="M129" s="20">
        <f t="shared" si="28"/>
        <v>208</v>
      </c>
      <c r="N129" s="20">
        <f t="shared" si="28"/>
        <v>260</v>
      </c>
      <c r="O129" s="20">
        <f t="shared" si="28"/>
        <v>337</v>
      </c>
      <c r="P129" s="20" t="str">
        <f t="shared" si="28"/>
        <v>NO</v>
      </c>
      <c r="V129" s="1"/>
    </row>
    <row r="130" spans="1:22" ht="20.100000000000001" customHeight="1" x14ac:dyDescent="0.2">
      <c r="D130" s="20" t="s">
        <v>534</v>
      </c>
      <c r="E130" s="20" t="str">
        <f t="shared" si="28"/>
        <v>High</v>
      </c>
      <c r="F130" s="20" t="str">
        <f t="shared" si="28"/>
        <v>Spring</v>
      </c>
      <c r="G130" s="20">
        <f t="shared" si="28"/>
        <v>260</v>
      </c>
      <c r="H130" s="20">
        <f t="shared" si="28"/>
        <v>705</v>
      </c>
      <c r="I130" s="20">
        <f t="shared" si="28"/>
        <v>215</v>
      </c>
      <c r="J130" s="20">
        <f t="shared" si="28"/>
        <v>302</v>
      </c>
      <c r="K130" s="20">
        <f t="shared" si="28"/>
        <v>416</v>
      </c>
      <c r="L130" s="20">
        <f t="shared" si="28"/>
        <v>519</v>
      </c>
      <c r="M130" s="20">
        <f t="shared" si="28"/>
        <v>234</v>
      </c>
      <c r="N130" s="20">
        <f t="shared" si="28"/>
        <v>455</v>
      </c>
      <c r="O130" s="20">
        <f t="shared" si="28"/>
        <v>551</v>
      </c>
      <c r="P130" s="20">
        <f t="shared" si="28"/>
        <v>660</v>
      </c>
      <c r="V130" s="1"/>
    </row>
    <row r="131" spans="1:22" ht="20.100000000000001" customHeight="1" x14ac:dyDescent="0.2">
      <c r="A131" s="85" t="str">
        <f>HYPERLINK("#A1", "▲ Back to top")</f>
        <v>▲ Back to top</v>
      </c>
      <c r="D131" s="20" t="s">
        <v>534</v>
      </c>
      <c r="E131" s="20" t="str">
        <f t="shared" si="28"/>
        <v>High</v>
      </c>
      <c r="F131" s="20" t="str">
        <f t="shared" si="28"/>
        <v>Summer</v>
      </c>
      <c r="G131" s="20">
        <f t="shared" si="28"/>
        <v>153</v>
      </c>
      <c r="H131" s="20">
        <f t="shared" si="28"/>
        <v>703</v>
      </c>
      <c r="I131" s="20">
        <f t="shared" si="28"/>
        <v>118</v>
      </c>
      <c r="J131" s="20">
        <f t="shared" si="28"/>
        <v>277</v>
      </c>
      <c r="K131" s="20">
        <f t="shared" si="28"/>
        <v>397</v>
      </c>
      <c r="L131" s="20">
        <f t="shared" si="28"/>
        <v>483</v>
      </c>
      <c r="M131" s="20">
        <f t="shared" si="28"/>
        <v>111</v>
      </c>
      <c r="N131" s="20">
        <f t="shared" si="28"/>
        <v>304</v>
      </c>
      <c r="O131" s="20">
        <f t="shared" si="28"/>
        <v>521</v>
      </c>
      <c r="P131" s="20">
        <f t="shared" si="28"/>
        <v>547</v>
      </c>
    </row>
    <row r="132" spans="1:22" ht="20.100000000000001" customHeight="1" x14ac:dyDescent="0.2">
      <c r="D132" s="20" t="s">
        <v>534</v>
      </c>
      <c r="E132" s="20" t="str">
        <f t="shared" si="28"/>
        <v>High</v>
      </c>
      <c r="F132" s="20" t="str">
        <f t="shared" si="28"/>
        <v>Autumn</v>
      </c>
      <c r="G132" s="20">
        <f t="shared" si="28"/>
        <v>168</v>
      </c>
      <c r="H132" s="20">
        <f t="shared" si="28"/>
        <v>718</v>
      </c>
      <c r="I132" s="20">
        <f t="shared" si="28"/>
        <v>191</v>
      </c>
      <c r="J132" s="20">
        <f t="shared" si="28"/>
        <v>319</v>
      </c>
      <c r="K132" s="20">
        <f t="shared" si="28"/>
        <v>440</v>
      </c>
      <c r="L132" s="20">
        <f t="shared" si="28"/>
        <v>506</v>
      </c>
      <c r="M132" s="20">
        <f t="shared" si="28"/>
        <v>188</v>
      </c>
      <c r="N132" s="20">
        <f t="shared" si="28"/>
        <v>326</v>
      </c>
      <c r="O132" s="20">
        <f t="shared" si="28"/>
        <v>520</v>
      </c>
      <c r="P132" s="20">
        <f t="shared" si="28"/>
        <v>582</v>
      </c>
    </row>
    <row r="133" spans="1:22" ht="20.100000000000001" customHeight="1" x14ac:dyDescent="0.2">
      <c r="D133" s="20" t="s">
        <v>534</v>
      </c>
      <c r="E133" s="20" t="str">
        <f t="shared" si="28"/>
        <v>High</v>
      </c>
      <c r="F133" s="20" t="str">
        <f t="shared" si="28"/>
        <v>Winter</v>
      </c>
      <c r="G133" s="20">
        <f t="shared" si="28"/>
        <v>235</v>
      </c>
      <c r="H133" s="20">
        <f t="shared" si="28"/>
        <v>722</v>
      </c>
      <c r="I133" s="20">
        <f t="shared" si="28"/>
        <v>207</v>
      </c>
      <c r="J133" s="20">
        <f t="shared" si="28"/>
        <v>352</v>
      </c>
      <c r="K133" s="20">
        <f t="shared" si="28"/>
        <v>470</v>
      </c>
      <c r="L133" s="20">
        <f t="shared" si="28"/>
        <v>514</v>
      </c>
      <c r="M133" s="20">
        <f t="shared" si="28"/>
        <v>209</v>
      </c>
      <c r="N133" s="20">
        <f t="shared" si="28"/>
        <v>421</v>
      </c>
      <c r="O133" s="20">
        <f t="shared" si="28"/>
        <v>512</v>
      </c>
      <c r="P133" s="20">
        <f t="shared" si="28"/>
        <v>605</v>
      </c>
    </row>
    <row r="134" spans="1:22" ht="20.100000000000001" customHeight="1" x14ac:dyDescent="0.2">
      <c r="D134" s="20" t="s">
        <v>534</v>
      </c>
      <c r="E134" s="20" t="str">
        <f t="shared" si="28"/>
        <v>Moderate/High</v>
      </c>
      <c r="F134" s="20" t="str">
        <f t="shared" si="28"/>
        <v>Spring</v>
      </c>
      <c r="G134" s="20">
        <f t="shared" si="28"/>
        <v>230</v>
      </c>
      <c r="H134" s="20">
        <f t="shared" si="28"/>
        <v>674</v>
      </c>
      <c r="I134" s="20">
        <f t="shared" si="28"/>
        <v>217</v>
      </c>
      <c r="J134" s="20">
        <f t="shared" si="28"/>
        <v>344</v>
      </c>
      <c r="K134" s="20">
        <f t="shared" si="28"/>
        <v>357</v>
      </c>
      <c r="L134" s="20">
        <f t="shared" si="28"/>
        <v>467</v>
      </c>
      <c r="M134" s="20">
        <f t="shared" si="28"/>
        <v>242</v>
      </c>
      <c r="N134" s="20">
        <f t="shared" si="28"/>
        <v>370</v>
      </c>
      <c r="O134" s="20">
        <f t="shared" si="28"/>
        <v>550</v>
      </c>
      <c r="P134" s="20">
        <f t="shared" si="28"/>
        <v>620</v>
      </c>
    </row>
    <row r="135" spans="1:22" ht="20.100000000000001" customHeight="1" x14ac:dyDescent="0.2">
      <c r="D135" s="20" t="s">
        <v>534</v>
      </c>
      <c r="E135" s="20" t="str">
        <f t="shared" ref="E135:P145" si="29">E71</f>
        <v>Moderate/High</v>
      </c>
      <c r="F135" s="20" t="str">
        <f t="shared" si="29"/>
        <v>Summer</v>
      </c>
      <c r="G135" s="20">
        <f t="shared" si="29"/>
        <v>113</v>
      </c>
      <c r="H135" s="20">
        <f t="shared" si="29"/>
        <v>669</v>
      </c>
      <c r="I135" s="20">
        <f t="shared" si="29"/>
        <v>113</v>
      </c>
      <c r="J135" s="20">
        <f t="shared" si="29"/>
        <v>283</v>
      </c>
      <c r="K135" s="20">
        <f t="shared" si="29"/>
        <v>361</v>
      </c>
      <c r="L135" s="20">
        <f t="shared" si="29"/>
        <v>477</v>
      </c>
      <c r="M135" s="20">
        <f t="shared" si="29"/>
        <v>120</v>
      </c>
      <c r="N135" s="20">
        <f t="shared" si="29"/>
        <v>273</v>
      </c>
      <c r="O135" s="20">
        <f t="shared" si="29"/>
        <v>545</v>
      </c>
      <c r="P135" s="20">
        <f t="shared" si="29"/>
        <v>553</v>
      </c>
    </row>
    <row r="136" spans="1:22" ht="20.100000000000001" customHeight="1" x14ac:dyDescent="0.2">
      <c r="D136" s="20" t="s">
        <v>534</v>
      </c>
      <c r="E136" s="20" t="str">
        <f t="shared" si="29"/>
        <v>Moderate/High</v>
      </c>
      <c r="F136" s="20" t="str">
        <f t="shared" si="29"/>
        <v>Autumn</v>
      </c>
      <c r="G136" s="20">
        <f t="shared" si="29"/>
        <v>172</v>
      </c>
      <c r="H136" s="20">
        <f t="shared" si="29"/>
        <v>685</v>
      </c>
      <c r="I136" s="20">
        <f t="shared" si="29"/>
        <v>172</v>
      </c>
      <c r="J136" s="20">
        <f t="shared" si="29"/>
        <v>309</v>
      </c>
      <c r="K136" s="20">
        <f t="shared" si="29"/>
        <v>376</v>
      </c>
      <c r="L136" s="20">
        <f t="shared" si="29"/>
        <v>471</v>
      </c>
      <c r="M136" s="20">
        <f t="shared" si="29"/>
        <v>238</v>
      </c>
      <c r="N136" s="20">
        <f t="shared" si="29"/>
        <v>329</v>
      </c>
      <c r="O136" s="20">
        <f t="shared" si="29"/>
        <v>573</v>
      </c>
      <c r="P136" s="20">
        <f t="shared" si="29"/>
        <v>620</v>
      </c>
    </row>
    <row r="137" spans="1:22" ht="20.100000000000001" customHeight="1" x14ac:dyDescent="0.2">
      <c r="D137" s="20" t="s">
        <v>534</v>
      </c>
      <c r="E137" s="20" t="str">
        <f t="shared" si="29"/>
        <v>Moderate/High</v>
      </c>
      <c r="F137" s="20" t="str">
        <f t="shared" si="29"/>
        <v>Winter</v>
      </c>
      <c r="G137" s="20">
        <f t="shared" si="29"/>
        <v>241</v>
      </c>
      <c r="H137" s="20">
        <f t="shared" si="29"/>
        <v>692</v>
      </c>
      <c r="I137" s="20">
        <f t="shared" si="29"/>
        <v>208</v>
      </c>
      <c r="J137" s="20">
        <f t="shared" si="29"/>
        <v>344</v>
      </c>
      <c r="K137" s="20">
        <f t="shared" si="29"/>
        <v>364</v>
      </c>
      <c r="L137" s="20">
        <f t="shared" si="29"/>
        <v>484</v>
      </c>
      <c r="M137" s="20">
        <f t="shared" si="29"/>
        <v>260</v>
      </c>
      <c r="N137" s="20">
        <f t="shared" si="29"/>
        <v>350</v>
      </c>
      <c r="O137" s="20">
        <f t="shared" si="29"/>
        <v>567</v>
      </c>
      <c r="P137" s="20">
        <f t="shared" si="29"/>
        <v>620</v>
      </c>
    </row>
    <row r="138" spans="1:22" ht="20.100000000000001" customHeight="1" x14ac:dyDescent="0.2">
      <c r="D138" s="20" t="s">
        <v>534</v>
      </c>
      <c r="E138" s="20" t="str">
        <f t="shared" si="29"/>
        <v>Moderate/Low</v>
      </c>
      <c r="F138" s="20" t="str">
        <f t="shared" si="29"/>
        <v>Spring</v>
      </c>
      <c r="G138" s="20">
        <f t="shared" si="29"/>
        <v>236</v>
      </c>
      <c r="H138" s="20">
        <f t="shared" si="29"/>
        <v>674</v>
      </c>
      <c r="I138" s="20">
        <f t="shared" si="29"/>
        <v>178</v>
      </c>
      <c r="J138" s="20">
        <f t="shared" si="29"/>
        <v>310</v>
      </c>
      <c r="K138" s="20">
        <f t="shared" si="29"/>
        <v>428</v>
      </c>
      <c r="L138" s="20">
        <f t="shared" si="29"/>
        <v>466</v>
      </c>
      <c r="M138" s="20">
        <f t="shared" si="29"/>
        <v>193</v>
      </c>
      <c r="N138" s="20">
        <f t="shared" si="29"/>
        <v>370</v>
      </c>
      <c r="O138" s="20">
        <f t="shared" si="29"/>
        <v>519</v>
      </c>
      <c r="P138" s="20">
        <f t="shared" si="29"/>
        <v>565</v>
      </c>
    </row>
    <row r="139" spans="1:22" ht="20.100000000000001" customHeight="1" x14ac:dyDescent="0.2">
      <c r="D139" s="20" t="s">
        <v>534</v>
      </c>
      <c r="E139" s="20" t="str">
        <f t="shared" si="29"/>
        <v>Moderate/Low</v>
      </c>
      <c r="F139" s="20" t="str">
        <f t="shared" si="29"/>
        <v>Summer</v>
      </c>
      <c r="G139" s="20">
        <f t="shared" si="29"/>
        <v>120</v>
      </c>
      <c r="H139" s="20">
        <f t="shared" si="29"/>
        <v>669</v>
      </c>
      <c r="I139" s="20">
        <f t="shared" si="29"/>
        <v>112</v>
      </c>
      <c r="J139" s="20">
        <f t="shared" si="29"/>
        <v>250</v>
      </c>
      <c r="K139" s="20">
        <f t="shared" si="29"/>
        <v>390</v>
      </c>
      <c r="L139" s="20">
        <f t="shared" si="29"/>
        <v>448</v>
      </c>
      <c r="M139" s="20">
        <f t="shared" si="29"/>
        <v>115</v>
      </c>
      <c r="N139" s="20">
        <f t="shared" si="29"/>
        <v>273</v>
      </c>
      <c r="O139" s="20">
        <f t="shared" si="29"/>
        <v>433</v>
      </c>
      <c r="P139" s="20">
        <f t="shared" si="29"/>
        <v>556</v>
      </c>
    </row>
    <row r="140" spans="1:22" ht="20.100000000000001" customHeight="1" x14ac:dyDescent="0.2">
      <c r="D140" s="20" t="s">
        <v>534</v>
      </c>
      <c r="E140" s="20" t="str">
        <f t="shared" si="29"/>
        <v>Moderate/Low</v>
      </c>
      <c r="F140" s="20" t="str">
        <f t="shared" si="29"/>
        <v>Autumn</v>
      </c>
      <c r="G140" s="20">
        <f t="shared" si="29"/>
        <v>125</v>
      </c>
      <c r="H140" s="20">
        <f t="shared" si="29"/>
        <v>685</v>
      </c>
      <c r="I140" s="20">
        <f t="shared" si="29"/>
        <v>140</v>
      </c>
      <c r="J140" s="20">
        <f t="shared" si="29"/>
        <v>277</v>
      </c>
      <c r="K140" s="20">
        <f t="shared" si="29"/>
        <v>407</v>
      </c>
      <c r="L140" s="20">
        <f t="shared" si="29"/>
        <v>455</v>
      </c>
      <c r="M140" s="20">
        <f t="shared" si="29"/>
        <v>141</v>
      </c>
      <c r="N140" s="20">
        <f t="shared" si="29"/>
        <v>296</v>
      </c>
      <c r="O140" s="20">
        <f t="shared" si="29"/>
        <v>445</v>
      </c>
      <c r="P140" s="20">
        <f t="shared" si="29"/>
        <v>593</v>
      </c>
    </row>
    <row r="141" spans="1:22" ht="20.100000000000001" customHeight="1" x14ac:dyDescent="0.2">
      <c r="D141" s="20" t="s">
        <v>534</v>
      </c>
      <c r="E141" s="20" t="str">
        <f t="shared" si="29"/>
        <v>Moderate/Low</v>
      </c>
      <c r="F141" s="20" t="str">
        <f t="shared" si="29"/>
        <v>Winter</v>
      </c>
      <c r="G141" s="20">
        <f t="shared" si="29"/>
        <v>180</v>
      </c>
      <c r="H141" s="20">
        <f t="shared" si="29"/>
        <v>692</v>
      </c>
      <c r="I141" s="20">
        <f t="shared" si="29"/>
        <v>183</v>
      </c>
      <c r="J141" s="20">
        <f t="shared" si="29"/>
        <v>316</v>
      </c>
      <c r="K141" s="20">
        <f t="shared" si="29"/>
        <v>438</v>
      </c>
      <c r="L141" s="20">
        <f t="shared" si="29"/>
        <v>468</v>
      </c>
      <c r="M141" s="20">
        <f t="shared" si="29"/>
        <v>189</v>
      </c>
      <c r="N141" s="20">
        <f t="shared" si="29"/>
        <v>354</v>
      </c>
      <c r="O141" s="20">
        <f t="shared" si="29"/>
        <v>500</v>
      </c>
      <c r="P141" s="20">
        <f t="shared" si="29"/>
        <v>553</v>
      </c>
    </row>
    <row r="142" spans="1:22" ht="20.100000000000001" customHeight="1" x14ac:dyDescent="0.2">
      <c r="D142" s="20" t="s">
        <v>534</v>
      </c>
      <c r="E142" s="20" t="str">
        <f t="shared" si="29"/>
        <v>Low</v>
      </c>
      <c r="F142" s="20" t="str">
        <f t="shared" si="29"/>
        <v>Spring</v>
      </c>
      <c r="G142" s="20">
        <f t="shared" si="29"/>
        <v>190</v>
      </c>
      <c r="H142" s="20">
        <f t="shared" si="29"/>
        <v>617</v>
      </c>
      <c r="I142" s="20">
        <f t="shared" si="29"/>
        <v>174</v>
      </c>
      <c r="J142" s="20">
        <f t="shared" si="29"/>
        <v>265</v>
      </c>
      <c r="K142" s="20">
        <f t="shared" si="29"/>
        <v>371</v>
      </c>
      <c r="L142" s="20">
        <f t="shared" si="29"/>
        <v>415</v>
      </c>
      <c r="M142" s="20">
        <f t="shared" si="29"/>
        <v>170</v>
      </c>
      <c r="N142" s="20">
        <f t="shared" si="29"/>
        <v>272</v>
      </c>
      <c r="O142" s="20">
        <f t="shared" si="29"/>
        <v>392</v>
      </c>
      <c r="P142" s="20">
        <f t="shared" si="29"/>
        <v>531</v>
      </c>
    </row>
    <row r="143" spans="1:22" ht="20.100000000000001" customHeight="1" x14ac:dyDescent="0.2">
      <c r="D143" s="20" t="s">
        <v>534</v>
      </c>
      <c r="E143" s="20" t="str">
        <f t="shared" si="29"/>
        <v>Low</v>
      </c>
      <c r="F143" s="20" t="str">
        <f t="shared" si="29"/>
        <v>Summer</v>
      </c>
      <c r="G143" s="20">
        <f t="shared" si="29"/>
        <v>119</v>
      </c>
      <c r="H143" s="20">
        <f t="shared" si="29"/>
        <v>591</v>
      </c>
      <c r="I143" s="20">
        <f t="shared" si="29"/>
        <v>140</v>
      </c>
      <c r="J143" s="20">
        <f t="shared" si="29"/>
        <v>205</v>
      </c>
      <c r="K143" s="20">
        <f t="shared" si="29"/>
        <v>310</v>
      </c>
      <c r="L143" s="20">
        <f t="shared" si="29"/>
        <v>405</v>
      </c>
      <c r="M143" s="20">
        <f t="shared" si="29"/>
        <v>133</v>
      </c>
      <c r="N143" s="20">
        <f t="shared" si="29"/>
        <v>218</v>
      </c>
      <c r="O143" s="20">
        <f t="shared" si="29"/>
        <v>315</v>
      </c>
      <c r="P143" s="20">
        <f t="shared" si="29"/>
        <v>445</v>
      </c>
    </row>
    <row r="144" spans="1:22" ht="20.100000000000001" customHeight="1" x14ac:dyDescent="0.2">
      <c r="D144" s="20" t="s">
        <v>534</v>
      </c>
      <c r="E144" s="20" t="str">
        <f t="shared" si="29"/>
        <v>Low</v>
      </c>
      <c r="F144" s="20" t="str">
        <f t="shared" si="29"/>
        <v>Autumn</v>
      </c>
      <c r="G144" s="20">
        <f t="shared" si="29"/>
        <v>175</v>
      </c>
      <c r="H144" s="20">
        <f t="shared" si="29"/>
        <v>610</v>
      </c>
      <c r="I144" s="20">
        <f t="shared" si="29"/>
        <v>163</v>
      </c>
      <c r="J144" s="20">
        <f t="shared" si="29"/>
        <v>232</v>
      </c>
      <c r="K144" s="20">
        <f t="shared" si="29"/>
        <v>351</v>
      </c>
      <c r="L144" s="20">
        <f t="shared" si="29"/>
        <v>427</v>
      </c>
      <c r="M144" s="20">
        <f t="shared" si="29"/>
        <v>146</v>
      </c>
      <c r="N144" s="20">
        <f t="shared" si="29"/>
        <v>242</v>
      </c>
      <c r="O144" s="20">
        <f t="shared" si="29"/>
        <v>320</v>
      </c>
      <c r="P144" s="20">
        <f t="shared" si="29"/>
        <v>471</v>
      </c>
    </row>
    <row r="145" spans="4:16" ht="20.100000000000001" customHeight="1" x14ac:dyDescent="0.2">
      <c r="D145" s="20" t="s">
        <v>534</v>
      </c>
      <c r="E145" s="20" t="str">
        <f t="shared" si="29"/>
        <v>Low</v>
      </c>
      <c r="F145" s="20" t="str">
        <f t="shared" si="29"/>
        <v>Winter</v>
      </c>
      <c r="G145" s="20">
        <f t="shared" si="29"/>
        <v>192</v>
      </c>
      <c r="H145" s="20">
        <f t="shared" si="29"/>
        <v>615</v>
      </c>
      <c r="I145" s="20">
        <f t="shared" si="29"/>
        <v>162</v>
      </c>
      <c r="J145" s="20">
        <f t="shared" si="29"/>
        <v>255</v>
      </c>
      <c r="K145" s="20">
        <f t="shared" si="29"/>
        <v>364</v>
      </c>
      <c r="L145" s="20">
        <f t="shared" si="29"/>
        <v>420</v>
      </c>
      <c r="M145" s="20">
        <f t="shared" si="29"/>
        <v>157</v>
      </c>
      <c r="N145" s="20">
        <f t="shared" si="29"/>
        <v>261</v>
      </c>
      <c r="O145" s="20">
        <f t="shared" si="29"/>
        <v>342</v>
      </c>
      <c r="P145" s="20">
        <f t="shared" si="29"/>
        <v>484</v>
      </c>
    </row>
    <row r="146" spans="4:16" ht="20.100000000000001" customHeight="1" x14ac:dyDescent="0.2">
      <c r="D146" s="1" t="s">
        <v>538</v>
      </c>
      <c r="E146" s="1" t="s">
        <v>494</v>
      </c>
      <c r="F146" s="1" t="str">
        <f>F142</f>
        <v>Spring</v>
      </c>
      <c r="G146" s="1">
        <f t="shared" ref="G146:P149" si="30">AVERAGE(G86,G90,G94,G98,G102,G106,G110,G114,G118,G122,G126,G130,G134,G138,G142)</f>
        <v>198.73333333333332</v>
      </c>
      <c r="H146" s="1">
        <f t="shared" si="30"/>
        <v>643.06666666666672</v>
      </c>
      <c r="I146" s="1">
        <f t="shared" si="30"/>
        <v>173.4</v>
      </c>
      <c r="J146" s="1">
        <f t="shared" si="30"/>
        <v>321.33333333333331</v>
      </c>
      <c r="K146" s="1">
        <f t="shared" si="30"/>
        <v>426</v>
      </c>
      <c r="L146" s="1">
        <f t="shared" si="30"/>
        <v>455.46666666666664</v>
      </c>
      <c r="M146" s="1">
        <f t="shared" si="30"/>
        <v>187.26666666666668</v>
      </c>
      <c r="N146" s="1">
        <f t="shared" si="30"/>
        <v>385.4</v>
      </c>
      <c r="O146" s="1">
        <f t="shared" si="30"/>
        <v>442.07142857142856</v>
      </c>
      <c r="P146" s="1">
        <f t="shared" si="30"/>
        <v>486.23076923076923</v>
      </c>
    </row>
    <row r="147" spans="4:16" ht="20.100000000000001" customHeight="1" x14ac:dyDescent="0.2">
      <c r="D147" s="1" t="s">
        <v>538</v>
      </c>
      <c r="E147" s="1" t="s">
        <v>494</v>
      </c>
      <c r="F147" s="1" t="str">
        <f>F143</f>
        <v>Summer</v>
      </c>
      <c r="G147" s="1">
        <f t="shared" si="30"/>
        <v>193</v>
      </c>
      <c r="H147" s="1">
        <f t="shared" si="30"/>
        <v>660.33333333333337</v>
      </c>
      <c r="I147" s="1">
        <f t="shared" si="30"/>
        <v>156.33333333333334</v>
      </c>
      <c r="J147" s="1">
        <f t="shared" si="30"/>
        <v>309.73333333333335</v>
      </c>
      <c r="K147" s="1">
        <f t="shared" si="30"/>
        <v>417.4</v>
      </c>
      <c r="L147" s="1">
        <f t="shared" si="30"/>
        <v>458.53333333333336</v>
      </c>
      <c r="M147" s="1">
        <f t="shared" si="30"/>
        <v>162</v>
      </c>
      <c r="N147" s="1">
        <f t="shared" si="30"/>
        <v>353.46666666666664</v>
      </c>
      <c r="O147" s="1">
        <f t="shared" si="30"/>
        <v>428.42857142857144</v>
      </c>
      <c r="P147" s="1">
        <f t="shared" si="30"/>
        <v>472.61538461538464</v>
      </c>
    </row>
    <row r="148" spans="4:16" ht="20.100000000000001" customHeight="1" x14ac:dyDescent="0.2">
      <c r="D148" s="1" t="s">
        <v>538</v>
      </c>
      <c r="E148" s="1" t="s">
        <v>494</v>
      </c>
      <c r="F148" s="1" t="str">
        <f>F144</f>
        <v>Autumn</v>
      </c>
      <c r="G148" s="1">
        <f t="shared" si="30"/>
        <v>170.66666666666666</v>
      </c>
      <c r="H148" s="1">
        <f t="shared" si="30"/>
        <v>654.26666666666665</v>
      </c>
      <c r="I148" s="1">
        <f t="shared" si="30"/>
        <v>161.53333333333333</v>
      </c>
      <c r="J148" s="1">
        <f t="shared" si="30"/>
        <v>307.93333333333334</v>
      </c>
      <c r="K148" s="1">
        <f t="shared" si="30"/>
        <v>419.66666666666669</v>
      </c>
      <c r="L148" s="1">
        <f t="shared" si="30"/>
        <v>454.06666666666666</v>
      </c>
      <c r="M148" s="1">
        <f t="shared" si="30"/>
        <v>169.86666666666667</v>
      </c>
      <c r="N148" s="1">
        <f t="shared" si="30"/>
        <v>363.13333333333333</v>
      </c>
      <c r="O148" s="1">
        <f t="shared" si="30"/>
        <v>430.14285714285717</v>
      </c>
      <c r="P148" s="1">
        <f t="shared" si="30"/>
        <v>479.69230769230768</v>
      </c>
    </row>
    <row r="149" spans="4:16" ht="20.100000000000001" customHeight="1" x14ac:dyDescent="0.2">
      <c r="D149" s="1" t="s">
        <v>538</v>
      </c>
      <c r="E149" s="1" t="s">
        <v>494</v>
      </c>
      <c r="F149" s="1" t="str">
        <f>F145</f>
        <v>Winter</v>
      </c>
      <c r="G149" s="1">
        <f t="shared" si="30"/>
        <v>214.53333333333333</v>
      </c>
      <c r="H149" s="1">
        <f t="shared" si="30"/>
        <v>650.5333333333333</v>
      </c>
      <c r="I149" s="1">
        <f t="shared" si="30"/>
        <v>196.53333333333333</v>
      </c>
      <c r="J149" s="1">
        <f t="shared" si="30"/>
        <v>333.6</v>
      </c>
      <c r="K149" s="1">
        <f t="shared" si="30"/>
        <v>427.4</v>
      </c>
      <c r="L149" s="1">
        <f t="shared" si="30"/>
        <v>453.33333333333331</v>
      </c>
      <c r="M149" s="1">
        <f t="shared" si="30"/>
        <v>207.26666666666668</v>
      </c>
      <c r="N149" s="1">
        <f t="shared" si="30"/>
        <v>381.93333333333334</v>
      </c>
      <c r="O149" s="1">
        <f t="shared" si="30"/>
        <v>438.28571428571428</v>
      </c>
      <c r="P149" s="1">
        <f t="shared" si="30"/>
        <v>479.38461538461536</v>
      </c>
    </row>
    <row r="150" spans="4:16" ht="20.100000000000001" customHeight="1" x14ac:dyDescent="0.2">
      <c r="D150" s="2" t="s">
        <v>1895</v>
      </c>
      <c r="E150" s="1" t="str">
        <f>E86</f>
        <v>n/a</v>
      </c>
      <c r="F150" s="1" t="str">
        <f>F86</f>
        <v>Spring</v>
      </c>
      <c r="G150" s="1">
        <f>G86</f>
        <v>80</v>
      </c>
      <c r="H150" s="1">
        <f>H86</f>
        <v>480</v>
      </c>
      <c r="I150" s="1">
        <f>I86</f>
        <v>75</v>
      </c>
      <c r="J150" s="1">
        <f>J86</f>
        <v>300</v>
      </c>
      <c r="K150" s="1">
        <f>K86</f>
        <v>440</v>
      </c>
      <c r="L150" s="1">
        <f>L86</f>
        <v>440</v>
      </c>
      <c r="M150" s="1">
        <f>M86</f>
        <v>75</v>
      </c>
      <c r="N150" s="1">
        <f>N86</f>
        <v>380</v>
      </c>
      <c r="O150" s="1" t="e">
        <f>#REF!</f>
        <v>#REF!</v>
      </c>
      <c r="P150" s="1">
        <f>P86</f>
        <v>380</v>
      </c>
    </row>
    <row r="151" spans="4:16" ht="20.100000000000001" customHeight="1" x14ac:dyDescent="0.2">
      <c r="D151" s="17" t="s">
        <v>1896</v>
      </c>
      <c r="E151" s="1" t="str">
        <f>E87</f>
        <v>n/a</v>
      </c>
      <c r="F151" s="1" t="str">
        <f>F87</f>
        <v>Summer</v>
      </c>
      <c r="G151" s="1">
        <f>G87</f>
        <v>170</v>
      </c>
      <c r="H151" s="1">
        <f>H87</f>
        <v>520</v>
      </c>
      <c r="I151" s="1">
        <f>I87</f>
        <v>160</v>
      </c>
      <c r="J151" s="1">
        <f>J87</f>
        <v>360</v>
      </c>
      <c r="K151" s="1">
        <f>K87</f>
        <v>470</v>
      </c>
      <c r="L151" s="1">
        <f>L87</f>
        <v>470</v>
      </c>
      <c r="M151" s="1">
        <f>M87</f>
        <v>160</v>
      </c>
      <c r="N151" s="1">
        <f>N87</f>
        <v>420</v>
      </c>
      <c r="O151" s="1" t="e">
        <f>#REF!</f>
        <v>#REF!</v>
      </c>
      <c r="P151" s="1">
        <f>P87</f>
        <v>420</v>
      </c>
    </row>
    <row r="152" spans="4:16" ht="20.100000000000001" customHeight="1" x14ac:dyDescent="0.2">
      <c r="D152" s="1" t="s">
        <v>1897</v>
      </c>
      <c r="E152" s="1" t="str">
        <f>E88</f>
        <v>n/a</v>
      </c>
      <c r="F152" s="1" t="str">
        <f>F88</f>
        <v>Autumn</v>
      </c>
      <c r="G152" s="1">
        <f>G88</f>
        <v>240</v>
      </c>
      <c r="H152" s="1">
        <f>H88</f>
        <v>550</v>
      </c>
      <c r="I152" s="1">
        <f>I88</f>
        <v>220</v>
      </c>
      <c r="J152" s="1">
        <f>J88</f>
        <v>390</v>
      </c>
      <c r="K152" s="1">
        <f>K88</f>
        <v>490</v>
      </c>
      <c r="L152" s="1">
        <f>L88</f>
        <v>490</v>
      </c>
      <c r="M152" s="1">
        <f>M88</f>
        <v>220</v>
      </c>
      <c r="N152" s="1">
        <f>N88</f>
        <v>450</v>
      </c>
      <c r="O152" s="1" t="e">
        <f>#REF!</f>
        <v>#REF!</v>
      </c>
      <c r="P152" s="1">
        <f>P88</f>
        <v>450</v>
      </c>
    </row>
    <row r="153" spans="4:16" ht="20.100000000000001" customHeight="1" x14ac:dyDescent="0.2">
      <c r="D153" s="9" t="s">
        <v>653</v>
      </c>
      <c r="E153" s="1" t="str">
        <f>E89</f>
        <v>n/a</v>
      </c>
      <c r="F153" s="1" t="str">
        <f>F89</f>
        <v>Winter</v>
      </c>
      <c r="G153" s="1">
        <f>G89</f>
        <v>280</v>
      </c>
      <c r="H153" s="1">
        <f>H89</f>
        <v>560</v>
      </c>
      <c r="I153" s="1">
        <f>I89</f>
        <v>260</v>
      </c>
      <c r="J153" s="1">
        <f>J89</f>
        <v>410</v>
      </c>
      <c r="K153" s="1">
        <f>K89</f>
        <v>500</v>
      </c>
      <c r="L153" s="1">
        <f>L89</f>
        <v>500</v>
      </c>
      <c r="M153" s="1">
        <f>M89</f>
        <v>260</v>
      </c>
      <c r="N153" s="1">
        <f>N89</f>
        <v>460</v>
      </c>
      <c r="O153" s="1" t="e">
        <f>#REF!</f>
        <v>#REF!</v>
      </c>
      <c r="P153" s="1">
        <f>P89</f>
        <v>460</v>
      </c>
    </row>
    <row r="154" spans="4:16" ht="20.100000000000001" customHeight="1" x14ac:dyDescent="0.2">
      <c r="D154" s="20" t="s">
        <v>107</v>
      </c>
      <c r="E154" s="20" t="s">
        <v>490</v>
      </c>
      <c r="F154" s="20" t="s">
        <v>76</v>
      </c>
      <c r="G154" s="20" t="s">
        <v>539</v>
      </c>
      <c r="H154" s="20" t="s">
        <v>540</v>
      </c>
      <c r="I154" s="20" t="s">
        <v>550</v>
      </c>
      <c r="J154" s="20" t="s">
        <v>511</v>
      </c>
      <c r="K154" s="20" t="s">
        <v>551</v>
      </c>
      <c r="L154" s="20" t="s">
        <v>545</v>
      </c>
      <c r="M154" s="20" t="s">
        <v>552</v>
      </c>
    </row>
    <row r="155" spans="4:16" ht="20.100000000000001" customHeight="1" x14ac:dyDescent="0.2">
      <c r="D155" s="20" t="s">
        <v>1886</v>
      </c>
      <c r="E155" s="20" t="s">
        <v>494</v>
      </c>
      <c r="F155" s="20" t="s">
        <v>334</v>
      </c>
      <c r="G155" s="20">
        <v>0.5</v>
      </c>
      <c r="H155" s="20">
        <v>0.2</v>
      </c>
      <c r="I155" s="20">
        <v>0.5</v>
      </c>
      <c r="J155" s="20">
        <v>0.4</v>
      </c>
      <c r="K155" s="20">
        <v>0.3</v>
      </c>
      <c r="L155" s="20">
        <v>0.5</v>
      </c>
      <c r="M155" s="20">
        <v>0.4</v>
      </c>
    </row>
    <row r="156" spans="4:16" ht="20.100000000000001" customHeight="1" x14ac:dyDescent="0.2">
      <c r="D156" s="1" t="s">
        <v>1886</v>
      </c>
      <c r="E156" s="20" t="s">
        <v>494</v>
      </c>
      <c r="F156" s="20" t="s">
        <v>335</v>
      </c>
      <c r="G156" s="20">
        <v>1</v>
      </c>
      <c r="H156" s="20">
        <v>0.4</v>
      </c>
      <c r="I156" s="20">
        <v>0.9</v>
      </c>
      <c r="J156" s="20">
        <v>0.7</v>
      </c>
      <c r="K156" s="20">
        <v>0.3</v>
      </c>
      <c r="L156" s="20">
        <v>0.9</v>
      </c>
      <c r="M156" s="20">
        <v>0.4</v>
      </c>
    </row>
    <row r="157" spans="4:16" ht="20.100000000000001" customHeight="1" x14ac:dyDescent="0.2">
      <c r="D157" s="1" t="s">
        <v>1886</v>
      </c>
      <c r="E157" s="20" t="s">
        <v>494</v>
      </c>
      <c r="F157" s="20" t="s">
        <v>336</v>
      </c>
      <c r="G157" s="20">
        <v>0.8</v>
      </c>
      <c r="H157" s="20">
        <v>0.3</v>
      </c>
      <c r="I157" s="20">
        <v>0.7</v>
      </c>
      <c r="J157" s="20">
        <v>0.3</v>
      </c>
      <c r="K157" s="20">
        <v>0.2</v>
      </c>
      <c r="L157" s="20">
        <v>0.7</v>
      </c>
      <c r="M157" s="20">
        <v>0.3</v>
      </c>
    </row>
    <row r="158" spans="4:16" ht="20.100000000000001" customHeight="1" x14ac:dyDescent="0.2">
      <c r="D158" s="1" t="s">
        <v>1886</v>
      </c>
      <c r="E158" s="20" t="s">
        <v>494</v>
      </c>
      <c r="F158" s="20" t="s">
        <v>337</v>
      </c>
      <c r="G158" s="20">
        <v>0.4</v>
      </c>
      <c r="H158" s="20">
        <v>0.1</v>
      </c>
      <c r="I158" s="20">
        <v>0.4</v>
      </c>
      <c r="J158" s="20">
        <v>0.2</v>
      </c>
      <c r="K158" s="20">
        <v>0.1</v>
      </c>
      <c r="L158" s="20">
        <v>0.4</v>
      </c>
      <c r="M158" s="20">
        <v>0.1</v>
      </c>
    </row>
    <row r="159" spans="4:16" ht="20.100000000000001" customHeight="1" x14ac:dyDescent="0.2">
      <c r="D159" s="1" t="s">
        <v>1887</v>
      </c>
      <c r="E159" s="20" t="s">
        <v>494</v>
      </c>
      <c r="F159" s="20" t="s">
        <v>334</v>
      </c>
      <c r="G159" s="20">
        <v>0.99</v>
      </c>
      <c r="H159" s="20">
        <v>1.1000000000000001</v>
      </c>
      <c r="I159" s="20">
        <v>0.88</v>
      </c>
      <c r="J159" s="20">
        <v>0.55000000000000004</v>
      </c>
      <c r="K159" s="20">
        <v>0.55000000000000004</v>
      </c>
      <c r="L159" s="20">
        <v>0.88</v>
      </c>
      <c r="M159" s="20">
        <v>0.22</v>
      </c>
    </row>
    <row r="160" spans="4:16" ht="20.100000000000001" customHeight="1" x14ac:dyDescent="0.2">
      <c r="D160" s="1" t="s">
        <v>1887</v>
      </c>
      <c r="E160" s="20" t="s">
        <v>494</v>
      </c>
      <c r="F160" s="20" t="s">
        <v>335</v>
      </c>
      <c r="G160" s="20">
        <v>0.77</v>
      </c>
      <c r="H160" s="20">
        <v>0</v>
      </c>
      <c r="I160" s="20">
        <v>0.66</v>
      </c>
      <c r="J160" s="20">
        <v>0.22</v>
      </c>
      <c r="K160" s="20">
        <v>0</v>
      </c>
      <c r="L160" s="20">
        <v>0.66</v>
      </c>
      <c r="M160" s="20">
        <v>0</v>
      </c>
    </row>
    <row r="161" spans="1:13" ht="20.100000000000001" customHeight="1" x14ac:dyDescent="0.2">
      <c r="A161" s="85" t="str">
        <f>HYPERLINK("#A1", "▲ Back to top")</f>
        <v>▲ Back to top</v>
      </c>
      <c r="D161" s="1" t="s">
        <v>1887</v>
      </c>
      <c r="E161" s="20" t="s">
        <v>494</v>
      </c>
      <c r="F161" s="20" t="s">
        <v>336</v>
      </c>
      <c r="G161" s="20">
        <v>0.9</v>
      </c>
      <c r="H161" s="20">
        <v>-1.1000000000000001</v>
      </c>
      <c r="I161" s="20">
        <v>0.7</v>
      </c>
      <c r="J161" s="20">
        <v>0.22</v>
      </c>
      <c r="K161" s="20">
        <v>-0.55000000000000004</v>
      </c>
      <c r="L161" s="20">
        <v>0.8</v>
      </c>
      <c r="M161" s="20">
        <v>-0.22</v>
      </c>
    </row>
    <row r="162" spans="1:13" ht="20.100000000000001" customHeight="1" x14ac:dyDescent="0.2">
      <c r="D162" s="1" t="s">
        <v>1887</v>
      </c>
      <c r="E162" s="20" t="s">
        <v>494</v>
      </c>
      <c r="F162" s="20" t="s">
        <v>337</v>
      </c>
      <c r="G162" s="20">
        <v>0.88</v>
      </c>
      <c r="H162" s="20">
        <v>0</v>
      </c>
      <c r="I162" s="20">
        <v>0.77</v>
      </c>
      <c r="J162" s="20">
        <v>0.55000000000000004</v>
      </c>
      <c r="K162" s="20">
        <v>0</v>
      </c>
      <c r="L162" s="20">
        <v>0.82</v>
      </c>
      <c r="M162" s="20">
        <v>0</v>
      </c>
    </row>
    <row r="163" spans="1:13" ht="20.100000000000001" customHeight="1" x14ac:dyDescent="0.2">
      <c r="D163" s="1" t="s">
        <v>1888</v>
      </c>
      <c r="E163" s="20" t="s">
        <v>494</v>
      </c>
      <c r="F163" s="20" t="s">
        <v>334</v>
      </c>
      <c r="G163" s="20">
        <v>1</v>
      </c>
      <c r="H163" s="20">
        <v>0.5</v>
      </c>
      <c r="I163" s="20">
        <v>1</v>
      </c>
      <c r="J163" s="20">
        <v>1</v>
      </c>
      <c r="K163" s="20">
        <v>-0.44</v>
      </c>
      <c r="L163" s="20">
        <v>1</v>
      </c>
      <c r="M163" s="20">
        <v>0.5</v>
      </c>
    </row>
    <row r="164" spans="1:13" ht="20.100000000000001" customHeight="1" x14ac:dyDescent="0.2">
      <c r="D164" s="1" t="s">
        <v>1888</v>
      </c>
      <c r="E164" s="20" t="s">
        <v>494</v>
      </c>
      <c r="F164" s="20" t="s">
        <v>335</v>
      </c>
      <c r="G164" s="20">
        <v>0.82</v>
      </c>
      <c r="H164" s="20">
        <v>0.55000000000000004</v>
      </c>
      <c r="I164" s="20">
        <v>0.71</v>
      </c>
      <c r="J164" s="20">
        <v>0.55000000000000004</v>
      </c>
      <c r="K164" s="20">
        <v>0.99</v>
      </c>
      <c r="L164" s="20">
        <v>0.77</v>
      </c>
      <c r="M164" s="20">
        <v>0.5</v>
      </c>
    </row>
    <row r="165" spans="1:13" ht="20.100000000000001" customHeight="1" x14ac:dyDescent="0.2">
      <c r="D165" s="1" t="s">
        <v>1888</v>
      </c>
      <c r="E165" s="20" t="s">
        <v>494</v>
      </c>
      <c r="F165" s="20" t="s">
        <v>336</v>
      </c>
      <c r="G165" s="20">
        <v>0.77</v>
      </c>
      <c r="H165" s="20">
        <v>0.5</v>
      </c>
      <c r="I165" s="20">
        <v>0.55000000000000004</v>
      </c>
      <c r="J165" s="20">
        <v>0.11</v>
      </c>
      <c r="K165" s="20">
        <v>-0.33</v>
      </c>
      <c r="L165" s="20">
        <v>0.6</v>
      </c>
      <c r="M165" s="20">
        <v>0.33</v>
      </c>
    </row>
    <row r="166" spans="1:13" ht="20.100000000000001" customHeight="1" x14ac:dyDescent="0.2">
      <c r="D166" s="1" t="s">
        <v>1888</v>
      </c>
      <c r="E166" s="20" t="s">
        <v>494</v>
      </c>
      <c r="F166" s="20" t="s">
        <v>337</v>
      </c>
      <c r="G166" s="20">
        <v>0.11</v>
      </c>
      <c r="H166" s="20">
        <v>-0.27</v>
      </c>
      <c r="I166" s="20">
        <v>0.11</v>
      </c>
      <c r="J166" s="20">
        <v>0.22</v>
      </c>
      <c r="K166" s="20">
        <v>-0.44</v>
      </c>
      <c r="L166" s="20">
        <v>0.16</v>
      </c>
      <c r="M166" s="20">
        <v>-0.22</v>
      </c>
    </row>
    <row r="167" spans="1:13" ht="20.100000000000001" customHeight="1" x14ac:dyDescent="0.2">
      <c r="D167" s="1" t="s">
        <v>1889</v>
      </c>
      <c r="E167" s="20" t="s">
        <v>494</v>
      </c>
      <c r="F167" s="20" t="s">
        <v>334</v>
      </c>
      <c r="G167" s="20">
        <v>1.1000000000000001</v>
      </c>
      <c r="H167" s="20">
        <v>1.1000000000000001</v>
      </c>
      <c r="I167" s="20">
        <v>1.1000000000000001</v>
      </c>
      <c r="J167" s="20">
        <v>0.99</v>
      </c>
      <c r="K167" s="20">
        <v>0.99</v>
      </c>
      <c r="L167" s="20">
        <v>1.1000000000000001</v>
      </c>
      <c r="M167" s="20">
        <v>0.77</v>
      </c>
    </row>
    <row r="168" spans="1:13" ht="20.100000000000001" customHeight="1" x14ac:dyDescent="0.2">
      <c r="D168" s="1" t="s">
        <v>1889</v>
      </c>
      <c r="E168" s="20" t="s">
        <v>494</v>
      </c>
      <c r="F168" s="20" t="s">
        <v>335</v>
      </c>
      <c r="G168" s="20">
        <v>0.33</v>
      </c>
      <c r="H168" s="20">
        <v>0.33</v>
      </c>
      <c r="I168" s="20">
        <v>0.22</v>
      </c>
      <c r="J168" s="20">
        <v>0.33</v>
      </c>
      <c r="K168" s="20">
        <v>-0.1</v>
      </c>
      <c r="L168" s="20">
        <v>0.33</v>
      </c>
      <c r="M168" s="20">
        <v>0.11</v>
      </c>
    </row>
    <row r="169" spans="1:13" ht="20.100000000000001" customHeight="1" x14ac:dyDescent="0.2">
      <c r="D169" s="1" t="s">
        <v>1889</v>
      </c>
      <c r="E169" s="20" t="s">
        <v>494</v>
      </c>
      <c r="F169" s="20" t="s">
        <v>336</v>
      </c>
      <c r="G169" s="20">
        <v>0.5</v>
      </c>
      <c r="H169" s="20">
        <v>0.2</v>
      </c>
      <c r="I169" s="20">
        <v>0.55000000000000004</v>
      </c>
      <c r="J169" s="20">
        <v>0.44</v>
      </c>
      <c r="K169" s="20">
        <v>0.2</v>
      </c>
      <c r="L169" s="20">
        <v>0.55000000000000004</v>
      </c>
      <c r="M169" s="20">
        <v>0.2</v>
      </c>
    </row>
    <row r="170" spans="1:13" ht="20.100000000000001" customHeight="1" x14ac:dyDescent="0.2">
      <c r="D170" s="1" t="s">
        <v>1889</v>
      </c>
      <c r="E170" s="20" t="s">
        <v>494</v>
      </c>
      <c r="F170" s="20" t="s">
        <v>337</v>
      </c>
      <c r="G170" s="20">
        <v>0.55000000000000004</v>
      </c>
      <c r="H170" s="20">
        <v>0.22</v>
      </c>
      <c r="I170" s="20">
        <v>0.49</v>
      </c>
      <c r="J170" s="20">
        <v>0.22</v>
      </c>
      <c r="K170" s="20">
        <v>0.22</v>
      </c>
      <c r="L170" s="20">
        <v>0.49</v>
      </c>
      <c r="M170" s="20">
        <v>0.33</v>
      </c>
    </row>
    <row r="171" spans="1:13" ht="20.100000000000001" customHeight="1" x14ac:dyDescent="0.2">
      <c r="D171" s="1" t="s">
        <v>108</v>
      </c>
      <c r="E171" s="20" t="s">
        <v>319</v>
      </c>
      <c r="F171" s="20" t="s">
        <v>334</v>
      </c>
      <c r="G171" s="20">
        <v>1.64</v>
      </c>
      <c r="H171" s="20">
        <v>1.1000000000000001</v>
      </c>
      <c r="I171" s="20">
        <v>1.21</v>
      </c>
      <c r="J171" s="20">
        <v>0.99</v>
      </c>
      <c r="K171" s="20">
        <v>0.66</v>
      </c>
      <c r="L171" s="20">
        <v>1.42</v>
      </c>
      <c r="M171" s="20">
        <v>1.1000000000000001</v>
      </c>
    </row>
    <row r="172" spans="1:13" ht="20.100000000000001" customHeight="1" x14ac:dyDescent="0.2">
      <c r="D172" s="1" t="s">
        <v>108</v>
      </c>
      <c r="E172" s="20" t="s">
        <v>319</v>
      </c>
      <c r="F172" s="20" t="s">
        <v>335</v>
      </c>
      <c r="G172" s="20">
        <v>0.44</v>
      </c>
      <c r="H172" s="20">
        <v>-0.22</v>
      </c>
      <c r="I172" s="20">
        <v>0.44</v>
      </c>
      <c r="J172" s="20">
        <v>0.33</v>
      </c>
      <c r="K172" s="20">
        <v>-0.22</v>
      </c>
      <c r="L172" s="20">
        <v>0.44</v>
      </c>
      <c r="M172" s="20">
        <v>-0.11</v>
      </c>
    </row>
    <row r="173" spans="1:13" ht="20.100000000000001" customHeight="1" x14ac:dyDescent="0.2">
      <c r="D173" s="1" t="s">
        <v>108</v>
      </c>
      <c r="E173" s="20" t="s">
        <v>319</v>
      </c>
      <c r="F173" s="20" t="s">
        <v>336</v>
      </c>
      <c r="G173" s="20">
        <v>0.6</v>
      </c>
      <c r="H173" s="20">
        <v>0</v>
      </c>
      <c r="I173" s="20">
        <v>0.6</v>
      </c>
      <c r="J173" s="20">
        <v>0.22</v>
      </c>
      <c r="K173" s="20">
        <v>-0.55000000000000004</v>
      </c>
      <c r="L173" s="20">
        <v>0.6</v>
      </c>
      <c r="M173" s="20">
        <v>0</v>
      </c>
    </row>
    <row r="174" spans="1:13" ht="20.100000000000001" customHeight="1" x14ac:dyDescent="0.2">
      <c r="D174" s="1" t="s">
        <v>108</v>
      </c>
      <c r="E174" s="20" t="s">
        <v>319</v>
      </c>
      <c r="F174" s="20" t="s">
        <v>337</v>
      </c>
      <c r="G174" s="20">
        <v>0.99</v>
      </c>
      <c r="H174" s="20">
        <v>0.22</v>
      </c>
      <c r="I174" s="20">
        <v>0.77</v>
      </c>
      <c r="J174" s="20">
        <v>0.11</v>
      </c>
      <c r="K174" s="20">
        <v>0.11</v>
      </c>
      <c r="L174" s="20">
        <v>0.77</v>
      </c>
      <c r="M174" s="20">
        <v>0.44</v>
      </c>
    </row>
    <row r="175" spans="1:13" ht="20.100000000000001" customHeight="1" x14ac:dyDescent="0.2">
      <c r="D175" s="1" t="s">
        <v>108</v>
      </c>
      <c r="E175" s="20" t="s">
        <v>496</v>
      </c>
      <c r="F175" s="20" t="s">
        <v>334</v>
      </c>
      <c r="G175" s="20">
        <v>0.7</v>
      </c>
      <c r="H175" s="20">
        <v>-0.55000000000000004</v>
      </c>
      <c r="I175" s="20">
        <v>0.7</v>
      </c>
      <c r="J175" s="20">
        <v>0.22</v>
      </c>
      <c r="K175" s="20">
        <v>-0.22</v>
      </c>
      <c r="L175" s="20">
        <v>0.7</v>
      </c>
      <c r="M175" s="20">
        <v>-0.22</v>
      </c>
    </row>
    <row r="176" spans="1:13" ht="20.100000000000001" customHeight="1" x14ac:dyDescent="0.2">
      <c r="D176" s="1" t="s">
        <v>108</v>
      </c>
      <c r="E176" s="20" t="s">
        <v>496</v>
      </c>
      <c r="F176" s="20" t="s">
        <v>335</v>
      </c>
      <c r="G176" s="20">
        <v>0.77</v>
      </c>
      <c r="H176" s="20">
        <v>0.55000000000000004</v>
      </c>
      <c r="I176" s="20">
        <v>0.77</v>
      </c>
      <c r="J176" s="20">
        <v>0.66</v>
      </c>
      <c r="K176" s="20">
        <v>0.55000000000000004</v>
      </c>
      <c r="L176" s="20">
        <v>0.77</v>
      </c>
      <c r="M176" s="20">
        <v>0.33</v>
      </c>
    </row>
    <row r="177" spans="1:16" ht="20.100000000000001" customHeight="1" x14ac:dyDescent="0.2">
      <c r="D177" s="1" t="s">
        <v>108</v>
      </c>
      <c r="E177" s="20" t="s">
        <v>496</v>
      </c>
      <c r="F177" s="20" t="s">
        <v>336</v>
      </c>
      <c r="G177" s="20">
        <v>0.88</v>
      </c>
      <c r="H177" s="20">
        <v>0.55000000000000004</v>
      </c>
      <c r="I177" s="20">
        <v>0.88</v>
      </c>
      <c r="J177" s="20">
        <v>0.22</v>
      </c>
      <c r="K177" s="20">
        <v>0.22</v>
      </c>
      <c r="L177" s="20">
        <v>0.88</v>
      </c>
      <c r="M177" s="20">
        <v>0.22</v>
      </c>
    </row>
    <row r="178" spans="1:16" ht="20.100000000000001" customHeight="1" x14ac:dyDescent="0.2">
      <c r="D178" s="1" t="s">
        <v>108</v>
      </c>
      <c r="E178" s="20" t="s">
        <v>496</v>
      </c>
      <c r="F178" s="20" t="s">
        <v>337</v>
      </c>
      <c r="G178" s="20">
        <v>0.22</v>
      </c>
      <c r="H178" s="20">
        <v>-0.55000000000000004</v>
      </c>
      <c r="I178" s="20">
        <v>0.22</v>
      </c>
      <c r="J178" s="20">
        <v>0.11</v>
      </c>
      <c r="K178" s="20">
        <v>-0.22</v>
      </c>
      <c r="L178" s="20">
        <v>0.22</v>
      </c>
      <c r="M178" s="20">
        <v>-0.33</v>
      </c>
    </row>
    <row r="179" spans="1:16" ht="20.100000000000001" customHeight="1" x14ac:dyDescent="0.2">
      <c r="D179" s="1" t="s">
        <v>108</v>
      </c>
      <c r="E179" s="20" t="s">
        <v>499</v>
      </c>
      <c r="F179" s="20" t="s">
        <v>334</v>
      </c>
      <c r="G179" s="20">
        <v>0.22</v>
      </c>
      <c r="H179" s="20">
        <v>-0.55000000000000004</v>
      </c>
      <c r="I179" s="20">
        <v>0.33</v>
      </c>
      <c r="J179" s="20">
        <v>0.22</v>
      </c>
      <c r="K179" s="20">
        <v>-0.33</v>
      </c>
      <c r="L179" s="20">
        <v>0.22</v>
      </c>
      <c r="M179" s="20">
        <v>-0.55000000000000004</v>
      </c>
    </row>
    <row r="180" spans="1:16" ht="20.100000000000001" customHeight="1" x14ac:dyDescent="0.2">
      <c r="D180" s="1" t="s">
        <v>108</v>
      </c>
      <c r="E180" s="20" t="s">
        <v>499</v>
      </c>
      <c r="F180" s="20" t="s">
        <v>335</v>
      </c>
      <c r="G180" s="20">
        <v>0.8</v>
      </c>
      <c r="H180" s="20">
        <v>0.55000000000000004</v>
      </c>
      <c r="I180" s="20">
        <v>0.7</v>
      </c>
      <c r="J180" s="20">
        <v>0.44</v>
      </c>
      <c r="K180" s="20">
        <v>0.66</v>
      </c>
      <c r="L180" s="20">
        <v>0.8</v>
      </c>
      <c r="M180" s="20">
        <v>0.55000000000000004</v>
      </c>
    </row>
    <row r="181" spans="1:16" ht="20.100000000000001" customHeight="1" x14ac:dyDescent="0.2">
      <c r="D181" s="1" t="s">
        <v>108</v>
      </c>
      <c r="E181" s="20" t="s">
        <v>499</v>
      </c>
      <c r="F181" s="20" t="s">
        <v>336</v>
      </c>
      <c r="G181" s="20">
        <v>0.66</v>
      </c>
      <c r="H181" s="20">
        <v>0.55000000000000004</v>
      </c>
      <c r="I181" s="20">
        <v>0.55000000000000004</v>
      </c>
      <c r="J181" s="20">
        <v>0.55000000000000004</v>
      </c>
      <c r="K181" s="20">
        <v>0.11</v>
      </c>
      <c r="L181" s="20">
        <v>0.66</v>
      </c>
      <c r="M181" s="20">
        <v>0.55000000000000004</v>
      </c>
    </row>
    <row r="182" spans="1:16" ht="20.100000000000001" customHeight="1" x14ac:dyDescent="0.2">
      <c r="D182" s="1" t="s">
        <v>108</v>
      </c>
      <c r="E182" s="20" t="s">
        <v>499</v>
      </c>
      <c r="F182" s="20" t="s">
        <v>337</v>
      </c>
      <c r="G182" s="20">
        <v>0.33</v>
      </c>
      <c r="H182" s="20">
        <v>-0.55000000000000004</v>
      </c>
      <c r="I182" s="20">
        <v>0.11</v>
      </c>
      <c r="J182" s="20">
        <v>0.11</v>
      </c>
      <c r="K182" s="20">
        <v>-0.44</v>
      </c>
      <c r="L182" s="20">
        <v>0.33</v>
      </c>
      <c r="M182" s="20">
        <v>-0.55000000000000004</v>
      </c>
    </row>
    <row r="183" spans="1:16" ht="20.100000000000001" customHeight="1" x14ac:dyDescent="0.2">
      <c r="M183" s="1"/>
    </row>
    <row r="184" spans="1:16" ht="20.100000000000001" customHeight="1" x14ac:dyDescent="0.2">
      <c r="M184" s="1"/>
    </row>
    <row r="185" spans="1:16" ht="20.100000000000001" customHeight="1" x14ac:dyDescent="0.2">
      <c r="D185" s="2" t="s">
        <v>1898</v>
      </c>
      <c r="M185" s="1"/>
    </row>
    <row r="186" spans="1:16" ht="20.100000000000001" customHeight="1" x14ac:dyDescent="0.2">
      <c r="D186" s="17" t="s">
        <v>1899</v>
      </c>
      <c r="M186" s="1"/>
    </row>
    <row r="187" spans="1:16" ht="20.100000000000001" customHeight="1" x14ac:dyDescent="0.2">
      <c r="D187" s="1" t="s">
        <v>1897</v>
      </c>
      <c r="M187" s="1"/>
    </row>
    <row r="188" spans="1:16" ht="20.100000000000001" customHeight="1" x14ac:dyDescent="0.2">
      <c r="D188" s="9" t="s">
        <v>653</v>
      </c>
      <c r="M188" s="1"/>
    </row>
    <row r="189" spans="1:16" ht="20.100000000000001" customHeight="1" x14ac:dyDescent="0.2">
      <c r="D189" s="20" t="s">
        <v>107</v>
      </c>
      <c r="E189" s="20" t="s">
        <v>490</v>
      </c>
      <c r="F189" s="20" t="s">
        <v>76</v>
      </c>
      <c r="G189" s="20" t="s">
        <v>539</v>
      </c>
      <c r="H189" s="20" t="s">
        <v>540</v>
      </c>
      <c r="I189" s="20" t="s">
        <v>550</v>
      </c>
      <c r="J189" s="20" t="s">
        <v>511</v>
      </c>
      <c r="K189" s="20" t="s">
        <v>553</v>
      </c>
      <c r="L189" s="20" t="s">
        <v>554</v>
      </c>
      <c r="M189" s="20" t="s">
        <v>545</v>
      </c>
      <c r="N189" s="20" t="s">
        <v>546</v>
      </c>
      <c r="O189" s="20" t="s">
        <v>547</v>
      </c>
      <c r="P189" s="20" t="s">
        <v>548</v>
      </c>
    </row>
    <row r="190" spans="1:16" ht="20.100000000000001" customHeight="1" x14ac:dyDescent="0.2">
      <c r="D190" s="20" t="s">
        <v>1892</v>
      </c>
      <c r="E190" s="20" t="s">
        <v>492</v>
      </c>
      <c r="F190" s="20" t="s">
        <v>334</v>
      </c>
      <c r="G190" s="20">
        <v>0.22</v>
      </c>
      <c r="H190" s="20">
        <v>-0.23</v>
      </c>
      <c r="I190" s="20">
        <v>0.25</v>
      </c>
      <c r="J190" s="20">
        <v>0.17</v>
      </c>
      <c r="K190" s="20">
        <v>0.18</v>
      </c>
      <c r="L190" s="20">
        <v>-0.28000000000000003</v>
      </c>
      <c r="M190" s="20">
        <v>0.32</v>
      </c>
      <c r="N190" s="20">
        <v>0.24</v>
      </c>
      <c r="O190" s="20">
        <v>0.25</v>
      </c>
      <c r="P190" s="20">
        <v>-0.05</v>
      </c>
    </row>
    <row r="191" spans="1:16" ht="20.100000000000001" customHeight="1" x14ac:dyDescent="0.2">
      <c r="A191" s="85" t="str">
        <f>HYPERLINK("#A1", "▲ Back to top")</f>
        <v>▲ Back to top</v>
      </c>
      <c r="D191" s="1" t="s">
        <v>1892</v>
      </c>
      <c r="E191" s="20" t="s">
        <v>492</v>
      </c>
      <c r="F191" s="20" t="s">
        <v>335</v>
      </c>
      <c r="G191" s="20">
        <v>0.66</v>
      </c>
      <c r="H191" s="20">
        <v>0.2</v>
      </c>
      <c r="I191" s="20">
        <v>0.62</v>
      </c>
      <c r="J191" s="20">
        <v>0.54</v>
      </c>
      <c r="K191" s="20">
        <v>0.38</v>
      </c>
      <c r="L191" s="20">
        <v>0.27</v>
      </c>
      <c r="M191" s="20">
        <v>0.75</v>
      </c>
      <c r="N191" s="20">
        <v>0.64</v>
      </c>
      <c r="O191" s="20">
        <v>0.55000000000000004</v>
      </c>
      <c r="P191" s="20">
        <v>0.48</v>
      </c>
    </row>
    <row r="192" spans="1:16" ht="20.100000000000001" customHeight="1" x14ac:dyDescent="0.2">
      <c r="D192" s="1" t="s">
        <v>1892</v>
      </c>
      <c r="E192" s="20" t="s">
        <v>492</v>
      </c>
      <c r="F192" s="20" t="s">
        <v>336</v>
      </c>
      <c r="G192" s="20">
        <v>0.49</v>
      </c>
      <c r="H192" s="20">
        <v>0.13</v>
      </c>
      <c r="I192" s="20">
        <v>0.54</v>
      </c>
      <c r="J192" s="20">
        <v>0.45</v>
      </c>
      <c r="K192" s="20">
        <v>0.35</v>
      </c>
      <c r="L192" s="20">
        <v>0.15</v>
      </c>
      <c r="M192" s="20">
        <v>0.63</v>
      </c>
      <c r="N192" s="20">
        <v>0.54</v>
      </c>
      <c r="O192" s="20">
        <v>0.42</v>
      </c>
      <c r="P192" s="20">
        <v>0.26</v>
      </c>
    </row>
    <row r="193" spans="4:16" ht="20.100000000000001" customHeight="1" x14ac:dyDescent="0.2">
      <c r="D193" s="1" t="s">
        <v>1892</v>
      </c>
      <c r="E193" s="20" t="s">
        <v>492</v>
      </c>
      <c r="F193" s="20" t="s">
        <v>337</v>
      </c>
      <c r="G193" s="20">
        <v>0.27</v>
      </c>
      <c r="H193" s="20">
        <v>-0.8</v>
      </c>
      <c r="I193" s="20">
        <v>0.22</v>
      </c>
      <c r="J193" s="20">
        <v>0.09</v>
      </c>
      <c r="K193" s="20">
        <v>0.12</v>
      </c>
      <c r="L193" s="20">
        <v>0.02</v>
      </c>
      <c r="M193" s="20">
        <v>0.25</v>
      </c>
      <c r="N193" s="20">
        <v>0.18</v>
      </c>
      <c r="O193" s="20">
        <v>0.12</v>
      </c>
      <c r="P193" s="20">
        <v>0.03</v>
      </c>
    </row>
    <row r="194" spans="4:16" ht="20.100000000000001" customHeight="1" x14ac:dyDescent="0.2">
      <c r="D194" s="1" t="s">
        <v>1892</v>
      </c>
      <c r="E194" s="20" t="s">
        <v>497</v>
      </c>
      <c r="F194" s="20" t="s">
        <v>334</v>
      </c>
      <c r="G194" s="20">
        <v>0.22</v>
      </c>
      <c r="H194" s="20">
        <v>-0.44</v>
      </c>
      <c r="I194" s="20">
        <v>0.2</v>
      </c>
      <c r="J194" s="20">
        <v>0.21</v>
      </c>
      <c r="K194" s="20">
        <v>0.18</v>
      </c>
      <c r="L194" s="20">
        <v>0.01</v>
      </c>
      <c r="M194" s="20">
        <v>0.12</v>
      </c>
      <c r="N194" s="20">
        <v>0.09</v>
      </c>
      <c r="O194" s="20" t="s">
        <v>1893</v>
      </c>
      <c r="P194" s="20" t="s">
        <v>1893</v>
      </c>
    </row>
    <row r="195" spans="4:16" ht="20.100000000000001" customHeight="1" x14ac:dyDescent="0.2">
      <c r="D195" s="1" t="s">
        <v>1892</v>
      </c>
      <c r="E195" s="20" t="s">
        <v>497</v>
      </c>
      <c r="F195" s="20" t="s">
        <v>335</v>
      </c>
      <c r="G195" s="20">
        <v>0.66</v>
      </c>
      <c r="H195" s="20">
        <v>0.22</v>
      </c>
      <c r="I195" s="20">
        <v>0.68</v>
      </c>
      <c r="J195" s="20">
        <v>0.22</v>
      </c>
      <c r="K195" s="20">
        <v>0.24</v>
      </c>
      <c r="L195" s="20">
        <v>0.25</v>
      </c>
      <c r="M195" s="20">
        <v>0.64</v>
      </c>
      <c r="N195" s="20">
        <v>0.37</v>
      </c>
      <c r="O195" s="20" t="s">
        <v>1893</v>
      </c>
      <c r="P195" s="20" t="s">
        <v>1893</v>
      </c>
    </row>
    <row r="196" spans="4:16" ht="20.100000000000001" customHeight="1" x14ac:dyDescent="0.2">
      <c r="D196" s="1" t="s">
        <v>1892</v>
      </c>
      <c r="E196" s="20" t="s">
        <v>497</v>
      </c>
      <c r="F196" s="20" t="s">
        <v>336</v>
      </c>
      <c r="G196" s="20">
        <v>0.49</v>
      </c>
      <c r="H196" s="20">
        <v>0.05</v>
      </c>
      <c r="I196" s="20">
        <v>0.64</v>
      </c>
      <c r="J196" s="20">
        <v>0.25</v>
      </c>
      <c r="K196" s="20">
        <v>0.28999999999999998</v>
      </c>
      <c r="L196" s="20">
        <v>0.12</v>
      </c>
      <c r="M196" s="20">
        <v>0.56999999999999995</v>
      </c>
      <c r="N196" s="20">
        <v>0.49</v>
      </c>
      <c r="O196" s="20" t="s">
        <v>1893</v>
      </c>
      <c r="P196" s="20" t="s">
        <v>1893</v>
      </c>
    </row>
    <row r="197" spans="4:16" ht="20.100000000000001" customHeight="1" x14ac:dyDescent="0.2">
      <c r="D197" s="1" t="s">
        <v>1892</v>
      </c>
      <c r="E197" s="20" t="s">
        <v>497</v>
      </c>
      <c r="F197" s="20" t="s">
        <v>337</v>
      </c>
      <c r="G197" s="20">
        <v>0.27</v>
      </c>
      <c r="H197" s="20">
        <v>-0.27</v>
      </c>
      <c r="I197" s="20">
        <v>0.31</v>
      </c>
      <c r="J197" s="20">
        <v>0.28999999999999998</v>
      </c>
      <c r="K197" s="20">
        <v>0.19</v>
      </c>
      <c r="L197" s="20">
        <v>0.04</v>
      </c>
      <c r="M197" s="20">
        <v>0.26</v>
      </c>
      <c r="N197" s="20">
        <v>0.28000000000000003</v>
      </c>
      <c r="O197" s="20" t="s">
        <v>1893</v>
      </c>
      <c r="P197" s="20" t="s">
        <v>1893</v>
      </c>
    </row>
    <row r="198" spans="4:16" ht="20.100000000000001" customHeight="1" x14ac:dyDescent="0.2">
      <c r="D198" s="1" t="s">
        <v>1892</v>
      </c>
      <c r="E198" s="20" t="s">
        <v>500</v>
      </c>
      <c r="F198" s="20" t="s">
        <v>334</v>
      </c>
      <c r="G198" s="20">
        <v>0.22</v>
      </c>
      <c r="H198" s="20">
        <v>-0.44</v>
      </c>
      <c r="I198" s="20">
        <v>0</v>
      </c>
      <c r="J198" s="20">
        <v>0.15</v>
      </c>
      <c r="K198" s="20">
        <v>0.08</v>
      </c>
      <c r="L198" s="20">
        <v>0.17</v>
      </c>
      <c r="M198" s="20">
        <v>0.06</v>
      </c>
      <c r="N198" s="20">
        <v>0.02</v>
      </c>
      <c r="O198" s="20">
        <v>-0.14000000000000001</v>
      </c>
      <c r="P198" s="20" t="s">
        <v>1893</v>
      </c>
    </row>
    <row r="199" spans="4:16" ht="20.100000000000001" customHeight="1" x14ac:dyDescent="0.2">
      <c r="D199" s="1" t="s">
        <v>1892</v>
      </c>
      <c r="E199" s="20" t="s">
        <v>500</v>
      </c>
      <c r="F199" s="20" t="s">
        <v>335</v>
      </c>
      <c r="G199" s="20">
        <v>0.66</v>
      </c>
      <c r="H199" s="20">
        <v>0.22</v>
      </c>
      <c r="I199" s="20">
        <v>0.79</v>
      </c>
      <c r="J199" s="20">
        <v>0.4</v>
      </c>
      <c r="K199" s="20">
        <v>0.38</v>
      </c>
      <c r="L199" s="20">
        <v>0.27</v>
      </c>
      <c r="M199" s="20">
        <v>0.8</v>
      </c>
      <c r="N199" s="20">
        <v>0.16</v>
      </c>
      <c r="O199" s="20">
        <v>0.3</v>
      </c>
      <c r="P199" s="20" t="s">
        <v>1893</v>
      </c>
    </row>
    <row r="200" spans="4:16" ht="20.100000000000001" customHeight="1" x14ac:dyDescent="0.2">
      <c r="D200" s="1" t="s">
        <v>1892</v>
      </c>
      <c r="E200" s="20" t="s">
        <v>500</v>
      </c>
      <c r="F200" s="20" t="s">
        <v>336</v>
      </c>
      <c r="G200" s="20">
        <v>0.49</v>
      </c>
      <c r="H200" s="20">
        <v>0.05</v>
      </c>
      <c r="I200" s="20">
        <v>0.55000000000000004</v>
      </c>
      <c r="J200" s="20">
        <v>0.38</v>
      </c>
      <c r="K200" s="20">
        <v>0.36</v>
      </c>
      <c r="L200" s="20">
        <v>0.06</v>
      </c>
      <c r="M200" s="20">
        <v>0.57999999999999996</v>
      </c>
      <c r="N200" s="20">
        <v>0.23</v>
      </c>
      <c r="O200" s="20">
        <v>0.4</v>
      </c>
      <c r="P200" s="20" t="s">
        <v>1893</v>
      </c>
    </row>
    <row r="201" spans="4:16" ht="20.100000000000001" customHeight="1" x14ac:dyDescent="0.2">
      <c r="D201" s="1" t="s">
        <v>1892</v>
      </c>
      <c r="E201" s="20" t="s">
        <v>500</v>
      </c>
      <c r="F201" s="20" t="s">
        <v>337</v>
      </c>
      <c r="G201" s="20">
        <v>0.27</v>
      </c>
      <c r="H201" s="20">
        <v>-0.27</v>
      </c>
      <c r="I201" s="20">
        <v>0.02</v>
      </c>
      <c r="J201" s="20">
        <v>0.09</v>
      </c>
      <c r="K201" s="20">
        <v>0.16</v>
      </c>
      <c r="L201" s="20">
        <v>-0.04</v>
      </c>
      <c r="M201" s="20">
        <v>0.21</v>
      </c>
      <c r="N201" s="20">
        <v>0.03</v>
      </c>
      <c r="O201" s="20">
        <v>0.11</v>
      </c>
      <c r="P201" s="20" t="s">
        <v>1893</v>
      </c>
    </row>
    <row r="202" spans="4:16" ht="20.100000000000001" customHeight="1" x14ac:dyDescent="0.2">
      <c r="D202" s="1" t="s">
        <v>1894</v>
      </c>
      <c r="E202" s="20" t="s">
        <v>493</v>
      </c>
      <c r="F202" s="20" t="s">
        <v>334</v>
      </c>
      <c r="G202" s="20">
        <v>0.27</v>
      </c>
      <c r="H202" s="20">
        <v>-0.19</v>
      </c>
      <c r="I202" s="20">
        <v>0.38</v>
      </c>
      <c r="J202" s="20">
        <v>0.25</v>
      </c>
      <c r="K202" s="20">
        <v>7.0000000000000007E-2</v>
      </c>
      <c r="L202" s="20">
        <v>0.05</v>
      </c>
      <c r="M202" s="20">
        <v>0.52</v>
      </c>
      <c r="N202" s="20">
        <v>0.55000000000000004</v>
      </c>
      <c r="O202" s="20">
        <v>0.19</v>
      </c>
      <c r="P202" s="20">
        <v>0.6</v>
      </c>
    </row>
    <row r="203" spans="4:16" ht="20.100000000000001" customHeight="1" x14ac:dyDescent="0.2">
      <c r="D203" s="1" t="s">
        <v>1894</v>
      </c>
      <c r="E203" s="20" t="s">
        <v>493</v>
      </c>
      <c r="F203" s="20" t="s">
        <v>335</v>
      </c>
      <c r="G203" s="20">
        <v>0.16</v>
      </c>
      <c r="H203" s="20">
        <v>0.16</v>
      </c>
      <c r="I203" s="20">
        <v>0.8</v>
      </c>
      <c r="J203" s="20">
        <v>0.56999999999999995</v>
      </c>
      <c r="K203" s="20">
        <v>0.76</v>
      </c>
      <c r="L203" s="20">
        <v>0.49</v>
      </c>
      <c r="M203" s="20">
        <v>0.84</v>
      </c>
      <c r="N203" s="20">
        <v>0.51</v>
      </c>
      <c r="O203" s="20">
        <v>0.36</v>
      </c>
      <c r="P203" s="20">
        <v>0.17</v>
      </c>
    </row>
    <row r="204" spans="4:16" ht="20.100000000000001" customHeight="1" x14ac:dyDescent="0.2">
      <c r="D204" s="1" t="s">
        <v>1894</v>
      </c>
      <c r="E204" s="20" t="s">
        <v>493</v>
      </c>
      <c r="F204" s="20" t="s">
        <v>336</v>
      </c>
      <c r="G204" s="20">
        <v>0.45</v>
      </c>
      <c r="H204" s="20">
        <v>0.1</v>
      </c>
      <c r="I204" s="20">
        <v>0.49</v>
      </c>
      <c r="J204" s="20">
        <v>0.41</v>
      </c>
      <c r="K204" s="20">
        <v>0.4</v>
      </c>
      <c r="L204" s="20">
        <v>0.17</v>
      </c>
      <c r="M204" s="20">
        <v>0.54</v>
      </c>
      <c r="N204" s="20">
        <v>0.64</v>
      </c>
      <c r="O204" s="20">
        <v>-0.05</v>
      </c>
      <c r="P204" s="20">
        <v>0.32</v>
      </c>
    </row>
    <row r="205" spans="4:16" ht="20.100000000000001" customHeight="1" x14ac:dyDescent="0.2">
      <c r="D205" s="1" t="s">
        <v>1894</v>
      </c>
      <c r="E205" s="20" t="s">
        <v>493</v>
      </c>
      <c r="F205" s="20" t="s">
        <v>337</v>
      </c>
      <c r="G205" s="20">
        <v>0.51</v>
      </c>
      <c r="H205" s="20">
        <v>-7.0000000000000007E-2</v>
      </c>
      <c r="I205" s="20">
        <v>0.13</v>
      </c>
      <c r="J205" s="20">
        <v>-0.09</v>
      </c>
      <c r="K205" s="20">
        <v>-0.13</v>
      </c>
      <c r="L205" s="20">
        <v>7.0000000000000007E-2</v>
      </c>
      <c r="M205" s="20">
        <v>0.25</v>
      </c>
      <c r="N205" s="20">
        <v>0.71</v>
      </c>
      <c r="O205" s="20">
        <v>0.17</v>
      </c>
      <c r="P205" s="20">
        <v>0.43</v>
      </c>
    </row>
    <row r="206" spans="4:16" ht="20.100000000000001" customHeight="1" x14ac:dyDescent="0.2">
      <c r="D206" s="1" t="s">
        <v>1894</v>
      </c>
      <c r="E206" s="20" t="s">
        <v>498</v>
      </c>
      <c r="F206" s="20" t="s">
        <v>334</v>
      </c>
      <c r="G206" s="20">
        <v>-0.12</v>
      </c>
      <c r="H206" s="20">
        <v>-0.19</v>
      </c>
      <c r="I206" s="20">
        <v>0.41</v>
      </c>
      <c r="J206" s="20">
        <v>0.09</v>
      </c>
      <c r="K206" s="20">
        <v>0.41</v>
      </c>
      <c r="L206" s="20">
        <v>-0.19</v>
      </c>
      <c r="M206" s="20">
        <v>7.0000000000000007E-2</v>
      </c>
      <c r="N206" s="20">
        <v>1.07</v>
      </c>
      <c r="O206" s="20">
        <v>-0.08</v>
      </c>
      <c r="P206" s="20">
        <v>0</v>
      </c>
    </row>
    <row r="207" spans="4:16" ht="20.100000000000001" customHeight="1" x14ac:dyDescent="0.2">
      <c r="D207" s="1" t="s">
        <v>1894</v>
      </c>
      <c r="E207" s="20" t="s">
        <v>498</v>
      </c>
      <c r="F207" s="20" t="s">
        <v>335</v>
      </c>
      <c r="G207" s="20">
        <v>0.65</v>
      </c>
      <c r="H207" s="20">
        <v>0.19</v>
      </c>
      <c r="I207" s="20">
        <v>0.65</v>
      </c>
      <c r="J207" s="20">
        <v>0.51</v>
      </c>
      <c r="K207" s="20">
        <v>0.18</v>
      </c>
      <c r="L207" s="20">
        <v>0.63</v>
      </c>
      <c r="M207" s="20">
        <v>1.3</v>
      </c>
      <c r="N207" s="20">
        <v>0.48</v>
      </c>
      <c r="O207" s="20">
        <v>1.1200000000000001</v>
      </c>
      <c r="P207" s="20">
        <v>0.38</v>
      </c>
    </row>
    <row r="208" spans="4:16" ht="20.100000000000001" customHeight="1" x14ac:dyDescent="0.2">
      <c r="D208" s="1" t="s">
        <v>1894</v>
      </c>
      <c r="E208" s="20" t="s">
        <v>498</v>
      </c>
      <c r="F208" s="20" t="s">
        <v>336</v>
      </c>
      <c r="G208" s="20">
        <v>0.7</v>
      </c>
      <c r="H208" s="20">
        <v>0.13</v>
      </c>
      <c r="I208" s="20">
        <v>0.52</v>
      </c>
      <c r="J208" s="20">
        <v>0.34</v>
      </c>
      <c r="K208" s="20">
        <v>0.02</v>
      </c>
      <c r="L208" s="20">
        <v>0.04</v>
      </c>
      <c r="M208" s="20">
        <v>0.77</v>
      </c>
      <c r="N208" s="20">
        <v>0.42</v>
      </c>
      <c r="O208" s="20">
        <v>0.12</v>
      </c>
      <c r="P208" s="20">
        <v>0.74</v>
      </c>
    </row>
    <row r="209" spans="1:16" ht="20.100000000000001" customHeight="1" x14ac:dyDescent="0.2">
      <c r="D209" s="1" t="s">
        <v>1894</v>
      </c>
      <c r="E209" s="20" t="s">
        <v>498</v>
      </c>
      <c r="F209" s="20" t="s">
        <v>337</v>
      </c>
      <c r="G209" s="20">
        <v>0.32</v>
      </c>
      <c r="H209" s="20">
        <v>-0.06</v>
      </c>
      <c r="I209" s="20">
        <v>0.25</v>
      </c>
      <c r="J209" s="20">
        <v>0.19</v>
      </c>
      <c r="K209" s="20">
        <v>-0.1</v>
      </c>
      <c r="L209" s="20">
        <v>-0.02</v>
      </c>
      <c r="M209" s="20">
        <v>0.02</v>
      </c>
      <c r="N209" s="20">
        <v>0.23</v>
      </c>
      <c r="O209" s="20">
        <v>-0.13</v>
      </c>
      <c r="P209" s="20">
        <v>0</v>
      </c>
    </row>
    <row r="210" spans="1:16" ht="20.100000000000001" customHeight="1" x14ac:dyDescent="0.2">
      <c r="D210" s="1" t="s">
        <v>1894</v>
      </c>
      <c r="E210" s="20" t="s">
        <v>501</v>
      </c>
      <c r="F210" s="20" t="s">
        <v>334</v>
      </c>
      <c r="G210" s="20">
        <v>0.62</v>
      </c>
      <c r="H210" s="20">
        <v>-0.19</v>
      </c>
      <c r="I210" s="20">
        <v>0.37</v>
      </c>
      <c r="J210" s="20">
        <v>0.41</v>
      </c>
      <c r="K210" s="20">
        <v>0.06</v>
      </c>
      <c r="L210" s="20">
        <v>-0.02</v>
      </c>
      <c r="M210" s="20">
        <v>0.47</v>
      </c>
      <c r="N210" s="20">
        <v>0.44</v>
      </c>
      <c r="O210" s="20">
        <v>0.3</v>
      </c>
      <c r="P210" s="20">
        <v>0.13</v>
      </c>
    </row>
    <row r="211" spans="1:16" ht="20.100000000000001" customHeight="1" x14ac:dyDescent="0.2">
      <c r="D211" s="1" t="s">
        <v>1894</v>
      </c>
      <c r="E211" s="20" t="s">
        <v>501</v>
      </c>
      <c r="F211" s="20" t="s">
        <v>335</v>
      </c>
      <c r="G211" s="20">
        <v>0.05</v>
      </c>
      <c r="H211" s="20">
        <v>0.19</v>
      </c>
      <c r="I211" s="20">
        <v>0.31</v>
      </c>
      <c r="J211" s="20">
        <v>0.54</v>
      </c>
      <c r="K211" s="20">
        <v>0.53</v>
      </c>
      <c r="L211" s="20">
        <v>0.15</v>
      </c>
      <c r="M211" s="20">
        <v>0.28000000000000003</v>
      </c>
      <c r="N211" s="20">
        <v>0.56999999999999995</v>
      </c>
      <c r="O211" s="20">
        <v>0.42</v>
      </c>
      <c r="P211" s="20">
        <v>0.4</v>
      </c>
    </row>
    <row r="212" spans="1:16" ht="20.100000000000001" customHeight="1" x14ac:dyDescent="0.2">
      <c r="D212" s="1" t="s">
        <v>1894</v>
      </c>
      <c r="E212" s="20" t="s">
        <v>501</v>
      </c>
      <c r="F212" s="20" t="s">
        <v>336</v>
      </c>
      <c r="G212" s="20">
        <v>0.33</v>
      </c>
      <c r="H212" s="20">
        <v>0.13</v>
      </c>
      <c r="I212" s="20">
        <v>0.39</v>
      </c>
      <c r="J212" s="20">
        <v>0.36</v>
      </c>
      <c r="K212" s="20">
        <v>0.26</v>
      </c>
      <c r="L212" s="20">
        <v>0.11</v>
      </c>
      <c r="M212" s="20">
        <v>0.4</v>
      </c>
      <c r="N212" s="20">
        <v>0.44</v>
      </c>
      <c r="O212" s="20">
        <v>0.37</v>
      </c>
      <c r="P212" s="20">
        <v>-0.01</v>
      </c>
    </row>
    <row r="213" spans="1:16" ht="20.100000000000001" customHeight="1" x14ac:dyDescent="0.2">
      <c r="D213" s="1" t="s">
        <v>1894</v>
      </c>
      <c r="E213" s="20" t="s">
        <v>501</v>
      </c>
      <c r="F213" s="20" t="s">
        <v>337</v>
      </c>
      <c r="G213" s="20">
        <v>0.61</v>
      </c>
      <c r="H213" s="20">
        <v>-0.06</v>
      </c>
      <c r="I213" s="20">
        <v>0.21</v>
      </c>
      <c r="J213" s="20">
        <v>0.18</v>
      </c>
      <c r="K213" s="20">
        <v>0.12</v>
      </c>
      <c r="L213" s="20">
        <v>0.06</v>
      </c>
      <c r="M213" s="20">
        <v>0.28999999999999998</v>
      </c>
      <c r="N213" s="20">
        <v>0.41</v>
      </c>
      <c r="O213" s="20">
        <v>0.41</v>
      </c>
      <c r="P213" s="20">
        <v>-0.15</v>
      </c>
    </row>
    <row r="214" spans="1:16" ht="20.100000000000001" customHeight="1" x14ac:dyDescent="0.2">
      <c r="D214" s="1" t="s">
        <v>1894</v>
      </c>
      <c r="E214" s="20" t="s">
        <v>504</v>
      </c>
      <c r="F214" s="20" t="s">
        <v>334</v>
      </c>
      <c r="G214" s="20">
        <v>-0.2</v>
      </c>
      <c r="H214" s="20">
        <v>0.02</v>
      </c>
      <c r="I214" s="20">
        <v>0.24</v>
      </c>
      <c r="J214" s="20">
        <v>0.3</v>
      </c>
      <c r="K214" s="20">
        <v>0.23</v>
      </c>
      <c r="L214" s="20">
        <v>-0.05</v>
      </c>
      <c r="M214" s="20">
        <v>0.34</v>
      </c>
      <c r="N214" s="20">
        <v>0.3</v>
      </c>
      <c r="O214" s="20">
        <v>0.56999999999999995</v>
      </c>
      <c r="P214" s="20">
        <v>0.52</v>
      </c>
    </row>
    <row r="215" spans="1:16" ht="20.100000000000001" customHeight="1" x14ac:dyDescent="0.2">
      <c r="D215" s="1" t="s">
        <v>1894</v>
      </c>
      <c r="E215" s="20" t="s">
        <v>504</v>
      </c>
      <c r="F215" s="20" t="s">
        <v>335</v>
      </c>
      <c r="G215" s="20">
        <v>0.62</v>
      </c>
      <c r="H215" s="20">
        <v>0.21</v>
      </c>
      <c r="I215" s="20">
        <v>0.25</v>
      </c>
      <c r="J215" s="20">
        <v>0.32</v>
      </c>
      <c r="K215" s="20">
        <v>0.47</v>
      </c>
      <c r="L215" s="20">
        <v>0.31</v>
      </c>
      <c r="M215" s="20">
        <v>0.14000000000000001</v>
      </c>
      <c r="N215" s="20">
        <v>0.4</v>
      </c>
      <c r="O215" s="20">
        <v>0.26</v>
      </c>
      <c r="P215" s="20">
        <v>0.43</v>
      </c>
    </row>
    <row r="216" spans="1:16" ht="20.100000000000001" customHeight="1" x14ac:dyDescent="0.2">
      <c r="D216" s="1" t="s">
        <v>1894</v>
      </c>
      <c r="E216" s="20" t="s">
        <v>504</v>
      </c>
      <c r="F216" s="20" t="s">
        <v>336</v>
      </c>
      <c r="G216" s="20">
        <v>0.4</v>
      </c>
      <c r="H216" s="20">
        <v>0.13</v>
      </c>
      <c r="I216" s="20">
        <v>0.12</v>
      </c>
      <c r="J216" s="20">
        <v>0.27</v>
      </c>
      <c r="K216" s="20">
        <v>0.3</v>
      </c>
      <c r="L216" s="20">
        <v>0.08</v>
      </c>
      <c r="M216" s="20">
        <v>0.13</v>
      </c>
      <c r="N216" s="20">
        <v>0.24</v>
      </c>
      <c r="O216" s="20">
        <v>0.15</v>
      </c>
      <c r="P216" s="20">
        <v>0.21</v>
      </c>
    </row>
    <row r="217" spans="1:16" ht="20.100000000000001" customHeight="1" x14ac:dyDescent="0.2">
      <c r="D217" s="1" t="s">
        <v>1894</v>
      </c>
      <c r="E217" s="20" t="s">
        <v>504</v>
      </c>
      <c r="F217" s="20" t="s">
        <v>337</v>
      </c>
      <c r="G217" s="20">
        <v>0.08</v>
      </c>
      <c r="H217" s="20">
        <v>0.04</v>
      </c>
      <c r="I217" s="20">
        <v>0.06</v>
      </c>
      <c r="J217" s="20">
        <v>0.18</v>
      </c>
      <c r="K217" s="20">
        <v>0.11</v>
      </c>
      <c r="L217" s="20">
        <v>-7.0000000000000007E-2</v>
      </c>
      <c r="M217" s="20">
        <v>0.13</v>
      </c>
      <c r="N217" s="20">
        <v>0.16</v>
      </c>
      <c r="O217" s="20">
        <v>0.4</v>
      </c>
      <c r="P217" s="20">
        <v>0.33</v>
      </c>
    </row>
    <row r="218" spans="1:16" ht="20.100000000000001" customHeight="1" x14ac:dyDescent="0.2">
      <c r="M218" s="1"/>
    </row>
    <row r="219" spans="1:16" ht="20.100000000000001" customHeight="1" x14ac:dyDescent="0.2">
      <c r="M219" s="1"/>
    </row>
    <row r="220" spans="1:16" ht="20.100000000000001" customHeight="1" x14ac:dyDescent="0.2">
      <c r="D220" s="2" t="s">
        <v>549</v>
      </c>
      <c r="M220" s="1"/>
    </row>
    <row r="221" spans="1:16" ht="20.100000000000001" customHeight="1" x14ac:dyDescent="0.2">
      <c r="A221" s="85" t="str">
        <f>HYPERLINK("#A1", "▲ Back to top")</f>
        <v>▲ Back to top</v>
      </c>
      <c r="M221" s="1"/>
    </row>
    <row r="222" spans="1:16" ht="20.100000000000001" customHeight="1" x14ac:dyDescent="0.2">
      <c r="D222" s="20" t="s">
        <v>107</v>
      </c>
      <c r="E222" s="20" t="s">
        <v>490</v>
      </c>
      <c r="F222" s="20" t="s">
        <v>76</v>
      </c>
      <c r="G222" s="124" t="s">
        <v>325</v>
      </c>
      <c r="H222" s="124" t="s">
        <v>189</v>
      </c>
      <c r="I222" s="124" t="s">
        <v>326</v>
      </c>
      <c r="J222" s="124" t="s">
        <v>327</v>
      </c>
      <c r="K222" s="124" t="s">
        <v>328</v>
      </c>
      <c r="L222" s="124" t="s">
        <v>329</v>
      </c>
      <c r="M222" s="124" t="s">
        <v>330</v>
      </c>
      <c r="N222" s="124" t="s">
        <v>331</v>
      </c>
      <c r="O222" s="124" t="s">
        <v>332</v>
      </c>
      <c r="P222" s="124" t="s">
        <v>333</v>
      </c>
    </row>
    <row r="223" spans="1:16" ht="20.100000000000001" customHeight="1" x14ac:dyDescent="0.2">
      <c r="D223" s="20" t="s">
        <v>520</v>
      </c>
      <c r="E223" s="20" t="s">
        <v>494</v>
      </c>
      <c r="F223" s="20" t="str">
        <f>F155</f>
        <v>Spring</v>
      </c>
      <c r="G223" s="20">
        <f>G155</f>
        <v>0.5</v>
      </c>
      <c r="H223" s="20">
        <f t="shared" ref="H223:J223" si="31">H155</f>
        <v>0.2</v>
      </c>
      <c r="I223" s="20">
        <f t="shared" si="31"/>
        <v>0.5</v>
      </c>
      <c r="J223" s="20">
        <f t="shared" si="31"/>
        <v>0.4</v>
      </c>
      <c r="K223" s="20">
        <f>K155</f>
        <v>0.3</v>
      </c>
      <c r="L223" s="20">
        <f>K155</f>
        <v>0.3</v>
      </c>
      <c r="M223" s="20">
        <f>L155</f>
        <v>0.5</v>
      </c>
      <c r="N223" s="20">
        <f>M155</f>
        <v>0.4</v>
      </c>
      <c r="O223" s="20">
        <f>M155</f>
        <v>0.4</v>
      </c>
      <c r="P223" s="20">
        <f>M155</f>
        <v>0.4</v>
      </c>
    </row>
    <row r="224" spans="1:16" ht="20.100000000000001" customHeight="1" x14ac:dyDescent="0.2">
      <c r="D224" s="20" t="s">
        <v>520</v>
      </c>
      <c r="E224" s="20" t="s">
        <v>494</v>
      </c>
      <c r="F224" s="20" t="str">
        <f t="shared" ref="F224:K226" si="32">F156</f>
        <v>Summer</v>
      </c>
      <c r="G224" s="20">
        <f t="shared" si="32"/>
        <v>1</v>
      </c>
      <c r="H224" s="20">
        <f t="shared" si="32"/>
        <v>0.4</v>
      </c>
      <c r="I224" s="20">
        <f t="shared" si="32"/>
        <v>0.9</v>
      </c>
      <c r="J224" s="20">
        <f t="shared" si="32"/>
        <v>0.7</v>
      </c>
      <c r="K224" s="20">
        <f t="shared" si="32"/>
        <v>0.3</v>
      </c>
      <c r="L224" s="20">
        <f t="shared" ref="L224:N226" si="33">K156</f>
        <v>0.3</v>
      </c>
      <c r="M224" s="20">
        <f t="shared" si="33"/>
        <v>0.9</v>
      </c>
      <c r="N224" s="20">
        <f t="shared" si="33"/>
        <v>0.4</v>
      </c>
      <c r="O224" s="20">
        <f t="shared" ref="O224:O226" si="34">M156</f>
        <v>0.4</v>
      </c>
      <c r="P224" s="20">
        <f t="shared" ref="P224:P226" si="35">M156</f>
        <v>0.4</v>
      </c>
    </row>
    <row r="225" spans="4:16" ht="20.100000000000001" customHeight="1" x14ac:dyDescent="0.2">
      <c r="D225" s="20" t="s">
        <v>520</v>
      </c>
      <c r="E225" s="20" t="s">
        <v>494</v>
      </c>
      <c r="F225" s="20" t="str">
        <f t="shared" si="32"/>
        <v>Autumn</v>
      </c>
      <c r="G225" s="20">
        <f t="shared" si="32"/>
        <v>0.8</v>
      </c>
      <c r="H225" s="20">
        <f t="shared" si="32"/>
        <v>0.3</v>
      </c>
      <c r="I225" s="20">
        <f t="shared" si="32"/>
        <v>0.7</v>
      </c>
      <c r="J225" s="20">
        <f t="shared" si="32"/>
        <v>0.3</v>
      </c>
      <c r="K225" s="20">
        <f t="shared" si="32"/>
        <v>0.2</v>
      </c>
      <c r="L225" s="20">
        <f t="shared" si="33"/>
        <v>0.2</v>
      </c>
      <c r="M225" s="20">
        <f t="shared" si="33"/>
        <v>0.7</v>
      </c>
      <c r="N225" s="20">
        <f t="shared" si="33"/>
        <v>0.3</v>
      </c>
      <c r="O225" s="20">
        <f t="shared" si="34"/>
        <v>0.3</v>
      </c>
      <c r="P225" s="20">
        <f t="shared" si="35"/>
        <v>0.3</v>
      </c>
    </row>
    <row r="226" spans="4:16" ht="20.100000000000001" customHeight="1" x14ac:dyDescent="0.2">
      <c r="D226" s="20" t="s">
        <v>520</v>
      </c>
      <c r="E226" s="20" t="s">
        <v>494</v>
      </c>
      <c r="F226" s="20" t="str">
        <f t="shared" si="32"/>
        <v>Winter</v>
      </c>
      <c r="G226" s="20">
        <f t="shared" si="32"/>
        <v>0.4</v>
      </c>
      <c r="H226" s="20">
        <f t="shared" si="32"/>
        <v>0.1</v>
      </c>
      <c r="I226" s="20">
        <f t="shared" si="32"/>
        <v>0.4</v>
      </c>
      <c r="J226" s="20">
        <f t="shared" si="32"/>
        <v>0.2</v>
      </c>
      <c r="K226" s="20">
        <f t="shared" si="32"/>
        <v>0.1</v>
      </c>
      <c r="L226" s="20">
        <f t="shared" si="33"/>
        <v>0.1</v>
      </c>
      <c r="M226" s="20">
        <f t="shared" si="33"/>
        <v>0.4</v>
      </c>
      <c r="N226" s="20">
        <f t="shared" si="33"/>
        <v>0.1</v>
      </c>
      <c r="O226" s="20">
        <f t="shared" si="34"/>
        <v>0.1</v>
      </c>
      <c r="P226" s="20">
        <f t="shared" si="35"/>
        <v>0.1</v>
      </c>
    </row>
    <row r="227" spans="4:16" ht="20.100000000000001" customHeight="1" x14ac:dyDescent="0.2">
      <c r="D227" s="20" t="s">
        <v>521</v>
      </c>
      <c r="E227" s="20" t="s">
        <v>494</v>
      </c>
      <c r="F227" s="20" t="str">
        <f>F155</f>
        <v>Spring</v>
      </c>
      <c r="G227" s="20">
        <f>G155</f>
        <v>0.5</v>
      </c>
      <c r="H227" s="20">
        <f t="shared" ref="H227:J227" si="36">H155</f>
        <v>0.2</v>
      </c>
      <c r="I227" s="20">
        <f t="shared" si="36"/>
        <v>0.5</v>
      </c>
      <c r="J227" s="20">
        <f t="shared" si="36"/>
        <v>0.4</v>
      </c>
      <c r="K227" s="20">
        <f>K155</f>
        <v>0.3</v>
      </c>
      <c r="L227" s="20">
        <f>K155</f>
        <v>0.3</v>
      </c>
      <c r="M227" s="20">
        <f t="shared" ref="M227" si="37">L155</f>
        <v>0.5</v>
      </c>
      <c r="N227" s="20">
        <f>M155</f>
        <v>0.4</v>
      </c>
      <c r="O227" s="20">
        <f>M155</f>
        <v>0.4</v>
      </c>
      <c r="P227" s="20">
        <f>M155</f>
        <v>0.4</v>
      </c>
    </row>
    <row r="228" spans="4:16" ht="20.100000000000001" customHeight="1" x14ac:dyDescent="0.2">
      <c r="D228" s="20" t="s">
        <v>521</v>
      </c>
      <c r="E228" s="20" t="s">
        <v>494</v>
      </c>
      <c r="F228" s="20" t="str">
        <f t="shared" ref="F228:K231" si="38">F156</f>
        <v>Summer</v>
      </c>
      <c r="G228" s="20">
        <f t="shared" si="38"/>
        <v>1</v>
      </c>
      <c r="H228" s="20">
        <f t="shared" si="38"/>
        <v>0.4</v>
      </c>
      <c r="I228" s="20">
        <f t="shared" si="38"/>
        <v>0.9</v>
      </c>
      <c r="J228" s="20">
        <f t="shared" si="38"/>
        <v>0.7</v>
      </c>
      <c r="K228" s="20">
        <f t="shared" si="38"/>
        <v>0.3</v>
      </c>
      <c r="L228" s="20">
        <f t="shared" ref="L228:N231" si="39">K156</f>
        <v>0.3</v>
      </c>
      <c r="M228" s="20">
        <f t="shared" si="39"/>
        <v>0.9</v>
      </c>
      <c r="N228" s="20">
        <f t="shared" si="39"/>
        <v>0.4</v>
      </c>
      <c r="O228" s="20">
        <f t="shared" ref="O228:O230" si="40">M156</f>
        <v>0.4</v>
      </c>
      <c r="P228" s="20">
        <f t="shared" ref="P228:P230" si="41">M156</f>
        <v>0.4</v>
      </c>
    </row>
    <row r="229" spans="4:16" ht="20.100000000000001" customHeight="1" x14ac:dyDescent="0.2">
      <c r="D229" s="20" t="s">
        <v>521</v>
      </c>
      <c r="E229" s="20" t="s">
        <v>494</v>
      </c>
      <c r="F229" s="20" t="str">
        <f t="shared" si="38"/>
        <v>Autumn</v>
      </c>
      <c r="G229" s="20">
        <f t="shared" si="38"/>
        <v>0.8</v>
      </c>
      <c r="H229" s="20">
        <f t="shared" si="38"/>
        <v>0.3</v>
      </c>
      <c r="I229" s="20">
        <f t="shared" si="38"/>
        <v>0.7</v>
      </c>
      <c r="J229" s="20">
        <f t="shared" si="38"/>
        <v>0.3</v>
      </c>
      <c r="K229" s="20">
        <f t="shared" si="38"/>
        <v>0.2</v>
      </c>
      <c r="L229" s="20">
        <f t="shared" si="39"/>
        <v>0.2</v>
      </c>
      <c r="M229" s="20">
        <f t="shared" si="39"/>
        <v>0.7</v>
      </c>
      <c r="N229" s="20">
        <f t="shared" si="39"/>
        <v>0.3</v>
      </c>
      <c r="O229" s="20">
        <f t="shared" si="40"/>
        <v>0.3</v>
      </c>
      <c r="P229" s="20">
        <f t="shared" si="41"/>
        <v>0.3</v>
      </c>
    </row>
    <row r="230" spans="4:16" ht="20.100000000000001" customHeight="1" x14ac:dyDescent="0.2">
      <c r="D230" s="20" t="s">
        <v>521</v>
      </c>
      <c r="E230" s="20" t="s">
        <v>494</v>
      </c>
      <c r="F230" s="20" t="str">
        <f t="shared" si="38"/>
        <v>Winter</v>
      </c>
      <c r="G230" s="20">
        <f t="shared" si="38"/>
        <v>0.4</v>
      </c>
      <c r="H230" s="20">
        <f t="shared" si="38"/>
        <v>0.1</v>
      </c>
      <c r="I230" s="20">
        <f t="shared" si="38"/>
        <v>0.4</v>
      </c>
      <c r="J230" s="20">
        <f t="shared" si="38"/>
        <v>0.2</v>
      </c>
      <c r="K230" s="20">
        <f t="shared" si="38"/>
        <v>0.1</v>
      </c>
      <c r="L230" s="20">
        <f t="shared" si="39"/>
        <v>0.1</v>
      </c>
      <c r="M230" s="20">
        <f t="shared" si="39"/>
        <v>0.4</v>
      </c>
      <c r="N230" s="20">
        <f t="shared" si="39"/>
        <v>0.1</v>
      </c>
      <c r="O230" s="20">
        <f t="shared" si="40"/>
        <v>0.1</v>
      </c>
      <c r="P230" s="20">
        <f t="shared" si="41"/>
        <v>0.1</v>
      </c>
    </row>
    <row r="231" spans="4:16" ht="20.100000000000001" customHeight="1" x14ac:dyDescent="0.2">
      <c r="D231" s="20" t="s">
        <v>522</v>
      </c>
      <c r="E231" s="20" t="s">
        <v>494</v>
      </c>
      <c r="F231" s="20" t="str">
        <f>F159</f>
        <v>Spring</v>
      </c>
      <c r="G231" s="20">
        <f>G159</f>
        <v>0.99</v>
      </c>
      <c r="H231" s="20">
        <f t="shared" si="38"/>
        <v>1.1000000000000001</v>
      </c>
      <c r="I231" s="20">
        <f t="shared" si="38"/>
        <v>0.88</v>
      </c>
      <c r="J231" s="20">
        <f t="shared" si="38"/>
        <v>0.55000000000000004</v>
      </c>
      <c r="K231" s="20">
        <f>K159</f>
        <v>0.55000000000000004</v>
      </c>
      <c r="L231" s="20">
        <f>K159</f>
        <v>0.55000000000000004</v>
      </c>
      <c r="M231" s="20">
        <f t="shared" si="39"/>
        <v>0.88</v>
      </c>
      <c r="N231" s="20">
        <f>M159</f>
        <v>0.22</v>
      </c>
      <c r="O231" s="20">
        <f>M159</f>
        <v>0.22</v>
      </c>
      <c r="P231" s="20">
        <f>M159</f>
        <v>0.22</v>
      </c>
    </row>
    <row r="232" spans="4:16" ht="20.100000000000001" customHeight="1" x14ac:dyDescent="0.2">
      <c r="D232" s="20" t="s">
        <v>522</v>
      </c>
      <c r="E232" s="20" t="s">
        <v>494</v>
      </c>
      <c r="F232" s="20" t="str">
        <f t="shared" ref="F232:K247" si="42">F160</f>
        <v>Summer</v>
      </c>
      <c r="G232" s="20">
        <f t="shared" si="42"/>
        <v>0.77</v>
      </c>
      <c r="H232" s="20">
        <f t="shared" si="42"/>
        <v>0</v>
      </c>
      <c r="I232" s="20">
        <f t="shared" si="42"/>
        <v>0.66</v>
      </c>
      <c r="J232" s="20">
        <f t="shared" si="42"/>
        <v>0.22</v>
      </c>
      <c r="K232" s="20">
        <f t="shared" si="42"/>
        <v>0</v>
      </c>
      <c r="L232" s="20">
        <f t="shared" ref="L232:N247" si="43">K160</f>
        <v>0</v>
      </c>
      <c r="M232" s="20">
        <f t="shared" si="43"/>
        <v>0.66</v>
      </c>
      <c r="N232" s="20">
        <f t="shared" si="43"/>
        <v>0</v>
      </c>
      <c r="O232" s="20">
        <f t="shared" ref="O232:O254" si="44">M160</f>
        <v>0</v>
      </c>
      <c r="P232" s="20">
        <f t="shared" ref="P232:P254" si="45">M160</f>
        <v>0</v>
      </c>
    </row>
    <row r="233" spans="4:16" ht="20.100000000000001" customHeight="1" x14ac:dyDescent="0.2">
      <c r="D233" s="20" t="s">
        <v>522</v>
      </c>
      <c r="E233" s="20" t="s">
        <v>494</v>
      </c>
      <c r="F233" s="20" t="str">
        <f t="shared" si="42"/>
        <v>Autumn</v>
      </c>
      <c r="G233" s="20">
        <f t="shared" si="42"/>
        <v>0.9</v>
      </c>
      <c r="H233" s="20">
        <f t="shared" si="42"/>
        <v>-1.1000000000000001</v>
      </c>
      <c r="I233" s="20">
        <f t="shared" si="42"/>
        <v>0.7</v>
      </c>
      <c r="J233" s="20">
        <f t="shared" si="42"/>
        <v>0.22</v>
      </c>
      <c r="K233" s="20">
        <f t="shared" si="42"/>
        <v>-0.55000000000000004</v>
      </c>
      <c r="L233" s="20">
        <f t="shared" si="43"/>
        <v>-0.55000000000000004</v>
      </c>
      <c r="M233" s="20">
        <f t="shared" si="43"/>
        <v>0.8</v>
      </c>
      <c r="N233" s="20">
        <f t="shared" si="43"/>
        <v>-0.22</v>
      </c>
      <c r="O233" s="20">
        <f t="shared" si="44"/>
        <v>-0.22</v>
      </c>
      <c r="P233" s="20">
        <f t="shared" si="45"/>
        <v>-0.22</v>
      </c>
    </row>
    <row r="234" spans="4:16" ht="20.100000000000001" customHeight="1" x14ac:dyDescent="0.2">
      <c r="D234" s="20" t="s">
        <v>522</v>
      </c>
      <c r="E234" s="20" t="s">
        <v>494</v>
      </c>
      <c r="F234" s="20" t="str">
        <f t="shared" si="42"/>
        <v>Winter</v>
      </c>
      <c r="G234" s="20">
        <f t="shared" si="42"/>
        <v>0.88</v>
      </c>
      <c r="H234" s="20">
        <f t="shared" si="42"/>
        <v>0</v>
      </c>
      <c r="I234" s="20">
        <f t="shared" si="42"/>
        <v>0.77</v>
      </c>
      <c r="J234" s="20">
        <f t="shared" si="42"/>
        <v>0.55000000000000004</v>
      </c>
      <c r="K234" s="20">
        <f t="shared" si="42"/>
        <v>0</v>
      </c>
      <c r="L234" s="20">
        <f t="shared" si="43"/>
        <v>0</v>
      </c>
      <c r="M234" s="20">
        <f t="shared" si="43"/>
        <v>0.82</v>
      </c>
      <c r="N234" s="20">
        <f t="shared" si="43"/>
        <v>0</v>
      </c>
      <c r="O234" s="20">
        <f t="shared" si="44"/>
        <v>0</v>
      </c>
      <c r="P234" s="20">
        <f t="shared" si="45"/>
        <v>0</v>
      </c>
    </row>
    <row r="235" spans="4:16" ht="20.100000000000001" customHeight="1" x14ac:dyDescent="0.2">
      <c r="D235" s="20" t="s">
        <v>523</v>
      </c>
      <c r="E235" s="20" t="s">
        <v>494</v>
      </c>
      <c r="F235" s="20" t="str">
        <f t="shared" si="42"/>
        <v>Spring</v>
      </c>
      <c r="G235" s="20">
        <f t="shared" si="42"/>
        <v>1</v>
      </c>
      <c r="H235" s="20">
        <f t="shared" si="42"/>
        <v>0.5</v>
      </c>
      <c r="I235" s="20">
        <f t="shared" si="42"/>
        <v>1</v>
      </c>
      <c r="J235" s="20">
        <f t="shared" si="42"/>
        <v>1</v>
      </c>
      <c r="K235" s="20">
        <f t="shared" si="42"/>
        <v>-0.44</v>
      </c>
      <c r="L235" s="20">
        <f t="shared" si="43"/>
        <v>-0.44</v>
      </c>
      <c r="M235" s="20">
        <f t="shared" si="43"/>
        <v>1</v>
      </c>
      <c r="N235" s="20">
        <f t="shared" si="43"/>
        <v>0.5</v>
      </c>
      <c r="O235" s="20">
        <f t="shared" si="44"/>
        <v>0.5</v>
      </c>
      <c r="P235" s="20">
        <f t="shared" si="45"/>
        <v>0.5</v>
      </c>
    </row>
    <row r="236" spans="4:16" ht="20.100000000000001" customHeight="1" x14ac:dyDescent="0.2">
      <c r="D236" s="20" t="s">
        <v>523</v>
      </c>
      <c r="E236" s="20" t="s">
        <v>494</v>
      </c>
      <c r="F236" s="20" t="str">
        <f t="shared" si="42"/>
        <v>Summer</v>
      </c>
      <c r="G236" s="20">
        <f t="shared" si="42"/>
        <v>0.82</v>
      </c>
      <c r="H236" s="20">
        <f t="shared" si="42"/>
        <v>0.55000000000000004</v>
      </c>
      <c r="I236" s="20">
        <f t="shared" si="42"/>
        <v>0.71</v>
      </c>
      <c r="J236" s="20">
        <f t="shared" si="42"/>
        <v>0.55000000000000004</v>
      </c>
      <c r="K236" s="20">
        <f t="shared" si="42"/>
        <v>0.99</v>
      </c>
      <c r="L236" s="20">
        <f t="shared" si="43"/>
        <v>0.99</v>
      </c>
      <c r="M236" s="20">
        <f t="shared" si="43"/>
        <v>0.77</v>
      </c>
      <c r="N236" s="20">
        <f t="shared" si="43"/>
        <v>0.5</v>
      </c>
      <c r="O236" s="20">
        <f t="shared" si="44"/>
        <v>0.5</v>
      </c>
      <c r="P236" s="20">
        <f t="shared" si="45"/>
        <v>0.5</v>
      </c>
    </row>
    <row r="237" spans="4:16" ht="20.100000000000001" customHeight="1" x14ac:dyDescent="0.2">
      <c r="D237" s="20" t="s">
        <v>523</v>
      </c>
      <c r="E237" s="20" t="s">
        <v>494</v>
      </c>
      <c r="F237" s="20" t="str">
        <f t="shared" si="42"/>
        <v>Autumn</v>
      </c>
      <c r="G237" s="20">
        <f t="shared" si="42"/>
        <v>0.77</v>
      </c>
      <c r="H237" s="20">
        <f t="shared" si="42"/>
        <v>0.5</v>
      </c>
      <c r="I237" s="20">
        <f t="shared" si="42"/>
        <v>0.55000000000000004</v>
      </c>
      <c r="J237" s="20">
        <f t="shared" si="42"/>
        <v>0.11</v>
      </c>
      <c r="K237" s="20">
        <f t="shared" si="42"/>
        <v>-0.33</v>
      </c>
      <c r="L237" s="20">
        <f t="shared" si="43"/>
        <v>-0.33</v>
      </c>
      <c r="M237" s="20">
        <f t="shared" si="43"/>
        <v>0.6</v>
      </c>
      <c r="N237" s="20">
        <f t="shared" si="43"/>
        <v>0.33</v>
      </c>
      <c r="O237" s="20">
        <f t="shared" si="44"/>
        <v>0.33</v>
      </c>
      <c r="P237" s="20">
        <f t="shared" si="45"/>
        <v>0.33</v>
      </c>
    </row>
    <row r="238" spans="4:16" ht="20.100000000000001" customHeight="1" x14ac:dyDescent="0.2">
      <c r="D238" s="20" t="s">
        <v>523</v>
      </c>
      <c r="E238" s="20" t="s">
        <v>494</v>
      </c>
      <c r="F238" s="20" t="str">
        <f t="shared" si="42"/>
        <v>Winter</v>
      </c>
      <c r="G238" s="20">
        <f t="shared" si="42"/>
        <v>0.11</v>
      </c>
      <c r="H238" s="20">
        <f t="shared" si="42"/>
        <v>-0.27</v>
      </c>
      <c r="I238" s="20">
        <f t="shared" si="42"/>
        <v>0.11</v>
      </c>
      <c r="J238" s="20">
        <f t="shared" si="42"/>
        <v>0.22</v>
      </c>
      <c r="K238" s="20">
        <f t="shared" si="42"/>
        <v>-0.44</v>
      </c>
      <c r="L238" s="20">
        <f t="shared" si="43"/>
        <v>-0.44</v>
      </c>
      <c r="M238" s="20">
        <f t="shared" si="43"/>
        <v>0.16</v>
      </c>
      <c r="N238" s="20">
        <f t="shared" si="43"/>
        <v>-0.22</v>
      </c>
      <c r="O238" s="20">
        <f t="shared" si="44"/>
        <v>-0.22</v>
      </c>
      <c r="P238" s="20">
        <f t="shared" si="45"/>
        <v>-0.22</v>
      </c>
    </row>
    <row r="239" spans="4:16" ht="20.100000000000001" customHeight="1" x14ac:dyDescent="0.2">
      <c r="D239" s="20" t="s">
        <v>524</v>
      </c>
      <c r="E239" s="20" t="s">
        <v>494</v>
      </c>
      <c r="F239" s="20" t="str">
        <f t="shared" si="42"/>
        <v>Spring</v>
      </c>
      <c r="G239" s="20">
        <f t="shared" si="42"/>
        <v>1.1000000000000001</v>
      </c>
      <c r="H239" s="20">
        <f t="shared" si="42"/>
        <v>1.1000000000000001</v>
      </c>
      <c r="I239" s="20">
        <f t="shared" si="42"/>
        <v>1.1000000000000001</v>
      </c>
      <c r="J239" s="20">
        <f t="shared" si="42"/>
        <v>0.99</v>
      </c>
      <c r="K239" s="20">
        <f t="shared" si="42"/>
        <v>0.99</v>
      </c>
      <c r="L239" s="20">
        <f t="shared" si="43"/>
        <v>0.99</v>
      </c>
      <c r="M239" s="20">
        <f t="shared" si="43"/>
        <v>1.1000000000000001</v>
      </c>
      <c r="N239" s="20">
        <f t="shared" si="43"/>
        <v>0.77</v>
      </c>
      <c r="O239" s="20">
        <f t="shared" si="44"/>
        <v>0.77</v>
      </c>
      <c r="P239" s="20">
        <f t="shared" si="45"/>
        <v>0.77</v>
      </c>
    </row>
    <row r="240" spans="4:16" ht="20.100000000000001" customHeight="1" x14ac:dyDescent="0.2">
      <c r="D240" s="20" t="s">
        <v>524</v>
      </c>
      <c r="E240" s="20" t="s">
        <v>494</v>
      </c>
      <c r="F240" s="20" t="str">
        <f t="shared" si="42"/>
        <v>Summer</v>
      </c>
      <c r="G240" s="20">
        <f t="shared" si="42"/>
        <v>0.33</v>
      </c>
      <c r="H240" s="20">
        <f t="shared" si="42"/>
        <v>0.33</v>
      </c>
      <c r="I240" s="20">
        <f t="shared" si="42"/>
        <v>0.22</v>
      </c>
      <c r="J240" s="20">
        <f t="shared" si="42"/>
        <v>0.33</v>
      </c>
      <c r="K240" s="20">
        <f t="shared" si="42"/>
        <v>-0.1</v>
      </c>
      <c r="L240" s="20">
        <f t="shared" si="43"/>
        <v>-0.1</v>
      </c>
      <c r="M240" s="20">
        <f t="shared" si="43"/>
        <v>0.33</v>
      </c>
      <c r="N240" s="20">
        <f t="shared" si="43"/>
        <v>0.11</v>
      </c>
      <c r="O240" s="20">
        <f t="shared" si="44"/>
        <v>0.11</v>
      </c>
      <c r="P240" s="20">
        <f t="shared" si="45"/>
        <v>0.11</v>
      </c>
    </row>
    <row r="241" spans="1:16" ht="20.100000000000001" customHeight="1" x14ac:dyDescent="0.2">
      <c r="D241" s="20" t="s">
        <v>524</v>
      </c>
      <c r="E241" s="20" t="s">
        <v>494</v>
      </c>
      <c r="F241" s="20" t="str">
        <f t="shared" si="42"/>
        <v>Autumn</v>
      </c>
      <c r="G241" s="20">
        <f t="shared" si="42"/>
        <v>0.5</v>
      </c>
      <c r="H241" s="20">
        <f t="shared" si="42"/>
        <v>0.2</v>
      </c>
      <c r="I241" s="20">
        <f t="shared" si="42"/>
        <v>0.55000000000000004</v>
      </c>
      <c r="J241" s="20">
        <f t="shared" si="42"/>
        <v>0.44</v>
      </c>
      <c r="K241" s="20">
        <f t="shared" si="42"/>
        <v>0.2</v>
      </c>
      <c r="L241" s="20">
        <f t="shared" si="43"/>
        <v>0.2</v>
      </c>
      <c r="M241" s="20">
        <f t="shared" si="43"/>
        <v>0.55000000000000004</v>
      </c>
      <c r="N241" s="20">
        <f t="shared" si="43"/>
        <v>0.2</v>
      </c>
      <c r="O241" s="20">
        <f t="shared" si="44"/>
        <v>0.2</v>
      </c>
      <c r="P241" s="20">
        <f t="shared" si="45"/>
        <v>0.2</v>
      </c>
    </row>
    <row r="242" spans="1:16" ht="20.100000000000001" customHeight="1" x14ac:dyDescent="0.2">
      <c r="D242" s="20" t="s">
        <v>524</v>
      </c>
      <c r="E242" s="20" t="s">
        <v>494</v>
      </c>
      <c r="F242" s="20" t="str">
        <f t="shared" si="42"/>
        <v>Winter</v>
      </c>
      <c r="G242" s="20">
        <f t="shared" si="42"/>
        <v>0.55000000000000004</v>
      </c>
      <c r="H242" s="20">
        <f t="shared" si="42"/>
        <v>0.22</v>
      </c>
      <c r="I242" s="20">
        <f t="shared" si="42"/>
        <v>0.49</v>
      </c>
      <c r="J242" s="20">
        <f t="shared" si="42"/>
        <v>0.22</v>
      </c>
      <c r="K242" s="20">
        <f t="shared" si="42"/>
        <v>0.22</v>
      </c>
      <c r="L242" s="20">
        <f t="shared" si="43"/>
        <v>0.22</v>
      </c>
      <c r="M242" s="20">
        <f t="shared" si="43"/>
        <v>0.49</v>
      </c>
      <c r="N242" s="20">
        <f t="shared" si="43"/>
        <v>0.33</v>
      </c>
      <c r="O242" s="20">
        <f t="shared" si="44"/>
        <v>0.33</v>
      </c>
      <c r="P242" s="20">
        <f t="shared" si="45"/>
        <v>0.33</v>
      </c>
    </row>
    <row r="243" spans="1:16" ht="20.100000000000001" customHeight="1" x14ac:dyDescent="0.2">
      <c r="D243" s="20" t="s">
        <v>526</v>
      </c>
      <c r="E243" s="20" t="str">
        <f>E171</f>
        <v>South West</v>
      </c>
      <c r="F243" s="20" t="str">
        <f t="shared" si="42"/>
        <v>Spring</v>
      </c>
      <c r="G243" s="20">
        <f t="shared" si="42"/>
        <v>1.64</v>
      </c>
      <c r="H243" s="20">
        <f t="shared" si="42"/>
        <v>1.1000000000000001</v>
      </c>
      <c r="I243" s="20">
        <f t="shared" si="42"/>
        <v>1.21</v>
      </c>
      <c r="J243" s="20">
        <f t="shared" si="42"/>
        <v>0.99</v>
      </c>
      <c r="K243" s="20">
        <f t="shared" si="42"/>
        <v>0.66</v>
      </c>
      <c r="L243" s="20">
        <f t="shared" si="43"/>
        <v>0.66</v>
      </c>
      <c r="M243" s="20">
        <f t="shared" si="43"/>
        <v>1.42</v>
      </c>
      <c r="N243" s="20">
        <f t="shared" si="43"/>
        <v>1.1000000000000001</v>
      </c>
      <c r="O243" s="20">
        <f t="shared" si="44"/>
        <v>1.1000000000000001</v>
      </c>
      <c r="P243" s="20">
        <f t="shared" si="45"/>
        <v>1.1000000000000001</v>
      </c>
    </row>
    <row r="244" spans="1:16" ht="20.100000000000001" customHeight="1" x14ac:dyDescent="0.2">
      <c r="D244" s="20" t="s">
        <v>526</v>
      </c>
      <c r="E244" s="20" t="str">
        <f t="shared" ref="E244:K254" si="46">E172</f>
        <v>South West</v>
      </c>
      <c r="F244" s="20" t="str">
        <f t="shared" si="42"/>
        <v>Summer</v>
      </c>
      <c r="G244" s="20">
        <f t="shared" si="42"/>
        <v>0.44</v>
      </c>
      <c r="H244" s="20">
        <f t="shared" si="42"/>
        <v>-0.22</v>
      </c>
      <c r="I244" s="20">
        <f t="shared" si="42"/>
        <v>0.44</v>
      </c>
      <c r="J244" s="20">
        <f t="shared" si="42"/>
        <v>0.33</v>
      </c>
      <c r="K244" s="20">
        <f t="shared" si="42"/>
        <v>-0.22</v>
      </c>
      <c r="L244" s="20">
        <f t="shared" si="43"/>
        <v>-0.22</v>
      </c>
      <c r="M244" s="20">
        <f t="shared" si="43"/>
        <v>0.44</v>
      </c>
      <c r="N244" s="20">
        <f t="shared" si="43"/>
        <v>-0.11</v>
      </c>
      <c r="O244" s="20">
        <f t="shared" si="44"/>
        <v>-0.11</v>
      </c>
      <c r="P244" s="20">
        <f t="shared" si="45"/>
        <v>-0.11</v>
      </c>
    </row>
    <row r="245" spans="1:16" ht="20.100000000000001" customHeight="1" x14ac:dyDescent="0.2">
      <c r="D245" s="20" t="s">
        <v>526</v>
      </c>
      <c r="E245" s="20" t="str">
        <f t="shared" si="46"/>
        <v>South West</v>
      </c>
      <c r="F245" s="20" t="str">
        <f t="shared" si="42"/>
        <v>Autumn</v>
      </c>
      <c r="G245" s="20">
        <f t="shared" si="42"/>
        <v>0.6</v>
      </c>
      <c r="H245" s="20">
        <f t="shared" si="42"/>
        <v>0</v>
      </c>
      <c r="I245" s="20">
        <f t="shared" si="42"/>
        <v>0.6</v>
      </c>
      <c r="J245" s="20">
        <f t="shared" si="42"/>
        <v>0.22</v>
      </c>
      <c r="K245" s="20">
        <f t="shared" si="42"/>
        <v>-0.55000000000000004</v>
      </c>
      <c r="L245" s="20">
        <f t="shared" si="43"/>
        <v>-0.55000000000000004</v>
      </c>
      <c r="M245" s="20">
        <f t="shared" si="43"/>
        <v>0.6</v>
      </c>
      <c r="N245" s="20">
        <f t="shared" si="43"/>
        <v>0</v>
      </c>
      <c r="O245" s="20">
        <f t="shared" si="44"/>
        <v>0</v>
      </c>
      <c r="P245" s="20">
        <f t="shared" si="45"/>
        <v>0</v>
      </c>
    </row>
    <row r="246" spans="1:16" ht="20.100000000000001" customHeight="1" x14ac:dyDescent="0.2">
      <c r="D246" s="20" t="s">
        <v>526</v>
      </c>
      <c r="E246" s="20" t="str">
        <f t="shared" si="46"/>
        <v>South West</v>
      </c>
      <c r="F246" s="20" t="str">
        <f t="shared" si="42"/>
        <v>Winter</v>
      </c>
      <c r="G246" s="20">
        <f t="shared" si="42"/>
        <v>0.99</v>
      </c>
      <c r="H246" s="20">
        <f t="shared" si="42"/>
        <v>0.22</v>
      </c>
      <c r="I246" s="20">
        <f t="shared" si="42"/>
        <v>0.77</v>
      </c>
      <c r="J246" s="20">
        <f t="shared" si="42"/>
        <v>0.11</v>
      </c>
      <c r="K246" s="20">
        <f t="shared" si="42"/>
        <v>0.11</v>
      </c>
      <c r="L246" s="20">
        <f t="shared" si="43"/>
        <v>0.11</v>
      </c>
      <c r="M246" s="20">
        <f t="shared" si="43"/>
        <v>0.77</v>
      </c>
      <c r="N246" s="20">
        <f t="shared" si="43"/>
        <v>0.44</v>
      </c>
      <c r="O246" s="20">
        <f t="shared" si="44"/>
        <v>0.44</v>
      </c>
      <c r="P246" s="20">
        <f t="shared" si="45"/>
        <v>0.44</v>
      </c>
    </row>
    <row r="247" spans="1:16" ht="20.100000000000001" customHeight="1" x14ac:dyDescent="0.2">
      <c r="D247" s="20" t="s">
        <v>526</v>
      </c>
      <c r="E247" s="20" t="str">
        <f t="shared" si="46"/>
        <v>Pilbara</v>
      </c>
      <c r="F247" s="20" t="str">
        <f t="shared" si="42"/>
        <v>Spring</v>
      </c>
      <c r="G247" s="20">
        <f t="shared" si="42"/>
        <v>0.7</v>
      </c>
      <c r="H247" s="20">
        <f t="shared" si="42"/>
        <v>-0.55000000000000004</v>
      </c>
      <c r="I247" s="20">
        <f t="shared" si="42"/>
        <v>0.7</v>
      </c>
      <c r="J247" s="20">
        <f t="shared" si="42"/>
        <v>0.22</v>
      </c>
      <c r="K247" s="20">
        <f t="shared" si="42"/>
        <v>-0.22</v>
      </c>
      <c r="L247" s="20">
        <f t="shared" si="43"/>
        <v>-0.22</v>
      </c>
      <c r="M247" s="20">
        <f t="shared" si="43"/>
        <v>0.7</v>
      </c>
      <c r="N247" s="20">
        <f t="shared" si="43"/>
        <v>-0.22</v>
      </c>
      <c r="O247" s="20">
        <f t="shared" si="44"/>
        <v>-0.22</v>
      </c>
      <c r="P247" s="20">
        <f t="shared" si="45"/>
        <v>-0.22</v>
      </c>
    </row>
    <row r="248" spans="1:16" ht="20.100000000000001" customHeight="1" x14ac:dyDescent="0.2">
      <c r="D248" s="20" t="s">
        <v>526</v>
      </c>
      <c r="E248" s="20" t="str">
        <f t="shared" si="46"/>
        <v>Pilbara</v>
      </c>
      <c r="F248" s="20" t="str">
        <f t="shared" si="46"/>
        <v>Summer</v>
      </c>
      <c r="G248" s="20">
        <f t="shared" si="46"/>
        <v>0.77</v>
      </c>
      <c r="H248" s="20">
        <f t="shared" si="46"/>
        <v>0.55000000000000004</v>
      </c>
      <c r="I248" s="20">
        <f t="shared" si="46"/>
        <v>0.77</v>
      </c>
      <c r="J248" s="20">
        <f t="shared" si="46"/>
        <v>0.66</v>
      </c>
      <c r="K248" s="20">
        <f t="shared" si="46"/>
        <v>0.55000000000000004</v>
      </c>
      <c r="L248" s="20">
        <f t="shared" ref="L248:N254" si="47">K176</f>
        <v>0.55000000000000004</v>
      </c>
      <c r="M248" s="20">
        <f t="shared" si="47"/>
        <v>0.77</v>
      </c>
      <c r="N248" s="20">
        <f t="shared" si="47"/>
        <v>0.33</v>
      </c>
      <c r="O248" s="20">
        <f t="shared" si="44"/>
        <v>0.33</v>
      </c>
      <c r="P248" s="20">
        <f t="shared" si="45"/>
        <v>0.33</v>
      </c>
    </row>
    <row r="249" spans="1:16" ht="20.100000000000001" customHeight="1" x14ac:dyDescent="0.2">
      <c r="D249" s="20" t="s">
        <v>526</v>
      </c>
      <c r="E249" s="20" t="str">
        <f t="shared" si="46"/>
        <v>Pilbara</v>
      </c>
      <c r="F249" s="20" t="str">
        <f t="shared" si="46"/>
        <v>Autumn</v>
      </c>
      <c r="G249" s="20">
        <f t="shared" si="46"/>
        <v>0.88</v>
      </c>
      <c r="H249" s="20">
        <f t="shared" si="46"/>
        <v>0.55000000000000004</v>
      </c>
      <c r="I249" s="20">
        <f t="shared" si="46"/>
        <v>0.88</v>
      </c>
      <c r="J249" s="20">
        <f t="shared" si="46"/>
        <v>0.22</v>
      </c>
      <c r="K249" s="20">
        <f t="shared" si="46"/>
        <v>0.22</v>
      </c>
      <c r="L249" s="20">
        <f t="shared" si="47"/>
        <v>0.22</v>
      </c>
      <c r="M249" s="20">
        <f t="shared" si="47"/>
        <v>0.88</v>
      </c>
      <c r="N249" s="20">
        <f t="shared" si="47"/>
        <v>0.22</v>
      </c>
      <c r="O249" s="20">
        <f t="shared" si="44"/>
        <v>0.22</v>
      </c>
      <c r="P249" s="20">
        <f t="shared" si="45"/>
        <v>0.22</v>
      </c>
    </row>
    <row r="250" spans="1:16" ht="20.100000000000001" customHeight="1" x14ac:dyDescent="0.2">
      <c r="D250" s="20" t="s">
        <v>526</v>
      </c>
      <c r="E250" s="20" t="str">
        <f t="shared" si="46"/>
        <v>Pilbara</v>
      </c>
      <c r="F250" s="20" t="str">
        <f t="shared" si="46"/>
        <v>Winter</v>
      </c>
      <c r="G250" s="20">
        <f t="shared" si="46"/>
        <v>0.22</v>
      </c>
      <c r="H250" s="20">
        <f t="shared" si="46"/>
        <v>-0.55000000000000004</v>
      </c>
      <c r="I250" s="20">
        <f t="shared" si="46"/>
        <v>0.22</v>
      </c>
      <c r="J250" s="20">
        <f t="shared" si="46"/>
        <v>0.11</v>
      </c>
      <c r="K250" s="20">
        <f t="shared" si="46"/>
        <v>-0.22</v>
      </c>
      <c r="L250" s="20">
        <f t="shared" si="47"/>
        <v>-0.22</v>
      </c>
      <c r="M250" s="20">
        <f t="shared" si="47"/>
        <v>0.22</v>
      </c>
      <c r="N250" s="20">
        <f t="shared" si="47"/>
        <v>-0.33</v>
      </c>
      <c r="O250" s="20">
        <f t="shared" si="44"/>
        <v>-0.33</v>
      </c>
      <c r="P250" s="20">
        <f t="shared" si="45"/>
        <v>-0.33</v>
      </c>
    </row>
    <row r="251" spans="1:16" ht="20.100000000000001" customHeight="1" x14ac:dyDescent="0.2">
      <c r="A251" s="85" t="str">
        <f>HYPERLINK("#A1", "▲ Back to top")</f>
        <v>▲ Back to top</v>
      </c>
      <c r="D251" s="20" t="s">
        <v>526</v>
      </c>
      <c r="E251" s="20" t="str">
        <f t="shared" si="46"/>
        <v>Kimberley</v>
      </c>
      <c r="F251" s="20" t="str">
        <f t="shared" si="46"/>
        <v>Spring</v>
      </c>
      <c r="G251" s="20">
        <f t="shared" si="46"/>
        <v>0.22</v>
      </c>
      <c r="H251" s="20">
        <f t="shared" si="46"/>
        <v>-0.55000000000000004</v>
      </c>
      <c r="I251" s="20">
        <f t="shared" si="46"/>
        <v>0.33</v>
      </c>
      <c r="J251" s="20">
        <f t="shared" si="46"/>
        <v>0.22</v>
      </c>
      <c r="K251" s="20">
        <f t="shared" si="46"/>
        <v>-0.33</v>
      </c>
      <c r="L251" s="20">
        <f t="shared" si="47"/>
        <v>-0.33</v>
      </c>
      <c r="M251" s="20">
        <f t="shared" si="47"/>
        <v>0.22</v>
      </c>
      <c r="N251" s="20">
        <f t="shared" si="47"/>
        <v>-0.55000000000000004</v>
      </c>
      <c r="O251" s="20">
        <f t="shared" si="44"/>
        <v>-0.55000000000000004</v>
      </c>
      <c r="P251" s="20">
        <f t="shared" si="45"/>
        <v>-0.55000000000000004</v>
      </c>
    </row>
    <row r="252" spans="1:16" ht="20.100000000000001" customHeight="1" x14ac:dyDescent="0.2">
      <c r="D252" s="20" t="s">
        <v>526</v>
      </c>
      <c r="E252" s="20" t="str">
        <f t="shared" si="46"/>
        <v>Kimberley</v>
      </c>
      <c r="F252" s="20" t="str">
        <f t="shared" si="46"/>
        <v>Summer</v>
      </c>
      <c r="G252" s="20">
        <f t="shared" si="46"/>
        <v>0.8</v>
      </c>
      <c r="H252" s="20">
        <f t="shared" si="46"/>
        <v>0.55000000000000004</v>
      </c>
      <c r="I252" s="20">
        <f t="shared" si="46"/>
        <v>0.7</v>
      </c>
      <c r="J252" s="20">
        <f t="shared" si="46"/>
        <v>0.44</v>
      </c>
      <c r="K252" s="20">
        <f t="shared" si="46"/>
        <v>0.66</v>
      </c>
      <c r="L252" s="20">
        <f t="shared" si="47"/>
        <v>0.66</v>
      </c>
      <c r="M252" s="20">
        <f t="shared" si="47"/>
        <v>0.8</v>
      </c>
      <c r="N252" s="20">
        <f t="shared" si="47"/>
        <v>0.55000000000000004</v>
      </c>
      <c r="O252" s="20">
        <f t="shared" si="44"/>
        <v>0.55000000000000004</v>
      </c>
      <c r="P252" s="20">
        <f t="shared" si="45"/>
        <v>0.55000000000000004</v>
      </c>
    </row>
    <row r="253" spans="1:16" ht="20.100000000000001" customHeight="1" x14ac:dyDescent="0.2">
      <c r="D253" s="20" t="s">
        <v>526</v>
      </c>
      <c r="E253" s="20" t="str">
        <f t="shared" si="46"/>
        <v>Kimberley</v>
      </c>
      <c r="F253" s="20" t="str">
        <f t="shared" si="46"/>
        <v>Autumn</v>
      </c>
      <c r="G253" s="20">
        <f t="shared" si="46"/>
        <v>0.66</v>
      </c>
      <c r="H253" s="20">
        <f t="shared" si="46"/>
        <v>0.55000000000000004</v>
      </c>
      <c r="I253" s="20">
        <f t="shared" si="46"/>
        <v>0.55000000000000004</v>
      </c>
      <c r="J253" s="20">
        <f t="shared" si="46"/>
        <v>0.55000000000000004</v>
      </c>
      <c r="K253" s="20">
        <f t="shared" si="46"/>
        <v>0.11</v>
      </c>
      <c r="L253" s="20">
        <f t="shared" si="47"/>
        <v>0.11</v>
      </c>
      <c r="M253" s="20">
        <f t="shared" si="47"/>
        <v>0.66</v>
      </c>
      <c r="N253" s="20">
        <f t="shared" si="47"/>
        <v>0.55000000000000004</v>
      </c>
      <c r="O253" s="20">
        <f t="shared" si="44"/>
        <v>0.55000000000000004</v>
      </c>
      <c r="P253" s="20">
        <f t="shared" si="45"/>
        <v>0.55000000000000004</v>
      </c>
    </row>
    <row r="254" spans="1:16" ht="20.100000000000001" customHeight="1" x14ac:dyDescent="0.2">
      <c r="D254" s="20" t="s">
        <v>526</v>
      </c>
      <c r="E254" s="20" t="str">
        <f t="shared" si="46"/>
        <v>Kimberley</v>
      </c>
      <c r="F254" s="20" t="str">
        <f t="shared" si="46"/>
        <v>Winter</v>
      </c>
      <c r="G254" s="20">
        <f t="shared" si="46"/>
        <v>0.33</v>
      </c>
      <c r="H254" s="20">
        <f t="shared" si="46"/>
        <v>-0.55000000000000004</v>
      </c>
      <c r="I254" s="20">
        <f t="shared" si="46"/>
        <v>0.11</v>
      </c>
      <c r="J254" s="20">
        <f t="shared" si="46"/>
        <v>0.11</v>
      </c>
      <c r="K254" s="20">
        <f t="shared" si="46"/>
        <v>-0.44</v>
      </c>
      <c r="L254" s="20">
        <f t="shared" si="47"/>
        <v>-0.44</v>
      </c>
      <c r="M254" s="20">
        <f t="shared" si="47"/>
        <v>0.33</v>
      </c>
      <c r="N254" s="20">
        <f t="shared" si="47"/>
        <v>-0.55000000000000004</v>
      </c>
      <c r="O254" s="20">
        <f t="shared" si="44"/>
        <v>-0.55000000000000004</v>
      </c>
      <c r="P254" s="20">
        <f t="shared" si="45"/>
        <v>-0.55000000000000004</v>
      </c>
    </row>
    <row r="255" spans="1:16" ht="20.100000000000001" customHeight="1" x14ac:dyDescent="0.2">
      <c r="D255" s="20" t="s">
        <v>530</v>
      </c>
      <c r="E255" s="20" t="str">
        <f>E190</f>
        <v>Alice Springs</v>
      </c>
      <c r="F255" s="20" t="str">
        <f>F190</f>
        <v>Spring</v>
      </c>
      <c r="G255" s="20">
        <f>G190</f>
        <v>0.22</v>
      </c>
      <c r="H255" s="20">
        <f t="shared" ref="H255:P255" si="48">H190</f>
        <v>-0.23</v>
      </c>
      <c r="I255" s="20">
        <f t="shared" si="48"/>
        <v>0.25</v>
      </c>
      <c r="J255" s="20">
        <f t="shared" si="48"/>
        <v>0.17</v>
      </c>
      <c r="K255" s="20">
        <f t="shared" si="48"/>
        <v>0.18</v>
      </c>
      <c r="L255" s="20">
        <f t="shared" si="48"/>
        <v>-0.28000000000000003</v>
      </c>
      <c r="M255" s="20">
        <f t="shared" si="48"/>
        <v>0.32</v>
      </c>
      <c r="N255" s="20">
        <f t="shared" si="48"/>
        <v>0.24</v>
      </c>
      <c r="O255" s="20">
        <f t="shared" si="48"/>
        <v>0.25</v>
      </c>
      <c r="P255" s="20">
        <f t="shared" si="48"/>
        <v>-0.05</v>
      </c>
    </row>
    <row r="256" spans="1:16" ht="20.100000000000001" customHeight="1" x14ac:dyDescent="0.2">
      <c r="D256" s="20" t="s">
        <v>530</v>
      </c>
      <c r="E256" s="20" t="str">
        <f t="shared" ref="E256:P271" si="49">E191</f>
        <v>Alice Springs</v>
      </c>
      <c r="F256" s="20" t="str">
        <f t="shared" si="49"/>
        <v>Summer</v>
      </c>
      <c r="G256" s="20">
        <f t="shared" si="49"/>
        <v>0.66</v>
      </c>
      <c r="H256" s="20">
        <f t="shared" si="49"/>
        <v>0.2</v>
      </c>
      <c r="I256" s="20">
        <f t="shared" si="49"/>
        <v>0.62</v>
      </c>
      <c r="J256" s="20">
        <f t="shared" si="49"/>
        <v>0.54</v>
      </c>
      <c r="K256" s="20">
        <f t="shared" si="49"/>
        <v>0.38</v>
      </c>
      <c r="L256" s="20">
        <f t="shared" si="49"/>
        <v>0.27</v>
      </c>
      <c r="M256" s="20">
        <f t="shared" si="49"/>
        <v>0.75</v>
      </c>
      <c r="N256" s="20">
        <f t="shared" si="49"/>
        <v>0.64</v>
      </c>
      <c r="O256" s="20">
        <f t="shared" si="49"/>
        <v>0.55000000000000004</v>
      </c>
      <c r="P256" s="20">
        <f t="shared" si="49"/>
        <v>0.48</v>
      </c>
    </row>
    <row r="257" spans="4:16" ht="20.100000000000001" customHeight="1" x14ac:dyDescent="0.2">
      <c r="D257" s="20" t="s">
        <v>530</v>
      </c>
      <c r="E257" s="20" t="str">
        <f t="shared" si="49"/>
        <v>Alice Springs</v>
      </c>
      <c r="F257" s="20" t="str">
        <f t="shared" si="49"/>
        <v>Autumn</v>
      </c>
      <c r="G257" s="20">
        <f t="shared" si="49"/>
        <v>0.49</v>
      </c>
      <c r="H257" s="20">
        <f t="shared" si="49"/>
        <v>0.13</v>
      </c>
      <c r="I257" s="20">
        <f t="shared" si="49"/>
        <v>0.54</v>
      </c>
      <c r="J257" s="20">
        <f t="shared" si="49"/>
        <v>0.45</v>
      </c>
      <c r="K257" s="20">
        <f t="shared" si="49"/>
        <v>0.35</v>
      </c>
      <c r="L257" s="20">
        <f t="shared" si="49"/>
        <v>0.15</v>
      </c>
      <c r="M257" s="20">
        <f t="shared" si="49"/>
        <v>0.63</v>
      </c>
      <c r="N257" s="20">
        <f t="shared" si="49"/>
        <v>0.54</v>
      </c>
      <c r="O257" s="20">
        <f t="shared" si="49"/>
        <v>0.42</v>
      </c>
      <c r="P257" s="20">
        <f t="shared" si="49"/>
        <v>0.26</v>
      </c>
    </row>
    <row r="258" spans="4:16" ht="20.100000000000001" customHeight="1" x14ac:dyDescent="0.2">
      <c r="D258" s="20" t="s">
        <v>530</v>
      </c>
      <c r="E258" s="20" t="str">
        <f t="shared" si="49"/>
        <v>Alice Springs</v>
      </c>
      <c r="F258" s="20" t="str">
        <f t="shared" si="49"/>
        <v>Winter</v>
      </c>
      <c r="G258" s="20">
        <f t="shared" si="49"/>
        <v>0.27</v>
      </c>
      <c r="H258" s="20">
        <f t="shared" si="49"/>
        <v>-0.8</v>
      </c>
      <c r="I258" s="20">
        <f t="shared" si="49"/>
        <v>0.22</v>
      </c>
      <c r="J258" s="20">
        <f t="shared" si="49"/>
        <v>0.09</v>
      </c>
      <c r="K258" s="20">
        <f t="shared" si="49"/>
        <v>0.12</v>
      </c>
      <c r="L258" s="20">
        <f t="shared" si="49"/>
        <v>0.02</v>
      </c>
      <c r="M258" s="20">
        <f t="shared" si="49"/>
        <v>0.25</v>
      </c>
      <c r="N258" s="20">
        <f t="shared" si="49"/>
        <v>0.18</v>
      </c>
      <c r="O258" s="20">
        <f t="shared" si="49"/>
        <v>0.12</v>
      </c>
      <c r="P258" s="20">
        <f t="shared" si="49"/>
        <v>0.03</v>
      </c>
    </row>
    <row r="259" spans="4:16" ht="20.100000000000001" customHeight="1" x14ac:dyDescent="0.2">
      <c r="D259" s="20" t="s">
        <v>530</v>
      </c>
      <c r="E259" s="20" t="str">
        <f t="shared" si="49"/>
        <v>Barkly</v>
      </c>
      <c r="F259" s="20" t="str">
        <f t="shared" si="49"/>
        <v>Spring</v>
      </c>
      <c r="G259" s="20">
        <f t="shared" si="49"/>
        <v>0.22</v>
      </c>
      <c r="H259" s="20">
        <f t="shared" si="49"/>
        <v>-0.44</v>
      </c>
      <c r="I259" s="20">
        <f t="shared" si="49"/>
        <v>0.2</v>
      </c>
      <c r="J259" s="20">
        <f t="shared" si="49"/>
        <v>0.21</v>
      </c>
      <c r="K259" s="20">
        <f t="shared" si="49"/>
        <v>0.18</v>
      </c>
      <c r="L259" s="20">
        <f t="shared" si="49"/>
        <v>0.01</v>
      </c>
      <c r="M259" s="20">
        <f t="shared" si="49"/>
        <v>0.12</v>
      </c>
      <c r="N259" s="20">
        <f t="shared" si="49"/>
        <v>0.09</v>
      </c>
      <c r="O259" s="20" t="str">
        <f t="shared" si="49"/>
        <v>NO</v>
      </c>
      <c r="P259" s="20" t="str">
        <f t="shared" si="49"/>
        <v>NO</v>
      </c>
    </row>
    <row r="260" spans="4:16" ht="20.100000000000001" customHeight="1" x14ac:dyDescent="0.2">
      <c r="D260" s="20" t="s">
        <v>530</v>
      </c>
      <c r="E260" s="20" t="str">
        <f t="shared" si="49"/>
        <v>Barkly</v>
      </c>
      <c r="F260" s="20" t="str">
        <f t="shared" si="49"/>
        <v>Summer</v>
      </c>
      <c r="G260" s="20">
        <f t="shared" si="49"/>
        <v>0.66</v>
      </c>
      <c r="H260" s="20">
        <f t="shared" si="49"/>
        <v>0.22</v>
      </c>
      <c r="I260" s="20">
        <f t="shared" si="49"/>
        <v>0.68</v>
      </c>
      <c r="J260" s="20">
        <f t="shared" si="49"/>
        <v>0.22</v>
      </c>
      <c r="K260" s="20">
        <f t="shared" si="49"/>
        <v>0.24</v>
      </c>
      <c r="L260" s="20">
        <f t="shared" si="49"/>
        <v>0.25</v>
      </c>
      <c r="M260" s="20">
        <f t="shared" si="49"/>
        <v>0.64</v>
      </c>
      <c r="N260" s="20">
        <f t="shared" si="49"/>
        <v>0.37</v>
      </c>
      <c r="O260" s="20" t="str">
        <f t="shared" si="49"/>
        <v>NO</v>
      </c>
      <c r="P260" s="20" t="str">
        <f t="shared" si="49"/>
        <v>NO</v>
      </c>
    </row>
    <row r="261" spans="4:16" ht="20.100000000000001" customHeight="1" x14ac:dyDescent="0.2">
      <c r="D261" s="20" t="s">
        <v>530</v>
      </c>
      <c r="E261" s="20" t="str">
        <f t="shared" si="49"/>
        <v>Barkly</v>
      </c>
      <c r="F261" s="20" t="str">
        <f t="shared" si="49"/>
        <v>Autumn</v>
      </c>
      <c r="G261" s="20">
        <f t="shared" si="49"/>
        <v>0.49</v>
      </c>
      <c r="H261" s="20">
        <f t="shared" si="49"/>
        <v>0.05</v>
      </c>
      <c r="I261" s="20">
        <f t="shared" si="49"/>
        <v>0.64</v>
      </c>
      <c r="J261" s="20">
        <f t="shared" si="49"/>
        <v>0.25</v>
      </c>
      <c r="K261" s="20">
        <f t="shared" si="49"/>
        <v>0.28999999999999998</v>
      </c>
      <c r="L261" s="20">
        <f t="shared" si="49"/>
        <v>0.12</v>
      </c>
      <c r="M261" s="20">
        <f t="shared" si="49"/>
        <v>0.56999999999999995</v>
      </c>
      <c r="N261" s="20">
        <f t="shared" si="49"/>
        <v>0.49</v>
      </c>
      <c r="O261" s="20" t="str">
        <f t="shared" si="49"/>
        <v>NO</v>
      </c>
      <c r="P261" s="20" t="str">
        <f t="shared" si="49"/>
        <v>NO</v>
      </c>
    </row>
    <row r="262" spans="4:16" ht="20.100000000000001" customHeight="1" x14ac:dyDescent="0.2">
      <c r="D262" s="20" t="s">
        <v>530</v>
      </c>
      <c r="E262" s="20" t="str">
        <f t="shared" si="49"/>
        <v>Barkly</v>
      </c>
      <c r="F262" s="20" t="str">
        <f t="shared" si="49"/>
        <v>Winter</v>
      </c>
      <c r="G262" s="20">
        <f t="shared" si="49"/>
        <v>0.27</v>
      </c>
      <c r="H262" s="20">
        <f t="shared" si="49"/>
        <v>-0.27</v>
      </c>
      <c r="I262" s="20">
        <f t="shared" si="49"/>
        <v>0.31</v>
      </c>
      <c r="J262" s="20">
        <f t="shared" si="49"/>
        <v>0.28999999999999998</v>
      </c>
      <c r="K262" s="20">
        <f t="shared" si="49"/>
        <v>0.19</v>
      </c>
      <c r="L262" s="20">
        <f t="shared" si="49"/>
        <v>0.04</v>
      </c>
      <c r="M262" s="20">
        <f t="shared" si="49"/>
        <v>0.26</v>
      </c>
      <c r="N262" s="20">
        <f t="shared" si="49"/>
        <v>0.28000000000000003</v>
      </c>
      <c r="O262" s="20" t="str">
        <f t="shared" si="49"/>
        <v>NO</v>
      </c>
      <c r="P262" s="20" t="str">
        <f t="shared" si="49"/>
        <v>NO</v>
      </c>
    </row>
    <row r="263" spans="4:16" ht="20.100000000000001" customHeight="1" x14ac:dyDescent="0.2">
      <c r="D263" s="20" t="s">
        <v>530</v>
      </c>
      <c r="E263" s="20" t="str">
        <f t="shared" si="49"/>
        <v>Northern</v>
      </c>
      <c r="F263" s="20" t="str">
        <f t="shared" si="49"/>
        <v>Spring</v>
      </c>
      <c r="G263" s="20">
        <f t="shared" si="49"/>
        <v>0.22</v>
      </c>
      <c r="H263" s="20">
        <f t="shared" si="49"/>
        <v>-0.44</v>
      </c>
      <c r="I263" s="20">
        <f t="shared" si="49"/>
        <v>0</v>
      </c>
      <c r="J263" s="20">
        <f t="shared" si="49"/>
        <v>0.15</v>
      </c>
      <c r="K263" s="20">
        <f t="shared" si="49"/>
        <v>0.08</v>
      </c>
      <c r="L263" s="20">
        <f t="shared" si="49"/>
        <v>0.17</v>
      </c>
      <c r="M263" s="20">
        <f t="shared" si="49"/>
        <v>0.06</v>
      </c>
      <c r="N263" s="20">
        <f t="shared" si="49"/>
        <v>0.02</v>
      </c>
      <c r="O263" s="20">
        <f t="shared" si="49"/>
        <v>-0.14000000000000001</v>
      </c>
      <c r="P263" s="20" t="str">
        <f t="shared" si="49"/>
        <v>NO</v>
      </c>
    </row>
    <row r="264" spans="4:16" ht="20.100000000000001" customHeight="1" x14ac:dyDescent="0.2">
      <c r="D264" s="20" t="s">
        <v>530</v>
      </c>
      <c r="E264" s="20" t="str">
        <f t="shared" si="49"/>
        <v>Northern</v>
      </c>
      <c r="F264" s="20" t="str">
        <f t="shared" si="49"/>
        <v>Summer</v>
      </c>
      <c r="G264" s="20">
        <f t="shared" si="49"/>
        <v>0.66</v>
      </c>
      <c r="H264" s="20">
        <f t="shared" si="49"/>
        <v>0.22</v>
      </c>
      <c r="I264" s="20">
        <f t="shared" si="49"/>
        <v>0.79</v>
      </c>
      <c r="J264" s="20">
        <f t="shared" si="49"/>
        <v>0.4</v>
      </c>
      <c r="K264" s="20">
        <f t="shared" si="49"/>
        <v>0.38</v>
      </c>
      <c r="L264" s="20">
        <f t="shared" si="49"/>
        <v>0.27</v>
      </c>
      <c r="M264" s="20">
        <f t="shared" si="49"/>
        <v>0.8</v>
      </c>
      <c r="N264" s="20">
        <f t="shared" si="49"/>
        <v>0.16</v>
      </c>
      <c r="O264" s="20">
        <f t="shared" si="49"/>
        <v>0.3</v>
      </c>
      <c r="P264" s="20" t="str">
        <f t="shared" si="49"/>
        <v>NO</v>
      </c>
    </row>
    <row r="265" spans="4:16" ht="20.100000000000001" customHeight="1" x14ac:dyDescent="0.2">
      <c r="D265" s="20" t="s">
        <v>530</v>
      </c>
      <c r="E265" s="20" t="str">
        <f t="shared" si="49"/>
        <v>Northern</v>
      </c>
      <c r="F265" s="20" t="str">
        <f t="shared" si="49"/>
        <v>Autumn</v>
      </c>
      <c r="G265" s="20">
        <f t="shared" si="49"/>
        <v>0.49</v>
      </c>
      <c r="H265" s="20">
        <f t="shared" si="49"/>
        <v>0.05</v>
      </c>
      <c r="I265" s="20">
        <f t="shared" si="49"/>
        <v>0.55000000000000004</v>
      </c>
      <c r="J265" s="20">
        <f t="shared" si="49"/>
        <v>0.38</v>
      </c>
      <c r="K265" s="20">
        <f t="shared" si="49"/>
        <v>0.36</v>
      </c>
      <c r="L265" s="20">
        <f t="shared" si="49"/>
        <v>0.06</v>
      </c>
      <c r="M265" s="20">
        <f t="shared" si="49"/>
        <v>0.57999999999999996</v>
      </c>
      <c r="N265" s="20">
        <f t="shared" si="49"/>
        <v>0.23</v>
      </c>
      <c r="O265" s="20">
        <f t="shared" si="49"/>
        <v>0.4</v>
      </c>
      <c r="P265" s="20" t="str">
        <f t="shared" si="49"/>
        <v>NO</v>
      </c>
    </row>
    <row r="266" spans="4:16" ht="20.100000000000001" customHeight="1" x14ac:dyDescent="0.2">
      <c r="D266" s="20" t="s">
        <v>530</v>
      </c>
      <c r="E266" s="20" t="str">
        <f t="shared" si="49"/>
        <v>Northern</v>
      </c>
      <c r="F266" s="20" t="str">
        <f t="shared" si="49"/>
        <v>Winter</v>
      </c>
      <c r="G266" s="20">
        <f t="shared" si="49"/>
        <v>0.27</v>
      </c>
      <c r="H266" s="20">
        <f t="shared" si="49"/>
        <v>-0.27</v>
      </c>
      <c r="I266" s="20">
        <f t="shared" si="49"/>
        <v>0.02</v>
      </c>
      <c r="J266" s="20">
        <f t="shared" si="49"/>
        <v>0.09</v>
      </c>
      <c r="K266" s="20">
        <f t="shared" si="49"/>
        <v>0.16</v>
      </c>
      <c r="L266" s="20">
        <f t="shared" si="49"/>
        <v>-0.04</v>
      </c>
      <c r="M266" s="20">
        <f t="shared" si="49"/>
        <v>0.21</v>
      </c>
      <c r="N266" s="20">
        <f t="shared" si="49"/>
        <v>0.03</v>
      </c>
      <c r="O266" s="20">
        <f t="shared" si="49"/>
        <v>0.11</v>
      </c>
      <c r="P266" s="20" t="str">
        <f t="shared" si="49"/>
        <v>NO</v>
      </c>
    </row>
    <row r="267" spans="4:16" ht="20.100000000000001" customHeight="1" x14ac:dyDescent="0.2">
      <c r="D267" s="20" t="s">
        <v>534</v>
      </c>
      <c r="E267" s="20" t="str">
        <f t="shared" si="49"/>
        <v>High</v>
      </c>
      <c r="F267" s="20" t="str">
        <f t="shared" si="49"/>
        <v>Spring</v>
      </c>
      <c r="G267" s="20">
        <f t="shared" si="49"/>
        <v>0.27</v>
      </c>
      <c r="H267" s="20">
        <f t="shared" si="49"/>
        <v>-0.19</v>
      </c>
      <c r="I267" s="20">
        <f t="shared" si="49"/>
        <v>0.38</v>
      </c>
      <c r="J267" s="20">
        <f t="shared" si="49"/>
        <v>0.25</v>
      </c>
      <c r="K267" s="20">
        <f t="shared" si="49"/>
        <v>7.0000000000000007E-2</v>
      </c>
      <c r="L267" s="20">
        <f t="shared" si="49"/>
        <v>0.05</v>
      </c>
      <c r="M267" s="20">
        <f t="shared" si="49"/>
        <v>0.52</v>
      </c>
      <c r="N267" s="20">
        <f t="shared" si="49"/>
        <v>0.55000000000000004</v>
      </c>
      <c r="O267" s="20">
        <f t="shared" si="49"/>
        <v>0.19</v>
      </c>
      <c r="P267" s="20">
        <f t="shared" si="49"/>
        <v>0.6</v>
      </c>
    </row>
    <row r="268" spans="4:16" ht="20.100000000000001" customHeight="1" x14ac:dyDescent="0.2">
      <c r="D268" s="20" t="s">
        <v>534</v>
      </c>
      <c r="E268" s="20" t="str">
        <f t="shared" si="49"/>
        <v>High</v>
      </c>
      <c r="F268" s="20" t="str">
        <f t="shared" si="49"/>
        <v>Summer</v>
      </c>
      <c r="G268" s="20">
        <f t="shared" si="49"/>
        <v>0.16</v>
      </c>
      <c r="H268" s="20">
        <f t="shared" si="49"/>
        <v>0.16</v>
      </c>
      <c r="I268" s="20">
        <f t="shared" si="49"/>
        <v>0.8</v>
      </c>
      <c r="J268" s="20">
        <f t="shared" si="49"/>
        <v>0.56999999999999995</v>
      </c>
      <c r="K268" s="20">
        <f t="shared" si="49"/>
        <v>0.76</v>
      </c>
      <c r="L268" s="20">
        <f t="shared" si="49"/>
        <v>0.49</v>
      </c>
      <c r="M268" s="20">
        <f t="shared" si="49"/>
        <v>0.84</v>
      </c>
      <c r="N268" s="20">
        <f t="shared" si="49"/>
        <v>0.51</v>
      </c>
      <c r="O268" s="20">
        <f t="shared" si="49"/>
        <v>0.36</v>
      </c>
      <c r="P268" s="20">
        <f t="shared" si="49"/>
        <v>0.17</v>
      </c>
    </row>
    <row r="269" spans="4:16" ht="20.100000000000001" customHeight="1" x14ac:dyDescent="0.2">
      <c r="D269" s="20" t="s">
        <v>534</v>
      </c>
      <c r="E269" s="20" t="str">
        <f t="shared" si="49"/>
        <v>High</v>
      </c>
      <c r="F269" s="20" t="str">
        <f t="shared" si="49"/>
        <v>Autumn</v>
      </c>
      <c r="G269" s="20">
        <f t="shared" si="49"/>
        <v>0.45</v>
      </c>
      <c r="H269" s="20">
        <f t="shared" si="49"/>
        <v>0.1</v>
      </c>
      <c r="I269" s="20">
        <f t="shared" si="49"/>
        <v>0.49</v>
      </c>
      <c r="J269" s="20">
        <f t="shared" si="49"/>
        <v>0.41</v>
      </c>
      <c r="K269" s="20">
        <f t="shared" si="49"/>
        <v>0.4</v>
      </c>
      <c r="L269" s="20">
        <f t="shared" si="49"/>
        <v>0.17</v>
      </c>
      <c r="M269" s="20">
        <f t="shared" si="49"/>
        <v>0.54</v>
      </c>
      <c r="N269" s="20">
        <f t="shared" si="49"/>
        <v>0.64</v>
      </c>
      <c r="O269" s="20">
        <f t="shared" si="49"/>
        <v>-0.05</v>
      </c>
      <c r="P269" s="20">
        <f t="shared" si="49"/>
        <v>0.32</v>
      </c>
    </row>
    <row r="270" spans="4:16" ht="20.100000000000001" customHeight="1" x14ac:dyDescent="0.2">
      <c r="D270" s="20" t="s">
        <v>534</v>
      </c>
      <c r="E270" s="20" t="str">
        <f t="shared" si="49"/>
        <v>High</v>
      </c>
      <c r="F270" s="20" t="str">
        <f t="shared" si="49"/>
        <v>Winter</v>
      </c>
      <c r="G270" s="20">
        <f t="shared" si="49"/>
        <v>0.51</v>
      </c>
      <c r="H270" s="20">
        <f t="shared" si="49"/>
        <v>-7.0000000000000007E-2</v>
      </c>
      <c r="I270" s="20">
        <f t="shared" si="49"/>
        <v>0.13</v>
      </c>
      <c r="J270" s="20">
        <f t="shared" si="49"/>
        <v>-0.09</v>
      </c>
      <c r="K270" s="20">
        <f t="shared" si="49"/>
        <v>-0.13</v>
      </c>
      <c r="L270" s="20">
        <f t="shared" si="49"/>
        <v>7.0000000000000007E-2</v>
      </c>
      <c r="M270" s="20">
        <f t="shared" si="49"/>
        <v>0.25</v>
      </c>
      <c r="N270" s="20">
        <f t="shared" si="49"/>
        <v>0.71</v>
      </c>
      <c r="O270" s="20">
        <f t="shared" si="49"/>
        <v>0.17</v>
      </c>
      <c r="P270" s="20">
        <f t="shared" si="49"/>
        <v>0.43</v>
      </c>
    </row>
    <row r="271" spans="4:16" ht="20.100000000000001" customHeight="1" x14ac:dyDescent="0.2">
      <c r="D271" s="20" t="s">
        <v>534</v>
      </c>
      <c r="E271" s="20" t="str">
        <f t="shared" si="49"/>
        <v>Moderate/High</v>
      </c>
      <c r="F271" s="20" t="str">
        <f t="shared" si="49"/>
        <v>Spring</v>
      </c>
      <c r="G271" s="20">
        <f t="shared" si="49"/>
        <v>-0.12</v>
      </c>
      <c r="H271" s="20">
        <f t="shared" si="49"/>
        <v>-0.19</v>
      </c>
      <c r="I271" s="20">
        <f t="shared" si="49"/>
        <v>0.41</v>
      </c>
      <c r="J271" s="20">
        <f t="shared" si="49"/>
        <v>0.09</v>
      </c>
      <c r="K271" s="20">
        <f t="shared" si="49"/>
        <v>0.41</v>
      </c>
      <c r="L271" s="20">
        <f t="shared" si="49"/>
        <v>-0.19</v>
      </c>
      <c r="M271" s="20">
        <f t="shared" si="49"/>
        <v>7.0000000000000007E-2</v>
      </c>
      <c r="N271" s="20">
        <f t="shared" si="49"/>
        <v>1.07</v>
      </c>
      <c r="O271" s="20">
        <f t="shared" si="49"/>
        <v>-0.08</v>
      </c>
      <c r="P271" s="20">
        <f t="shared" si="49"/>
        <v>0</v>
      </c>
    </row>
    <row r="272" spans="4:16" ht="20.100000000000001" customHeight="1" x14ac:dyDescent="0.2">
      <c r="D272" s="20" t="s">
        <v>534</v>
      </c>
      <c r="E272" s="20" t="str">
        <f t="shared" ref="E272:P282" si="50">E207</f>
        <v>Moderate/High</v>
      </c>
      <c r="F272" s="20" t="str">
        <f t="shared" si="50"/>
        <v>Summer</v>
      </c>
      <c r="G272" s="20">
        <f t="shared" si="50"/>
        <v>0.65</v>
      </c>
      <c r="H272" s="20">
        <f t="shared" si="50"/>
        <v>0.19</v>
      </c>
      <c r="I272" s="20">
        <f t="shared" si="50"/>
        <v>0.65</v>
      </c>
      <c r="J272" s="20">
        <f t="shared" si="50"/>
        <v>0.51</v>
      </c>
      <c r="K272" s="20">
        <f t="shared" si="50"/>
        <v>0.18</v>
      </c>
      <c r="L272" s="20">
        <f t="shared" si="50"/>
        <v>0.63</v>
      </c>
      <c r="M272" s="20">
        <f t="shared" si="50"/>
        <v>1.3</v>
      </c>
      <c r="N272" s="20">
        <f t="shared" si="50"/>
        <v>0.48</v>
      </c>
      <c r="O272" s="20">
        <f t="shared" si="50"/>
        <v>1.1200000000000001</v>
      </c>
      <c r="P272" s="20">
        <f t="shared" si="50"/>
        <v>0.38</v>
      </c>
    </row>
    <row r="273" spans="1:16" ht="20.100000000000001" customHeight="1" x14ac:dyDescent="0.2">
      <c r="D273" s="20" t="s">
        <v>534</v>
      </c>
      <c r="E273" s="20" t="str">
        <f t="shared" si="50"/>
        <v>Moderate/High</v>
      </c>
      <c r="F273" s="20" t="str">
        <f t="shared" si="50"/>
        <v>Autumn</v>
      </c>
      <c r="G273" s="20">
        <f t="shared" si="50"/>
        <v>0.7</v>
      </c>
      <c r="H273" s="20">
        <f t="shared" si="50"/>
        <v>0.13</v>
      </c>
      <c r="I273" s="20">
        <f t="shared" si="50"/>
        <v>0.52</v>
      </c>
      <c r="J273" s="20">
        <f t="shared" si="50"/>
        <v>0.34</v>
      </c>
      <c r="K273" s="20">
        <f t="shared" si="50"/>
        <v>0.02</v>
      </c>
      <c r="L273" s="20">
        <f t="shared" si="50"/>
        <v>0.04</v>
      </c>
      <c r="M273" s="20">
        <f t="shared" si="50"/>
        <v>0.77</v>
      </c>
      <c r="N273" s="20">
        <f t="shared" si="50"/>
        <v>0.42</v>
      </c>
      <c r="O273" s="20">
        <f t="shared" si="50"/>
        <v>0.12</v>
      </c>
      <c r="P273" s="20">
        <f t="shared" si="50"/>
        <v>0.74</v>
      </c>
    </row>
    <row r="274" spans="1:16" ht="20.100000000000001" customHeight="1" x14ac:dyDescent="0.2">
      <c r="D274" s="20" t="s">
        <v>534</v>
      </c>
      <c r="E274" s="20" t="str">
        <f t="shared" si="50"/>
        <v>Moderate/High</v>
      </c>
      <c r="F274" s="20" t="str">
        <f t="shared" si="50"/>
        <v>Winter</v>
      </c>
      <c r="G274" s="20">
        <f t="shared" si="50"/>
        <v>0.32</v>
      </c>
      <c r="H274" s="20">
        <f t="shared" si="50"/>
        <v>-0.06</v>
      </c>
      <c r="I274" s="20">
        <f t="shared" si="50"/>
        <v>0.25</v>
      </c>
      <c r="J274" s="20">
        <f t="shared" si="50"/>
        <v>0.19</v>
      </c>
      <c r="K274" s="20">
        <f t="shared" si="50"/>
        <v>-0.1</v>
      </c>
      <c r="L274" s="20">
        <f t="shared" si="50"/>
        <v>-0.02</v>
      </c>
      <c r="M274" s="20">
        <f t="shared" si="50"/>
        <v>0.02</v>
      </c>
      <c r="N274" s="20">
        <f t="shared" si="50"/>
        <v>0.23</v>
      </c>
      <c r="O274" s="20">
        <f t="shared" si="50"/>
        <v>-0.13</v>
      </c>
      <c r="P274" s="20">
        <f t="shared" si="50"/>
        <v>0</v>
      </c>
    </row>
    <row r="275" spans="1:16" ht="20.100000000000001" customHeight="1" x14ac:dyDescent="0.2">
      <c r="D275" s="20" t="s">
        <v>534</v>
      </c>
      <c r="E275" s="20" t="str">
        <f t="shared" si="50"/>
        <v>Moderate/Low</v>
      </c>
      <c r="F275" s="20" t="str">
        <f t="shared" si="50"/>
        <v>Spring</v>
      </c>
      <c r="G275" s="20">
        <f t="shared" si="50"/>
        <v>0.62</v>
      </c>
      <c r="H275" s="20">
        <f t="shared" si="50"/>
        <v>-0.19</v>
      </c>
      <c r="I275" s="20">
        <f t="shared" si="50"/>
        <v>0.37</v>
      </c>
      <c r="J275" s="20">
        <f t="shared" si="50"/>
        <v>0.41</v>
      </c>
      <c r="K275" s="20">
        <f t="shared" si="50"/>
        <v>0.06</v>
      </c>
      <c r="L275" s="20">
        <f t="shared" si="50"/>
        <v>-0.02</v>
      </c>
      <c r="M275" s="20">
        <f t="shared" si="50"/>
        <v>0.47</v>
      </c>
      <c r="N275" s="20">
        <f t="shared" si="50"/>
        <v>0.44</v>
      </c>
      <c r="O275" s="20">
        <f t="shared" si="50"/>
        <v>0.3</v>
      </c>
      <c r="P275" s="20">
        <f t="shared" si="50"/>
        <v>0.13</v>
      </c>
    </row>
    <row r="276" spans="1:16" ht="20.100000000000001" customHeight="1" x14ac:dyDescent="0.2">
      <c r="D276" s="20" t="s">
        <v>534</v>
      </c>
      <c r="E276" s="20" t="str">
        <f t="shared" si="50"/>
        <v>Moderate/Low</v>
      </c>
      <c r="F276" s="20" t="str">
        <f t="shared" si="50"/>
        <v>Summer</v>
      </c>
      <c r="G276" s="20">
        <f t="shared" si="50"/>
        <v>0.05</v>
      </c>
      <c r="H276" s="20">
        <f t="shared" si="50"/>
        <v>0.19</v>
      </c>
      <c r="I276" s="20">
        <f t="shared" si="50"/>
        <v>0.31</v>
      </c>
      <c r="J276" s="20">
        <f t="shared" si="50"/>
        <v>0.54</v>
      </c>
      <c r="K276" s="20">
        <f t="shared" si="50"/>
        <v>0.53</v>
      </c>
      <c r="L276" s="20">
        <f t="shared" si="50"/>
        <v>0.15</v>
      </c>
      <c r="M276" s="20">
        <f t="shared" si="50"/>
        <v>0.28000000000000003</v>
      </c>
      <c r="N276" s="20">
        <f t="shared" si="50"/>
        <v>0.56999999999999995</v>
      </c>
      <c r="O276" s="20">
        <f t="shared" si="50"/>
        <v>0.42</v>
      </c>
      <c r="P276" s="20">
        <f t="shared" si="50"/>
        <v>0.4</v>
      </c>
    </row>
    <row r="277" spans="1:16" ht="20.100000000000001" customHeight="1" x14ac:dyDescent="0.2">
      <c r="D277" s="20" t="s">
        <v>534</v>
      </c>
      <c r="E277" s="20" t="str">
        <f t="shared" si="50"/>
        <v>Moderate/Low</v>
      </c>
      <c r="F277" s="20" t="str">
        <f t="shared" si="50"/>
        <v>Autumn</v>
      </c>
      <c r="G277" s="20">
        <f t="shared" si="50"/>
        <v>0.33</v>
      </c>
      <c r="H277" s="20">
        <f t="shared" si="50"/>
        <v>0.13</v>
      </c>
      <c r="I277" s="20">
        <f t="shared" si="50"/>
        <v>0.39</v>
      </c>
      <c r="J277" s="20">
        <f t="shared" si="50"/>
        <v>0.36</v>
      </c>
      <c r="K277" s="20">
        <f t="shared" si="50"/>
        <v>0.26</v>
      </c>
      <c r="L277" s="20">
        <f t="shared" si="50"/>
        <v>0.11</v>
      </c>
      <c r="M277" s="20">
        <f t="shared" si="50"/>
        <v>0.4</v>
      </c>
      <c r="N277" s="20">
        <f t="shared" si="50"/>
        <v>0.44</v>
      </c>
      <c r="O277" s="20">
        <f t="shared" si="50"/>
        <v>0.37</v>
      </c>
      <c r="P277" s="20">
        <f t="shared" si="50"/>
        <v>-0.01</v>
      </c>
    </row>
    <row r="278" spans="1:16" ht="20.100000000000001" customHeight="1" x14ac:dyDescent="0.2">
      <c r="D278" s="20" t="s">
        <v>534</v>
      </c>
      <c r="E278" s="20" t="str">
        <f t="shared" si="50"/>
        <v>Moderate/Low</v>
      </c>
      <c r="F278" s="20" t="str">
        <f t="shared" si="50"/>
        <v>Winter</v>
      </c>
      <c r="G278" s="20">
        <f t="shared" si="50"/>
        <v>0.61</v>
      </c>
      <c r="H278" s="20">
        <f t="shared" si="50"/>
        <v>-0.06</v>
      </c>
      <c r="I278" s="20">
        <f t="shared" si="50"/>
        <v>0.21</v>
      </c>
      <c r="J278" s="20">
        <f t="shared" si="50"/>
        <v>0.18</v>
      </c>
      <c r="K278" s="20">
        <f t="shared" si="50"/>
        <v>0.12</v>
      </c>
      <c r="L278" s="20">
        <f t="shared" si="50"/>
        <v>0.06</v>
      </c>
      <c r="M278" s="20">
        <f t="shared" si="50"/>
        <v>0.28999999999999998</v>
      </c>
      <c r="N278" s="20">
        <f t="shared" si="50"/>
        <v>0.41</v>
      </c>
      <c r="O278" s="20">
        <f t="shared" si="50"/>
        <v>0.41</v>
      </c>
      <c r="P278" s="20">
        <f t="shared" si="50"/>
        <v>-0.15</v>
      </c>
    </row>
    <row r="279" spans="1:16" ht="20.100000000000001" customHeight="1" x14ac:dyDescent="0.2">
      <c r="D279" s="20" t="s">
        <v>534</v>
      </c>
      <c r="E279" s="20" t="str">
        <f t="shared" si="50"/>
        <v>Low</v>
      </c>
      <c r="F279" s="20" t="str">
        <f t="shared" si="50"/>
        <v>Spring</v>
      </c>
      <c r="G279" s="20">
        <f t="shared" si="50"/>
        <v>-0.2</v>
      </c>
      <c r="H279" s="20">
        <f t="shared" si="50"/>
        <v>0.02</v>
      </c>
      <c r="I279" s="20">
        <f t="shared" si="50"/>
        <v>0.24</v>
      </c>
      <c r="J279" s="20">
        <f t="shared" si="50"/>
        <v>0.3</v>
      </c>
      <c r="K279" s="20">
        <f t="shared" si="50"/>
        <v>0.23</v>
      </c>
      <c r="L279" s="20">
        <f t="shared" si="50"/>
        <v>-0.05</v>
      </c>
      <c r="M279" s="20">
        <f t="shared" si="50"/>
        <v>0.34</v>
      </c>
      <c r="N279" s="20">
        <f t="shared" si="50"/>
        <v>0.3</v>
      </c>
      <c r="O279" s="20">
        <f t="shared" si="50"/>
        <v>0.56999999999999995</v>
      </c>
      <c r="P279" s="20">
        <f t="shared" si="50"/>
        <v>0.52</v>
      </c>
    </row>
    <row r="280" spans="1:16" ht="20.100000000000001" customHeight="1" x14ac:dyDescent="0.2">
      <c r="D280" s="20" t="s">
        <v>534</v>
      </c>
      <c r="E280" s="20" t="str">
        <f t="shared" si="50"/>
        <v>Low</v>
      </c>
      <c r="F280" s="20" t="str">
        <f t="shared" si="50"/>
        <v>Summer</v>
      </c>
      <c r="G280" s="20">
        <f t="shared" si="50"/>
        <v>0.62</v>
      </c>
      <c r="H280" s="20">
        <f t="shared" si="50"/>
        <v>0.21</v>
      </c>
      <c r="I280" s="20">
        <f t="shared" si="50"/>
        <v>0.25</v>
      </c>
      <c r="J280" s="20">
        <f t="shared" si="50"/>
        <v>0.32</v>
      </c>
      <c r="K280" s="20">
        <f t="shared" si="50"/>
        <v>0.47</v>
      </c>
      <c r="L280" s="20">
        <f t="shared" si="50"/>
        <v>0.31</v>
      </c>
      <c r="M280" s="20">
        <f t="shared" si="50"/>
        <v>0.14000000000000001</v>
      </c>
      <c r="N280" s="20">
        <f t="shared" si="50"/>
        <v>0.4</v>
      </c>
      <c r="O280" s="20">
        <f t="shared" si="50"/>
        <v>0.26</v>
      </c>
      <c r="P280" s="20">
        <f t="shared" si="50"/>
        <v>0.43</v>
      </c>
    </row>
    <row r="281" spans="1:16" ht="20.100000000000001" customHeight="1" x14ac:dyDescent="0.2">
      <c r="A281" s="85" t="str">
        <f>HYPERLINK("#A1", "▲ Back to top")</f>
        <v>▲ Back to top</v>
      </c>
      <c r="D281" s="20" t="s">
        <v>534</v>
      </c>
      <c r="E281" s="20" t="str">
        <f t="shared" si="50"/>
        <v>Low</v>
      </c>
      <c r="F281" s="20" t="str">
        <f t="shared" si="50"/>
        <v>Autumn</v>
      </c>
      <c r="G281" s="20">
        <f t="shared" si="50"/>
        <v>0.4</v>
      </c>
      <c r="H281" s="20">
        <f t="shared" si="50"/>
        <v>0.13</v>
      </c>
      <c r="I281" s="20">
        <f t="shared" si="50"/>
        <v>0.12</v>
      </c>
      <c r="J281" s="20">
        <f t="shared" si="50"/>
        <v>0.27</v>
      </c>
      <c r="K281" s="20">
        <f t="shared" si="50"/>
        <v>0.3</v>
      </c>
      <c r="L281" s="20">
        <f t="shared" si="50"/>
        <v>0.08</v>
      </c>
      <c r="M281" s="20">
        <f t="shared" si="50"/>
        <v>0.13</v>
      </c>
      <c r="N281" s="20">
        <f t="shared" si="50"/>
        <v>0.24</v>
      </c>
      <c r="O281" s="20">
        <f t="shared" si="50"/>
        <v>0.15</v>
      </c>
      <c r="P281" s="20">
        <f t="shared" si="50"/>
        <v>0.21</v>
      </c>
    </row>
    <row r="282" spans="1:16" ht="20.100000000000001" customHeight="1" x14ac:dyDescent="0.2">
      <c r="D282" s="20" t="s">
        <v>534</v>
      </c>
      <c r="E282" s="20" t="str">
        <f t="shared" si="50"/>
        <v>Low</v>
      </c>
      <c r="F282" s="20" t="str">
        <f t="shared" si="50"/>
        <v>Winter</v>
      </c>
      <c r="G282" s="20">
        <f t="shared" si="50"/>
        <v>0.08</v>
      </c>
      <c r="H282" s="20">
        <f t="shared" si="50"/>
        <v>0.04</v>
      </c>
      <c r="I282" s="20">
        <f t="shared" si="50"/>
        <v>0.06</v>
      </c>
      <c r="J282" s="20">
        <f t="shared" si="50"/>
        <v>0.18</v>
      </c>
      <c r="K282" s="20">
        <f t="shared" si="50"/>
        <v>0.11</v>
      </c>
      <c r="L282" s="20">
        <f t="shared" si="50"/>
        <v>-7.0000000000000007E-2</v>
      </c>
      <c r="M282" s="20">
        <f t="shared" si="50"/>
        <v>0.13</v>
      </c>
      <c r="N282" s="20">
        <f t="shared" si="50"/>
        <v>0.16</v>
      </c>
      <c r="O282" s="20">
        <f t="shared" si="50"/>
        <v>0.4</v>
      </c>
      <c r="P282" s="20">
        <f t="shared" si="50"/>
        <v>0.33</v>
      </c>
    </row>
    <row r="283" spans="1:16" ht="20.100000000000001" customHeight="1" x14ac:dyDescent="0.2">
      <c r="M283" s="8"/>
    </row>
    <row r="284" spans="1:16" ht="20.100000000000001" customHeight="1" x14ac:dyDescent="0.2">
      <c r="M284" s="8"/>
    </row>
    <row r="285" spans="1:16" ht="20.100000000000001" customHeight="1" x14ac:dyDescent="0.2">
      <c r="D285" s="2" t="s">
        <v>1900</v>
      </c>
      <c r="M285" s="8"/>
    </row>
    <row r="286" spans="1:16" ht="20.100000000000001" customHeight="1" x14ac:dyDescent="0.2">
      <c r="D286" s="17" t="s">
        <v>1901</v>
      </c>
      <c r="M286" s="8"/>
    </row>
    <row r="287" spans="1:16" ht="20.100000000000001" customHeight="1" x14ac:dyDescent="0.2">
      <c r="D287" s="1" t="s">
        <v>1902</v>
      </c>
      <c r="M287" s="8"/>
    </row>
    <row r="288" spans="1:16" ht="20.100000000000001" customHeight="1" x14ac:dyDescent="0.2">
      <c r="D288" s="9" t="s">
        <v>347</v>
      </c>
      <c r="M288" s="8"/>
    </row>
    <row r="289" spans="4:13" ht="20.100000000000001" customHeight="1" x14ac:dyDescent="0.2">
      <c r="D289" s="26" t="s">
        <v>1903</v>
      </c>
      <c r="M289" s="8"/>
    </row>
    <row r="290" spans="4:13" ht="20.100000000000001" customHeight="1" x14ac:dyDescent="0.2">
      <c r="D290" s="20" t="s">
        <v>107</v>
      </c>
      <c r="E290" s="20" t="s">
        <v>490</v>
      </c>
      <c r="F290" s="20" t="s">
        <v>334</v>
      </c>
      <c r="G290" s="20" t="s">
        <v>335</v>
      </c>
      <c r="H290" s="20" t="s">
        <v>336</v>
      </c>
      <c r="I290" s="20" t="s">
        <v>337</v>
      </c>
      <c r="M290" s="8"/>
    </row>
    <row r="291" spans="4:13" ht="20.100000000000001" customHeight="1" x14ac:dyDescent="0.2">
      <c r="D291" s="20" t="s">
        <v>520</v>
      </c>
      <c r="E291" s="20" t="s">
        <v>494</v>
      </c>
      <c r="F291" s="20">
        <v>0.55000000000000004</v>
      </c>
      <c r="G291" s="20">
        <v>0.65</v>
      </c>
      <c r="H291" s="20">
        <v>0.6</v>
      </c>
      <c r="I291" s="20">
        <v>0.5</v>
      </c>
      <c r="M291" s="8"/>
    </row>
    <row r="292" spans="4:13" ht="20.100000000000001" customHeight="1" x14ac:dyDescent="0.2">
      <c r="D292" s="1" t="s">
        <v>521</v>
      </c>
      <c r="E292" s="20" t="s">
        <v>494</v>
      </c>
      <c r="F292" s="20">
        <v>0.55000000000000004</v>
      </c>
      <c r="G292" s="20">
        <v>0.65</v>
      </c>
      <c r="H292" s="20">
        <v>0.6</v>
      </c>
      <c r="I292" s="20">
        <v>0.5</v>
      </c>
      <c r="M292" s="8"/>
    </row>
    <row r="293" spans="4:13" ht="20.100000000000001" customHeight="1" x14ac:dyDescent="0.2">
      <c r="D293" s="1" t="s">
        <v>530</v>
      </c>
      <c r="E293" s="20" t="s">
        <v>492</v>
      </c>
      <c r="F293" s="20">
        <v>0.55000000000000004</v>
      </c>
      <c r="G293" s="20">
        <v>0.61</v>
      </c>
      <c r="H293" s="20">
        <v>0.56999999999999995</v>
      </c>
      <c r="I293" s="20">
        <v>0.54</v>
      </c>
      <c r="M293" s="8"/>
    </row>
    <row r="294" spans="4:13" ht="20.100000000000001" customHeight="1" x14ac:dyDescent="0.2">
      <c r="D294" s="1" t="s">
        <v>530</v>
      </c>
      <c r="E294" s="20" t="s">
        <v>497</v>
      </c>
      <c r="F294" s="20">
        <v>0.55000000000000004</v>
      </c>
      <c r="G294" s="20">
        <v>0.61</v>
      </c>
      <c r="H294" s="20">
        <v>0.56999999999999995</v>
      </c>
      <c r="I294" s="20">
        <v>0.54</v>
      </c>
      <c r="M294" s="8"/>
    </row>
    <row r="295" spans="4:13" ht="20.100000000000001" customHeight="1" x14ac:dyDescent="0.2">
      <c r="D295" s="1" t="s">
        <v>530</v>
      </c>
      <c r="E295" s="20" t="s">
        <v>500</v>
      </c>
      <c r="F295" s="20">
        <v>0.55000000000000004</v>
      </c>
      <c r="G295" s="20">
        <v>0.61</v>
      </c>
      <c r="H295" s="20">
        <v>0.56999999999999995</v>
      </c>
      <c r="I295" s="20">
        <v>0.54</v>
      </c>
      <c r="M295" s="8"/>
    </row>
    <row r="296" spans="4:13" ht="20.100000000000001" customHeight="1" x14ac:dyDescent="0.2">
      <c r="D296" s="1" t="s">
        <v>534</v>
      </c>
      <c r="E296" s="20" t="s">
        <v>493</v>
      </c>
      <c r="F296" s="20">
        <v>0.53</v>
      </c>
      <c r="G296" s="20">
        <v>0.56999999999999995</v>
      </c>
      <c r="H296" s="20">
        <v>0.55000000000000004</v>
      </c>
      <c r="I296" s="20">
        <v>0.51</v>
      </c>
      <c r="M296" s="8"/>
    </row>
    <row r="297" spans="4:13" ht="20.100000000000001" customHeight="1" x14ac:dyDescent="0.2">
      <c r="D297" s="1" t="s">
        <v>534</v>
      </c>
      <c r="E297" s="20" t="s">
        <v>498</v>
      </c>
      <c r="F297" s="20">
        <v>0.53</v>
      </c>
      <c r="G297" s="20">
        <v>0.56999999999999995</v>
      </c>
      <c r="H297" s="20">
        <v>0.55000000000000004</v>
      </c>
      <c r="I297" s="20">
        <v>0.51</v>
      </c>
      <c r="M297" s="8"/>
    </row>
    <row r="298" spans="4:13" ht="20.100000000000001" customHeight="1" x14ac:dyDescent="0.2">
      <c r="D298" s="1" t="s">
        <v>534</v>
      </c>
      <c r="E298" s="20" t="s">
        <v>501</v>
      </c>
      <c r="F298" s="20">
        <v>0.53</v>
      </c>
      <c r="G298" s="20">
        <v>0.56999999999999995</v>
      </c>
      <c r="H298" s="20">
        <v>0.55000000000000004</v>
      </c>
      <c r="I298" s="20">
        <v>0.51</v>
      </c>
      <c r="M298" s="8"/>
    </row>
    <row r="299" spans="4:13" ht="20.100000000000001" customHeight="1" x14ac:dyDescent="0.2">
      <c r="D299" s="1" t="s">
        <v>534</v>
      </c>
      <c r="E299" s="20" t="s">
        <v>504</v>
      </c>
      <c r="F299" s="20">
        <v>0.53</v>
      </c>
      <c r="G299" s="20">
        <v>0.56999999999999995</v>
      </c>
      <c r="H299" s="20">
        <v>0.55000000000000004</v>
      </c>
      <c r="I299" s="20">
        <v>0.51</v>
      </c>
      <c r="M299" s="8"/>
    </row>
    <row r="300" spans="4:13" ht="20.100000000000001" customHeight="1" x14ac:dyDescent="0.2">
      <c r="D300" s="1" t="s">
        <v>522</v>
      </c>
      <c r="E300" s="20" t="s">
        <v>494</v>
      </c>
      <c r="F300" s="20">
        <v>0.7</v>
      </c>
      <c r="G300" s="20">
        <v>0.55000000000000004</v>
      </c>
      <c r="H300" s="20">
        <v>0.55000000000000004</v>
      </c>
      <c r="I300" s="20">
        <v>0.75</v>
      </c>
      <c r="M300" s="8"/>
    </row>
    <row r="301" spans="4:13" ht="20.100000000000001" customHeight="1" x14ac:dyDescent="0.2">
      <c r="D301" s="1" t="s">
        <v>523</v>
      </c>
      <c r="E301" s="20" t="s">
        <v>494</v>
      </c>
      <c r="F301" s="20">
        <v>0.75</v>
      </c>
      <c r="G301" s="20">
        <v>0.6</v>
      </c>
      <c r="H301" s="20">
        <v>0.7</v>
      </c>
      <c r="I301" s="20">
        <v>0.75</v>
      </c>
      <c r="M301" s="8"/>
    </row>
    <row r="302" spans="4:13" ht="20.100000000000001" customHeight="1" x14ac:dyDescent="0.2">
      <c r="D302" s="1" t="s">
        <v>524</v>
      </c>
      <c r="E302" s="20" t="s">
        <v>494</v>
      </c>
      <c r="F302" s="20">
        <v>0.8</v>
      </c>
      <c r="G302" s="20">
        <v>0.55000000000000004</v>
      </c>
      <c r="H302" s="20">
        <v>0.6</v>
      </c>
      <c r="I302" s="20">
        <v>0.76</v>
      </c>
      <c r="M302" s="8"/>
    </row>
    <row r="303" spans="4:13" ht="20.100000000000001" customHeight="1" x14ac:dyDescent="0.2">
      <c r="D303" s="1" t="s">
        <v>526</v>
      </c>
      <c r="E303" s="20" t="s">
        <v>319</v>
      </c>
      <c r="F303" s="20">
        <v>0.8</v>
      </c>
      <c r="G303" s="20">
        <v>0.57999999999999996</v>
      </c>
      <c r="H303" s="20">
        <v>0.5</v>
      </c>
      <c r="I303" s="20">
        <v>0.75</v>
      </c>
      <c r="M303" s="8"/>
    </row>
    <row r="304" spans="4:13" ht="20.100000000000001" customHeight="1" x14ac:dyDescent="0.2">
      <c r="D304" s="1" t="s">
        <v>526</v>
      </c>
      <c r="E304" s="20" t="s">
        <v>496</v>
      </c>
      <c r="F304" s="20">
        <v>0.4</v>
      </c>
      <c r="G304" s="20">
        <v>0.65</v>
      </c>
      <c r="H304" s="20">
        <v>0.55000000000000004</v>
      </c>
      <c r="I304" s="20">
        <v>0.45</v>
      </c>
      <c r="M304" s="8"/>
    </row>
    <row r="305" spans="1:13" ht="20.100000000000001" customHeight="1" x14ac:dyDescent="0.2">
      <c r="D305" s="1" t="s">
        <v>526</v>
      </c>
      <c r="E305" s="20" t="s">
        <v>499</v>
      </c>
      <c r="F305" s="20">
        <v>0.4</v>
      </c>
      <c r="G305" s="20">
        <v>0.65</v>
      </c>
      <c r="H305" s="20">
        <v>0.55000000000000004</v>
      </c>
      <c r="I305" s="20">
        <v>0.45</v>
      </c>
      <c r="M305" s="8"/>
    </row>
    <row r="306" spans="1:13" ht="20.100000000000001" customHeight="1" x14ac:dyDescent="0.2">
      <c r="M306" s="8"/>
    </row>
    <row r="307" spans="1:13" ht="20.100000000000001" customHeight="1" x14ac:dyDescent="0.2">
      <c r="M307" s="8"/>
    </row>
    <row r="308" spans="1:13" ht="20.100000000000001" customHeight="1" x14ac:dyDescent="0.2">
      <c r="D308" s="2" t="s">
        <v>1904</v>
      </c>
      <c r="M308" s="8"/>
    </row>
    <row r="309" spans="1:13" ht="20.100000000000001" customHeight="1" x14ac:dyDescent="0.2">
      <c r="D309" s="17" t="s">
        <v>1905</v>
      </c>
      <c r="M309" s="8"/>
    </row>
    <row r="310" spans="1:13" ht="20.100000000000001" customHeight="1" x14ac:dyDescent="0.2">
      <c r="D310" s="1" t="s">
        <v>1906</v>
      </c>
      <c r="M310" s="8"/>
    </row>
    <row r="311" spans="1:13" ht="20.100000000000001" customHeight="1" x14ac:dyDescent="0.2">
      <c r="A311" s="85" t="str">
        <f>HYPERLINK("#A1", "▲ Back to top")</f>
        <v>▲ Back to top</v>
      </c>
      <c r="D311" s="9" t="s">
        <v>347</v>
      </c>
      <c r="M311" s="8"/>
    </row>
    <row r="312" spans="1:13" ht="20.100000000000001" customHeight="1" x14ac:dyDescent="0.2">
      <c r="D312" s="26" t="s">
        <v>1903</v>
      </c>
      <c r="M312" s="8"/>
    </row>
    <row r="313" spans="1:13" ht="20.100000000000001" customHeight="1" x14ac:dyDescent="0.2">
      <c r="D313" s="20" t="s">
        <v>107</v>
      </c>
      <c r="E313" s="20" t="s">
        <v>490</v>
      </c>
      <c r="F313" s="20" t="s">
        <v>334</v>
      </c>
      <c r="G313" s="20" t="s">
        <v>335</v>
      </c>
      <c r="H313" s="20" t="s">
        <v>336</v>
      </c>
      <c r="I313" s="20" t="s">
        <v>337</v>
      </c>
      <c r="M313" s="8"/>
    </row>
    <row r="314" spans="1:13" ht="20.100000000000001" customHeight="1" x14ac:dyDescent="0.2">
      <c r="D314" s="20" t="s">
        <v>520</v>
      </c>
      <c r="E314" s="20" t="s">
        <v>494</v>
      </c>
      <c r="F314" s="20">
        <v>7.0000000000000007E-2</v>
      </c>
      <c r="G314" s="20">
        <v>0.13</v>
      </c>
      <c r="H314" s="20">
        <v>0.1</v>
      </c>
      <c r="I314" s="20">
        <v>0.06</v>
      </c>
      <c r="M314" s="8"/>
    </row>
    <row r="315" spans="1:13" ht="20.100000000000001" customHeight="1" x14ac:dyDescent="0.2">
      <c r="D315" s="20" t="s">
        <v>521</v>
      </c>
      <c r="E315" s="20" t="s">
        <v>494</v>
      </c>
      <c r="F315" s="20">
        <v>7.0000000000000007E-2</v>
      </c>
      <c r="G315" s="20">
        <v>0.13</v>
      </c>
      <c r="H315" s="20">
        <v>0.1</v>
      </c>
      <c r="I315" s="20">
        <v>0.06</v>
      </c>
      <c r="M315" s="8"/>
    </row>
    <row r="316" spans="1:13" ht="20.100000000000001" customHeight="1" x14ac:dyDescent="0.2">
      <c r="D316" s="20" t="s">
        <v>530</v>
      </c>
      <c r="E316" s="20" t="s">
        <v>492</v>
      </c>
      <c r="F316" s="20">
        <v>5.8000000000000003E-2</v>
      </c>
      <c r="G316" s="20">
        <v>9.1999999999999998E-2</v>
      </c>
      <c r="H316" s="20">
        <v>7.4999999999999997E-2</v>
      </c>
      <c r="I316" s="20">
        <v>5.2999999999999999E-2</v>
      </c>
      <c r="M316" s="8"/>
    </row>
    <row r="317" spans="1:13" ht="20.100000000000001" customHeight="1" x14ac:dyDescent="0.2">
      <c r="D317" s="20" t="s">
        <v>530</v>
      </c>
      <c r="E317" s="20" t="s">
        <v>497</v>
      </c>
      <c r="F317" s="20">
        <v>5.8000000000000003E-2</v>
      </c>
      <c r="G317" s="20">
        <v>9.1999999999999998E-2</v>
      </c>
      <c r="H317" s="20">
        <v>7.4999999999999997E-2</v>
      </c>
      <c r="I317" s="20">
        <v>5.2999999999999999E-2</v>
      </c>
      <c r="M317" s="8"/>
    </row>
    <row r="318" spans="1:13" ht="20.100000000000001" customHeight="1" x14ac:dyDescent="0.2">
      <c r="D318" s="20" t="s">
        <v>530</v>
      </c>
      <c r="E318" s="20" t="s">
        <v>500</v>
      </c>
      <c r="F318" s="20">
        <v>5.8000000000000003E-2</v>
      </c>
      <c r="G318" s="20">
        <v>9.1999999999999998E-2</v>
      </c>
      <c r="H318" s="20">
        <v>7.4999999999999997E-2</v>
      </c>
      <c r="I318" s="20">
        <v>5.2999999999999999E-2</v>
      </c>
      <c r="M318" s="8"/>
    </row>
    <row r="319" spans="1:13" ht="20.100000000000001" customHeight="1" x14ac:dyDescent="0.2">
      <c r="D319" s="20" t="s">
        <v>534</v>
      </c>
      <c r="E319" s="20" t="s">
        <v>493</v>
      </c>
      <c r="F319" s="20">
        <v>7.1999999999999995E-2</v>
      </c>
      <c r="G319" s="20">
        <v>9.9000000000000005E-2</v>
      </c>
      <c r="H319" s="20">
        <v>7.8E-2</v>
      </c>
      <c r="I319" s="20">
        <v>5.8999999999999997E-2</v>
      </c>
      <c r="M319" s="1"/>
    </row>
    <row r="320" spans="1:13" ht="20.100000000000001" customHeight="1" x14ac:dyDescent="0.2">
      <c r="D320" s="20" t="s">
        <v>534</v>
      </c>
      <c r="E320" s="20" t="s">
        <v>498</v>
      </c>
      <c r="F320" s="20">
        <v>7.1999999999999995E-2</v>
      </c>
      <c r="G320" s="20">
        <v>9.9000000000000005E-2</v>
      </c>
      <c r="H320" s="20">
        <v>7.8E-2</v>
      </c>
      <c r="I320" s="20">
        <v>5.8999999999999997E-2</v>
      </c>
      <c r="M320" s="1"/>
    </row>
    <row r="321" spans="4:13" ht="20.100000000000001" customHeight="1" x14ac:dyDescent="0.2">
      <c r="D321" s="20" t="s">
        <v>534</v>
      </c>
      <c r="E321" s="20" t="s">
        <v>501</v>
      </c>
      <c r="F321" s="20">
        <v>7.1999999999999995E-2</v>
      </c>
      <c r="G321" s="20">
        <v>9.9000000000000005E-2</v>
      </c>
      <c r="H321" s="20">
        <v>7.8E-2</v>
      </c>
      <c r="I321" s="20">
        <v>5.8999999999999997E-2</v>
      </c>
      <c r="M321" s="1"/>
    </row>
    <row r="322" spans="4:13" ht="20.100000000000001" customHeight="1" x14ac:dyDescent="0.2">
      <c r="D322" s="20" t="s">
        <v>534</v>
      </c>
      <c r="E322" s="20" t="s">
        <v>504</v>
      </c>
      <c r="F322" s="20">
        <v>7.1999999999999995E-2</v>
      </c>
      <c r="G322" s="20">
        <v>9.9000000000000005E-2</v>
      </c>
      <c r="H322" s="20">
        <v>7.8E-2</v>
      </c>
      <c r="I322" s="20">
        <v>5.8999999999999997E-2</v>
      </c>
      <c r="M322" s="1"/>
    </row>
    <row r="323" spans="4:13" ht="20.100000000000001" customHeight="1" x14ac:dyDescent="0.2">
      <c r="D323" s="20" t="s">
        <v>522</v>
      </c>
      <c r="E323" s="20" t="s">
        <v>494</v>
      </c>
      <c r="F323" s="20">
        <v>0.16</v>
      </c>
      <c r="G323" s="20">
        <v>7.0000000000000007E-2</v>
      </c>
      <c r="H323" s="20">
        <v>0.09</v>
      </c>
      <c r="I323" s="20">
        <v>0.2</v>
      </c>
      <c r="M323" s="1"/>
    </row>
    <row r="324" spans="4:13" ht="20.100000000000001" customHeight="1" x14ac:dyDescent="0.2">
      <c r="D324" s="20" t="s">
        <v>523</v>
      </c>
      <c r="E324" s="20" t="s">
        <v>494</v>
      </c>
      <c r="F324" s="20">
        <v>0.2</v>
      </c>
      <c r="G324" s="20">
        <v>0.1</v>
      </c>
      <c r="H324" s="20">
        <v>0.16</v>
      </c>
      <c r="I324" s="20">
        <v>0.2</v>
      </c>
      <c r="M324" s="1"/>
    </row>
    <row r="325" spans="4:13" ht="20.100000000000001" customHeight="1" x14ac:dyDescent="0.2">
      <c r="D325" s="20" t="s">
        <v>524</v>
      </c>
      <c r="E325" s="20" t="s">
        <v>494</v>
      </c>
      <c r="F325" s="20">
        <v>0.25</v>
      </c>
      <c r="G325" s="20">
        <v>7.0000000000000007E-2</v>
      </c>
      <c r="H325" s="20">
        <v>0.1</v>
      </c>
      <c r="I325" s="20">
        <v>0.21</v>
      </c>
      <c r="M325" s="1"/>
    </row>
    <row r="326" spans="4:13" ht="20.100000000000001" customHeight="1" x14ac:dyDescent="0.2">
      <c r="D326" s="20" t="s">
        <v>526</v>
      </c>
      <c r="E326" s="20" t="s">
        <v>319</v>
      </c>
      <c r="F326" s="20">
        <v>0.2</v>
      </c>
      <c r="G326" s="20">
        <v>0.09</v>
      </c>
      <c r="H326" s="20">
        <v>0.06</v>
      </c>
      <c r="I326" s="20">
        <v>0.2</v>
      </c>
      <c r="M326" s="1"/>
    </row>
    <row r="327" spans="4:13" ht="20.100000000000001" customHeight="1" x14ac:dyDescent="0.2">
      <c r="D327" s="20" t="s">
        <v>526</v>
      </c>
      <c r="E327" s="20" t="s">
        <v>496</v>
      </c>
      <c r="F327" s="20">
        <v>0.04</v>
      </c>
      <c r="G327" s="20">
        <v>0.12</v>
      </c>
      <c r="H327" s="20">
        <v>0.09</v>
      </c>
      <c r="I327" s="20">
        <v>0.06</v>
      </c>
      <c r="M327" s="1"/>
    </row>
    <row r="328" spans="4:13" ht="20.100000000000001" customHeight="1" x14ac:dyDescent="0.2">
      <c r="D328" s="20" t="s">
        <v>526</v>
      </c>
      <c r="E328" s="20" t="s">
        <v>499</v>
      </c>
      <c r="F328" s="20">
        <v>0.04</v>
      </c>
      <c r="G328" s="20">
        <v>0.12</v>
      </c>
      <c r="H328" s="20">
        <v>0.09</v>
      </c>
      <c r="I328" s="20">
        <v>0.06</v>
      </c>
      <c r="M328" s="1"/>
    </row>
    <row r="329" spans="4:13" ht="20.100000000000001" customHeight="1" x14ac:dyDescent="0.2">
      <c r="M329" s="1"/>
    </row>
    <row r="330" spans="4:13" ht="20.100000000000001" customHeight="1" x14ac:dyDescent="0.2">
      <c r="M330" s="1"/>
    </row>
    <row r="331" spans="4:13" ht="20.100000000000001" customHeight="1" x14ac:dyDescent="0.2">
      <c r="D331" s="2" t="s">
        <v>1907</v>
      </c>
      <c r="M331" s="1"/>
    </row>
    <row r="332" spans="4:13" ht="20.100000000000001" customHeight="1" x14ac:dyDescent="0.2">
      <c r="D332" s="17" t="s">
        <v>1908</v>
      </c>
      <c r="M332" s="1"/>
    </row>
    <row r="333" spans="4:13" ht="20.100000000000001" customHeight="1" x14ac:dyDescent="0.2">
      <c r="D333" s="1" t="s">
        <v>1909</v>
      </c>
      <c r="I333" s="26" t="s">
        <v>555</v>
      </c>
      <c r="M333" s="1"/>
    </row>
    <row r="334" spans="4:13" ht="20.100000000000001" customHeight="1" x14ac:dyDescent="0.2">
      <c r="D334" s="20" t="s">
        <v>556</v>
      </c>
      <c r="E334" s="20" t="s">
        <v>76</v>
      </c>
      <c r="F334" s="20" t="s">
        <v>557</v>
      </c>
      <c r="G334" s="20" t="s">
        <v>558</v>
      </c>
      <c r="I334" s="20" t="s">
        <v>556</v>
      </c>
      <c r="J334" s="20" t="s">
        <v>76</v>
      </c>
      <c r="K334" s="20" t="s">
        <v>557</v>
      </c>
      <c r="L334" s="20" t="s">
        <v>558</v>
      </c>
      <c r="M334" s="1"/>
    </row>
    <row r="335" spans="4:13" ht="20.100000000000001" customHeight="1" x14ac:dyDescent="0.2">
      <c r="D335" s="20" t="s">
        <v>321</v>
      </c>
      <c r="E335" s="20" t="s">
        <v>334</v>
      </c>
      <c r="F335" s="20">
        <v>1.3</v>
      </c>
      <c r="G335" s="20">
        <v>6</v>
      </c>
      <c r="I335" s="20" t="str">
        <f>Table_SourceData_PastureBeef_FeedIntakeAdjustment[[#This Row],[Breed]]</f>
        <v>Hereford or Shorthorn breeds</v>
      </c>
      <c r="J335" s="20" t="s">
        <v>358</v>
      </c>
      <c r="K335" s="20">
        <f>Table_SourceData_PastureBeef_FeedIntakeAdjustment[[#This Row],[Feed adjustment]]</f>
        <v>1.3</v>
      </c>
      <c r="L335" s="20">
        <f>Table_SourceData_PastureBeef_FeedIntakeAdjustment[[#This Row],[Milk intake/production]]</f>
        <v>6</v>
      </c>
      <c r="M335" s="1"/>
    </row>
    <row r="336" spans="4:13" ht="20.100000000000001" customHeight="1" x14ac:dyDescent="0.2">
      <c r="D336" s="1" t="s">
        <v>321</v>
      </c>
      <c r="E336" s="20" t="s">
        <v>335</v>
      </c>
      <c r="F336" s="20">
        <v>1.1000000000000001</v>
      </c>
      <c r="G336" s="20">
        <v>4</v>
      </c>
      <c r="I336" s="1" t="str">
        <f>Table_SourceData_PastureBeef_FeedIntakeAdjustment[[#This Row],[Breed]]</f>
        <v>Hereford or Shorthorn breeds</v>
      </c>
      <c r="J336" s="20" t="s">
        <v>385</v>
      </c>
      <c r="K336" s="20">
        <f>Table_SourceData_PastureBeef_FeedIntakeAdjustment[[#This Row],[Feed adjustment]]</f>
        <v>1.1000000000000001</v>
      </c>
      <c r="L336" s="20">
        <f>Table_SourceData_PastureBeef_FeedIntakeAdjustment[[#This Row],[Milk intake/production]]</f>
        <v>4</v>
      </c>
      <c r="M336" s="1"/>
    </row>
    <row r="337" spans="1:13" ht="20.100000000000001" customHeight="1" x14ac:dyDescent="0.2">
      <c r="D337" s="1" t="s">
        <v>321</v>
      </c>
      <c r="E337" s="20" t="s">
        <v>336</v>
      </c>
      <c r="F337" s="20">
        <v>0</v>
      </c>
      <c r="G337" s="20">
        <v>0</v>
      </c>
      <c r="I337" s="1" t="str">
        <f>D340</f>
        <v>Northern Brahman cross breed</v>
      </c>
      <c r="J337" s="20" t="s">
        <v>358</v>
      </c>
      <c r="K337" s="20">
        <f>F340</f>
        <v>1.3</v>
      </c>
      <c r="L337" s="20">
        <f t="shared" ref="L337:L338" si="51">G340</f>
        <v>4</v>
      </c>
      <c r="M337" s="1"/>
    </row>
    <row r="338" spans="1:13" ht="20.100000000000001" customHeight="1" x14ac:dyDescent="0.2">
      <c r="D338" s="1" t="s">
        <v>321</v>
      </c>
      <c r="E338" s="20" t="s">
        <v>337</v>
      </c>
      <c r="F338" s="20">
        <v>0</v>
      </c>
      <c r="G338" s="20">
        <v>0</v>
      </c>
      <c r="I338" s="1" t="str">
        <f>D341</f>
        <v>Northern Brahman cross breed</v>
      </c>
      <c r="J338" s="20" t="s">
        <v>385</v>
      </c>
      <c r="K338" s="20">
        <f t="shared" ref="K338" si="52">F341</f>
        <v>1.1000000000000001</v>
      </c>
      <c r="L338" s="20">
        <f t="shared" si="51"/>
        <v>3</v>
      </c>
      <c r="M338" s="1"/>
    </row>
    <row r="339" spans="1:13" ht="20.100000000000001" customHeight="1" x14ac:dyDescent="0.2">
      <c r="D339" s="1" t="s">
        <v>1910</v>
      </c>
      <c r="E339" s="20" t="s">
        <v>334</v>
      </c>
      <c r="F339" s="20">
        <v>0</v>
      </c>
      <c r="G339" s="20">
        <v>0</v>
      </c>
      <c r="M339" s="1"/>
    </row>
    <row r="340" spans="1:13" ht="20.100000000000001" customHeight="1" x14ac:dyDescent="0.2">
      <c r="D340" s="1" t="s">
        <v>1910</v>
      </c>
      <c r="E340" s="20" t="s">
        <v>335</v>
      </c>
      <c r="F340" s="20">
        <v>1.3</v>
      </c>
      <c r="G340" s="20">
        <v>4</v>
      </c>
      <c r="M340" s="1"/>
    </row>
    <row r="341" spans="1:13" ht="20.100000000000001" customHeight="1" x14ac:dyDescent="0.2">
      <c r="A341" s="85" t="str">
        <f>HYPERLINK("#A1", "▲ Back to top")</f>
        <v>▲ Back to top</v>
      </c>
      <c r="D341" s="1" t="s">
        <v>1910</v>
      </c>
      <c r="E341" s="20" t="s">
        <v>336</v>
      </c>
      <c r="F341" s="20">
        <v>1.1000000000000001</v>
      </c>
      <c r="G341" s="20">
        <v>3</v>
      </c>
      <c r="M341" s="1"/>
    </row>
    <row r="342" spans="1:13" ht="20.100000000000001" customHeight="1" x14ac:dyDescent="0.2">
      <c r="D342" s="1" t="s">
        <v>1910</v>
      </c>
      <c r="E342" s="20" t="s">
        <v>337</v>
      </c>
      <c r="F342" s="20">
        <v>0</v>
      </c>
      <c r="G342" s="20">
        <v>0</v>
      </c>
      <c r="M342" s="1"/>
    </row>
    <row r="343" spans="1:13" ht="20.100000000000001" customHeight="1" x14ac:dyDescent="0.2">
      <c r="M343" s="1"/>
    </row>
    <row r="344" spans="1:13" ht="20.100000000000001" customHeight="1" x14ac:dyDescent="0.2">
      <c r="M344" s="1"/>
    </row>
    <row r="345" spans="1:13" ht="20.100000000000001" customHeight="1" x14ac:dyDescent="0.2">
      <c r="D345" s="2" t="s">
        <v>1911</v>
      </c>
      <c r="M345" s="1"/>
    </row>
    <row r="346" spans="1:13" ht="20.100000000000001" customHeight="1" x14ac:dyDescent="0.2">
      <c r="D346" s="17" t="s">
        <v>1912</v>
      </c>
      <c r="M346" s="1"/>
    </row>
    <row r="347" spans="1:13" ht="20.100000000000001" customHeight="1" x14ac:dyDescent="0.2">
      <c r="D347" s="1" t="s">
        <v>1913</v>
      </c>
      <c r="M347" s="1"/>
    </row>
    <row r="348" spans="1:13" ht="20.100000000000001" customHeight="1" x14ac:dyDescent="0.2">
      <c r="D348" s="9" t="s">
        <v>653</v>
      </c>
      <c r="M348" s="1"/>
    </row>
    <row r="349" spans="1:13" ht="20.100000000000001" customHeight="1" x14ac:dyDescent="0.2">
      <c r="D349" s="26" t="s">
        <v>1914</v>
      </c>
      <c r="M349" s="1"/>
    </row>
    <row r="350" spans="1:13" ht="20.100000000000001" customHeight="1" x14ac:dyDescent="0.2">
      <c r="D350" s="20" t="s">
        <v>107</v>
      </c>
      <c r="E350" s="20" t="s">
        <v>559</v>
      </c>
      <c r="F350" s="20" t="s">
        <v>560</v>
      </c>
      <c r="G350" s="20" t="s">
        <v>541</v>
      </c>
      <c r="H350" s="20" t="s">
        <v>542</v>
      </c>
      <c r="I350" s="20" t="s">
        <v>561</v>
      </c>
      <c r="J350" s="20" t="s">
        <v>545</v>
      </c>
      <c r="K350" s="20" t="s">
        <v>552</v>
      </c>
      <c r="L350" s="20" t="s">
        <v>562</v>
      </c>
      <c r="M350" s="1"/>
    </row>
    <row r="351" spans="1:13" ht="20.100000000000001" customHeight="1" x14ac:dyDescent="0.2">
      <c r="D351" s="20" t="s">
        <v>520</v>
      </c>
      <c r="E351" s="20">
        <v>700</v>
      </c>
      <c r="F351" s="20">
        <v>700</v>
      </c>
      <c r="G351" s="20">
        <v>500</v>
      </c>
      <c r="H351" s="20">
        <v>500</v>
      </c>
      <c r="I351" s="20">
        <v>500</v>
      </c>
      <c r="J351" s="20">
        <v>600</v>
      </c>
      <c r="K351" s="20">
        <v>600</v>
      </c>
      <c r="L351" s="20" t="s">
        <v>520</v>
      </c>
      <c r="M351" s="1"/>
    </row>
    <row r="352" spans="1:13" ht="20.100000000000001" customHeight="1" x14ac:dyDescent="0.2">
      <c r="D352" s="1" t="s">
        <v>521</v>
      </c>
      <c r="E352" s="20">
        <v>700</v>
      </c>
      <c r="F352" s="20">
        <v>700</v>
      </c>
      <c r="G352" s="20">
        <v>500</v>
      </c>
      <c r="H352" s="20">
        <v>500</v>
      </c>
      <c r="I352" s="20">
        <v>500</v>
      </c>
      <c r="J352" s="20">
        <v>600</v>
      </c>
      <c r="K352" s="20">
        <v>600</v>
      </c>
      <c r="L352" s="20" t="s">
        <v>521</v>
      </c>
      <c r="M352" s="1"/>
    </row>
    <row r="353" spans="4:15" ht="20.100000000000001" customHeight="1" x14ac:dyDescent="0.2">
      <c r="D353" s="1" t="s">
        <v>1892</v>
      </c>
      <c r="E353" s="20">
        <v>770</v>
      </c>
      <c r="F353" s="20">
        <v>770</v>
      </c>
      <c r="G353" s="20">
        <v>550</v>
      </c>
      <c r="H353" s="20">
        <v>550</v>
      </c>
      <c r="I353" s="20">
        <v>550</v>
      </c>
      <c r="J353" s="20">
        <v>660</v>
      </c>
      <c r="K353" s="20">
        <v>660</v>
      </c>
      <c r="L353" s="20" t="s">
        <v>530</v>
      </c>
      <c r="M353" s="1"/>
    </row>
    <row r="354" spans="4:15" ht="20.100000000000001" customHeight="1" x14ac:dyDescent="0.2">
      <c r="D354" s="1" t="s">
        <v>1894</v>
      </c>
      <c r="E354" s="20">
        <v>770</v>
      </c>
      <c r="F354" s="20">
        <v>770</v>
      </c>
      <c r="G354" s="20">
        <v>550</v>
      </c>
      <c r="H354" s="20">
        <v>550</v>
      </c>
      <c r="I354" s="20">
        <v>550</v>
      </c>
      <c r="J354" s="20">
        <v>660</v>
      </c>
      <c r="K354" s="20">
        <v>660</v>
      </c>
      <c r="L354" s="20" t="s">
        <v>534</v>
      </c>
      <c r="M354" s="1"/>
    </row>
    <row r="355" spans="4:15" ht="20.100000000000001" customHeight="1" x14ac:dyDescent="0.2">
      <c r="D355" s="1" t="s">
        <v>1887</v>
      </c>
      <c r="E355" s="20">
        <v>770</v>
      </c>
      <c r="F355" s="20">
        <v>770</v>
      </c>
      <c r="G355" s="20">
        <v>550</v>
      </c>
      <c r="H355" s="20">
        <v>550</v>
      </c>
      <c r="I355" s="20">
        <v>550</v>
      </c>
      <c r="J355" s="20">
        <v>660</v>
      </c>
      <c r="K355" s="20">
        <v>660</v>
      </c>
      <c r="L355" s="20" t="s">
        <v>522</v>
      </c>
      <c r="M355" s="1"/>
    </row>
    <row r="356" spans="4:15" ht="20.100000000000001" customHeight="1" x14ac:dyDescent="0.2">
      <c r="D356" s="1" t="s">
        <v>1888</v>
      </c>
      <c r="E356" s="20">
        <v>770</v>
      </c>
      <c r="F356" s="20">
        <v>770</v>
      </c>
      <c r="G356" s="20">
        <v>550</v>
      </c>
      <c r="H356" s="20">
        <v>550</v>
      </c>
      <c r="I356" s="20">
        <v>550</v>
      </c>
      <c r="J356" s="20">
        <v>660</v>
      </c>
      <c r="K356" s="20">
        <v>660</v>
      </c>
      <c r="L356" s="20" t="s">
        <v>523</v>
      </c>
      <c r="M356" s="1"/>
    </row>
    <row r="357" spans="4:15" ht="20.100000000000001" customHeight="1" x14ac:dyDescent="0.2">
      <c r="D357" s="1" t="s">
        <v>1889</v>
      </c>
      <c r="E357" s="20">
        <v>770</v>
      </c>
      <c r="F357" s="20">
        <v>770</v>
      </c>
      <c r="G357" s="20">
        <v>550</v>
      </c>
      <c r="H357" s="20">
        <v>550</v>
      </c>
      <c r="I357" s="20">
        <v>550</v>
      </c>
      <c r="J357" s="20">
        <v>660</v>
      </c>
      <c r="K357" s="20">
        <v>660</v>
      </c>
      <c r="L357" s="20" t="s">
        <v>524</v>
      </c>
      <c r="M357" s="1"/>
    </row>
    <row r="358" spans="4:15" ht="20.100000000000001" customHeight="1" x14ac:dyDescent="0.2">
      <c r="D358" s="1" t="s">
        <v>108</v>
      </c>
      <c r="E358" s="20">
        <v>770</v>
      </c>
      <c r="F358" s="20">
        <v>770</v>
      </c>
      <c r="G358" s="20">
        <v>550</v>
      </c>
      <c r="H358" s="20">
        <v>550</v>
      </c>
      <c r="I358" s="20">
        <v>550</v>
      </c>
      <c r="J358" s="20">
        <v>660</v>
      </c>
      <c r="K358" s="20">
        <v>660</v>
      </c>
      <c r="L358" s="20" t="s">
        <v>526</v>
      </c>
      <c r="M358" s="1"/>
    </row>
    <row r="359" spans="4:15" ht="20.100000000000001" customHeight="1" x14ac:dyDescent="0.2">
      <c r="M359" s="1"/>
    </row>
    <row r="360" spans="4:15" ht="20.100000000000001" customHeight="1" x14ac:dyDescent="0.2">
      <c r="M360" s="1"/>
    </row>
    <row r="361" spans="4:15" ht="20.100000000000001" customHeight="1" x14ac:dyDescent="0.2">
      <c r="D361" s="20" t="s">
        <v>107</v>
      </c>
      <c r="E361" s="124" t="s">
        <v>325</v>
      </c>
      <c r="F361" s="124" t="s">
        <v>189</v>
      </c>
      <c r="G361" s="124" t="s">
        <v>326</v>
      </c>
      <c r="H361" s="124" t="s">
        <v>327</v>
      </c>
      <c r="I361" s="124" t="s">
        <v>328</v>
      </c>
      <c r="J361" s="124" t="s">
        <v>329</v>
      </c>
      <c r="K361" s="124" t="s">
        <v>330</v>
      </c>
      <c r="L361" s="124" t="s">
        <v>331</v>
      </c>
      <c r="M361" s="124" t="s">
        <v>332</v>
      </c>
      <c r="N361" s="124" t="s">
        <v>333</v>
      </c>
      <c r="O361" s="20" t="s">
        <v>562</v>
      </c>
    </row>
    <row r="362" spans="4:15" ht="20.100000000000001" customHeight="1" x14ac:dyDescent="0.2">
      <c r="D362" s="20" t="str">
        <f>D351</f>
        <v>ACT</v>
      </c>
      <c r="E362" s="20">
        <f t="shared" ref="E362:H362" si="53">E351</f>
        <v>700</v>
      </c>
      <c r="F362" s="20">
        <f t="shared" si="53"/>
        <v>700</v>
      </c>
      <c r="G362" s="20">
        <f t="shared" si="53"/>
        <v>500</v>
      </c>
      <c r="H362" s="20">
        <f t="shared" si="53"/>
        <v>500</v>
      </c>
      <c r="I362" s="20">
        <f>I351</f>
        <v>500</v>
      </c>
      <c r="J362" s="20">
        <f>I351</f>
        <v>500</v>
      </c>
      <c r="K362" s="20">
        <f t="shared" ref="K362" si="54">J351</f>
        <v>600</v>
      </c>
      <c r="L362" s="20">
        <f>K351</f>
        <v>600</v>
      </c>
      <c r="M362" s="20">
        <f>K351</f>
        <v>600</v>
      </c>
      <c r="N362" s="20">
        <f>K351</f>
        <v>600</v>
      </c>
      <c r="O362" s="20" t="str">
        <f>L351</f>
        <v>ACT</v>
      </c>
    </row>
    <row r="363" spans="4:15" ht="20.100000000000001" customHeight="1" x14ac:dyDescent="0.2">
      <c r="D363" s="20" t="str">
        <f t="shared" ref="D363:I369" si="55">D352</f>
        <v>NSW</v>
      </c>
      <c r="E363" s="20">
        <f t="shared" si="55"/>
        <v>700</v>
      </c>
      <c r="F363" s="20">
        <f t="shared" si="55"/>
        <v>700</v>
      </c>
      <c r="G363" s="20">
        <f t="shared" si="55"/>
        <v>500</v>
      </c>
      <c r="H363" s="20">
        <f t="shared" si="55"/>
        <v>500</v>
      </c>
      <c r="I363" s="20">
        <f t="shared" si="55"/>
        <v>500</v>
      </c>
      <c r="J363" s="20">
        <f t="shared" ref="J363:L369" si="56">I352</f>
        <v>500</v>
      </c>
      <c r="K363" s="20">
        <f t="shared" si="56"/>
        <v>600</v>
      </c>
      <c r="L363" s="20">
        <f t="shared" si="56"/>
        <v>600</v>
      </c>
      <c r="M363" s="20">
        <f t="shared" ref="M363:M369" si="57">K352</f>
        <v>600</v>
      </c>
      <c r="N363" s="20">
        <f t="shared" ref="N363:O369" si="58">K352</f>
        <v>600</v>
      </c>
      <c r="O363" s="20" t="str">
        <f t="shared" si="58"/>
        <v>NSW</v>
      </c>
    </row>
    <row r="364" spans="4:15" ht="20.100000000000001" customHeight="1" x14ac:dyDescent="0.2">
      <c r="D364" s="20" t="str">
        <f t="shared" si="55"/>
        <v>Northern Territory</v>
      </c>
      <c r="E364" s="20">
        <f t="shared" si="55"/>
        <v>770</v>
      </c>
      <c r="F364" s="20">
        <f t="shared" si="55"/>
        <v>770</v>
      </c>
      <c r="G364" s="20">
        <f t="shared" si="55"/>
        <v>550</v>
      </c>
      <c r="H364" s="20">
        <f t="shared" si="55"/>
        <v>550</v>
      </c>
      <c r="I364" s="20">
        <f t="shared" si="55"/>
        <v>550</v>
      </c>
      <c r="J364" s="20">
        <f t="shared" si="56"/>
        <v>550</v>
      </c>
      <c r="K364" s="20">
        <f t="shared" si="56"/>
        <v>660</v>
      </c>
      <c r="L364" s="20">
        <f t="shared" si="56"/>
        <v>660</v>
      </c>
      <c r="M364" s="20">
        <f t="shared" si="57"/>
        <v>660</v>
      </c>
      <c r="N364" s="20">
        <f t="shared" si="58"/>
        <v>660</v>
      </c>
      <c r="O364" s="20" t="str">
        <f t="shared" si="58"/>
        <v>NT</v>
      </c>
    </row>
    <row r="365" spans="4:15" ht="20.100000000000001" customHeight="1" x14ac:dyDescent="0.2">
      <c r="D365" s="20" t="str">
        <f t="shared" si="55"/>
        <v>Queensland</v>
      </c>
      <c r="E365" s="20">
        <f t="shared" si="55"/>
        <v>770</v>
      </c>
      <c r="F365" s="20">
        <f t="shared" si="55"/>
        <v>770</v>
      </c>
      <c r="G365" s="20">
        <f t="shared" si="55"/>
        <v>550</v>
      </c>
      <c r="H365" s="20">
        <f t="shared" si="55"/>
        <v>550</v>
      </c>
      <c r="I365" s="20">
        <f t="shared" si="55"/>
        <v>550</v>
      </c>
      <c r="J365" s="20">
        <f t="shared" si="56"/>
        <v>550</v>
      </c>
      <c r="K365" s="20">
        <f t="shared" si="56"/>
        <v>660</v>
      </c>
      <c r="L365" s="20">
        <f t="shared" si="56"/>
        <v>660</v>
      </c>
      <c r="M365" s="20">
        <f t="shared" si="57"/>
        <v>660</v>
      </c>
      <c r="N365" s="20">
        <f t="shared" si="58"/>
        <v>660</v>
      </c>
      <c r="O365" s="20" t="str">
        <f t="shared" si="58"/>
        <v>QLD</v>
      </c>
    </row>
    <row r="366" spans="4:15" ht="20.100000000000001" customHeight="1" x14ac:dyDescent="0.2">
      <c r="D366" s="20" t="str">
        <f t="shared" si="55"/>
        <v>South Australia</v>
      </c>
      <c r="E366" s="20">
        <f t="shared" si="55"/>
        <v>770</v>
      </c>
      <c r="F366" s="20">
        <f t="shared" si="55"/>
        <v>770</v>
      </c>
      <c r="G366" s="20">
        <f t="shared" si="55"/>
        <v>550</v>
      </c>
      <c r="H366" s="20">
        <f t="shared" si="55"/>
        <v>550</v>
      </c>
      <c r="I366" s="20">
        <f t="shared" si="55"/>
        <v>550</v>
      </c>
      <c r="J366" s="20">
        <f t="shared" si="56"/>
        <v>550</v>
      </c>
      <c r="K366" s="20">
        <f t="shared" si="56"/>
        <v>660</v>
      </c>
      <c r="L366" s="20">
        <f t="shared" si="56"/>
        <v>660</v>
      </c>
      <c r="M366" s="20">
        <f t="shared" si="57"/>
        <v>660</v>
      </c>
      <c r="N366" s="20">
        <f t="shared" si="58"/>
        <v>660</v>
      </c>
      <c r="O366" s="20" t="str">
        <f t="shared" si="58"/>
        <v>SA</v>
      </c>
    </row>
    <row r="367" spans="4:15" ht="20.100000000000001" customHeight="1" x14ac:dyDescent="0.2">
      <c r="D367" s="20" t="str">
        <f t="shared" si="55"/>
        <v>Tasmania</v>
      </c>
      <c r="E367" s="20">
        <f t="shared" si="55"/>
        <v>770</v>
      </c>
      <c r="F367" s="20">
        <f t="shared" si="55"/>
        <v>770</v>
      </c>
      <c r="G367" s="20">
        <f t="shared" si="55"/>
        <v>550</v>
      </c>
      <c r="H367" s="20">
        <f t="shared" si="55"/>
        <v>550</v>
      </c>
      <c r="I367" s="20">
        <f t="shared" si="55"/>
        <v>550</v>
      </c>
      <c r="J367" s="20">
        <f t="shared" si="56"/>
        <v>550</v>
      </c>
      <c r="K367" s="20">
        <f t="shared" si="56"/>
        <v>660</v>
      </c>
      <c r="L367" s="20">
        <f t="shared" si="56"/>
        <v>660</v>
      </c>
      <c r="M367" s="20">
        <f t="shared" si="57"/>
        <v>660</v>
      </c>
      <c r="N367" s="20">
        <f t="shared" si="58"/>
        <v>660</v>
      </c>
      <c r="O367" s="20" t="str">
        <f t="shared" si="58"/>
        <v>TAS</v>
      </c>
    </row>
    <row r="368" spans="4:15" ht="20.100000000000001" customHeight="1" x14ac:dyDescent="0.2">
      <c r="D368" s="20" t="str">
        <f t="shared" si="55"/>
        <v>Victoria</v>
      </c>
      <c r="E368" s="20">
        <f t="shared" si="55"/>
        <v>770</v>
      </c>
      <c r="F368" s="20">
        <f t="shared" si="55"/>
        <v>770</v>
      </c>
      <c r="G368" s="20">
        <f t="shared" si="55"/>
        <v>550</v>
      </c>
      <c r="H368" s="20">
        <f t="shared" si="55"/>
        <v>550</v>
      </c>
      <c r="I368" s="20">
        <f t="shared" si="55"/>
        <v>550</v>
      </c>
      <c r="J368" s="20">
        <f t="shared" si="56"/>
        <v>550</v>
      </c>
      <c r="K368" s="20">
        <f t="shared" si="56"/>
        <v>660</v>
      </c>
      <c r="L368" s="20">
        <f t="shared" si="56"/>
        <v>660</v>
      </c>
      <c r="M368" s="20">
        <f t="shared" si="57"/>
        <v>660</v>
      </c>
      <c r="N368" s="20">
        <f t="shared" si="58"/>
        <v>660</v>
      </c>
      <c r="O368" s="20" t="str">
        <f t="shared" si="58"/>
        <v>VIC</v>
      </c>
    </row>
    <row r="369" spans="1:15" ht="20.100000000000001" customHeight="1" x14ac:dyDescent="0.2">
      <c r="D369" s="20" t="str">
        <f t="shared" si="55"/>
        <v>Western Australia</v>
      </c>
      <c r="E369" s="20">
        <f t="shared" si="55"/>
        <v>770</v>
      </c>
      <c r="F369" s="20">
        <f t="shared" si="55"/>
        <v>770</v>
      </c>
      <c r="G369" s="20">
        <f t="shared" si="55"/>
        <v>550</v>
      </c>
      <c r="H369" s="20">
        <f t="shared" si="55"/>
        <v>550</v>
      </c>
      <c r="I369" s="20">
        <f t="shared" si="55"/>
        <v>550</v>
      </c>
      <c r="J369" s="20">
        <f t="shared" si="56"/>
        <v>550</v>
      </c>
      <c r="K369" s="20">
        <f t="shared" si="56"/>
        <v>660</v>
      </c>
      <c r="L369" s="20">
        <f t="shared" si="56"/>
        <v>660</v>
      </c>
      <c r="M369" s="20">
        <f t="shared" si="57"/>
        <v>660</v>
      </c>
      <c r="N369" s="20">
        <f t="shared" si="58"/>
        <v>660</v>
      </c>
      <c r="O369" s="20" t="str">
        <f t="shared" si="58"/>
        <v>WA</v>
      </c>
    </row>
    <row r="370" spans="1:15" ht="20.100000000000001" customHeight="1" x14ac:dyDescent="0.2">
      <c r="M370" s="1"/>
    </row>
    <row r="371" spans="1:15" ht="20.100000000000001" customHeight="1" x14ac:dyDescent="0.2">
      <c r="A371" s="85" t="str">
        <f>HYPERLINK("#A1", "▲ Back to top")</f>
        <v>▲ Back to top</v>
      </c>
      <c r="M371" s="1"/>
    </row>
    <row r="372" spans="1:15" ht="20.100000000000001" customHeight="1" x14ac:dyDescent="0.2">
      <c r="D372" s="2" t="s">
        <v>1915</v>
      </c>
      <c r="M372" s="1"/>
    </row>
    <row r="373" spans="1:15" ht="20.100000000000001" customHeight="1" x14ac:dyDescent="0.2">
      <c r="D373" s="17" t="s">
        <v>1916</v>
      </c>
      <c r="M373" s="1"/>
    </row>
    <row r="374" spans="1:15" ht="20.100000000000001" customHeight="1" x14ac:dyDescent="0.2">
      <c r="D374" s="1" t="s">
        <v>412</v>
      </c>
      <c r="M374" s="1"/>
    </row>
    <row r="375" spans="1:15" ht="20.100000000000001" customHeight="1" x14ac:dyDescent="0.2">
      <c r="D375" s="9" t="s">
        <v>347</v>
      </c>
      <c r="E375" s="125" t="s">
        <v>563</v>
      </c>
      <c r="M375" s="1"/>
    </row>
    <row r="376" spans="1:15" ht="20.100000000000001" customHeight="1" x14ac:dyDescent="0.2">
      <c r="D376" s="26" t="s">
        <v>1917</v>
      </c>
      <c r="M376" s="1"/>
    </row>
    <row r="377" spans="1:15" ht="20.100000000000001" customHeight="1" x14ac:dyDescent="0.2">
      <c r="D377" s="20" t="s">
        <v>107</v>
      </c>
      <c r="E377" s="20" t="s">
        <v>490</v>
      </c>
      <c r="F377" s="20" t="s">
        <v>91</v>
      </c>
      <c r="G377" s="20" t="s">
        <v>564</v>
      </c>
      <c r="M377" s="1"/>
    </row>
    <row r="378" spans="1:15" ht="20.100000000000001" customHeight="1" x14ac:dyDescent="0.2">
      <c r="D378" s="20" t="s">
        <v>520</v>
      </c>
      <c r="E378" s="20" t="s">
        <v>494</v>
      </c>
      <c r="F378" s="20">
        <v>99.191999999999993</v>
      </c>
      <c r="G378" s="20">
        <v>0.80800000000000005</v>
      </c>
      <c r="M378" s="1"/>
    </row>
    <row r="379" spans="1:15" ht="20.100000000000001" customHeight="1" x14ac:dyDescent="0.2">
      <c r="D379" s="1" t="s">
        <v>521</v>
      </c>
      <c r="E379" s="20" t="s">
        <v>494</v>
      </c>
      <c r="F379" s="20">
        <v>99.451999999999998</v>
      </c>
      <c r="G379" s="20">
        <v>0.54800000000000004</v>
      </c>
      <c r="M379" s="1"/>
    </row>
    <row r="380" spans="1:15" ht="20.100000000000001" customHeight="1" x14ac:dyDescent="0.2">
      <c r="D380" s="1" t="s">
        <v>522</v>
      </c>
      <c r="E380" s="20" t="s">
        <v>494</v>
      </c>
      <c r="F380" s="20">
        <v>99.759</v>
      </c>
      <c r="G380" s="20">
        <v>0.24099999999999999</v>
      </c>
      <c r="M380" s="1"/>
    </row>
    <row r="381" spans="1:15" ht="20.100000000000001" customHeight="1" x14ac:dyDescent="0.2">
      <c r="D381" s="1" t="s">
        <v>523</v>
      </c>
      <c r="E381" s="20" t="s">
        <v>494</v>
      </c>
      <c r="F381" s="20">
        <v>99.122</v>
      </c>
      <c r="G381" s="20">
        <v>0.878</v>
      </c>
      <c r="M381" s="1"/>
    </row>
    <row r="382" spans="1:15" ht="20.100000000000001" customHeight="1" x14ac:dyDescent="0.2">
      <c r="D382" s="1" t="s">
        <v>524</v>
      </c>
      <c r="E382" s="20" t="s">
        <v>494</v>
      </c>
      <c r="F382" s="20">
        <v>98.894000000000005</v>
      </c>
      <c r="G382" s="20">
        <v>1.1060000000000001</v>
      </c>
      <c r="M382" s="1"/>
    </row>
    <row r="383" spans="1:15" ht="20.100000000000001" customHeight="1" x14ac:dyDescent="0.2">
      <c r="D383" s="1" t="s">
        <v>526</v>
      </c>
      <c r="E383" s="20" t="s">
        <v>319</v>
      </c>
      <c r="F383" s="20">
        <v>99.622</v>
      </c>
      <c r="G383" s="20">
        <v>0.378</v>
      </c>
      <c r="M383" s="1"/>
    </row>
    <row r="384" spans="1:15" ht="20.100000000000001" customHeight="1" x14ac:dyDescent="0.2">
      <c r="D384" s="1" t="s">
        <v>526</v>
      </c>
      <c r="E384" s="20" t="s">
        <v>496</v>
      </c>
      <c r="F384" s="20">
        <v>99.998999999999995</v>
      </c>
      <c r="G384" s="20">
        <v>1E-3</v>
      </c>
      <c r="M384" s="1"/>
    </row>
    <row r="385" spans="4:13" ht="20.100000000000001" customHeight="1" x14ac:dyDescent="0.2">
      <c r="D385" s="1" t="s">
        <v>526</v>
      </c>
      <c r="E385" s="20" t="s">
        <v>499</v>
      </c>
      <c r="F385" s="20">
        <v>99.998999999999995</v>
      </c>
      <c r="G385" s="20">
        <v>1E-3</v>
      </c>
      <c r="M385" s="1"/>
    </row>
    <row r="386" spans="4:13" ht="20.100000000000001" customHeight="1" x14ac:dyDescent="0.2">
      <c r="D386" s="1" t="s">
        <v>530</v>
      </c>
      <c r="E386" s="20" t="s">
        <v>492</v>
      </c>
      <c r="F386" s="20">
        <v>99.998999999999995</v>
      </c>
      <c r="G386" s="20">
        <v>1E-3</v>
      </c>
      <c r="M386" s="1"/>
    </row>
    <row r="387" spans="4:13" ht="20.100000000000001" customHeight="1" x14ac:dyDescent="0.2">
      <c r="D387" s="1" t="s">
        <v>530</v>
      </c>
      <c r="E387" s="20" t="s">
        <v>497</v>
      </c>
      <c r="F387" s="20">
        <v>99.994</v>
      </c>
      <c r="G387" s="20">
        <v>6.0000000000000001E-3</v>
      </c>
      <c r="M387" s="1"/>
    </row>
    <row r="388" spans="4:13" ht="20.100000000000001" customHeight="1" x14ac:dyDescent="0.2">
      <c r="D388" s="1" t="s">
        <v>530</v>
      </c>
      <c r="E388" s="20" t="s">
        <v>500</v>
      </c>
      <c r="F388" s="20">
        <v>99.998999999999995</v>
      </c>
      <c r="G388" s="20">
        <v>1E-3</v>
      </c>
      <c r="M388" s="1"/>
    </row>
    <row r="389" spans="4:13" ht="20.100000000000001" customHeight="1" x14ac:dyDescent="0.2">
      <c r="D389" s="1" t="s">
        <v>534</v>
      </c>
      <c r="E389" s="20" t="s">
        <v>493</v>
      </c>
      <c r="F389" s="20">
        <v>99.772999999999996</v>
      </c>
      <c r="G389" s="20">
        <v>0.22700000000000001</v>
      </c>
      <c r="M389" s="1"/>
    </row>
    <row r="390" spans="4:13" ht="20.100000000000001" customHeight="1" x14ac:dyDescent="0.2">
      <c r="D390" s="1" t="s">
        <v>534</v>
      </c>
      <c r="E390" s="20" t="s">
        <v>498</v>
      </c>
      <c r="F390" s="20">
        <v>99.897999999999996</v>
      </c>
      <c r="G390" s="20">
        <v>0.10199999999999999</v>
      </c>
      <c r="M390" s="1"/>
    </row>
    <row r="391" spans="4:13" ht="20.100000000000001" customHeight="1" x14ac:dyDescent="0.2">
      <c r="D391" s="1" t="s">
        <v>534</v>
      </c>
      <c r="E391" s="20" t="s">
        <v>501</v>
      </c>
      <c r="F391" s="20">
        <v>99.978999999999999</v>
      </c>
      <c r="G391" s="20">
        <v>2.1000000000000001E-2</v>
      </c>
      <c r="M391" s="1"/>
    </row>
    <row r="392" spans="4:13" ht="20.100000000000001" customHeight="1" x14ac:dyDescent="0.2">
      <c r="D392" s="1" t="s">
        <v>534</v>
      </c>
      <c r="E392" s="20" t="s">
        <v>504</v>
      </c>
      <c r="F392" s="20">
        <v>99.977000000000004</v>
      </c>
      <c r="G392" s="20">
        <v>2.3E-2</v>
      </c>
      <c r="M392" s="1"/>
    </row>
    <row r="393" spans="4:13" ht="20.100000000000001" customHeight="1" x14ac:dyDescent="0.2">
      <c r="M393" s="1"/>
    </row>
    <row r="394" spans="4:13" ht="20.100000000000001" customHeight="1" x14ac:dyDescent="0.2">
      <c r="M394" s="1"/>
    </row>
    <row r="395" spans="4:13" ht="20.100000000000001" customHeight="1" x14ac:dyDescent="0.2">
      <c r="D395" s="2" t="s">
        <v>1918</v>
      </c>
      <c r="M395" s="1"/>
    </row>
    <row r="396" spans="4:13" ht="20.100000000000001" customHeight="1" x14ac:dyDescent="0.2">
      <c r="D396" s="17" t="s">
        <v>1919</v>
      </c>
      <c r="M396" s="1"/>
    </row>
    <row r="397" spans="4:13" ht="20.100000000000001" customHeight="1" x14ac:dyDescent="0.2">
      <c r="D397" s="1" t="s">
        <v>1920</v>
      </c>
      <c r="M397" s="1"/>
    </row>
    <row r="398" spans="4:13" ht="20.100000000000001" customHeight="1" x14ac:dyDescent="0.2">
      <c r="D398" s="9" t="s">
        <v>347</v>
      </c>
      <c r="M398" s="1"/>
    </row>
    <row r="399" spans="4:13" ht="20.100000000000001" customHeight="1" x14ac:dyDescent="0.2">
      <c r="D399" s="26" t="s">
        <v>1917</v>
      </c>
      <c r="M399" s="1"/>
    </row>
    <row r="400" spans="4:13" ht="20.100000000000001" customHeight="1" x14ac:dyDescent="0.2">
      <c r="D400" s="20" t="s">
        <v>107</v>
      </c>
      <c r="E400" s="20" t="s">
        <v>490</v>
      </c>
      <c r="F400" s="20" t="s">
        <v>91</v>
      </c>
      <c r="G400" s="20" t="s">
        <v>564</v>
      </c>
      <c r="M400" s="1"/>
    </row>
    <row r="401" spans="1:13" ht="20.100000000000001" customHeight="1" x14ac:dyDescent="0.2">
      <c r="A401" s="85" t="str">
        <f>HYPERLINK("#A1", "▲ Back to top")</f>
        <v>▲ Back to top</v>
      </c>
      <c r="D401" s="20" t="s">
        <v>520</v>
      </c>
      <c r="E401" s="20" t="s">
        <v>494</v>
      </c>
      <c r="F401" s="20">
        <v>4.7000000000000002E-3</v>
      </c>
      <c r="G401" s="20">
        <v>0.71</v>
      </c>
      <c r="M401" s="1"/>
    </row>
    <row r="402" spans="1:13" ht="20.100000000000001" customHeight="1" x14ac:dyDescent="0.2">
      <c r="D402" s="20" t="s">
        <v>521</v>
      </c>
      <c r="E402" s="20" t="s">
        <v>494</v>
      </c>
      <c r="F402" s="20">
        <v>4.7000000000000002E-3</v>
      </c>
      <c r="G402" s="20">
        <v>0.75</v>
      </c>
      <c r="M402" s="1"/>
    </row>
    <row r="403" spans="1:13" ht="20.100000000000001" customHeight="1" x14ac:dyDescent="0.2">
      <c r="D403" s="20" t="s">
        <v>522</v>
      </c>
      <c r="E403" s="20" t="s">
        <v>494</v>
      </c>
      <c r="F403" s="20">
        <v>4.7000000000000002E-3</v>
      </c>
      <c r="G403" s="20">
        <v>0.74</v>
      </c>
      <c r="M403" s="1"/>
    </row>
    <row r="404" spans="1:13" ht="20.100000000000001" customHeight="1" x14ac:dyDescent="0.2">
      <c r="D404" s="20" t="s">
        <v>523</v>
      </c>
      <c r="E404" s="20" t="s">
        <v>494</v>
      </c>
      <c r="F404" s="20">
        <v>4.7000000000000002E-3</v>
      </c>
      <c r="G404" s="20">
        <v>0.7</v>
      </c>
      <c r="M404" s="1"/>
    </row>
    <row r="405" spans="1:13" ht="20.100000000000001" customHeight="1" x14ac:dyDescent="0.2">
      <c r="D405" s="20" t="s">
        <v>524</v>
      </c>
      <c r="E405" s="20" t="s">
        <v>494</v>
      </c>
      <c r="F405" s="20">
        <v>4.7000000000000002E-3</v>
      </c>
      <c r="G405" s="20">
        <v>0.74</v>
      </c>
      <c r="M405" s="1"/>
    </row>
    <row r="406" spans="1:13" ht="20.100000000000001" customHeight="1" x14ac:dyDescent="0.2">
      <c r="D406" s="20" t="s">
        <v>526</v>
      </c>
      <c r="E406" s="20" t="s">
        <v>319</v>
      </c>
      <c r="F406" s="20">
        <v>4.7000000000000002E-3</v>
      </c>
      <c r="G406" s="20">
        <v>0.76</v>
      </c>
      <c r="M406" s="1"/>
    </row>
    <row r="407" spans="1:13" ht="20.100000000000001" customHeight="1" x14ac:dyDescent="0.2">
      <c r="D407" s="20" t="s">
        <v>526</v>
      </c>
      <c r="E407" s="20" t="s">
        <v>496</v>
      </c>
      <c r="F407" s="20">
        <v>4.7000000000000002E-3</v>
      </c>
      <c r="G407" s="20">
        <v>0.76</v>
      </c>
      <c r="M407" s="1"/>
    </row>
    <row r="408" spans="1:13" ht="20.100000000000001" customHeight="1" x14ac:dyDescent="0.2">
      <c r="D408" s="20" t="s">
        <v>526</v>
      </c>
      <c r="E408" s="20" t="s">
        <v>499</v>
      </c>
      <c r="F408" s="20">
        <v>4.7000000000000002E-3</v>
      </c>
      <c r="G408" s="20">
        <v>0.76</v>
      </c>
      <c r="M408" s="1"/>
    </row>
    <row r="409" spans="1:13" ht="20.100000000000001" customHeight="1" x14ac:dyDescent="0.2">
      <c r="D409" s="20" t="s">
        <v>530</v>
      </c>
      <c r="E409" s="20" t="s">
        <v>492</v>
      </c>
      <c r="F409" s="20">
        <v>4.7000000000000002E-3</v>
      </c>
      <c r="G409" s="20">
        <v>0.8</v>
      </c>
      <c r="M409" s="1"/>
    </row>
    <row r="410" spans="1:13" ht="20.100000000000001" customHeight="1" x14ac:dyDescent="0.2">
      <c r="D410" s="20" t="s">
        <v>530</v>
      </c>
      <c r="E410" s="20" t="s">
        <v>497</v>
      </c>
      <c r="F410" s="20">
        <v>4.7000000000000002E-3</v>
      </c>
      <c r="G410" s="20">
        <v>0.8</v>
      </c>
      <c r="M410" s="1"/>
    </row>
    <row r="411" spans="1:13" ht="20.100000000000001" customHeight="1" x14ac:dyDescent="0.2">
      <c r="D411" s="20" t="s">
        <v>530</v>
      </c>
      <c r="E411" s="20" t="s">
        <v>500</v>
      </c>
      <c r="F411" s="20">
        <v>4.7000000000000002E-3</v>
      </c>
      <c r="G411" s="20">
        <v>0.8</v>
      </c>
      <c r="M411" s="1"/>
    </row>
    <row r="412" spans="1:13" ht="20.100000000000001" customHeight="1" x14ac:dyDescent="0.2">
      <c r="D412" s="20" t="s">
        <v>534</v>
      </c>
      <c r="E412" s="20" t="s">
        <v>493</v>
      </c>
      <c r="F412" s="20">
        <v>4.7000000000000002E-3</v>
      </c>
      <c r="G412" s="20">
        <v>0.78</v>
      </c>
      <c r="M412" s="1"/>
    </row>
    <row r="413" spans="1:13" ht="20.100000000000001" customHeight="1" x14ac:dyDescent="0.2">
      <c r="D413" s="20" t="s">
        <v>534</v>
      </c>
      <c r="E413" s="20" t="s">
        <v>498</v>
      </c>
      <c r="F413" s="20">
        <v>4.7000000000000002E-3</v>
      </c>
      <c r="G413" s="20">
        <v>0.78</v>
      </c>
      <c r="M413" s="1"/>
    </row>
    <row r="414" spans="1:13" ht="20.100000000000001" customHeight="1" x14ac:dyDescent="0.2">
      <c r="D414" s="20" t="s">
        <v>534</v>
      </c>
      <c r="E414" s="20" t="s">
        <v>501</v>
      </c>
      <c r="F414" s="20">
        <v>4.7000000000000002E-3</v>
      </c>
      <c r="G414" s="20">
        <v>0.78</v>
      </c>
      <c r="M414" s="1"/>
    </row>
    <row r="415" spans="1:13" ht="20.100000000000001" customHeight="1" x14ac:dyDescent="0.2">
      <c r="D415" s="20" t="s">
        <v>534</v>
      </c>
      <c r="E415" s="20" t="s">
        <v>504</v>
      </c>
      <c r="F415" s="20">
        <v>4.7000000000000002E-3</v>
      </c>
      <c r="G415" s="20">
        <v>0.78</v>
      </c>
      <c r="M415" s="1"/>
    </row>
    <row r="416" spans="1:13" ht="20.100000000000001" customHeight="1" x14ac:dyDescent="0.2">
      <c r="M416" s="1"/>
    </row>
    <row r="417" spans="1:13" ht="20.100000000000001" customHeight="1" x14ac:dyDescent="0.2">
      <c r="M417" s="1"/>
    </row>
    <row r="418" spans="1:13" ht="20.100000000000001" customHeight="1" x14ac:dyDescent="0.2">
      <c r="D418" s="2" t="s">
        <v>1921</v>
      </c>
      <c r="M418" s="1"/>
    </row>
    <row r="419" spans="1:13" ht="20.100000000000001" customHeight="1" x14ac:dyDescent="0.2">
      <c r="D419" s="17" t="s">
        <v>1922</v>
      </c>
      <c r="M419" s="1"/>
    </row>
    <row r="420" spans="1:13" ht="20.100000000000001" customHeight="1" x14ac:dyDescent="0.2">
      <c r="D420" s="1" t="s">
        <v>1359</v>
      </c>
      <c r="M420" s="1"/>
    </row>
    <row r="421" spans="1:13" ht="20.100000000000001" customHeight="1" x14ac:dyDescent="0.2">
      <c r="D421" s="9" t="s">
        <v>347</v>
      </c>
      <c r="M421" s="1"/>
    </row>
    <row r="422" spans="1:13" ht="20.100000000000001" customHeight="1" x14ac:dyDescent="0.2">
      <c r="D422" s="77">
        <v>0.08</v>
      </c>
      <c r="M422" s="1"/>
    </row>
    <row r="423" spans="1:13" ht="20.100000000000001" customHeight="1" x14ac:dyDescent="0.2">
      <c r="M423" s="1"/>
    </row>
    <row r="424" spans="1:13" ht="20.100000000000001" customHeight="1" x14ac:dyDescent="0.2">
      <c r="D424" s="2" t="s">
        <v>1923</v>
      </c>
      <c r="M424" s="1"/>
    </row>
    <row r="425" spans="1:13" ht="20.100000000000001" customHeight="1" x14ac:dyDescent="0.2">
      <c r="D425" s="17" t="s">
        <v>1922</v>
      </c>
      <c r="M425" s="1"/>
    </row>
    <row r="426" spans="1:13" ht="20.100000000000001" customHeight="1" x14ac:dyDescent="0.2">
      <c r="D426" s="1" t="s">
        <v>1924</v>
      </c>
      <c r="M426" s="1"/>
    </row>
    <row r="427" spans="1:13" ht="20.100000000000001" customHeight="1" x14ac:dyDescent="0.2">
      <c r="D427" s="9" t="s">
        <v>1925</v>
      </c>
      <c r="M427" s="1"/>
    </row>
    <row r="428" spans="1:13" ht="20.100000000000001" customHeight="1" x14ac:dyDescent="0.2">
      <c r="D428" s="77">
        <v>0.19</v>
      </c>
      <c r="M428" s="1"/>
    </row>
    <row r="429" spans="1:13" ht="20.100000000000001" customHeight="1" x14ac:dyDescent="0.2">
      <c r="M429" s="1"/>
    </row>
    <row r="430" spans="1:13" ht="20.100000000000001" customHeight="1" x14ac:dyDescent="0.2">
      <c r="D430" s="2" t="s">
        <v>1926</v>
      </c>
      <c r="M430" s="1"/>
    </row>
    <row r="431" spans="1:13" ht="20.100000000000001" customHeight="1" x14ac:dyDescent="0.2">
      <c r="A431" s="85" t="str">
        <f>HYPERLINK("#A1", "▲ Back to top")</f>
        <v>▲ Back to top</v>
      </c>
      <c r="D431" s="17" t="s">
        <v>1922</v>
      </c>
      <c r="M431" s="1"/>
    </row>
    <row r="432" spans="1:13" ht="20.100000000000001" customHeight="1" x14ac:dyDescent="0.2">
      <c r="D432" s="1" t="s">
        <v>1927</v>
      </c>
      <c r="M432" s="1"/>
    </row>
    <row r="433" spans="4:13" ht="20.100000000000001" customHeight="1" x14ac:dyDescent="0.2">
      <c r="D433" s="9" t="s">
        <v>347</v>
      </c>
      <c r="M433" s="1"/>
    </row>
    <row r="434" spans="4:13" ht="20.100000000000001" customHeight="1" x14ac:dyDescent="0.2">
      <c r="D434" s="77">
        <v>0.21</v>
      </c>
      <c r="M434" s="1"/>
    </row>
    <row r="435" spans="4:13" ht="20.100000000000001" customHeight="1" x14ac:dyDescent="0.2">
      <c r="M435" s="1"/>
    </row>
    <row r="436" spans="4:13" ht="20.100000000000001" customHeight="1" x14ac:dyDescent="0.2">
      <c r="D436" s="2" t="s">
        <v>1928</v>
      </c>
      <c r="M436" s="1"/>
    </row>
    <row r="437" spans="4:13" ht="20.100000000000001" customHeight="1" x14ac:dyDescent="0.2">
      <c r="D437" s="17" t="s">
        <v>1922</v>
      </c>
      <c r="M437" s="1"/>
    </row>
    <row r="438" spans="4:13" ht="20.100000000000001" customHeight="1" x14ac:dyDescent="0.2">
      <c r="D438" s="1" t="s">
        <v>1468</v>
      </c>
      <c r="M438" s="1"/>
    </row>
    <row r="439" spans="4:13" ht="20.100000000000001" customHeight="1" x14ac:dyDescent="0.2">
      <c r="D439" s="9" t="s">
        <v>347</v>
      </c>
      <c r="M439" s="1"/>
    </row>
    <row r="440" spans="4:13" ht="20.100000000000001" customHeight="1" x14ac:dyDescent="0.2">
      <c r="D440" s="77">
        <v>0.24</v>
      </c>
      <c r="M440" s="1"/>
    </row>
    <row r="441" spans="4:13" ht="20.100000000000001" customHeight="1" x14ac:dyDescent="0.2">
      <c r="M441" s="1"/>
    </row>
    <row r="442" spans="4:13" ht="20.100000000000001" customHeight="1" x14ac:dyDescent="0.2">
      <c r="D442" s="20" t="s">
        <v>565</v>
      </c>
      <c r="E442" s="20" t="s">
        <v>144</v>
      </c>
      <c r="F442" s="20" t="s">
        <v>566</v>
      </c>
      <c r="G442" s="20" t="s">
        <v>567</v>
      </c>
      <c r="H442" s="20" t="s">
        <v>568</v>
      </c>
      <c r="I442" s="20" t="s">
        <v>569</v>
      </c>
      <c r="M442" s="1"/>
    </row>
    <row r="443" spans="4:13" ht="20.100000000000001" customHeight="1" x14ac:dyDescent="0.2">
      <c r="D443" s="20" t="s">
        <v>1168</v>
      </c>
      <c r="E443" s="20" t="s">
        <v>1054</v>
      </c>
      <c r="F443" s="20" t="s">
        <v>538</v>
      </c>
      <c r="G443" s="20" t="s">
        <v>1929</v>
      </c>
      <c r="H443" s="20">
        <v>11</v>
      </c>
      <c r="I443" s="20" t="s">
        <v>1930</v>
      </c>
      <c r="M443" s="1"/>
    </row>
    <row r="444" spans="4:13" ht="20.100000000000001" customHeight="1" x14ac:dyDescent="0.2">
      <c r="D444" s="20" t="s">
        <v>1168</v>
      </c>
      <c r="E444" s="20" t="s">
        <v>1054</v>
      </c>
      <c r="F444" s="20" t="s">
        <v>521</v>
      </c>
      <c r="G444" s="20" t="s">
        <v>1929</v>
      </c>
      <c r="H444" s="20">
        <v>8.2100000000000009</v>
      </c>
      <c r="I444" s="20" t="s">
        <v>1930</v>
      </c>
      <c r="M444" s="1"/>
    </row>
    <row r="445" spans="4:13" ht="20.100000000000001" customHeight="1" x14ac:dyDescent="0.2">
      <c r="D445" s="20" t="s">
        <v>1168</v>
      </c>
      <c r="E445" s="20" t="s">
        <v>1054</v>
      </c>
      <c r="F445" s="20" t="s">
        <v>530</v>
      </c>
      <c r="G445" s="20" t="s">
        <v>1929</v>
      </c>
      <c r="H445" s="20">
        <v>12.2</v>
      </c>
      <c r="I445" s="20" t="s">
        <v>1930</v>
      </c>
      <c r="M445" s="1"/>
    </row>
    <row r="446" spans="4:13" ht="20.100000000000001" customHeight="1" x14ac:dyDescent="0.2">
      <c r="D446" s="20" t="s">
        <v>1168</v>
      </c>
      <c r="E446" s="20" t="s">
        <v>1054</v>
      </c>
      <c r="F446" s="20" t="s">
        <v>534</v>
      </c>
      <c r="G446" s="20" t="s">
        <v>1929</v>
      </c>
      <c r="H446" s="20">
        <v>10.9</v>
      </c>
      <c r="I446" s="20" t="s">
        <v>1930</v>
      </c>
      <c r="M446" s="1"/>
    </row>
    <row r="447" spans="4:13" ht="20.100000000000001" customHeight="1" x14ac:dyDescent="0.2">
      <c r="D447" s="20" t="s">
        <v>1168</v>
      </c>
      <c r="E447" s="20" t="s">
        <v>1054</v>
      </c>
      <c r="F447" s="20" t="s">
        <v>522</v>
      </c>
      <c r="G447" s="20" t="s">
        <v>1929</v>
      </c>
      <c r="H447" s="20">
        <v>7.63</v>
      </c>
      <c r="I447" s="20" t="s">
        <v>1930</v>
      </c>
      <c r="M447" s="1"/>
    </row>
    <row r="448" spans="4:13" ht="20.100000000000001" customHeight="1" x14ac:dyDescent="0.2">
      <c r="D448" s="20" t="s">
        <v>1168</v>
      </c>
      <c r="E448" s="20" t="s">
        <v>1054</v>
      </c>
      <c r="F448" s="20" t="s">
        <v>523</v>
      </c>
      <c r="G448" s="20" t="s">
        <v>1929</v>
      </c>
      <c r="H448" s="20">
        <v>8.75</v>
      </c>
      <c r="I448" s="20" t="s">
        <v>1930</v>
      </c>
      <c r="M448" s="1"/>
    </row>
    <row r="449" spans="1:13" ht="20.100000000000001" customHeight="1" x14ac:dyDescent="0.2">
      <c r="D449" s="20" t="s">
        <v>1168</v>
      </c>
      <c r="E449" s="20" t="s">
        <v>1054</v>
      </c>
      <c r="F449" s="20" t="s">
        <v>524</v>
      </c>
      <c r="G449" s="20" t="s">
        <v>1929</v>
      </c>
      <c r="H449" s="20">
        <v>8.17</v>
      </c>
      <c r="I449" s="20" t="s">
        <v>1930</v>
      </c>
      <c r="M449" s="1"/>
    </row>
    <row r="450" spans="1:13" ht="20.100000000000001" customHeight="1" x14ac:dyDescent="0.2">
      <c r="D450" s="20" t="s">
        <v>1168</v>
      </c>
      <c r="E450" s="20" t="s">
        <v>1054</v>
      </c>
      <c r="F450" s="20" t="s">
        <v>526</v>
      </c>
      <c r="G450" s="20" t="s">
        <v>1929</v>
      </c>
      <c r="H450" s="20">
        <v>13.1</v>
      </c>
      <c r="I450" s="20" t="s">
        <v>1930</v>
      </c>
      <c r="M450" s="1"/>
    </row>
    <row r="451" spans="1:13" ht="20.100000000000001" customHeight="1" x14ac:dyDescent="0.2">
      <c r="D451" s="20" t="s">
        <v>1168</v>
      </c>
      <c r="E451" s="20" t="s">
        <v>1053</v>
      </c>
      <c r="F451" s="20" t="s">
        <v>538</v>
      </c>
      <c r="G451" s="20" t="s">
        <v>1929</v>
      </c>
      <c r="H451" s="20">
        <v>14.5</v>
      </c>
      <c r="I451" s="20" t="s">
        <v>1930</v>
      </c>
      <c r="M451" s="1"/>
    </row>
    <row r="452" spans="1:13" ht="20.100000000000001" customHeight="1" x14ac:dyDescent="0.2">
      <c r="D452" s="20" t="s">
        <v>1168</v>
      </c>
      <c r="E452" s="20" t="s">
        <v>1053</v>
      </c>
      <c r="F452" s="20" t="s">
        <v>521</v>
      </c>
      <c r="G452" s="20" t="s">
        <v>1929</v>
      </c>
      <c r="H452" s="20">
        <v>11.3</v>
      </c>
      <c r="I452" s="20" t="s">
        <v>1930</v>
      </c>
      <c r="M452" s="1"/>
    </row>
    <row r="453" spans="1:13" ht="20.100000000000001" customHeight="1" x14ac:dyDescent="0.2">
      <c r="D453" s="20" t="s">
        <v>1168</v>
      </c>
      <c r="E453" s="20" t="s">
        <v>1053</v>
      </c>
      <c r="F453" s="20" t="s">
        <v>530</v>
      </c>
      <c r="G453" s="20" t="s">
        <v>1929</v>
      </c>
      <c r="H453" s="20">
        <v>18.899999999999999</v>
      </c>
      <c r="I453" s="20" t="s">
        <v>1930</v>
      </c>
      <c r="M453" s="1"/>
    </row>
    <row r="454" spans="1:13" ht="20.100000000000001" customHeight="1" x14ac:dyDescent="0.2">
      <c r="D454" s="20" t="s">
        <v>1168</v>
      </c>
      <c r="E454" s="20" t="s">
        <v>1053</v>
      </c>
      <c r="F454" s="20" t="s">
        <v>534</v>
      </c>
      <c r="G454" s="20" t="s">
        <v>1929</v>
      </c>
      <c r="H454" s="20">
        <v>13.9</v>
      </c>
      <c r="I454" s="20" t="s">
        <v>1930</v>
      </c>
      <c r="M454" s="1"/>
    </row>
    <row r="455" spans="1:13" ht="20.100000000000001" customHeight="1" x14ac:dyDescent="0.2">
      <c r="D455" s="20" t="s">
        <v>1168</v>
      </c>
      <c r="E455" s="20" t="s">
        <v>1053</v>
      </c>
      <c r="F455" s="20" t="s">
        <v>522</v>
      </c>
      <c r="G455" s="20" t="s">
        <v>1929</v>
      </c>
      <c r="H455" s="20">
        <v>12.3</v>
      </c>
      <c r="I455" s="20" t="s">
        <v>1930</v>
      </c>
    </row>
    <row r="456" spans="1:13" ht="20.100000000000001" customHeight="1" x14ac:dyDescent="0.2">
      <c r="D456" s="20" t="s">
        <v>1168</v>
      </c>
      <c r="E456" s="20" t="s">
        <v>1053</v>
      </c>
      <c r="F456" s="20" t="s">
        <v>523</v>
      </c>
      <c r="G456" s="20" t="s">
        <v>1929</v>
      </c>
      <c r="H456" s="20">
        <v>11.5</v>
      </c>
      <c r="I456" s="20" t="s">
        <v>1930</v>
      </c>
    </row>
    <row r="457" spans="1:13" ht="20.100000000000001" customHeight="1" x14ac:dyDescent="0.2">
      <c r="D457" s="20" t="s">
        <v>1168</v>
      </c>
      <c r="E457" s="20" t="s">
        <v>1053</v>
      </c>
      <c r="F457" s="20" t="s">
        <v>524</v>
      </c>
      <c r="G457" s="20" t="s">
        <v>1929</v>
      </c>
      <c r="H457" s="20">
        <v>11.5</v>
      </c>
      <c r="I457" s="20" t="s">
        <v>1930</v>
      </c>
    </row>
    <row r="458" spans="1:13" ht="20.100000000000001" customHeight="1" x14ac:dyDescent="0.2">
      <c r="D458" s="20" t="s">
        <v>1168</v>
      </c>
      <c r="E458" s="20" t="s">
        <v>1053</v>
      </c>
      <c r="F458" s="20" t="s">
        <v>526</v>
      </c>
      <c r="G458" s="20" t="s">
        <v>1929</v>
      </c>
      <c r="H458" s="20">
        <v>20.8</v>
      </c>
      <c r="I458" s="20" t="s">
        <v>1930</v>
      </c>
    </row>
    <row r="459" spans="1:13" ht="20.100000000000001" customHeight="1" x14ac:dyDescent="0.2">
      <c r="D459" s="20" t="s">
        <v>1168</v>
      </c>
      <c r="E459" s="20" t="s">
        <v>1931</v>
      </c>
      <c r="F459" s="20" t="s">
        <v>538</v>
      </c>
      <c r="G459" s="20" t="s">
        <v>1929</v>
      </c>
      <c r="H459" s="20">
        <v>15.5</v>
      </c>
      <c r="I459" s="20" t="s">
        <v>1930</v>
      </c>
    </row>
    <row r="460" spans="1:13" ht="20.100000000000001" customHeight="1" x14ac:dyDescent="0.2">
      <c r="D460" s="20" t="s">
        <v>1168</v>
      </c>
      <c r="E460" s="20" t="s">
        <v>1931</v>
      </c>
      <c r="F460" s="20" t="s">
        <v>521</v>
      </c>
      <c r="G460" s="20" t="s">
        <v>1929</v>
      </c>
      <c r="H460" s="20">
        <v>12.7</v>
      </c>
      <c r="I460" s="20" t="s">
        <v>1930</v>
      </c>
    </row>
    <row r="461" spans="1:13" ht="20.100000000000001" customHeight="1" x14ac:dyDescent="0.2">
      <c r="A461" s="85" t="str">
        <f>HYPERLINK("#A1", "▲ Back to top")</f>
        <v>▲ Back to top</v>
      </c>
      <c r="D461" s="20" t="s">
        <v>1168</v>
      </c>
      <c r="E461" s="20" t="s">
        <v>1931</v>
      </c>
      <c r="F461" s="20" t="s">
        <v>530</v>
      </c>
      <c r="G461" s="20" t="s">
        <v>1929</v>
      </c>
      <c r="H461" s="20">
        <v>19.100000000000001</v>
      </c>
      <c r="I461" s="20" t="s">
        <v>1930</v>
      </c>
    </row>
    <row r="462" spans="1:13" ht="20.100000000000001" customHeight="1" x14ac:dyDescent="0.2">
      <c r="D462" s="20" t="s">
        <v>1168</v>
      </c>
      <c r="E462" s="20" t="s">
        <v>1931</v>
      </c>
      <c r="F462" s="20" t="s">
        <v>534</v>
      </c>
      <c r="G462" s="20" t="s">
        <v>1929</v>
      </c>
      <c r="H462" s="20">
        <v>20.5</v>
      </c>
      <c r="I462" s="20" t="s">
        <v>1930</v>
      </c>
    </row>
    <row r="463" spans="1:13" ht="20.100000000000001" customHeight="1" x14ac:dyDescent="0.2">
      <c r="D463" s="20" t="s">
        <v>1168</v>
      </c>
      <c r="E463" s="20" t="s">
        <v>1931</v>
      </c>
      <c r="F463" s="20" t="s">
        <v>522</v>
      </c>
      <c r="G463" s="20" t="s">
        <v>1929</v>
      </c>
      <c r="H463" s="20">
        <v>10.8</v>
      </c>
      <c r="I463" s="20" t="s">
        <v>1930</v>
      </c>
    </row>
    <row r="464" spans="1:13" ht="20.100000000000001" customHeight="1" x14ac:dyDescent="0.2">
      <c r="D464" s="20" t="s">
        <v>1168</v>
      </c>
      <c r="E464" s="20" t="s">
        <v>1931</v>
      </c>
      <c r="F464" s="20" t="s">
        <v>523</v>
      </c>
      <c r="G464" s="20" t="s">
        <v>1929</v>
      </c>
      <c r="H464" s="20">
        <v>13.4</v>
      </c>
      <c r="I464" s="20" t="s">
        <v>1930</v>
      </c>
    </row>
    <row r="465" spans="4:9" ht="20.100000000000001" customHeight="1" x14ac:dyDescent="0.2">
      <c r="D465" s="20" t="s">
        <v>1168</v>
      </c>
      <c r="E465" s="20" t="s">
        <v>1931</v>
      </c>
      <c r="F465" s="20" t="s">
        <v>524</v>
      </c>
      <c r="G465" s="20" t="s">
        <v>1929</v>
      </c>
      <c r="H465" s="20">
        <v>12</v>
      </c>
      <c r="I465" s="20" t="s">
        <v>1930</v>
      </c>
    </row>
    <row r="466" spans="4:9" ht="20.100000000000001" customHeight="1" x14ac:dyDescent="0.2">
      <c r="D466" s="20" t="s">
        <v>1168</v>
      </c>
      <c r="E466" s="20" t="s">
        <v>1931</v>
      </c>
      <c r="F466" s="20" t="s">
        <v>526</v>
      </c>
      <c r="G466" s="20" t="s">
        <v>1929</v>
      </c>
      <c r="H466" s="20">
        <v>12.4</v>
      </c>
      <c r="I466" s="20" t="s">
        <v>1930</v>
      </c>
    </row>
    <row r="467" spans="4:9" ht="20.100000000000001" customHeight="1" x14ac:dyDescent="0.2">
      <c r="D467" s="20" t="s">
        <v>1932</v>
      </c>
      <c r="E467" s="20" t="s">
        <v>1932</v>
      </c>
      <c r="F467" s="20" t="s">
        <v>538</v>
      </c>
      <c r="G467" s="20" t="s">
        <v>1929</v>
      </c>
      <c r="H467" s="20">
        <v>1.36</v>
      </c>
      <c r="I467" s="20" t="s">
        <v>1930</v>
      </c>
    </row>
    <row r="468" spans="4:9" ht="20.100000000000001" customHeight="1" x14ac:dyDescent="0.2">
      <c r="D468" s="20" t="s">
        <v>1187</v>
      </c>
      <c r="E468" s="20" t="s">
        <v>1933</v>
      </c>
      <c r="F468" s="20" t="s">
        <v>524</v>
      </c>
      <c r="G468" s="20" t="s">
        <v>1929</v>
      </c>
      <c r="H468" s="20">
        <v>4.41</v>
      </c>
      <c r="I468" s="20" t="s">
        <v>1930</v>
      </c>
    </row>
    <row r="469" spans="4:9" ht="20.100000000000001" customHeight="1" x14ac:dyDescent="0.2">
      <c r="D469" s="20" t="s">
        <v>1191</v>
      </c>
      <c r="E469" s="20" t="s">
        <v>1191</v>
      </c>
      <c r="F469" s="20" t="s">
        <v>538</v>
      </c>
      <c r="G469" s="20" t="s">
        <v>1929</v>
      </c>
      <c r="H469" s="20">
        <v>3.38</v>
      </c>
      <c r="I469" s="20" t="s">
        <v>1930</v>
      </c>
    </row>
    <row r="470" spans="4:9" ht="20.100000000000001" customHeight="1" x14ac:dyDescent="0.2">
      <c r="D470" s="20" t="s">
        <v>1934</v>
      </c>
      <c r="E470" s="20" t="s">
        <v>1935</v>
      </c>
      <c r="F470" s="20" t="s">
        <v>538</v>
      </c>
      <c r="G470" s="20" t="s">
        <v>1929</v>
      </c>
      <c r="H470" s="20">
        <v>6.81</v>
      </c>
      <c r="I470" s="20" t="s">
        <v>1930</v>
      </c>
    </row>
    <row r="471" spans="4:9" ht="20.100000000000001" customHeight="1" x14ac:dyDescent="0.2">
      <c r="D471" s="20" t="s">
        <v>1934</v>
      </c>
      <c r="E471" s="20" t="s">
        <v>1935</v>
      </c>
      <c r="F471" s="20" t="s">
        <v>521</v>
      </c>
      <c r="G471" s="20" t="s">
        <v>1929</v>
      </c>
      <c r="H471" s="20">
        <v>2.2599999999999998</v>
      </c>
      <c r="I471" s="20" t="s">
        <v>1930</v>
      </c>
    </row>
    <row r="472" spans="4:9" ht="20.100000000000001" customHeight="1" x14ac:dyDescent="0.2">
      <c r="D472" s="20" t="s">
        <v>1934</v>
      </c>
      <c r="E472" s="20" t="s">
        <v>1935</v>
      </c>
      <c r="F472" s="20" t="s">
        <v>534</v>
      </c>
      <c r="G472" s="20" t="s">
        <v>1929</v>
      </c>
      <c r="H472" s="20">
        <v>6.33</v>
      </c>
      <c r="I472" s="20" t="s">
        <v>1930</v>
      </c>
    </row>
    <row r="473" spans="4:9" ht="20.100000000000001" customHeight="1" x14ac:dyDescent="0.2">
      <c r="D473" s="20" t="s">
        <v>1934</v>
      </c>
      <c r="E473" s="20" t="s">
        <v>1935</v>
      </c>
      <c r="F473" s="20" t="s">
        <v>522</v>
      </c>
      <c r="G473" s="20" t="s">
        <v>1929</v>
      </c>
      <c r="H473" s="20">
        <v>6.18</v>
      </c>
      <c r="I473" s="20" t="s">
        <v>1930</v>
      </c>
    </row>
    <row r="474" spans="4:9" ht="20.100000000000001" customHeight="1" x14ac:dyDescent="0.2">
      <c r="D474" s="20" t="s">
        <v>1934</v>
      </c>
      <c r="E474" s="20" t="s">
        <v>1935</v>
      </c>
      <c r="F474" s="20" t="s">
        <v>523</v>
      </c>
      <c r="G474" s="20" t="s">
        <v>1929</v>
      </c>
      <c r="H474" s="20">
        <v>7.5</v>
      </c>
      <c r="I474" s="20" t="s">
        <v>1930</v>
      </c>
    </row>
    <row r="475" spans="4:9" ht="20.100000000000001" customHeight="1" x14ac:dyDescent="0.2">
      <c r="D475" s="20" t="s">
        <v>1934</v>
      </c>
      <c r="E475" s="20" t="s">
        <v>1935</v>
      </c>
      <c r="F475" s="20" t="s">
        <v>524</v>
      </c>
      <c r="G475" s="20" t="s">
        <v>1929</v>
      </c>
      <c r="H475" s="20">
        <v>8.08</v>
      </c>
      <c r="I475" s="20" t="s">
        <v>1930</v>
      </c>
    </row>
    <row r="476" spans="4:9" ht="20.100000000000001" customHeight="1" x14ac:dyDescent="0.2">
      <c r="D476" s="20" t="s">
        <v>1934</v>
      </c>
      <c r="E476" s="20" t="s">
        <v>1935</v>
      </c>
      <c r="F476" s="20" t="s">
        <v>526</v>
      </c>
      <c r="G476" s="20" t="s">
        <v>1929</v>
      </c>
      <c r="H476" s="20">
        <v>5.45</v>
      </c>
      <c r="I476" s="20" t="s">
        <v>1930</v>
      </c>
    </row>
    <row r="477" spans="4:9" ht="20.100000000000001" customHeight="1" x14ac:dyDescent="0.2">
      <c r="D477" s="20" t="s">
        <v>1934</v>
      </c>
      <c r="E477" s="20" t="s">
        <v>1936</v>
      </c>
      <c r="F477" s="20" t="s">
        <v>538</v>
      </c>
      <c r="G477" s="20" t="s">
        <v>1929</v>
      </c>
      <c r="H477" s="20">
        <v>7.15</v>
      </c>
      <c r="I477" s="20" t="s">
        <v>1930</v>
      </c>
    </row>
    <row r="478" spans="4:9" ht="20.100000000000001" customHeight="1" x14ac:dyDescent="0.2">
      <c r="D478" s="20" t="s">
        <v>1934</v>
      </c>
      <c r="E478" s="20" t="s">
        <v>1936</v>
      </c>
      <c r="F478" s="20" t="s">
        <v>521</v>
      </c>
      <c r="G478" s="20" t="s">
        <v>1929</v>
      </c>
      <c r="H478" s="20">
        <v>8.2899999999999991</v>
      </c>
      <c r="I478" s="20" t="s">
        <v>1930</v>
      </c>
    </row>
    <row r="479" spans="4:9" ht="20.100000000000001" customHeight="1" x14ac:dyDescent="0.2">
      <c r="D479" s="20" t="s">
        <v>1934</v>
      </c>
      <c r="E479" s="20" t="s">
        <v>1936</v>
      </c>
      <c r="F479" s="20" t="s">
        <v>534</v>
      </c>
      <c r="G479" s="20" t="s">
        <v>1929</v>
      </c>
      <c r="H479" s="20">
        <v>6.39</v>
      </c>
      <c r="I479" s="20" t="s">
        <v>1930</v>
      </c>
    </row>
    <row r="480" spans="4:9" ht="20.100000000000001" customHeight="1" x14ac:dyDescent="0.2">
      <c r="D480" s="20" t="s">
        <v>1934</v>
      </c>
      <c r="E480" s="20" t="s">
        <v>1936</v>
      </c>
      <c r="F480" s="20" t="s">
        <v>522</v>
      </c>
      <c r="G480" s="20" t="s">
        <v>1929</v>
      </c>
      <c r="H480" s="20">
        <v>6.87</v>
      </c>
      <c r="I480" s="20" t="s">
        <v>1930</v>
      </c>
    </row>
    <row r="481" spans="4:9" ht="20.100000000000001" customHeight="1" x14ac:dyDescent="0.2">
      <c r="D481" s="20" t="s">
        <v>1934</v>
      </c>
      <c r="E481" s="20" t="s">
        <v>1936</v>
      </c>
      <c r="F481" s="20" t="s">
        <v>523</v>
      </c>
      <c r="G481" s="20" t="s">
        <v>1929</v>
      </c>
      <c r="H481" s="20">
        <v>8.66</v>
      </c>
      <c r="I481" s="20" t="s">
        <v>1930</v>
      </c>
    </row>
    <row r="482" spans="4:9" ht="20.100000000000001" customHeight="1" x14ac:dyDescent="0.2">
      <c r="D482" s="20" t="s">
        <v>1934</v>
      </c>
      <c r="E482" s="20" t="s">
        <v>1936</v>
      </c>
      <c r="F482" s="20" t="s">
        <v>524</v>
      </c>
      <c r="G482" s="20" t="s">
        <v>1929</v>
      </c>
      <c r="H482" s="20">
        <v>10</v>
      </c>
      <c r="I482" s="20" t="s">
        <v>1930</v>
      </c>
    </row>
    <row r="483" spans="4:9" ht="20.100000000000001" customHeight="1" x14ac:dyDescent="0.2">
      <c r="D483" s="20" t="s">
        <v>1934</v>
      </c>
      <c r="E483" s="20" t="s">
        <v>1936</v>
      </c>
      <c r="F483" s="20" t="s">
        <v>526</v>
      </c>
      <c r="G483" s="20" t="s">
        <v>1929</v>
      </c>
      <c r="H483" s="20">
        <v>5.67</v>
      </c>
      <c r="I483" s="20" t="s">
        <v>1930</v>
      </c>
    </row>
  </sheetData>
  <pageMargins left="0.7" right="0.7" top="0.75" bottom="0.75" header="0.3" footer="0.3"/>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7ACA-4C80-40DC-A49E-C7691432FB7F}">
  <sheetPr>
    <tabColor theme="2" tint="-0.499984740745262"/>
  </sheetPr>
  <dimension ref="A1:AI235"/>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21" customFormat="1" ht="30" customHeight="1" x14ac:dyDescent="0.35">
      <c r="A1" s="10" t="e" vm="1">
        <v>#VALUE!</v>
      </c>
      <c r="C1" s="21" t="s">
        <v>1015</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1937</v>
      </c>
    </row>
    <row r="7" spans="1:35" ht="20.100000000000001" customHeight="1" x14ac:dyDescent="0.2">
      <c r="D7" s="236" t="s">
        <v>1016</v>
      </c>
      <c r="E7" s="236" t="s">
        <v>1017</v>
      </c>
      <c r="F7" s="236" t="s">
        <v>1018</v>
      </c>
      <c r="G7" s="236" t="s">
        <v>1019</v>
      </c>
      <c r="H7" s="236" t="s">
        <v>1020</v>
      </c>
      <c r="I7" s="236" t="s">
        <v>1021</v>
      </c>
      <c r="J7" s="236" t="s">
        <v>1022</v>
      </c>
      <c r="K7" s="236" t="s">
        <v>1023</v>
      </c>
      <c r="AG7" s="1"/>
      <c r="AH7" s="1"/>
      <c r="AI7" s="1"/>
    </row>
    <row r="8" spans="1:35" ht="20.100000000000001" customHeight="1" x14ac:dyDescent="0.2">
      <c r="A8" s="7" t="s">
        <v>0</v>
      </c>
      <c r="D8" t="s">
        <v>1938</v>
      </c>
      <c r="E8" t="s">
        <v>1939</v>
      </c>
      <c r="F8" t="s">
        <v>1940</v>
      </c>
      <c r="G8" t="s">
        <v>1941</v>
      </c>
      <c r="H8" t="s">
        <v>1939</v>
      </c>
      <c r="I8" t="s">
        <v>1942</v>
      </c>
      <c r="J8" t="s">
        <v>1943</v>
      </c>
      <c r="K8" t="s">
        <v>1944</v>
      </c>
      <c r="AG8" s="1"/>
      <c r="AH8" s="1"/>
      <c r="AI8" s="1"/>
    </row>
    <row r="9" spans="1:35" ht="20.100000000000001" customHeight="1" x14ac:dyDescent="0.2">
      <c r="A9" s="5" t="str">
        <f>HYPERLINK("#'Input - Enterprise'!A1", "Enterprise")</f>
        <v>Enterprise</v>
      </c>
      <c r="D9" t="s">
        <v>1945</v>
      </c>
      <c r="E9" t="s">
        <v>1946</v>
      </c>
      <c r="F9" t="s">
        <v>1940</v>
      </c>
      <c r="G9" t="s">
        <v>1941</v>
      </c>
      <c r="H9" t="s">
        <v>1947</v>
      </c>
      <c r="I9" t="s">
        <v>1948</v>
      </c>
      <c r="J9" t="s">
        <v>1949</v>
      </c>
      <c r="K9" t="s">
        <v>1950</v>
      </c>
      <c r="AG9" s="1"/>
      <c r="AH9" s="1"/>
      <c r="AI9" s="1"/>
    </row>
    <row r="10" spans="1:35" ht="20.100000000000001" customHeight="1" x14ac:dyDescent="0.2">
      <c r="A10" s="5" t="str">
        <f>HYPERLINK("#'Input - Site'!A1", "Site")</f>
        <v>Site</v>
      </c>
      <c r="D10" t="s">
        <v>1951</v>
      </c>
      <c r="E10" t="s">
        <v>1946</v>
      </c>
      <c r="F10" t="s">
        <v>1952</v>
      </c>
      <c r="G10" t="s">
        <v>1953</v>
      </c>
      <c r="H10" t="s">
        <v>1946</v>
      </c>
      <c r="I10" t="s">
        <v>1954</v>
      </c>
      <c r="J10" t="s">
        <v>1955</v>
      </c>
      <c r="K10" t="s">
        <v>1956</v>
      </c>
      <c r="AG10" s="1"/>
      <c r="AH10" s="1"/>
      <c r="AI10" s="1"/>
    </row>
    <row r="11" spans="1:35" ht="20.100000000000001" customHeight="1" x14ac:dyDescent="0.2">
      <c r="A11" s="5" t="str">
        <f>HYPERLINK("#'Input - Pasture Beef'!A1", "Pasture Beef")</f>
        <v>Pasture Beef</v>
      </c>
    </row>
    <row r="12" spans="1:35" ht="20.100000000000001" customHeight="1" x14ac:dyDescent="0.2">
      <c r="A12" s="5" t="str">
        <f>HYPERLINK("#'Input - Livestock sales'!A1", "Livestock sales")</f>
        <v>Livestock sales</v>
      </c>
    </row>
    <row r="13" spans="1:35" ht="20.100000000000001" customHeight="1" x14ac:dyDescent="0.2">
      <c r="A13" s="5" t="str">
        <f>HYPERLINK("#'Input - Beef cattle purchases'!A1", "Beef cattle purchases")</f>
        <v>Beef cattle purchases</v>
      </c>
    </row>
    <row r="14" spans="1:35" ht="20.100000000000001" customHeight="1" x14ac:dyDescent="0.2">
      <c r="A14" s="5" t="str">
        <f>HYPERLINK("#'Input - Pasture'!A1", "Pasture")</f>
        <v>Pasture</v>
      </c>
    </row>
    <row r="15" spans="1:35" ht="20.100000000000001" customHeight="1" x14ac:dyDescent="0.2">
      <c r="A15" s="5" t="str">
        <f>HYPERLINK("#'Input - Fert Prod System'!A1", "Fert Prod System")</f>
        <v>Fert Prod System</v>
      </c>
      <c r="D15" s="2" t="s">
        <v>1957</v>
      </c>
      <c r="E15" s="8"/>
      <c r="F15" s="8"/>
      <c r="G15" s="8"/>
      <c r="H15" s="8"/>
      <c r="I15" s="8"/>
      <c r="J15" s="8"/>
      <c r="K15" s="8"/>
      <c r="L15" s="8"/>
    </row>
    <row r="16" spans="1:35" ht="20.100000000000001" customHeight="1" x14ac:dyDescent="0.2">
      <c r="A16" s="5" t="str">
        <f>HYPERLINK("#'Input - Fertiliser'!A1", "Fertiliser")</f>
        <v>Fertiliser</v>
      </c>
      <c r="D16" s="17" t="s">
        <v>1958</v>
      </c>
      <c r="E16" s="8"/>
      <c r="F16" s="8"/>
      <c r="G16" s="8"/>
      <c r="H16" s="8"/>
      <c r="I16" s="8"/>
      <c r="J16" s="8"/>
      <c r="K16" s="8"/>
      <c r="L16" s="8"/>
    </row>
    <row r="17" spans="1:14" ht="20.100000000000001" customHeight="1" x14ac:dyDescent="0.2">
      <c r="A17" s="5" t="str">
        <f>HYPERLINK("#'Input - Fuel'!A1", "Fuel")</f>
        <v>Fuel</v>
      </c>
      <c r="D17" s="26"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
      <c r="A18" s="5" t="str">
        <f>HYPERLINK("#'Input - Electricity'!A1", "Electricity")</f>
        <v>Electricity</v>
      </c>
      <c r="D18" s="8"/>
      <c r="E18" s="8"/>
      <c r="F18" s="8"/>
      <c r="G18" s="8"/>
      <c r="H18" s="8"/>
      <c r="I18" s="8"/>
      <c r="J18" s="8"/>
      <c r="K18" s="8"/>
      <c r="L18" s="8"/>
    </row>
    <row r="19" spans="1:14" ht="20.100000000000001" customHeight="1" x14ac:dyDescent="0.2">
      <c r="A19" s="5" t="str">
        <f>HYPERLINK("#'Input - Common farm inputs'!A1", "Common farm inputs")</f>
        <v>Common farm inputs</v>
      </c>
      <c r="D19" t="s">
        <v>177</v>
      </c>
      <c r="E19" t="s">
        <v>1024</v>
      </c>
      <c r="F19" t="s">
        <v>1025</v>
      </c>
      <c r="G19" t="s">
        <v>1026</v>
      </c>
      <c r="H19" t="s">
        <v>1027</v>
      </c>
      <c r="I19" t="s">
        <v>1028</v>
      </c>
      <c r="J19" t="s">
        <v>1029</v>
      </c>
      <c r="K19" t="s">
        <v>1030</v>
      </c>
      <c r="L19" t="s">
        <v>1031</v>
      </c>
      <c r="N19" s="2" t="s">
        <v>485</v>
      </c>
    </row>
    <row r="20" spans="1:14" ht="20.100000000000001" customHeight="1" x14ac:dyDescent="0.2">
      <c r="A20" s="5" t="str">
        <f>HYPERLINK("#'Input - Crop pasture farm input'!A1", "Crop pasture farm input")</f>
        <v>Crop pasture farm input</v>
      </c>
      <c r="D20" t="s">
        <v>1959</v>
      </c>
      <c r="E20">
        <v>1.5</v>
      </c>
      <c r="F20">
        <v>0.28999999999999998</v>
      </c>
      <c r="G20">
        <v>0.88</v>
      </c>
      <c r="H20">
        <v>0.4</v>
      </c>
      <c r="I20">
        <v>6.0000000000000001E-3</v>
      </c>
      <c r="J20">
        <v>0.01</v>
      </c>
      <c r="K20">
        <v>0.5</v>
      </c>
      <c r="L20">
        <v>0.9</v>
      </c>
    </row>
    <row r="21" spans="1:14" ht="20.100000000000001" customHeight="1" x14ac:dyDescent="0.2">
      <c r="A21" s="5" t="str">
        <f>HYPERLINK("#'Input - Livestock farm Inputs'!A1", "Livestock farm Inputs")</f>
        <v>Livestock farm Inputs</v>
      </c>
      <c r="D21" t="s">
        <v>1960</v>
      </c>
      <c r="E21">
        <v>1.24</v>
      </c>
      <c r="F21">
        <v>0.32</v>
      </c>
      <c r="G21">
        <v>0.88</v>
      </c>
      <c r="H21">
        <v>0.4</v>
      </c>
      <c r="I21">
        <v>7.0000000000000001E-3</v>
      </c>
      <c r="J21">
        <v>0.01</v>
      </c>
      <c r="K21">
        <v>0.5</v>
      </c>
      <c r="L21">
        <v>0.85</v>
      </c>
      <c r="N21" s="20" t="s">
        <v>72</v>
      </c>
    </row>
    <row r="22" spans="1:14" ht="20.100000000000001" customHeight="1" x14ac:dyDescent="0.2">
      <c r="A22" s="5" t="str">
        <f>HYPERLINK("#'Input - Freight'!A1", "Freight")</f>
        <v>Freight</v>
      </c>
      <c r="D22" t="s">
        <v>752</v>
      </c>
      <c r="E22">
        <v>0.81</v>
      </c>
      <c r="F22">
        <v>0.39</v>
      </c>
      <c r="G22">
        <v>0.85</v>
      </c>
      <c r="H22">
        <v>0.42</v>
      </c>
      <c r="I22">
        <v>5.0000000000000001E-3</v>
      </c>
      <c r="J22">
        <v>7.0000000000000001E-3</v>
      </c>
      <c r="K22">
        <v>1</v>
      </c>
      <c r="L22">
        <v>0.8</v>
      </c>
      <c r="N22" s="20" t="s">
        <v>491</v>
      </c>
    </row>
    <row r="23" spans="1:14" ht="20.100000000000001" customHeight="1" x14ac:dyDescent="0.2">
      <c r="A23" s="5" t="str">
        <f>HYPERLINK("#'Input - Solid waste'!A1", "Solid waste")</f>
        <v>Solid waste</v>
      </c>
      <c r="D23" t="s">
        <v>1961</v>
      </c>
      <c r="E23">
        <v>1.42</v>
      </c>
      <c r="F23">
        <v>0.43</v>
      </c>
      <c r="G23">
        <v>0.88</v>
      </c>
      <c r="H23">
        <v>0.4</v>
      </c>
      <c r="I23">
        <v>6.0000000000000001E-3</v>
      </c>
      <c r="J23">
        <v>0.01</v>
      </c>
      <c r="K23">
        <v>0.5</v>
      </c>
      <c r="L23">
        <v>0.85</v>
      </c>
      <c r="N23" s="20" t="s">
        <v>495</v>
      </c>
    </row>
    <row r="24" spans="1:14" ht="20.100000000000001" customHeight="1" x14ac:dyDescent="0.2">
      <c r="A24" s="5" t="str">
        <f>HYPERLINK("#'Input - Manure sent off-site'!A1", "Manure sent off-site")</f>
        <v>Manure sent off-site</v>
      </c>
      <c r="D24" t="s">
        <v>1962</v>
      </c>
      <c r="E24">
        <v>1.31</v>
      </c>
      <c r="F24">
        <v>0.16</v>
      </c>
      <c r="G24">
        <v>0.8</v>
      </c>
      <c r="H24">
        <v>0.42</v>
      </c>
      <c r="I24">
        <v>7.0000000000000001E-3</v>
      </c>
      <c r="J24">
        <v>0.01</v>
      </c>
      <c r="K24">
        <v>1</v>
      </c>
      <c r="L24">
        <v>0.8</v>
      </c>
      <c r="N24" s="1" t="s">
        <v>356</v>
      </c>
    </row>
    <row r="25" spans="1:14" ht="20.100000000000001" customHeight="1" x14ac:dyDescent="0.2">
      <c r="A25" s="5" t="str">
        <f>HYPERLINK("#'Input - Data quality'!A1", "Data quality")</f>
        <v>Data quality</v>
      </c>
      <c r="D25" t="s">
        <v>1963</v>
      </c>
      <c r="E25">
        <v>1.5</v>
      </c>
      <c r="F25">
        <v>0.22</v>
      </c>
      <c r="G25">
        <v>0.8</v>
      </c>
      <c r="H25">
        <v>0.4</v>
      </c>
      <c r="I25">
        <v>8.0000000000000002E-3</v>
      </c>
      <c r="J25">
        <v>7.0000000000000001E-3</v>
      </c>
      <c r="K25">
        <v>0.5</v>
      </c>
      <c r="L25">
        <v>0.85</v>
      </c>
      <c r="N25" s="1" t="s">
        <v>503</v>
      </c>
    </row>
    <row r="26" spans="1:14" ht="20.100000000000001" customHeight="1" x14ac:dyDescent="0.2">
      <c r="D26" t="s">
        <v>1964</v>
      </c>
      <c r="E26">
        <v>1.5</v>
      </c>
      <c r="F26">
        <v>0.42</v>
      </c>
      <c r="G26">
        <v>0.88</v>
      </c>
      <c r="H26">
        <v>0.4</v>
      </c>
      <c r="I26">
        <v>6.0000000000000001E-3</v>
      </c>
      <c r="J26">
        <v>0.01</v>
      </c>
      <c r="K26">
        <v>0.5</v>
      </c>
      <c r="L26">
        <v>0.85</v>
      </c>
      <c r="N26" s="1" t="s">
        <v>505</v>
      </c>
    </row>
    <row r="27" spans="1:14" ht="20.100000000000001" customHeight="1" x14ac:dyDescent="0.2">
      <c r="D27" t="s">
        <v>1965</v>
      </c>
      <c r="E27">
        <v>1.46</v>
      </c>
      <c r="F27">
        <v>0.36</v>
      </c>
      <c r="G27">
        <v>0.88</v>
      </c>
      <c r="H27">
        <v>0.4</v>
      </c>
      <c r="I27">
        <v>6.0000000000000001E-3</v>
      </c>
      <c r="J27">
        <v>0.01</v>
      </c>
      <c r="K27">
        <v>0.5</v>
      </c>
      <c r="L27">
        <v>0.85</v>
      </c>
    </row>
    <row r="28" spans="1:14" ht="20.100000000000001" customHeight="1" x14ac:dyDescent="0.2">
      <c r="A28" s="6" t="s">
        <v>2</v>
      </c>
      <c r="D28" t="s">
        <v>1966</v>
      </c>
      <c r="E28">
        <v>1.37</v>
      </c>
      <c r="F28">
        <v>0.51</v>
      </c>
      <c r="G28">
        <v>0.87</v>
      </c>
      <c r="H28">
        <v>0.4</v>
      </c>
      <c r="I28">
        <v>8.9999999999999993E-3</v>
      </c>
      <c r="J28">
        <v>0.01</v>
      </c>
      <c r="K28">
        <v>0.5</v>
      </c>
      <c r="L28">
        <v>0.85</v>
      </c>
    </row>
    <row r="29" spans="1:14" ht="20.100000000000001" customHeight="1" x14ac:dyDescent="0.2">
      <c r="A29" s="5" t="str">
        <f>HYPERLINK("#'3.2.1.1-2 Enteric Methane'!A1", "3.2.1.1-2 Enteric Methane")</f>
        <v>3.2.1.1-2 Enteric Methane</v>
      </c>
      <c r="D29" t="s">
        <v>1967</v>
      </c>
      <c r="E29">
        <v>0.34</v>
      </c>
      <c r="F29">
        <v>0.43</v>
      </c>
      <c r="G29">
        <v>0.25</v>
      </c>
      <c r="H29">
        <v>0.4</v>
      </c>
      <c r="I29">
        <v>0.02</v>
      </c>
      <c r="J29">
        <v>0.01</v>
      </c>
      <c r="K29" t="s">
        <v>494</v>
      </c>
      <c r="L29">
        <v>0.85</v>
      </c>
    </row>
    <row r="30" spans="1:14" ht="20.100000000000001" customHeight="1" x14ac:dyDescent="0.2">
      <c r="A30" s="5" t="str">
        <f>HYPERLINK("#'4.2.1.1-2 Methane'!A1", "4.2.1.1-2 Manure methane")</f>
        <v>4.2.1.1-2 Manure methane</v>
      </c>
      <c r="D30" t="s">
        <v>1968</v>
      </c>
      <c r="E30">
        <v>1.07</v>
      </c>
      <c r="F30">
        <v>0.2</v>
      </c>
      <c r="G30">
        <v>0.8</v>
      </c>
      <c r="H30">
        <v>0.42</v>
      </c>
      <c r="I30">
        <v>1.6E-2</v>
      </c>
      <c r="J30">
        <v>1.4E-2</v>
      </c>
      <c r="K30">
        <v>0.5</v>
      </c>
      <c r="L30">
        <v>0.85</v>
      </c>
    </row>
    <row r="31" spans="1:14" ht="20.100000000000001" customHeight="1" x14ac:dyDescent="0.2">
      <c r="A31" s="5" t="str">
        <f>HYPERLINK("#'4.2.1.3-4 Soil direct N20'!A1", "4.2.1.3-4 Soil direct N2O")</f>
        <v>4.2.1.3-4 Soil direct N2O</v>
      </c>
      <c r="D31" t="s">
        <v>1969</v>
      </c>
      <c r="E31">
        <v>0.25</v>
      </c>
      <c r="F31">
        <v>0.45</v>
      </c>
      <c r="G31">
        <v>0.2</v>
      </c>
      <c r="H31">
        <v>0.4</v>
      </c>
      <c r="I31">
        <v>5.0000000000000001E-3</v>
      </c>
      <c r="J31">
        <v>7.0000000000000001E-3</v>
      </c>
      <c r="K31">
        <v>1</v>
      </c>
      <c r="L31">
        <v>0.8</v>
      </c>
    </row>
    <row r="32" spans="1:14" ht="20.100000000000001" customHeight="1" x14ac:dyDescent="0.2">
      <c r="A32" s="5" t="str">
        <f>HYPERLINK("#'4.2.1.5-6 Soil Atmos Dep'!A1", "4.2.1.5-6 Soil atm. deposition")</f>
        <v>4.2.1.5-6 Soil atm. deposition</v>
      </c>
      <c r="D32" t="s">
        <v>684</v>
      </c>
      <c r="E32">
        <v>1.9</v>
      </c>
      <c r="F32">
        <v>0.3</v>
      </c>
      <c r="G32">
        <v>0.9</v>
      </c>
      <c r="H32">
        <v>0.4</v>
      </c>
      <c r="I32">
        <v>0.01</v>
      </c>
      <c r="J32">
        <v>0.01</v>
      </c>
      <c r="K32" t="s">
        <v>494</v>
      </c>
      <c r="L32">
        <v>0.85</v>
      </c>
    </row>
    <row r="33" spans="1:13" ht="20.100000000000001" customHeight="1" x14ac:dyDescent="0.2">
      <c r="A33" s="5" t="str">
        <f>HYPERLINK("#'4.2.1.7-8 Soil leach runoff'!A1", "4.2.1.7-8 Soil leach &amp; runoff")</f>
        <v>4.2.1.7-8 Soil leach &amp; runoff</v>
      </c>
      <c r="D33" t="s">
        <v>1970</v>
      </c>
      <c r="E33">
        <v>1.5</v>
      </c>
      <c r="F33">
        <v>0.28999999999999998</v>
      </c>
      <c r="G33">
        <v>0.88</v>
      </c>
      <c r="H33">
        <v>0.4</v>
      </c>
      <c r="I33">
        <v>6.0000000000000001E-3</v>
      </c>
      <c r="J33" t="s">
        <v>494</v>
      </c>
      <c r="K33" t="s">
        <v>494</v>
      </c>
      <c r="L33">
        <v>0.85</v>
      </c>
    </row>
    <row r="34" spans="1:13" ht="20.100000000000001" customHeight="1" x14ac:dyDescent="0.2">
      <c r="A34" s="5" t="str">
        <f>HYPERLINK("#'5.1.1.1-2 Inorganic fert N2O'!A1", "5.1.1.1-2 Inorganic fert N2O")</f>
        <v>5.1.1.1-2 Inorganic fert N2O</v>
      </c>
      <c r="D34" t="s">
        <v>1971</v>
      </c>
      <c r="E34">
        <v>2.08</v>
      </c>
      <c r="F34">
        <v>0.33</v>
      </c>
      <c r="G34">
        <v>0.96</v>
      </c>
      <c r="H34">
        <v>0.4</v>
      </c>
      <c r="I34">
        <v>8.9999999999999993E-3</v>
      </c>
      <c r="J34">
        <v>0.01</v>
      </c>
      <c r="K34">
        <v>0.5</v>
      </c>
      <c r="L34">
        <v>0.85</v>
      </c>
    </row>
    <row r="35" spans="1:13" ht="20.100000000000001" customHeight="1" x14ac:dyDescent="0.2">
      <c r="A35" s="5" t="str">
        <f>HYPERLINK("#'5.1.1.3-4 Inorganic fert CO2'!A1", "5.1.1.3-4 Inorganic fert CO2")</f>
        <v>5.1.1.3-4 Inorganic fert CO2</v>
      </c>
      <c r="D35" t="s">
        <v>1972</v>
      </c>
      <c r="E35">
        <v>1.34</v>
      </c>
      <c r="F35">
        <v>0.37</v>
      </c>
      <c r="G35">
        <v>0.88</v>
      </c>
      <c r="H35">
        <v>0.4</v>
      </c>
      <c r="I35">
        <v>6.0000000000000001E-3</v>
      </c>
      <c r="J35">
        <v>0.01</v>
      </c>
      <c r="K35" t="s">
        <v>494</v>
      </c>
      <c r="L35">
        <v>0.85</v>
      </c>
    </row>
    <row r="36" spans="1:13" ht="20.100000000000001" customHeight="1" x14ac:dyDescent="0.2">
      <c r="A36" s="5" t="str">
        <f>HYPERLINK("#'5.2.1.1-2 Organic Fert N2O'!A1", "5.2.1.1-2 Organic fert N2O")</f>
        <v>5.2.1.1-2 Organic fert N2O</v>
      </c>
      <c r="D36" t="s">
        <v>1973</v>
      </c>
      <c r="E36">
        <v>1</v>
      </c>
      <c r="F36">
        <v>0.22</v>
      </c>
      <c r="G36">
        <v>0.85</v>
      </c>
      <c r="H36">
        <v>0.4</v>
      </c>
      <c r="I36">
        <v>8.0000000000000002E-3</v>
      </c>
      <c r="J36">
        <v>8.9999999999999993E-3</v>
      </c>
      <c r="K36" t="s">
        <v>494</v>
      </c>
      <c r="L36" t="s">
        <v>494</v>
      </c>
    </row>
    <row r="37" spans="1:13" ht="20.100000000000001" customHeight="1" x14ac:dyDescent="0.2">
      <c r="A37" s="5" t="str">
        <f>HYPERLINK("#'5.3.1.1-2 Lime CO2'!A1", "5.3.1.1-2 Lime CO2")</f>
        <v>5.3.1.1-2 Lime CO2</v>
      </c>
      <c r="D37" t="s">
        <v>1974</v>
      </c>
      <c r="E37">
        <v>1.5</v>
      </c>
      <c r="F37">
        <v>0.28999999999999998</v>
      </c>
      <c r="G37">
        <v>0.88</v>
      </c>
      <c r="H37">
        <v>0.4</v>
      </c>
      <c r="I37">
        <v>6.0000000000000001E-3</v>
      </c>
      <c r="J37" t="s">
        <v>494</v>
      </c>
      <c r="K37" t="s">
        <v>494</v>
      </c>
      <c r="L37" t="s">
        <v>494</v>
      </c>
    </row>
    <row r="38" spans="1:13" ht="20.100000000000001" customHeight="1" x14ac:dyDescent="0.2">
      <c r="A38" s="5" t="str">
        <f>HYPERLINK("#'5.4.1.1-4 Atmos deposition'!A1", "5.4.1.1-4 Atmos. deposition")</f>
        <v>5.4.1.1-4 Atmos. deposition</v>
      </c>
      <c r="D38" s="8"/>
      <c r="E38" s="8"/>
      <c r="F38" s="8"/>
      <c r="G38" s="8"/>
      <c r="H38" s="8"/>
      <c r="I38" s="8"/>
      <c r="J38" s="8"/>
      <c r="K38" s="8"/>
      <c r="L38" s="8"/>
    </row>
    <row r="39" spans="1:13" ht="20.100000000000001" customHeight="1" x14ac:dyDescent="0.2">
      <c r="A39" s="5" t="str">
        <f>HYPERLINK("#'5.5.1.1-2 Leaching and runoff'!A1", "5.5.1.1-2 Leaching &amp; runoff")</f>
        <v>5.5.1.1-2 Leaching &amp; runoff</v>
      </c>
      <c r="D39" s="8"/>
      <c r="E39" s="8"/>
      <c r="F39" s="8"/>
      <c r="G39" s="8"/>
      <c r="H39" s="8"/>
      <c r="I39" s="8"/>
      <c r="J39" s="8"/>
      <c r="K39" s="8"/>
      <c r="L39" s="8"/>
    </row>
    <row r="40" spans="1:13" ht="20.100000000000001" customHeight="1" x14ac:dyDescent="0.2">
      <c r="A40" s="5" t="str">
        <f>HYPERLINK("#'6.2.1.1-2 Pasture residue N2O'!A1", "6.2.1.1-2 Pasture residue N2O")</f>
        <v>6.2.1.1-2 Pasture residue N2O</v>
      </c>
      <c r="D40" s="2" t="s">
        <v>1975</v>
      </c>
      <c r="E40" s="25"/>
      <c r="F40" s="25"/>
      <c r="G40" s="8"/>
      <c r="H40" s="8"/>
      <c r="I40" s="8"/>
      <c r="J40" s="8"/>
      <c r="K40" s="8"/>
      <c r="L40" s="8"/>
    </row>
    <row r="41" spans="1:13" ht="20.100000000000001" customHeight="1" x14ac:dyDescent="0.2">
      <c r="A41" s="5" t="str">
        <f>HYPERLINK("#'6.3.1.1-2 Leach runoff pasture'!A1", "6.3.1.1-2 Leach &amp; runoff (pasture)")</f>
        <v>6.3.1.1-2 Leach &amp; runoff (pasture)</v>
      </c>
      <c r="D41" s="17" t="s">
        <v>1976</v>
      </c>
      <c r="E41" s="25"/>
      <c r="F41" s="25"/>
      <c r="G41" s="8"/>
      <c r="H41" s="8"/>
      <c r="I41" s="8"/>
      <c r="J41" s="8"/>
      <c r="K41" s="8"/>
      <c r="L41" s="8"/>
    </row>
    <row r="42" spans="1:13" ht="20.100000000000001" customHeight="1" x14ac:dyDescent="0.2">
      <c r="A42" s="5" t="str">
        <f>HYPERLINK("#'8.1.1.1-2 Transport fuel'!A1", "8.1.1.1-2 Transport fuel")</f>
        <v>8.1.1.1-2 Transport fuel</v>
      </c>
      <c r="D42" s="17"/>
      <c r="E42" s="25"/>
      <c r="F42" s="25"/>
      <c r="H42" s="8"/>
      <c r="I42" s="8"/>
      <c r="M42" s="25"/>
    </row>
    <row r="43" spans="1:13" ht="20.100000000000001" customHeight="1" x14ac:dyDescent="0.2">
      <c r="A43" s="5" t="str">
        <f>HYPERLINK("#'8.2.1.1-2 Stationary fuel'!A1", "8.2.1.1-2 Stationary fuel")</f>
        <v>8.2.1.1-2 Stationary fuel</v>
      </c>
      <c r="D43" s="177" t="s">
        <v>1032</v>
      </c>
      <c r="E43" s="177" t="s">
        <v>1033</v>
      </c>
      <c r="F43" s="25"/>
      <c r="H43" s="8"/>
      <c r="I43" s="8"/>
      <c r="M43" s="25"/>
    </row>
    <row r="44" spans="1:13" ht="20.100000000000001" customHeight="1" x14ac:dyDescent="0.2">
      <c r="A44" s="5" t="str">
        <f>HYPERLINK("#'10.1.1-2 Solid waste treatment'!A1", "10.1.1.1-2 Solid waste")</f>
        <v>10.1.1.1-2 Solid waste</v>
      </c>
      <c r="D44" s="27" t="s">
        <v>1977</v>
      </c>
      <c r="E44" s="27">
        <v>6.0000000000000001E-3</v>
      </c>
      <c r="F44" s="25"/>
      <c r="H44" s="8"/>
      <c r="I44" s="8"/>
      <c r="M44" s="25"/>
    </row>
    <row r="45" spans="1:13" ht="20.100000000000001" customHeight="1" x14ac:dyDescent="0.2">
      <c r="A45" s="5" t="str">
        <f>HYPERLINK("#'14.1.1-2 Purchased electricity'!A1", "14.1.1-2 Purchased electricity")</f>
        <v>14.1.1-2 Purchased electricity</v>
      </c>
      <c r="D45" s="27" t="s">
        <v>1978</v>
      </c>
      <c r="E45" s="27">
        <v>5.0000000000000001E-3</v>
      </c>
      <c r="F45" s="25"/>
      <c r="H45" s="8"/>
      <c r="I45" s="8"/>
      <c r="M45" s="25"/>
    </row>
    <row r="46" spans="1:13" ht="20.100000000000001" customHeight="1" x14ac:dyDescent="0.2">
      <c r="A46" s="5" t="str">
        <f>HYPERLINK("#'15 Scope 3'!A1", "15 Scope 3")</f>
        <v>15 Scope 3</v>
      </c>
      <c r="H46" s="8"/>
      <c r="I46" s="8"/>
      <c r="M46" s="25"/>
    </row>
    <row r="47" spans="1:13" ht="20.100000000000001" customHeight="1" x14ac:dyDescent="0.2">
      <c r="A47" s="5" t="str">
        <f>HYPERLINK("#'Calcs - Manure sent off-site'!A1", "Calcs - Manure sent off-site")</f>
        <v>Calcs - Manure sent off-site</v>
      </c>
      <c r="M47" s="25"/>
    </row>
    <row r="48" spans="1:13" ht="20.100000000000001" customHeight="1" x14ac:dyDescent="0.2">
      <c r="D48" s="2" t="s">
        <v>1979</v>
      </c>
      <c r="K48" s="8"/>
      <c r="L48" s="8"/>
    </row>
    <row r="49" spans="1:12" ht="20.100000000000001" customHeight="1" x14ac:dyDescent="0.2">
      <c r="D49" s="17" t="s">
        <v>1980</v>
      </c>
      <c r="K49" s="8"/>
      <c r="L49" s="8"/>
    </row>
    <row r="50" spans="1:12" ht="20.100000000000001" customHeight="1" x14ac:dyDescent="0.2">
      <c r="A50" s="86" t="s">
        <v>1</v>
      </c>
      <c r="K50" s="8"/>
      <c r="L50" s="8"/>
    </row>
    <row r="51" spans="1:12" ht="20.100000000000001" customHeight="1" x14ac:dyDescent="0.2">
      <c r="A51" s="5" t="str">
        <f>HYPERLINK("#'Constants - Pasture Beef'!A1", "Constants - Pasture Beef")</f>
        <v>Constants - Pasture Beef</v>
      </c>
      <c r="D51" s="20" t="s">
        <v>985</v>
      </c>
      <c r="E51" s="20" t="s">
        <v>1034</v>
      </c>
      <c r="F51" s="20" t="s">
        <v>1035</v>
      </c>
      <c r="G51" s="20" t="s">
        <v>1036</v>
      </c>
      <c r="H51" s="20" t="s">
        <v>1037</v>
      </c>
      <c r="I51" s="20" t="s">
        <v>1038</v>
      </c>
      <c r="K51" s="8"/>
      <c r="L51" s="8"/>
    </row>
    <row r="52" spans="1:12" ht="20.100000000000001" customHeight="1" x14ac:dyDescent="0.2">
      <c r="A52" s="87" t="str">
        <f>HYPERLINK("#'Constants - Ag Residue'!A1", "Constants - Ag residue")</f>
        <v>Constants - Ag residue</v>
      </c>
      <c r="D52" s="20" t="s">
        <v>1981</v>
      </c>
      <c r="E52" s="20">
        <v>4.41</v>
      </c>
      <c r="F52" s="20">
        <v>0.4</v>
      </c>
      <c r="G52" s="20">
        <v>1.4999999999999999E-2</v>
      </c>
      <c r="H52" s="20">
        <v>1.2E-2</v>
      </c>
      <c r="I52" s="20">
        <v>0.8</v>
      </c>
      <c r="L52" s="8"/>
    </row>
    <row r="53" spans="1:12" ht="20.100000000000001" customHeight="1" x14ac:dyDescent="0.2">
      <c r="A53" s="5" t="str">
        <f>HYPERLINK("#'Constants - Common Livestock'!A1", "Constants - Common Livestock")</f>
        <v>Constants - Common Livestock</v>
      </c>
      <c r="D53" s="20" t="s">
        <v>986</v>
      </c>
      <c r="E53" s="20">
        <v>8.34</v>
      </c>
      <c r="F53" s="20">
        <v>0.8</v>
      </c>
      <c r="G53" s="20">
        <v>2.5000000000000001E-2</v>
      </c>
      <c r="H53" s="20">
        <v>1.6E-2</v>
      </c>
      <c r="I53" s="20">
        <v>0.8</v>
      </c>
      <c r="L53" s="8"/>
    </row>
    <row r="54" spans="1:12" ht="20.100000000000001" customHeight="1" x14ac:dyDescent="0.2">
      <c r="A54" s="5" t="str">
        <f>HYPERLINK("#'Constants - Electricity'!A1", "Constants - Electricity")</f>
        <v>Constants - Electricity</v>
      </c>
      <c r="D54" s="20" t="s">
        <v>1982</v>
      </c>
      <c r="E54" s="20">
        <v>8.6199999999999992</v>
      </c>
      <c r="F54" s="20">
        <v>0.4</v>
      </c>
      <c r="G54" s="20">
        <v>2.7E-2</v>
      </c>
      <c r="H54" s="20">
        <v>1.9E-2</v>
      </c>
      <c r="I54" s="20">
        <v>0.8</v>
      </c>
    </row>
    <row r="55" spans="1:12" ht="20.100000000000001" customHeight="1" x14ac:dyDescent="0.2">
      <c r="A55" s="5" t="str">
        <f>HYPERLINK("#'Constants - Fertiliser'!A1", "Constants - Fertiliser")</f>
        <v>Constants - Fertiliser</v>
      </c>
      <c r="D55" s="20" t="s">
        <v>1983</v>
      </c>
      <c r="E55" s="20">
        <v>5.62</v>
      </c>
      <c r="F55" s="20">
        <v>0.4</v>
      </c>
      <c r="G55" s="20">
        <v>2.7E-2</v>
      </c>
      <c r="H55" s="20">
        <v>2.1999999999999999E-2</v>
      </c>
      <c r="I55" s="20">
        <v>0.8</v>
      </c>
    </row>
    <row r="56" spans="1:12" ht="20.100000000000001" customHeight="1" x14ac:dyDescent="0.2">
      <c r="A56" s="5" t="str">
        <f>HYPERLINK("#'Constants - Fuel'!A1", "Constants - Fuel")</f>
        <v>Constants - Fuel</v>
      </c>
      <c r="D56" s="20" t="s">
        <v>1984</v>
      </c>
      <c r="E56" s="20">
        <v>8.35</v>
      </c>
      <c r="F56" s="20">
        <v>0.8</v>
      </c>
      <c r="G56" s="20">
        <v>1.4999999999999999E-2</v>
      </c>
      <c r="H56" s="20">
        <v>1.2E-2</v>
      </c>
      <c r="I56" s="20">
        <v>0.8</v>
      </c>
    </row>
    <row r="57" spans="1:12" ht="20.100000000000001" customHeight="1" x14ac:dyDescent="0.2">
      <c r="A57" s="5" t="str">
        <f>HYPERLINK("#'Constants - Scope 3'!A1", "Constants - Scope 3")</f>
        <v>Constants - Scope 3</v>
      </c>
      <c r="H57" s="8"/>
    </row>
    <row r="58" spans="1:12" ht="20.100000000000001" customHeight="1" x14ac:dyDescent="0.2">
      <c r="A58" s="5" t="str">
        <f>HYPERLINK("#'Constants - Solid Waste'!A1", "Constants - Solid Waste")</f>
        <v>Constants - Solid Waste</v>
      </c>
    </row>
    <row r="59" spans="1:12" ht="20.100000000000001" customHeight="1" x14ac:dyDescent="0.2">
      <c r="A59" s="5" t="str">
        <f>HYPERLINK("#'Constants - Common'!A1", "Constants - Common")</f>
        <v>Constants - Common</v>
      </c>
      <c r="D59" s="2" t="s">
        <v>1985</v>
      </c>
    </row>
    <row r="60" spans="1:12" ht="20.100000000000001" customHeight="1" x14ac:dyDescent="0.2">
      <c r="A60" s="5" t="str">
        <f>HYPERLINK("#'Acknowledgements'!A1", "Acknowledgements")</f>
        <v>Acknowledgements</v>
      </c>
      <c r="D60" s="17" t="s">
        <v>1986</v>
      </c>
    </row>
    <row r="62" spans="1:12" ht="20.100000000000001" customHeight="1" x14ac:dyDescent="0.2">
      <c r="D62" s="20" t="s">
        <v>1039</v>
      </c>
      <c r="E62" s="20" t="s">
        <v>1040</v>
      </c>
      <c r="F62" s="20" t="s">
        <v>1041</v>
      </c>
    </row>
    <row r="63" spans="1:12" ht="20.100000000000001" customHeight="1" x14ac:dyDescent="0.2">
      <c r="D63" s="20" t="s">
        <v>858</v>
      </c>
      <c r="E63" s="20">
        <v>3.5000000000000001E-3</v>
      </c>
      <c r="F63" s="20" t="s">
        <v>1987</v>
      </c>
      <c r="K63" s="8"/>
      <c r="L63" s="8"/>
    </row>
    <row r="64" spans="1:12" ht="20.100000000000001" customHeight="1" x14ac:dyDescent="0.2">
      <c r="D64" s="1" t="s">
        <v>859</v>
      </c>
      <c r="E64" s="20">
        <v>7.6E-3</v>
      </c>
      <c r="F64" s="20" t="s">
        <v>1988</v>
      </c>
      <c r="K64" s="8"/>
      <c r="L64" s="8"/>
    </row>
    <row r="65" spans="1:12" ht="20.100000000000001" customHeight="1" x14ac:dyDescent="0.2">
      <c r="D65" s="1" t="s">
        <v>1989</v>
      </c>
      <c r="E65" s="20">
        <v>0.21</v>
      </c>
      <c r="F65" s="20" t="s">
        <v>1990</v>
      </c>
      <c r="K65" s="8"/>
      <c r="L65" s="8"/>
    </row>
    <row r="66" spans="1:12" ht="20.100000000000001" customHeight="1" x14ac:dyDescent="0.2">
      <c r="D66" s="1" t="s">
        <v>1991</v>
      </c>
      <c r="E66" s="20">
        <v>7.8E-2</v>
      </c>
      <c r="F66" s="20" t="s">
        <v>1992</v>
      </c>
      <c r="K66" s="8"/>
      <c r="L66" s="8"/>
    </row>
    <row r="67" spans="1:12" ht="20.100000000000001" customHeight="1" x14ac:dyDescent="0.2">
      <c r="D67" s="1" t="s">
        <v>1993</v>
      </c>
      <c r="E67" s="20">
        <v>9.1000000000000004E-3</v>
      </c>
      <c r="F67" s="20" t="s">
        <v>1994</v>
      </c>
      <c r="K67" s="8"/>
      <c r="L67" s="8"/>
    </row>
    <row r="68" spans="1:12" ht="20.100000000000001" customHeight="1" x14ac:dyDescent="0.2">
      <c r="K68" s="8"/>
      <c r="L68" s="8"/>
    </row>
    <row r="69" spans="1:12" ht="20.100000000000001" customHeight="1" x14ac:dyDescent="0.2">
      <c r="K69" s="8"/>
      <c r="L69" s="8"/>
    </row>
    <row r="70" spans="1:12" ht="20.100000000000001" customHeight="1" x14ac:dyDescent="0.2">
      <c r="D70" s="2" t="s">
        <v>1995</v>
      </c>
      <c r="E70" s="8"/>
      <c r="F70" s="8"/>
      <c r="G70" s="8"/>
      <c r="K70" s="8"/>
      <c r="L70" s="8"/>
    </row>
    <row r="71" spans="1:12" ht="20.100000000000001" customHeight="1" x14ac:dyDescent="0.2">
      <c r="A71" s="85" t="str">
        <f>HYPERLINK("#A1", "▲ Back to top")</f>
        <v>▲ Back to top</v>
      </c>
      <c r="D71" s="17" t="s">
        <v>1996</v>
      </c>
      <c r="E71" s="8"/>
      <c r="F71" s="8"/>
      <c r="G71" s="8"/>
      <c r="K71" s="8"/>
      <c r="L71" s="8"/>
    </row>
    <row r="72" spans="1:12" ht="20.100000000000001" customHeight="1" x14ac:dyDescent="0.2">
      <c r="D72" s="8"/>
      <c r="E72" s="8"/>
      <c r="F72" s="8"/>
      <c r="G72" s="8"/>
      <c r="K72" s="8"/>
      <c r="L72" s="8"/>
    </row>
    <row r="73" spans="1:12" ht="20.100000000000001" customHeight="1" x14ac:dyDescent="0.2">
      <c r="D73" t="s">
        <v>1042</v>
      </c>
      <c r="E73" t="s">
        <v>107</v>
      </c>
      <c r="F73" t="s">
        <v>1043</v>
      </c>
      <c r="G73" s="8"/>
      <c r="K73" s="8"/>
      <c r="L73" s="8"/>
    </row>
    <row r="74" spans="1:12" ht="20.100000000000001" customHeight="1" x14ac:dyDescent="0.2">
      <c r="D74" t="s">
        <v>1962</v>
      </c>
      <c r="E74" t="s">
        <v>1997</v>
      </c>
      <c r="F74">
        <v>0.06</v>
      </c>
      <c r="G74" s="8"/>
      <c r="K74" s="8"/>
      <c r="L74" s="8"/>
    </row>
    <row r="75" spans="1:12" ht="20.100000000000001" customHeight="1" x14ac:dyDescent="0.2">
      <c r="D75" s="8" t="s">
        <v>1967</v>
      </c>
      <c r="E75" t="s">
        <v>1997</v>
      </c>
      <c r="F75">
        <v>1</v>
      </c>
      <c r="G75" s="8"/>
      <c r="H75" s="8"/>
      <c r="K75" s="8"/>
      <c r="L75" s="8"/>
    </row>
    <row r="76" spans="1:12" ht="20.100000000000001" customHeight="1" x14ac:dyDescent="0.2">
      <c r="D76" s="8" t="s">
        <v>684</v>
      </c>
      <c r="E76" t="s">
        <v>1997</v>
      </c>
      <c r="F76">
        <v>0</v>
      </c>
      <c r="G76" s="8"/>
      <c r="H76" s="8"/>
      <c r="K76" s="8"/>
      <c r="L76" s="8"/>
    </row>
    <row r="77" spans="1:12" ht="20.100000000000001" customHeight="1" x14ac:dyDescent="0.2">
      <c r="D77" s="8" t="s">
        <v>1970</v>
      </c>
      <c r="E77" t="s">
        <v>1997</v>
      </c>
      <c r="F77">
        <v>0</v>
      </c>
      <c r="G77" s="8"/>
      <c r="H77" s="8"/>
      <c r="I77" s="8"/>
      <c r="J77" s="8"/>
      <c r="K77" s="8"/>
      <c r="L77" s="8"/>
    </row>
    <row r="78" spans="1:12" ht="20.100000000000001" customHeight="1" x14ac:dyDescent="0.2">
      <c r="D78" s="8" t="s">
        <v>1972</v>
      </c>
      <c r="E78" t="s">
        <v>1997</v>
      </c>
      <c r="F78">
        <v>0.8</v>
      </c>
      <c r="G78" s="8"/>
      <c r="H78" s="8"/>
      <c r="I78" s="8"/>
      <c r="J78" s="8"/>
      <c r="K78" s="8"/>
      <c r="L78" s="8"/>
    </row>
    <row r="79" spans="1:12" ht="20.100000000000001" customHeight="1" x14ac:dyDescent="0.2">
      <c r="D79" s="8" t="s">
        <v>1998</v>
      </c>
      <c r="E79" t="s">
        <v>521</v>
      </c>
      <c r="F79">
        <v>0</v>
      </c>
      <c r="G79" s="8"/>
      <c r="H79" s="8"/>
      <c r="I79" s="8"/>
      <c r="J79" s="8"/>
      <c r="K79" s="8"/>
      <c r="L79" s="8"/>
    </row>
    <row r="80" spans="1:12" ht="20.100000000000001" customHeight="1" x14ac:dyDescent="0.2">
      <c r="D80" s="8" t="s">
        <v>1998</v>
      </c>
      <c r="E80" t="s">
        <v>534</v>
      </c>
      <c r="F80">
        <v>0.03</v>
      </c>
      <c r="G80" s="8"/>
      <c r="H80" s="8"/>
      <c r="I80" s="8"/>
      <c r="J80" s="8"/>
      <c r="K80" s="8"/>
      <c r="L80" s="8"/>
    </row>
    <row r="81" spans="4:12" ht="20.100000000000001" customHeight="1" x14ac:dyDescent="0.2">
      <c r="D81" s="8" t="s">
        <v>1998</v>
      </c>
      <c r="E81" t="s">
        <v>526</v>
      </c>
      <c r="F81">
        <v>0</v>
      </c>
      <c r="G81" s="8"/>
      <c r="H81" s="8"/>
      <c r="I81" s="8"/>
      <c r="J81" s="8"/>
      <c r="K81" s="8"/>
      <c r="L81" s="8"/>
    </row>
    <row r="82" spans="4:12" ht="20.100000000000001" customHeight="1" x14ac:dyDescent="0.2">
      <c r="D82" s="8" t="s">
        <v>1999</v>
      </c>
      <c r="E82" t="s">
        <v>521</v>
      </c>
      <c r="F82">
        <v>0.05</v>
      </c>
      <c r="G82" s="8"/>
      <c r="H82" s="8"/>
      <c r="I82" s="8"/>
      <c r="J82" s="8"/>
      <c r="K82" s="8"/>
      <c r="L82" s="8"/>
    </row>
    <row r="83" spans="4:12" ht="20.100000000000001" customHeight="1" x14ac:dyDescent="0.2">
      <c r="D83" s="8" t="s">
        <v>1999</v>
      </c>
      <c r="E83" t="s">
        <v>524</v>
      </c>
      <c r="F83">
        <v>7.0000000000000007E-2</v>
      </c>
      <c r="G83" s="8"/>
      <c r="H83" s="8"/>
      <c r="I83" s="8"/>
      <c r="J83" s="8"/>
      <c r="K83" s="8"/>
      <c r="L83" s="8"/>
    </row>
    <row r="84" spans="4:12" ht="20.100000000000001" customHeight="1" x14ac:dyDescent="0.2">
      <c r="D84" s="8" t="s">
        <v>1999</v>
      </c>
      <c r="E84" t="s">
        <v>534</v>
      </c>
      <c r="F84">
        <v>0.04</v>
      </c>
      <c r="G84" s="8"/>
      <c r="H84" s="8"/>
      <c r="I84" s="8"/>
      <c r="J84" s="8"/>
      <c r="K84" s="8"/>
      <c r="L84" s="8"/>
    </row>
    <row r="85" spans="4:12" ht="20.100000000000001" customHeight="1" x14ac:dyDescent="0.2">
      <c r="D85" s="8" t="s">
        <v>1999</v>
      </c>
      <c r="E85" t="s">
        <v>522</v>
      </c>
      <c r="F85">
        <v>0.09</v>
      </c>
      <c r="G85" s="8"/>
      <c r="H85" s="8"/>
      <c r="I85" s="8"/>
      <c r="J85" s="8"/>
      <c r="K85" s="8"/>
      <c r="L85" s="8"/>
    </row>
    <row r="86" spans="4:12" ht="20.100000000000001" customHeight="1" x14ac:dyDescent="0.2">
      <c r="D86" s="8" t="s">
        <v>1999</v>
      </c>
      <c r="E86" t="s">
        <v>526</v>
      </c>
      <c r="F86">
        <v>0.11</v>
      </c>
      <c r="G86" s="8"/>
      <c r="H86" s="8"/>
      <c r="I86" s="8"/>
      <c r="J86" s="8"/>
      <c r="K86" s="8"/>
      <c r="L86" s="8"/>
    </row>
    <row r="87" spans="4:12" ht="20.100000000000001" customHeight="1" x14ac:dyDescent="0.2">
      <c r="D87" s="8" t="s">
        <v>1999</v>
      </c>
      <c r="E87" t="s">
        <v>523</v>
      </c>
      <c r="F87">
        <v>0.16</v>
      </c>
      <c r="G87" s="8"/>
      <c r="H87" s="8"/>
      <c r="I87" s="8"/>
      <c r="J87" s="8"/>
      <c r="K87" s="8"/>
      <c r="L87" s="8"/>
    </row>
    <row r="88" spans="4:12" ht="20.100000000000001" customHeight="1" x14ac:dyDescent="0.2">
      <c r="D88" s="8" t="s">
        <v>1999</v>
      </c>
      <c r="E88" t="s">
        <v>530</v>
      </c>
      <c r="F88">
        <v>0.01</v>
      </c>
      <c r="G88" s="8"/>
      <c r="H88" s="8"/>
      <c r="I88" s="8"/>
      <c r="J88" s="8"/>
      <c r="K88" s="8"/>
      <c r="L88" s="8"/>
    </row>
    <row r="89" spans="4:12" ht="20.100000000000001" customHeight="1" x14ac:dyDescent="0.2">
      <c r="D89" s="8" t="s">
        <v>1999</v>
      </c>
      <c r="E89" t="s">
        <v>520</v>
      </c>
      <c r="F89">
        <v>0</v>
      </c>
      <c r="G89" s="8"/>
      <c r="H89" s="8"/>
      <c r="I89" s="8"/>
      <c r="J89" s="8"/>
      <c r="K89" s="8"/>
      <c r="L89" s="8"/>
    </row>
    <row r="90" spans="4:12" ht="20.100000000000001" customHeight="1" x14ac:dyDescent="0.2">
      <c r="D90" s="8"/>
      <c r="E90" s="8"/>
      <c r="F90" s="8"/>
      <c r="G90" s="8"/>
      <c r="H90" s="8"/>
      <c r="I90" s="8"/>
      <c r="J90" s="8"/>
      <c r="K90" s="8"/>
      <c r="L90" s="8"/>
    </row>
    <row r="91" spans="4:12" ht="20.100000000000001" customHeight="1" x14ac:dyDescent="0.2">
      <c r="D91" s="26"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4:12" ht="20.100000000000001" customHeight="1" x14ac:dyDescent="0.2">
      <c r="D92" t="s">
        <v>1042</v>
      </c>
      <c r="E92" t="s">
        <v>107</v>
      </c>
      <c r="F92" t="s">
        <v>1043</v>
      </c>
      <c r="G92" s="8"/>
      <c r="H92" s="8"/>
      <c r="I92" s="8"/>
      <c r="J92" s="8"/>
      <c r="K92" s="8"/>
      <c r="L92" s="8"/>
    </row>
    <row r="93" spans="4:12" ht="20.100000000000001" customHeight="1" x14ac:dyDescent="0.2">
      <c r="D93" t="s">
        <v>1962</v>
      </c>
      <c r="E93" t="s">
        <v>521</v>
      </c>
      <c r="F93">
        <v>0.06</v>
      </c>
      <c r="G93" s="8"/>
      <c r="H93" s="8"/>
      <c r="I93" s="8"/>
      <c r="J93" s="8"/>
      <c r="K93" s="8"/>
      <c r="L93" s="8"/>
    </row>
    <row r="94" spans="4:12" ht="20.100000000000001" customHeight="1" x14ac:dyDescent="0.2">
      <c r="D94" s="8" t="s">
        <v>1962</v>
      </c>
      <c r="E94" t="s">
        <v>524</v>
      </c>
      <c r="F94">
        <v>0.06</v>
      </c>
      <c r="G94" s="8"/>
      <c r="H94" s="8"/>
      <c r="I94" s="8"/>
      <c r="J94" s="8"/>
      <c r="K94" s="8"/>
      <c r="L94" s="8"/>
    </row>
    <row r="95" spans="4:12" ht="20.100000000000001" customHeight="1" x14ac:dyDescent="0.2">
      <c r="D95" s="8" t="s">
        <v>1962</v>
      </c>
      <c r="E95" t="s">
        <v>534</v>
      </c>
      <c r="F95">
        <v>0.06</v>
      </c>
      <c r="G95" s="8"/>
      <c r="H95" s="8"/>
      <c r="I95" s="8"/>
      <c r="J95" s="8"/>
      <c r="K95" s="8"/>
      <c r="L95" s="8"/>
    </row>
    <row r="96" spans="4:12" ht="20.100000000000001" customHeight="1" x14ac:dyDescent="0.2">
      <c r="D96" s="8" t="s">
        <v>1962</v>
      </c>
      <c r="E96" t="s">
        <v>522</v>
      </c>
      <c r="F96">
        <v>0.06</v>
      </c>
      <c r="G96" s="8"/>
      <c r="H96" s="8"/>
      <c r="I96" s="8"/>
      <c r="J96" s="8"/>
      <c r="K96" s="8"/>
      <c r="L96" s="8"/>
    </row>
    <row r="97" spans="1:12" ht="20.100000000000001" customHeight="1" x14ac:dyDescent="0.2">
      <c r="D97" s="8" t="s">
        <v>1962</v>
      </c>
      <c r="E97" t="s">
        <v>526</v>
      </c>
      <c r="F97">
        <v>0.06</v>
      </c>
      <c r="G97" s="8"/>
      <c r="H97" s="8"/>
      <c r="I97" s="8"/>
      <c r="J97" s="8"/>
      <c r="K97" s="8"/>
      <c r="L97" s="8"/>
    </row>
    <row r="98" spans="1:12" ht="20.100000000000001" customHeight="1" x14ac:dyDescent="0.2">
      <c r="D98" s="8" t="s">
        <v>1962</v>
      </c>
      <c r="E98" t="s">
        <v>523</v>
      </c>
      <c r="F98">
        <v>0.06</v>
      </c>
      <c r="G98" s="8"/>
      <c r="H98" s="8"/>
      <c r="I98" s="8"/>
      <c r="J98" s="8"/>
      <c r="K98" s="8"/>
      <c r="L98" s="8"/>
    </row>
    <row r="99" spans="1:12" ht="20.100000000000001" customHeight="1" x14ac:dyDescent="0.2">
      <c r="D99" s="8" t="s">
        <v>1962</v>
      </c>
      <c r="E99" t="s">
        <v>530</v>
      </c>
      <c r="F99">
        <v>0.06</v>
      </c>
      <c r="G99" s="8"/>
      <c r="H99" s="8"/>
      <c r="I99" s="8"/>
      <c r="J99" s="8"/>
      <c r="K99" s="8"/>
      <c r="L99" s="8"/>
    </row>
    <row r="100" spans="1:12" ht="20.100000000000001" customHeight="1" x14ac:dyDescent="0.2">
      <c r="D100" s="8" t="s">
        <v>1962</v>
      </c>
      <c r="E100" t="s">
        <v>520</v>
      </c>
      <c r="F100">
        <v>0.06</v>
      </c>
      <c r="G100" s="8"/>
      <c r="H100" s="8"/>
      <c r="I100" s="8"/>
      <c r="J100" s="8"/>
      <c r="K100" s="8"/>
      <c r="L100" s="8"/>
    </row>
    <row r="101" spans="1:12" ht="20.100000000000001" customHeight="1" x14ac:dyDescent="0.2">
      <c r="A101" s="85" t="str">
        <f>HYPERLINK("#A1", "▲ Back to top")</f>
        <v>▲ Back to top</v>
      </c>
      <c r="D101" s="8" t="s">
        <v>1967</v>
      </c>
      <c r="E101" t="s">
        <v>521</v>
      </c>
      <c r="F101">
        <v>1</v>
      </c>
      <c r="G101" s="8"/>
      <c r="H101" s="8"/>
      <c r="I101" s="8"/>
      <c r="J101" s="8"/>
      <c r="K101" s="8"/>
      <c r="L101" s="8"/>
    </row>
    <row r="102" spans="1:12" ht="20.100000000000001" customHeight="1" x14ac:dyDescent="0.2">
      <c r="D102" s="8" t="s">
        <v>1967</v>
      </c>
      <c r="E102" t="s">
        <v>524</v>
      </c>
      <c r="F102">
        <v>1</v>
      </c>
      <c r="G102" s="8"/>
      <c r="H102" s="8"/>
      <c r="I102" s="8"/>
      <c r="J102" s="8"/>
      <c r="K102" s="8"/>
      <c r="L102" s="8"/>
    </row>
    <row r="103" spans="1:12" ht="20.100000000000001" customHeight="1" x14ac:dyDescent="0.2">
      <c r="D103" s="8" t="s">
        <v>1967</v>
      </c>
      <c r="E103" t="s">
        <v>534</v>
      </c>
      <c r="F103">
        <v>1</v>
      </c>
      <c r="G103" s="8"/>
      <c r="H103" s="8"/>
      <c r="I103" s="8"/>
      <c r="J103" s="8"/>
      <c r="K103" s="8"/>
      <c r="L103" s="8"/>
    </row>
    <row r="104" spans="1:12" ht="20.100000000000001" customHeight="1" x14ac:dyDescent="0.2">
      <c r="D104" s="8" t="s">
        <v>1967</v>
      </c>
      <c r="E104" t="s">
        <v>522</v>
      </c>
      <c r="F104">
        <v>1</v>
      </c>
      <c r="G104" s="8"/>
      <c r="H104" s="8"/>
      <c r="I104" s="8"/>
      <c r="J104" s="8"/>
      <c r="K104" s="8"/>
      <c r="L104" s="8"/>
    </row>
    <row r="105" spans="1:12" ht="20.100000000000001" customHeight="1" x14ac:dyDescent="0.2">
      <c r="D105" s="8" t="s">
        <v>1967</v>
      </c>
      <c r="E105" t="s">
        <v>526</v>
      </c>
      <c r="F105">
        <v>1</v>
      </c>
      <c r="G105" s="8"/>
      <c r="H105" s="8"/>
      <c r="I105" s="8"/>
      <c r="J105" s="8"/>
      <c r="K105" s="8"/>
      <c r="L105" s="8"/>
    </row>
    <row r="106" spans="1:12" ht="20.100000000000001" customHeight="1" x14ac:dyDescent="0.2">
      <c r="D106" s="8" t="s">
        <v>1967</v>
      </c>
      <c r="E106" t="s">
        <v>523</v>
      </c>
      <c r="F106">
        <v>1</v>
      </c>
      <c r="G106" s="8"/>
      <c r="H106" s="8"/>
      <c r="I106" s="8"/>
      <c r="J106" s="8"/>
      <c r="K106" s="8"/>
      <c r="L106" s="8"/>
    </row>
    <row r="107" spans="1:12" ht="20.100000000000001" customHeight="1" x14ac:dyDescent="0.2">
      <c r="D107" s="8" t="s">
        <v>1967</v>
      </c>
      <c r="E107" t="s">
        <v>530</v>
      </c>
      <c r="F107">
        <v>1</v>
      </c>
      <c r="G107" s="8"/>
      <c r="H107" s="8"/>
      <c r="I107" s="8"/>
      <c r="J107" s="8"/>
      <c r="K107" s="8"/>
      <c r="L107" s="8"/>
    </row>
    <row r="108" spans="1:12" ht="20.100000000000001" customHeight="1" x14ac:dyDescent="0.2">
      <c r="D108" s="8" t="s">
        <v>1967</v>
      </c>
      <c r="E108" t="s">
        <v>520</v>
      </c>
      <c r="F108">
        <v>1</v>
      </c>
      <c r="G108" s="8"/>
      <c r="H108" s="8"/>
      <c r="I108" s="8"/>
      <c r="J108" s="8"/>
      <c r="K108" s="8"/>
      <c r="L108" s="8"/>
    </row>
    <row r="109" spans="1:12" ht="20.100000000000001" customHeight="1" x14ac:dyDescent="0.2">
      <c r="D109" s="8" t="s">
        <v>684</v>
      </c>
      <c r="E109" t="s">
        <v>521</v>
      </c>
      <c r="F109">
        <v>0</v>
      </c>
      <c r="G109" s="8"/>
      <c r="H109" s="8"/>
      <c r="I109" s="8"/>
      <c r="J109" s="8"/>
      <c r="K109" s="8"/>
      <c r="L109" s="8"/>
    </row>
    <row r="110" spans="1:12" ht="20.100000000000001" customHeight="1" x14ac:dyDescent="0.2">
      <c r="D110" s="8" t="s">
        <v>684</v>
      </c>
      <c r="E110" t="s">
        <v>524</v>
      </c>
      <c r="F110">
        <v>0</v>
      </c>
      <c r="G110" s="8"/>
      <c r="H110" s="8"/>
      <c r="I110" s="8"/>
      <c r="J110" s="8"/>
      <c r="K110" s="8"/>
      <c r="L110" s="8"/>
    </row>
    <row r="111" spans="1:12" ht="20.100000000000001" customHeight="1" x14ac:dyDescent="0.2">
      <c r="D111" s="8" t="s">
        <v>684</v>
      </c>
      <c r="E111" t="s">
        <v>534</v>
      </c>
      <c r="F111">
        <v>0</v>
      </c>
      <c r="G111" s="8"/>
      <c r="H111" s="8"/>
      <c r="I111" s="8"/>
      <c r="J111" s="8"/>
      <c r="K111" s="8"/>
      <c r="L111" s="8"/>
    </row>
    <row r="112" spans="1:12" ht="20.100000000000001" customHeight="1" x14ac:dyDescent="0.2">
      <c r="D112" s="8" t="s">
        <v>684</v>
      </c>
      <c r="E112" t="s">
        <v>522</v>
      </c>
      <c r="F112">
        <v>0</v>
      </c>
      <c r="G112" s="8"/>
      <c r="H112" s="8"/>
      <c r="I112" s="8"/>
      <c r="J112" s="8"/>
      <c r="K112" s="8"/>
      <c r="L112" s="8"/>
    </row>
    <row r="113" spans="4:12" ht="20.100000000000001" customHeight="1" x14ac:dyDescent="0.2">
      <c r="D113" s="8" t="s">
        <v>684</v>
      </c>
      <c r="E113" t="s">
        <v>526</v>
      </c>
      <c r="F113">
        <v>0</v>
      </c>
      <c r="G113" s="8"/>
      <c r="H113" s="8"/>
      <c r="I113" s="8"/>
      <c r="J113" s="8"/>
      <c r="K113" s="8"/>
      <c r="L113" s="8"/>
    </row>
    <row r="114" spans="4:12" ht="20.100000000000001" customHeight="1" x14ac:dyDescent="0.2">
      <c r="D114" s="8" t="s">
        <v>684</v>
      </c>
      <c r="E114" t="s">
        <v>523</v>
      </c>
      <c r="F114">
        <v>0</v>
      </c>
      <c r="G114" s="8"/>
      <c r="H114" s="8"/>
      <c r="I114" s="8"/>
      <c r="J114" s="8"/>
      <c r="K114" s="8"/>
      <c r="L114" s="8"/>
    </row>
    <row r="115" spans="4:12" ht="20.100000000000001" customHeight="1" x14ac:dyDescent="0.2">
      <c r="D115" s="8" t="s">
        <v>684</v>
      </c>
      <c r="E115" t="s">
        <v>530</v>
      </c>
      <c r="F115">
        <v>0</v>
      </c>
      <c r="G115" s="8"/>
      <c r="H115" s="8"/>
      <c r="I115" s="8"/>
      <c r="J115" s="8"/>
      <c r="K115" s="8"/>
      <c r="L115" s="8"/>
    </row>
    <row r="116" spans="4:12" ht="20.100000000000001" customHeight="1" x14ac:dyDescent="0.2">
      <c r="D116" s="8" t="s">
        <v>684</v>
      </c>
      <c r="E116" t="s">
        <v>520</v>
      </c>
      <c r="F116">
        <v>0</v>
      </c>
      <c r="G116" s="8"/>
      <c r="H116" s="8"/>
      <c r="I116" s="8"/>
      <c r="J116" s="8"/>
      <c r="K116" s="8"/>
      <c r="L116" s="8"/>
    </row>
    <row r="117" spans="4:12" ht="20.100000000000001" customHeight="1" x14ac:dyDescent="0.2">
      <c r="D117" s="8" t="s">
        <v>1970</v>
      </c>
      <c r="E117" t="s">
        <v>521</v>
      </c>
      <c r="F117">
        <v>0</v>
      </c>
      <c r="G117" s="8"/>
      <c r="H117" s="8"/>
      <c r="I117" s="8"/>
      <c r="J117" s="8"/>
      <c r="K117" s="8"/>
      <c r="L117" s="8"/>
    </row>
    <row r="118" spans="4:12" ht="20.100000000000001" customHeight="1" x14ac:dyDescent="0.2">
      <c r="D118" s="8" t="s">
        <v>1970</v>
      </c>
      <c r="E118" t="s">
        <v>524</v>
      </c>
      <c r="F118">
        <v>0</v>
      </c>
      <c r="G118" s="8"/>
      <c r="H118" s="8"/>
      <c r="I118" s="8"/>
      <c r="J118" s="8"/>
      <c r="K118" s="8"/>
      <c r="L118" s="8"/>
    </row>
    <row r="119" spans="4:12" ht="20.100000000000001" customHeight="1" x14ac:dyDescent="0.2">
      <c r="D119" s="8" t="s">
        <v>1970</v>
      </c>
      <c r="E119" t="s">
        <v>534</v>
      </c>
      <c r="F119">
        <v>0</v>
      </c>
      <c r="G119" s="8"/>
      <c r="H119" s="8"/>
      <c r="I119" s="8"/>
      <c r="J119" s="8"/>
      <c r="K119" s="8"/>
      <c r="L119" s="8"/>
    </row>
    <row r="120" spans="4:12" ht="20.100000000000001" customHeight="1" x14ac:dyDescent="0.2">
      <c r="D120" s="8" t="s">
        <v>1970</v>
      </c>
      <c r="E120" t="s">
        <v>522</v>
      </c>
      <c r="F120">
        <v>0</v>
      </c>
      <c r="G120" s="8"/>
      <c r="H120" s="8"/>
      <c r="I120" s="8"/>
      <c r="J120" s="8"/>
      <c r="K120" s="8"/>
      <c r="L120" s="8"/>
    </row>
    <row r="121" spans="4:12" ht="20.100000000000001" customHeight="1" x14ac:dyDescent="0.2">
      <c r="D121" s="8" t="s">
        <v>1970</v>
      </c>
      <c r="E121" t="s">
        <v>526</v>
      </c>
      <c r="F121">
        <v>0</v>
      </c>
      <c r="G121" s="8"/>
      <c r="H121" s="8"/>
      <c r="I121" s="8"/>
      <c r="J121" s="8"/>
      <c r="K121" s="8"/>
      <c r="L121" s="8"/>
    </row>
    <row r="122" spans="4:12" ht="20.100000000000001" customHeight="1" x14ac:dyDescent="0.2">
      <c r="D122" s="8" t="s">
        <v>1970</v>
      </c>
      <c r="E122" t="s">
        <v>523</v>
      </c>
      <c r="F122">
        <v>0</v>
      </c>
      <c r="G122" s="8"/>
      <c r="H122" s="8"/>
      <c r="I122" s="8"/>
      <c r="J122" s="8"/>
      <c r="K122" s="8"/>
      <c r="L122" s="8"/>
    </row>
    <row r="123" spans="4:12" ht="20.100000000000001" customHeight="1" x14ac:dyDescent="0.2">
      <c r="D123" s="8" t="s">
        <v>1970</v>
      </c>
      <c r="E123" t="s">
        <v>530</v>
      </c>
      <c r="F123">
        <v>0</v>
      </c>
      <c r="G123" s="8"/>
      <c r="H123" s="8"/>
      <c r="I123" s="8"/>
      <c r="J123" s="8"/>
      <c r="K123" s="8"/>
      <c r="L123" s="8"/>
    </row>
    <row r="124" spans="4:12" ht="20.100000000000001" customHeight="1" x14ac:dyDescent="0.2">
      <c r="D124" s="8" t="s">
        <v>1970</v>
      </c>
      <c r="E124" t="s">
        <v>520</v>
      </c>
      <c r="F124">
        <v>0</v>
      </c>
      <c r="G124" s="8"/>
      <c r="H124" s="8"/>
      <c r="I124" s="8"/>
      <c r="J124" s="8"/>
      <c r="K124" s="8"/>
      <c r="L124" s="8"/>
    </row>
    <row r="125" spans="4:12" ht="20.100000000000001" customHeight="1" x14ac:dyDescent="0.2">
      <c r="D125" s="8" t="s">
        <v>1972</v>
      </c>
      <c r="E125" t="s">
        <v>521</v>
      </c>
      <c r="F125">
        <v>0.8</v>
      </c>
      <c r="G125" s="8"/>
      <c r="H125" s="8"/>
      <c r="I125" s="8"/>
      <c r="J125" s="8"/>
      <c r="K125" s="8"/>
      <c r="L125" s="8"/>
    </row>
    <row r="126" spans="4:12" ht="20.100000000000001" customHeight="1" x14ac:dyDescent="0.2">
      <c r="D126" s="8" t="s">
        <v>1972</v>
      </c>
      <c r="E126" t="s">
        <v>524</v>
      </c>
      <c r="F126">
        <v>0.8</v>
      </c>
      <c r="G126" s="8"/>
      <c r="H126" s="8"/>
      <c r="I126" s="8"/>
      <c r="J126" s="8"/>
      <c r="K126" s="8"/>
      <c r="L126" s="8"/>
    </row>
    <row r="127" spans="4:12" ht="20.100000000000001" customHeight="1" x14ac:dyDescent="0.2">
      <c r="D127" s="8" t="s">
        <v>1972</v>
      </c>
      <c r="E127" t="s">
        <v>534</v>
      </c>
      <c r="F127">
        <v>0.8</v>
      </c>
      <c r="G127" s="8"/>
      <c r="H127" s="8"/>
      <c r="I127" s="8"/>
      <c r="J127" s="8"/>
      <c r="K127" s="8"/>
      <c r="L127" s="8"/>
    </row>
    <row r="128" spans="4:12" ht="20.100000000000001" customHeight="1" x14ac:dyDescent="0.2">
      <c r="D128" s="8" t="s">
        <v>1972</v>
      </c>
      <c r="E128" t="s">
        <v>522</v>
      </c>
      <c r="F128">
        <v>0.8</v>
      </c>
      <c r="G128" s="8"/>
      <c r="H128" s="8"/>
      <c r="I128" s="8"/>
      <c r="J128" s="8"/>
      <c r="K128" s="8"/>
      <c r="L128" s="8"/>
    </row>
    <row r="129" spans="1:12" ht="20.100000000000001" customHeight="1" x14ac:dyDescent="0.2">
      <c r="D129" s="8" t="s">
        <v>1972</v>
      </c>
      <c r="E129" t="s">
        <v>526</v>
      </c>
      <c r="F129">
        <v>0.8</v>
      </c>
      <c r="G129" s="8"/>
      <c r="H129" s="8"/>
      <c r="I129" s="8"/>
      <c r="J129" s="8"/>
      <c r="K129" s="8"/>
      <c r="L129" s="8"/>
    </row>
    <row r="130" spans="1:12" ht="20.100000000000001" customHeight="1" x14ac:dyDescent="0.2">
      <c r="D130" s="8" t="s">
        <v>1972</v>
      </c>
      <c r="E130" t="s">
        <v>523</v>
      </c>
      <c r="F130">
        <v>0.8</v>
      </c>
      <c r="G130" s="8"/>
      <c r="H130" s="8"/>
      <c r="I130" s="8"/>
      <c r="J130" s="8"/>
      <c r="K130" s="8"/>
      <c r="L130" s="8"/>
    </row>
    <row r="131" spans="1:12" ht="20.100000000000001" customHeight="1" x14ac:dyDescent="0.2">
      <c r="A131" s="85" t="str">
        <f>HYPERLINK("#A1", "▲ Back to top")</f>
        <v>▲ Back to top</v>
      </c>
      <c r="D131" s="8" t="s">
        <v>1972</v>
      </c>
      <c r="E131" t="s">
        <v>530</v>
      </c>
      <c r="F131">
        <v>0.8</v>
      </c>
      <c r="G131" s="8"/>
      <c r="H131" s="8"/>
      <c r="I131" s="8"/>
      <c r="J131" s="8"/>
      <c r="K131" s="8"/>
      <c r="L131" s="8"/>
    </row>
    <row r="132" spans="1:12" ht="20.100000000000001" customHeight="1" x14ac:dyDescent="0.2">
      <c r="D132" s="8" t="s">
        <v>1972</v>
      </c>
      <c r="E132" t="s">
        <v>520</v>
      </c>
      <c r="F132">
        <v>0.8</v>
      </c>
      <c r="G132" s="8"/>
      <c r="H132" s="8"/>
      <c r="I132" s="8"/>
      <c r="J132" s="8"/>
      <c r="K132" s="8"/>
      <c r="L132" s="8"/>
    </row>
    <row r="133" spans="1:12" ht="20.100000000000001" customHeight="1" x14ac:dyDescent="0.2">
      <c r="D133" s="8" t="s">
        <v>1998</v>
      </c>
      <c r="E133" t="s">
        <v>521</v>
      </c>
      <c r="F133">
        <v>0</v>
      </c>
      <c r="G133" s="8"/>
      <c r="H133" s="8"/>
      <c r="I133" s="8"/>
      <c r="J133" s="8"/>
      <c r="K133" s="8"/>
      <c r="L133" s="8"/>
    </row>
    <row r="134" spans="1:12" ht="20.100000000000001" customHeight="1" x14ac:dyDescent="0.2">
      <c r="D134" s="8" t="s">
        <v>1998</v>
      </c>
      <c r="E134" t="s">
        <v>524</v>
      </c>
      <c r="F134" t="s">
        <v>135</v>
      </c>
      <c r="G134" s="8"/>
      <c r="H134" s="8"/>
      <c r="I134" s="8"/>
      <c r="J134" s="8"/>
      <c r="K134" s="8"/>
      <c r="L134" s="8"/>
    </row>
    <row r="135" spans="1:12" ht="20.100000000000001" customHeight="1" x14ac:dyDescent="0.2">
      <c r="D135" s="8" t="s">
        <v>1998</v>
      </c>
      <c r="E135" t="s">
        <v>534</v>
      </c>
      <c r="F135">
        <v>0.03</v>
      </c>
      <c r="G135" s="8"/>
      <c r="H135" s="8"/>
      <c r="I135" s="8"/>
      <c r="J135" s="8"/>
      <c r="K135" s="8"/>
      <c r="L135" s="8"/>
    </row>
    <row r="136" spans="1:12" ht="20.100000000000001" customHeight="1" x14ac:dyDescent="0.2">
      <c r="D136" s="8" t="s">
        <v>1998</v>
      </c>
      <c r="E136" t="s">
        <v>522</v>
      </c>
      <c r="F136" t="s">
        <v>135</v>
      </c>
      <c r="G136" s="8"/>
      <c r="H136" s="8"/>
      <c r="I136" s="8"/>
      <c r="J136" s="8"/>
      <c r="K136" s="8"/>
      <c r="L136" s="8"/>
    </row>
    <row r="137" spans="1:12" ht="20.100000000000001" customHeight="1" x14ac:dyDescent="0.2">
      <c r="D137" s="8" t="s">
        <v>1998</v>
      </c>
      <c r="E137" t="s">
        <v>526</v>
      </c>
      <c r="F137">
        <v>0</v>
      </c>
      <c r="G137" s="8"/>
      <c r="H137" s="8"/>
      <c r="I137" s="8"/>
      <c r="J137" s="8"/>
      <c r="K137" s="8"/>
      <c r="L137" s="8"/>
    </row>
    <row r="138" spans="1:12" ht="20.100000000000001" customHeight="1" x14ac:dyDescent="0.2">
      <c r="D138" s="8" t="s">
        <v>1998</v>
      </c>
      <c r="E138" t="s">
        <v>523</v>
      </c>
      <c r="F138" t="s">
        <v>135</v>
      </c>
      <c r="G138" s="8"/>
      <c r="H138" s="8"/>
      <c r="I138" s="8"/>
      <c r="J138" s="8"/>
      <c r="K138" s="8"/>
      <c r="L138" s="8"/>
    </row>
    <row r="139" spans="1:12" ht="20.100000000000001" customHeight="1" x14ac:dyDescent="0.2">
      <c r="D139" s="8" t="s">
        <v>1998</v>
      </c>
      <c r="E139" t="s">
        <v>530</v>
      </c>
      <c r="F139" t="s">
        <v>135</v>
      </c>
      <c r="G139" s="8"/>
      <c r="H139" s="8"/>
      <c r="I139" s="8"/>
      <c r="J139" s="8"/>
      <c r="K139" s="8"/>
      <c r="L139" s="8"/>
    </row>
    <row r="140" spans="1:12" ht="20.100000000000001" customHeight="1" x14ac:dyDescent="0.2">
      <c r="D140" s="8" t="s">
        <v>1998</v>
      </c>
      <c r="E140" t="s">
        <v>520</v>
      </c>
      <c r="F140" t="s">
        <v>135</v>
      </c>
      <c r="G140" s="8"/>
      <c r="H140" s="8"/>
      <c r="I140" s="8"/>
      <c r="J140" s="8"/>
      <c r="K140" s="8"/>
      <c r="L140" s="8"/>
    </row>
    <row r="141" spans="1:12" ht="20.100000000000001" customHeight="1" x14ac:dyDescent="0.2">
      <c r="D141" s="8" t="s">
        <v>1959</v>
      </c>
      <c r="E141" t="s">
        <v>521</v>
      </c>
      <c r="F141">
        <v>0.05</v>
      </c>
      <c r="G141" s="8"/>
      <c r="H141" s="8"/>
      <c r="I141" s="8"/>
      <c r="J141" s="8"/>
      <c r="K141" s="8"/>
      <c r="L141" s="8"/>
    </row>
    <row r="142" spans="1:12" ht="20.100000000000001" customHeight="1" x14ac:dyDescent="0.2">
      <c r="D142" s="8" t="s">
        <v>1959</v>
      </c>
      <c r="E142" t="s">
        <v>524</v>
      </c>
      <c r="F142">
        <v>7.0000000000000007E-2</v>
      </c>
      <c r="G142" s="8"/>
      <c r="H142" s="8"/>
      <c r="I142" s="8"/>
      <c r="J142" s="8"/>
      <c r="K142" s="8"/>
      <c r="L142" s="8"/>
    </row>
    <row r="143" spans="1:12" ht="20.100000000000001" customHeight="1" x14ac:dyDescent="0.2">
      <c r="D143" s="8" t="s">
        <v>1959</v>
      </c>
      <c r="E143" t="s">
        <v>534</v>
      </c>
      <c r="F143">
        <v>0.04</v>
      </c>
      <c r="G143" s="8"/>
      <c r="H143" s="8"/>
      <c r="I143" s="8"/>
      <c r="J143" s="8"/>
      <c r="K143" s="8"/>
      <c r="L143" s="8"/>
    </row>
    <row r="144" spans="1:12" ht="20.100000000000001" customHeight="1" x14ac:dyDescent="0.2">
      <c r="D144" s="8" t="s">
        <v>1959</v>
      </c>
      <c r="E144" t="s">
        <v>522</v>
      </c>
      <c r="F144">
        <v>0.09</v>
      </c>
      <c r="G144" s="8"/>
      <c r="H144" s="8"/>
      <c r="I144" s="8"/>
      <c r="J144" s="8"/>
      <c r="K144" s="8"/>
      <c r="L144" s="8"/>
    </row>
    <row r="145" spans="4:12" ht="20.100000000000001" customHeight="1" x14ac:dyDescent="0.2">
      <c r="D145" s="8" t="s">
        <v>1959</v>
      </c>
      <c r="E145" t="s">
        <v>526</v>
      </c>
      <c r="F145">
        <v>0.11</v>
      </c>
      <c r="G145" s="8"/>
      <c r="H145" s="8"/>
      <c r="I145" s="8"/>
      <c r="J145" s="8"/>
      <c r="K145" s="8"/>
      <c r="L145" s="8"/>
    </row>
    <row r="146" spans="4:12" ht="20.100000000000001" customHeight="1" x14ac:dyDescent="0.2">
      <c r="D146" s="8" t="s">
        <v>1959</v>
      </c>
      <c r="E146" t="s">
        <v>523</v>
      </c>
      <c r="F146">
        <v>0.16</v>
      </c>
      <c r="G146" s="8"/>
      <c r="H146" s="8"/>
      <c r="I146" s="8"/>
      <c r="J146" s="8"/>
      <c r="K146" s="8"/>
      <c r="L146" s="8"/>
    </row>
    <row r="147" spans="4:12" ht="20.100000000000001" customHeight="1" x14ac:dyDescent="0.2">
      <c r="D147" s="8" t="s">
        <v>1959</v>
      </c>
      <c r="E147" t="s">
        <v>530</v>
      </c>
      <c r="F147">
        <v>0.01</v>
      </c>
      <c r="G147" s="8"/>
      <c r="H147" s="8"/>
      <c r="I147" s="8"/>
      <c r="J147" s="8"/>
      <c r="K147" s="8"/>
      <c r="L147" s="8"/>
    </row>
    <row r="148" spans="4:12" ht="20.100000000000001" customHeight="1" x14ac:dyDescent="0.2">
      <c r="D148" s="8" t="s">
        <v>1959</v>
      </c>
      <c r="E148" t="s">
        <v>520</v>
      </c>
      <c r="F148">
        <v>0</v>
      </c>
      <c r="G148" s="8"/>
      <c r="H148" s="8"/>
      <c r="I148" s="8"/>
      <c r="J148" s="8"/>
      <c r="K148" s="8"/>
      <c r="L148" s="8"/>
    </row>
    <row r="149" spans="4:12" ht="20.100000000000001" customHeight="1" x14ac:dyDescent="0.2">
      <c r="D149" s="8" t="s">
        <v>1960</v>
      </c>
      <c r="E149" t="s">
        <v>521</v>
      </c>
      <c r="F149">
        <v>0.05</v>
      </c>
      <c r="G149" s="8"/>
      <c r="H149" s="8"/>
      <c r="I149" s="8"/>
      <c r="J149" s="8"/>
      <c r="K149" s="8"/>
      <c r="L149" s="8"/>
    </row>
    <row r="150" spans="4:12" ht="20.100000000000001" customHeight="1" x14ac:dyDescent="0.2">
      <c r="D150" s="8" t="s">
        <v>1960</v>
      </c>
      <c r="E150" t="s">
        <v>524</v>
      </c>
      <c r="F150">
        <v>7.0000000000000007E-2</v>
      </c>
      <c r="G150" s="8"/>
      <c r="H150" s="8"/>
      <c r="I150" s="8"/>
      <c r="J150" s="8"/>
      <c r="K150" s="8"/>
      <c r="L150" s="8"/>
    </row>
    <row r="151" spans="4:12" ht="20.100000000000001" customHeight="1" x14ac:dyDescent="0.2">
      <c r="D151" s="8" t="s">
        <v>1960</v>
      </c>
      <c r="E151" t="s">
        <v>534</v>
      </c>
      <c r="F151">
        <v>0.04</v>
      </c>
      <c r="G151" s="8"/>
      <c r="H151" s="8"/>
      <c r="I151" s="8"/>
      <c r="J151" s="8"/>
      <c r="K151" s="8"/>
      <c r="L151" s="8"/>
    </row>
    <row r="152" spans="4:12" ht="20.100000000000001" customHeight="1" x14ac:dyDescent="0.2">
      <c r="D152" s="8" t="s">
        <v>1960</v>
      </c>
      <c r="E152" t="s">
        <v>522</v>
      </c>
      <c r="F152">
        <v>0.09</v>
      </c>
      <c r="G152" s="8"/>
      <c r="H152" s="8"/>
      <c r="I152" s="8"/>
      <c r="J152" s="8"/>
      <c r="K152" s="8"/>
      <c r="L152" s="8"/>
    </row>
    <row r="153" spans="4:12" ht="20.100000000000001" customHeight="1" x14ac:dyDescent="0.2">
      <c r="D153" s="8" t="s">
        <v>1960</v>
      </c>
      <c r="E153" t="s">
        <v>526</v>
      </c>
      <c r="F153">
        <v>0.11</v>
      </c>
      <c r="G153" s="8"/>
      <c r="H153" s="8"/>
      <c r="I153" s="8"/>
      <c r="J153" s="8"/>
      <c r="K153" s="8"/>
      <c r="L153" s="8"/>
    </row>
    <row r="154" spans="4:12" ht="20.100000000000001" customHeight="1" x14ac:dyDescent="0.2">
      <c r="D154" s="8" t="s">
        <v>1960</v>
      </c>
      <c r="E154" t="s">
        <v>523</v>
      </c>
      <c r="F154">
        <v>0.16</v>
      </c>
      <c r="G154" s="8"/>
      <c r="H154" s="8"/>
      <c r="I154" s="8"/>
      <c r="J154" s="8"/>
      <c r="K154" s="8"/>
      <c r="L154" s="8"/>
    </row>
    <row r="155" spans="4:12" ht="20.100000000000001" customHeight="1" x14ac:dyDescent="0.2">
      <c r="D155" s="8" t="s">
        <v>1960</v>
      </c>
      <c r="E155" t="s">
        <v>530</v>
      </c>
      <c r="F155">
        <v>0.01</v>
      </c>
      <c r="G155" s="8"/>
      <c r="H155" s="8"/>
      <c r="I155" s="8"/>
      <c r="J155" s="8"/>
      <c r="K155" s="8"/>
      <c r="L155" s="8"/>
    </row>
    <row r="156" spans="4:12" ht="20.100000000000001" customHeight="1" x14ac:dyDescent="0.2">
      <c r="D156" s="8" t="s">
        <v>1960</v>
      </c>
      <c r="E156" t="s">
        <v>520</v>
      </c>
      <c r="F156">
        <v>0</v>
      </c>
      <c r="G156" s="8"/>
      <c r="H156" s="8"/>
      <c r="I156" s="8"/>
      <c r="J156" s="8"/>
      <c r="K156" s="8"/>
      <c r="L156" s="8"/>
    </row>
    <row r="157" spans="4:12" ht="20.100000000000001" customHeight="1" x14ac:dyDescent="0.2">
      <c r="D157" s="8" t="s">
        <v>752</v>
      </c>
      <c r="E157" t="s">
        <v>521</v>
      </c>
      <c r="F157">
        <v>0.05</v>
      </c>
      <c r="G157" s="8"/>
      <c r="H157" s="8"/>
      <c r="I157" s="8"/>
      <c r="J157" s="8"/>
      <c r="K157" s="8"/>
      <c r="L157" s="8"/>
    </row>
    <row r="158" spans="4:12" ht="20.100000000000001" customHeight="1" x14ac:dyDescent="0.2">
      <c r="D158" s="8" t="s">
        <v>752</v>
      </c>
      <c r="E158" t="s">
        <v>524</v>
      </c>
      <c r="F158">
        <v>7.0000000000000007E-2</v>
      </c>
      <c r="G158" s="8"/>
      <c r="H158" s="8"/>
      <c r="I158" s="8"/>
      <c r="J158" s="8"/>
      <c r="K158" s="8"/>
      <c r="L158" s="8"/>
    </row>
    <row r="159" spans="4:12" ht="20.100000000000001" customHeight="1" x14ac:dyDescent="0.2">
      <c r="D159" s="8" t="s">
        <v>752</v>
      </c>
      <c r="E159" t="s">
        <v>534</v>
      </c>
      <c r="F159">
        <v>0.04</v>
      </c>
      <c r="G159" s="8"/>
      <c r="H159" s="8"/>
      <c r="I159" s="8"/>
      <c r="J159" s="8"/>
      <c r="K159" s="8"/>
      <c r="L159" s="8"/>
    </row>
    <row r="160" spans="4:12" ht="20.100000000000001" customHeight="1" x14ac:dyDescent="0.2">
      <c r="D160" s="8" t="s">
        <v>752</v>
      </c>
      <c r="E160" t="s">
        <v>522</v>
      </c>
      <c r="F160">
        <v>0.09</v>
      </c>
      <c r="G160" s="8"/>
      <c r="H160" s="8"/>
      <c r="I160" s="8"/>
      <c r="J160" s="8"/>
      <c r="K160" s="8"/>
      <c r="L160" s="8"/>
    </row>
    <row r="161" spans="1:12" ht="20.100000000000001" customHeight="1" x14ac:dyDescent="0.2">
      <c r="A161" s="85" t="str">
        <f>HYPERLINK("#A1", "▲ Back to top")</f>
        <v>▲ Back to top</v>
      </c>
      <c r="D161" s="8" t="s">
        <v>752</v>
      </c>
      <c r="E161" t="s">
        <v>526</v>
      </c>
      <c r="F161">
        <v>0.11</v>
      </c>
      <c r="G161" s="8"/>
      <c r="H161" s="8"/>
      <c r="I161" s="8"/>
      <c r="J161" s="8"/>
      <c r="K161" s="8"/>
      <c r="L161" s="8"/>
    </row>
    <row r="162" spans="1:12" ht="20.100000000000001" customHeight="1" x14ac:dyDescent="0.2">
      <c r="D162" s="8" t="s">
        <v>752</v>
      </c>
      <c r="E162" t="s">
        <v>523</v>
      </c>
      <c r="F162">
        <v>0.16</v>
      </c>
      <c r="G162" s="8"/>
      <c r="H162" s="8"/>
      <c r="I162" s="8"/>
      <c r="J162" s="8"/>
      <c r="K162" s="8"/>
      <c r="L162" s="8"/>
    </row>
    <row r="163" spans="1:12" ht="20.100000000000001" customHeight="1" x14ac:dyDescent="0.2">
      <c r="D163" s="8" t="s">
        <v>752</v>
      </c>
      <c r="E163" t="s">
        <v>530</v>
      </c>
      <c r="F163">
        <v>0.01</v>
      </c>
      <c r="G163" s="8"/>
      <c r="H163" s="8"/>
      <c r="I163" s="8"/>
      <c r="J163" s="8"/>
      <c r="K163" s="8"/>
      <c r="L163" s="8"/>
    </row>
    <row r="164" spans="1:12" ht="20.100000000000001" customHeight="1" x14ac:dyDescent="0.2">
      <c r="D164" s="8" t="s">
        <v>752</v>
      </c>
      <c r="E164" t="s">
        <v>520</v>
      </c>
      <c r="F164">
        <v>0</v>
      </c>
      <c r="G164" s="8"/>
      <c r="H164" s="8"/>
      <c r="I164" s="8"/>
      <c r="J164" s="8"/>
      <c r="K164" s="8"/>
      <c r="L164" s="8"/>
    </row>
    <row r="165" spans="1:12" ht="20.100000000000001" customHeight="1" x14ac:dyDescent="0.2">
      <c r="D165" s="8" t="s">
        <v>1961</v>
      </c>
      <c r="E165" t="s">
        <v>521</v>
      </c>
      <c r="F165">
        <v>0.05</v>
      </c>
      <c r="G165" s="8"/>
      <c r="H165" s="8"/>
      <c r="I165" s="8"/>
      <c r="J165" s="8"/>
      <c r="K165" s="8"/>
      <c r="L165" s="8"/>
    </row>
    <row r="166" spans="1:12" ht="20.100000000000001" customHeight="1" x14ac:dyDescent="0.2">
      <c r="D166" s="8" t="s">
        <v>1961</v>
      </c>
      <c r="E166" t="s">
        <v>524</v>
      </c>
      <c r="F166">
        <v>7.0000000000000007E-2</v>
      </c>
      <c r="G166" s="8"/>
      <c r="H166" s="8"/>
      <c r="I166" s="8"/>
      <c r="J166" s="8"/>
      <c r="K166" s="8"/>
      <c r="L166" s="8"/>
    </row>
    <row r="167" spans="1:12" ht="20.100000000000001" customHeight="1" x14ac:dyDescent="0.2">
      <c r="D167" s="8" t="s">
        <v>1961</v>
      </c>
      <c r="E167" t="s">
        <v>534</v>
      </c>
      <c r="F167">
        <v>0.04</v>
      </c>
      <c r="G167" s="8"/>
      <c r="H167" s="8"/>
      <c r="I167" s="8"/>
      <c r="J167" s="8"/>
      <c r="K167" s="8"/>
      <c r="L167" s="8"/>
    </row>
    <row r="168" spans="1:12" ht="20.100000000000001" customHeight="1" x14ac:dyDescent="0.2">
      <c r="D168" s="8" t="s">
        <v>1961</v>
      </c>
      <c r="E168" t="s">
        <v>522</v>
      </c>
      <c r="F168">
        <v>0.09</v>
      </c>
      <c r="G168" s="8"/>
      <c r="H168" s="8"/>
      <c r="I168" s="8"/>
      <c r="J168" s="8"/>
      <c r="K168" s="8"/>
      <c r="L168" s="8"/>
    </row>
    <row r="169" spans="1:12" ht="20.100000000000001" customHeight="1" x14ac:dyDescent="0.2">
      <c r="D169" s="8" t="s">
        <v>1961</v>
      </c>
      <c r="E169" t="s">
        <v>526</v>
      </c>
      <c r="F169">
        <v>0.11</v>
      </c>
      <c r="G169" s="8"/>
      <c r="H169" s="8"/>
      <c r="I169" s="8"/>
      <c r="J169" s="8"/>
      <c r="K169" s="8"/>
      <c r="L169" s="8"/>
    </row>
    <row r="170" spans="1:12" ht="20.100000000000001" customHeight="1" x14ac:dyDescent="0.2">
      <c r="D170" s="8" t="s">
        <v>1961</v>
      </c>
      <c r="E170" t="s">
        <v>523</v>
      </c>
      <c r="F170">
        <v>0.16</v>
      </c>
      <c r="G170" s="8"/>
      <c r="H170" s="8"/>
      <c r="I170" s="8"/>
      <c r="J170" s="8"/>
      <c r="K170" s="8"/>
      <c r="L170" s="8"/>
    </row>
    <row r="171" spans="1:12" ht="20.100000000000001" customHeight="1" x14ac:dyDescent="0.2">
      <c r="D171" s="8" t="s">
        <v>1961</v>
      </c>
      <c r="E171" t="s">
        <v>530</v>
      </c>
      <c r="F171">
        <v>0.01</v>
      </c>
      <c r="G171" s="8"/>
      <c r="H171" s="8"/>
      <c r="I171" s="8"/>
      <c r="J171" s="8"/>
      <c r="K171" s="8"/>
      <c r="L171" s="8"/>
    </row>
    <row r="172" spans="1:12" ht="20.100000000000001" customHeight="1" x14ac:dyDescent="0.2">
      <c r="D172" s="8" t="s">
        <v>1961</v>
      </c>
      <c r="E172" t="s">
        <v>520</v>
      </c>
      <c r="F172">
        <v>0</v>
      </c>
      <c r="G172" s="8"/>
      <c r="H172" s="8"/>
      <c r="I172" s="8"/>
      <c r="J172" s="8"/>
      <c r="K172" s="8"/>
      <c r="L172" s="8"/>
    </row>
    <row r="173" spans="1:12" ht="20.100000000000001" customHeight="1" x14ac:dyDescent="0.2">
      <c r="D173" s="8" t="s">
        <v>1963</v>
      </c>
      <c r="E173" t="s">
        <v>521</v>
      </c>
      <c r="F173">
        <v>0.05</v>
      </c>
      <c r="G173" s="8"/>
      <c r="H173" s="8"/>
      <c r="I173" s="8"/>
      <c r="J173" s="8"/>
      <c r="K173" s="8"/>
      <c r="L173" s="8"/>
    </row>
    <row r="174" spans="1:12" ht="20.100000000000001" customHeight="1" x14ac:dyDescent="0.2">
      <c r="D174" s="8" t="s">
        <v>1963</v>
      </c>
      <c r="E174" t="s">
        <v>524</v>
      </c>
      <c r="F174">
        <v>7.0000000000000007E-2</v>
      </c>
      <c r="G174" s="8"/>
      <c r="H174" s="8"/>
      <c r="I174" s="8"/>
      <c r="J174" s="8"/>
      <c r="K174" s="8"/>
      <c r="L174" s="8"/>
    </row>
    <row r="175" spans="1:12" ht="20.100000000000001" customHeight="1" x14ac:dyDescent="0.2">
      <c r="D175" s="8" t="s">
        <v>1963</v>
      </c>
      <c r="E175" t="s">
        <v>534</v>
      </c>
      <c r="F175">
        <v>0.04</v>
      </c>
      <c r="G175" s="8"/>
      <c r="H175" s="8"/>
      <c r="I175" s="8"/>
      <c r="J175" s="8"/>
      <c r="K175" s="8"/>
      <c r="L175" s="8"/>
    </row>
    <row r="176" spans="1:12" ht="20.100000000000001" customHeight="1" x14ac:dyDescent="0.2">
      <c r="D176" s="8" t="s">
        <v>1963</v>
      </c>
      <c r="E176" t="s">
        <v>522</v>
      </c>
      <c r="F176">
        <v>0.09</v>
      </c>
      <c r="G176" s="8"/>
      <c r="H176" s="8"/>
      <c r="I176" s="8"/>
      <c r="J176" s="8"/>
      <c r="K176" s="8"/>
      <c r="L176" s="8"/>
    </row>
    <row r="177" spans="1:12" ht="20.100000000000001" customHeight="1" x14ac:dyDescent="0.2">
      <c r="D177" s="8" t="s">
        <v>1963</v>
      </c>
      <c r="E177" t="s">
        <v>526</v>
      </c>
      <c r="F177">
        <v>0.11</v>
      </c>
      <c r="G177" s="8"/>
      <c r="H177" s="8"/>
      <c r="I177" s="8"/>
      <c r="J177" s="8"/>
      <c r="K177" s="8"/>
      <c r="L177" s="8"/>
    </row>
    <row r="178" spans="1:12" ht="20.100000000000001" customHeight="1" x14ac:dyDescent="0.2">
      <c r="D178" s="8" t="s">
        <v>1963</v>
      </c>
      <c r="E178" t="s">
        <v>523</v>
      </c>
      <c r="F178">
        <v>0.16</v>
      </c>
      <c r="G178" s="8"/>
      <c r="H178" s="8"/>
      <c r="I178" s="8"/>
      <c r="J178" s="8"/>
      <c r="K178" s="8"/>
      <c r="L178" s="8"/>
    </row>
    <row r="179" spans="1:12" ht="20.100000000000001" customHeight="1" x14ac:dyDescent="0.2">
      <c r="D179" s="8" t="s">
        <v>1963</v>
      </c>
      <c r="E179" t="s">
        <v>530</v>
      </c>
      <c r="F179">
        <v>0.01</v>
      </c>
      <c r="G179" s="8"/>
      <c r="H179" s="8"/>
      <c r="I179" s="8"/>
      <c r="J179" s="8"/>
      <c r="K179" s="8"/>
      <c r="L179" s="8"/>
    </row>
    <row r="180" spans="1:12" ht="20.100000000000001" customHeight="1" x14ac:dyDescent="0.2">
      <c r="D180" s="8" t="s">
        <v>1963</v>
      </c>
      <c r="E180" t="s">
        <v>520</v>
      </c>
      <c r="F180">
        <v>0</v>
      </c>
      <c r="G180" s="8"/>
      <c r="H180" s="8"/>
      <c r="I180" s="8"/>
      <c r="J180" s="8"/>
      <c r="K180" s="8"/>
      <c r="L180" s="8"/>
    </row>
    <row r="181" spans="1:12" ht="20.100000000000001" customHeight="1" x14ac:dyDescent="0.2">
      <c r="D181" s="8" t="s">
        <v>1964</v>
      </c>
      <c r="E181" t="s">
        <v>521</v>
      </c>
      <c r="F181">
        <v>0.05</v>
      </c>
      <c r="G181" s="8"/>
      <c r="H181" s="8"/>
      <c r="I181" s="8"/>
      <c r="J181" s="8"/>
      <c r="K181" s="8"/>
      <c r="L181" s="8"/>
    </row>
    <row r="182" spans="1:12" ht="20.100000000000001" customHeight="1" x14ac:dyDescent="0.2">
      <c r="D182" s="8" t="s">
        <v>1964</v>
      </c>
      <c r="E182" t="s">
        <v>524</v>
      </c>
      <c r="F182">
        <v>7.0000000000000007E-2</v>
      </c>
      <c r="G182" s="8"/>
      <c r="H182" s="8"/>
      <c r="I182" s="8"/>
      <c r="J182" s="8"/>
      <c r="K182" s="8"/>
      <c r="L182" s="8"/>
    </row>
    <row r="183" spans="1:12" ht="20.100000000000001" customHeight="1" x14ac:dyDescent="0.2">
      <c r="D183" s="8" t="s">
        <v>1964</v>
      </c>
      <c r="E183" t="s">
        <v>534</v>
      </c>
      <c r="F183">
        <v>0.04</v>
      </c>
      <c r="G183" s="8"/>
      <c r="H183" s="8"/>
      <c r="I183" s="8"/>
      <c r="J183" s="8"/>
      <c r="K183" s="8"/>
      <c r="L183" s="8"/>
    </row>
    <row r="184" spans="1:12" ht="20.100000000000001" customHeight="1" x14ac:dyDescent="0.2">
      <c r="D184" s="8" t="s">
        <v>1964</v>
      </c>
      <c r="E184" t="s">
        <v>522</v>
      </c>
      <c r="F184">
        <v>0.09</v>
      </c>
      <c r="G184" s="8"/>
      <c r="H184" s="8"/>
      <c r="I184" s="8"/>
      <c r="J184" s="8"/>
      <c r="K184" s="8"/>
      <c r="L184" s="8"/>
    </row>
    <row r="185" spans="1:12" ht="20.100000000000001" customHeight="1" x14ac:dyDescent="0.2">
      <c r="D185" s="8" t="s">
        <v>1964</v>
      </c>
      <c r="E185" t="s">
        <v>526</v>
      </c>
      <c r="F185">
        <v>0.11</v>
      </c>
      <c r="G185" s="8"/>
      <c r="H185" s="8"/>
      <c r="I185" s="8"/>
      <c r="J185" s="8"/>
      <c r="K185" s="8"/>
      <c r="L185" s="8"/>
    </row>
    <row r="186" spans="1:12" ht="20.100000000000001" customHeight="1" x14ac:dyDescent="0.2">
      <c r="D186" s="8" t="s">
        <v>1964</v>
      </c>
      <c r="E186" t="s">
        <v>523</v>
      </c>
      <c r="F186">
        <v>0.16</v>
      </c>
      <c r="G186" s="8"/>
      <c r="H186" s="8"/>
      <c r="I186" s="8"/>
      <c r="J186" s="8"/>
      <c r="K186" s="8"/>
      <c r="L186" s="8"/>
    </row>
    <row r="187" spans="1:12" ht="20.100000000000001" customHeight="1" x14ac:dyDescent="0.2">
      <c r="D187" s="8" t="s">
        <v>1964</v>
      </c>
      <c r="E187" t="s">
        <v>530</v>
      </c>
      <c r="F187">
        <v>0.01</v>
      </c>
      <c r="G187" s="8"/>
      <c r="H187" s="8"/>
      <c r="I187" s="8"/>
      <c r="J187" s="8"/>
      <c r="K187" s="8"/>
      <c r="L187" s="8"/>
    </row>
    <row r="188" spans="1:12" ht="20.100000000000001" customHeight="1" x14ac:dyDescent="0.2">
      <c r="D188" s="8" t="s">
        <v>1964</v>
      </c>
      <c r="E188" t="s">
        <v>520</v>
      </c>
      <c r="F188">
        <v>0</v>
      </c>
      <c r="G188" s="8"/>
      <c r="H188" s="8"/>
      <c r="I188" s="8"/>
      <c r="J188" s="8"/>
      <c r="K188" s="8"/>
      <c r="L188" s="8"/>
    </row>
    <row r="189" spans="1:12" ht="20.100000000000001" customHeight="1" x14ac:dyDescent="0.2">
      <c r="D189" s="8" t="s">
        <v>1965</v>
      </c>
      <c r="E189" t="s">
        <v>521</v>
      </c>
      <c r="F189">
        <v>0.05</v>
      </c>
      <c r="G189" s="8"/>
      <c r="H189" s="8"/>
      <c r="I189" s="8"/>
      <c r="J189" s="8"/>
      <c r="K189" s="8"/>
      <c r="L189" s="8"/>
    </row>
    <row r="190" spans="1:12" ht="20.100000000000001" customHeight="1" x14ac:dyDescent="0.2">
      <c r="D190" s="8" t="s">
        <v>1965</v>
      </c>
      <c r="E190" t="s">
        <v>524</v>
      </c>
      <c r="F190">
        <v>7.0000000000000007E-2</v>
      </c>
      <c r="G190" s="8"/>
      <c r="H190" s="8"/>
      <c r="I190" s="8"/>
      <c r="J190" s="8"/>
      <c r="K190" s="8"/>
      <c r="L190" s="8"/>
    </row>
    <row r="191" spans="1:12" ht="20.100000000000001" customHeight="1" x14ac:dyDescent="0.2">
      <c r="A191" s="85" t="str">
        <f>HYPERLINK("#A1", "▲ Back to top")</f>
        <v>▲ Back to top</v>
      </c>
      <c r="D191" s="8" t="s">
        <v>1965</v>
      </c>
      <c r="E191" t="s">
        <v>534</v>
      </c>
      <c r="F191">
        <v>0.04</v>
      </c>
      <c r="G191" s="8"/>
      <c r="H191" s="8"/>
      <c r="I191" s="8"/>
      <c r="J191" s="8"/>
      <c r="K191" s="8"/>
      <c r="L191" s="8"/>
    </row>
    <row r="192" spans="1:12" ht="20.100000000000001" customHeight="1" x14ac:dyDescent="0.2">
      <c r="D192" s="8" t="s">
        <v>1965</v>
      </c>
      <c r="E192" t="s">
        <v>522</v>
      </c>
      <c r="F192">
        <v>0.09</v>
      </c>
      <c r="G192" s="8"/>
      <c r="H192" s="8"/>
      <c r="I192" s="8"/>
      <c r="J192" s="8"/>
      <c r="K192" s="8"/>
      <c r="L192" s="8"/>
    </row>
    <row r="193" spans="4:12" ht="20.100000000000001" customHeight="1" x14ac:dyDescent="0.2">
      <c r="D193" s="8" t="s">
        <v>1965</v>
      </c>
      <c r="E193" t="s">
        <v>526</v>
      </c>
      <c r="F193">
        <v>0.11</v>
      </c>
      <c r="G193" s="8"/>
      <c r="H193" s="8"/>
      <c r="I193" s="8"/>
      <c r="J193" s="8"/>
      <c r="K193" s="8"/>
      <c r="L193" s="8"/>
    </row>
    <row r="194" spans="4:12" ht="20.100000000000001" customHeight="1" x14ac:dyDescent="0.2">
      <c r="D194" s="8" t="s">
        <v>1965</v>
      </c>
      <c r="E194" t="s">
        <v>523</v>
      </c>
      <c r="F194">
        <v>0.16</v>
      </c>
      <c r="G194" s="8"/>
      <c r="H194" s="8"/>
      <c r="I194" s="8"/>
      <c r="J194" s="8"/>
      <c r="K194" s="8"/>
      <c r="L194" s="8"/>
    </row>
    <row r="195" spans="4:12" ht="20.100000000000001" customHeight="1" x14ac:dyDescent="0.2">
      <c r="D195" s="8" t="s">
        <v>1965</v>
      </c>
      <c r="E195" t="s">
        <v>530</v>
      </c>
      <c r="F195">
        <v>0.01</v>
      </c>
      <c r="G195" s="8"/>
      <c r="H195" s="8"/>
      <c r="I195" s="8"/>
      <c r="J195" s="8"/>
      <c r="K195" s="8"/>
      <c r="L195" s="8"/>
    </row>
    <row r="196" spans="4:12" ht="20.100000000000001" customHeight="1" x14ac:dyDescent="0.2">
      <c r="D196" s="8" t="s">
        <v>1965</v>
      </c>
      <c r="E196" t="s">
        <v>520</v>
      </c>
      <c r="F196">
        <v>0</v>
      </c>
      <c r="G196" s="8"/>
      <c r="H196" s="8"/>
      <c r="I196" s="8"/>
      <c r="J196" s="8"/>
      <c r="K196" s="8"/>
      <c r="L196" s="8"/>
    </row>
    <row r="197" spans="4:12" ht="20.100000000000001" customHeight="1" x14ac:dyDescent="0.2">
      <c r="D197" s="8" t="s">
        <v>1966</v>
      </c>
      <c r="E197" t="s">
        <v>521</v>
      </c>
      <c r="F197">
        <v>0.05</v>
      </c>
      <c r="G197" s="8"/>
      <c r="H197" s="8"/>
      <c r="I197" s="8"/>
      <c r="J197" s="8"/>
      <c r="K197" s="8"/>
      <c r="L197" s="8"/>
    </row>
    <row r="198" spans="4:12" ht="20.100000000000001" customHeight="1" x14ac:dyDescent="0.2">
      <c r="D198" s="8" t="s">
        <v>1966</v>
      </c>
      <c r="E198" t="s">
        <v>524</v>
      </c>
      <c r="F198">
        <v>7.0000000000000007E-2</v>
      </c>
      <c r="G198" s="8"/>
      <c r="H198" s="8"/>
      <c r="I198" s="8"/>
      <c r="J198" s="8"/>
      <c r="K198" s="8"/>
      <c r="L198" s="8"/>
    </row>
    <row r="199" spans="4:12" ht="20.100000000000001" customHeight="1" x14ac:dyDescent="0.2">
      <c r="D199" s="8" t="s">
        <v>1966</v>
      </c>
      <c r="E199" t="s">
        <v>534</v>
      </c>
      <c r="F199">
        <v>0.04</v>
      </c>
      <c r="G199" s="8"/>
      <c r="H199" s="8"/>
      <c r="I199" s="8"/>
      <c r="J199" s="8"/>
      <c r="K199" s="8"/>
      <c r="L199" s="8"/>
    </row>
    <row r="200" spans="4:12" ht="20.100000000000001" customHeight="1" x14ac:dyDescent="0.2">
      <c r="D200" s="8" t="s">
        <v>1966</v>
      </c>
      <c r="E200" t="s">
        <v>522</v>
      </c>
      <c r="F200">
        <v>0.09</v>
      </c>
      <c r="G200" s="8"/>
      <c r="H200" s="8"/>
      <c r="I200" s="8"/>
      <c r="J200" s="8"/>
      <c r="K200" s="8"/>
      <c r="L200" s="8"/>
    </row>
    <row r="201" spans="4:12" ht="20.100000000000001" customHeight="1" x14ac:dyDescent="0.2">
      <c r="D201" s="8" t="s">
        <v>1966</v>
      </c>
      <c r="E201" t="s">
        <v>526</v>
      </c>
      <c r="F201">
        <v>0.11</v>
      </c>
      <c r="G201" s="8"/>
      <c r="H201" s="8"/>
      <c r="I201" s="8"/>
      <c r="J201" s="8"/>
      <c r="K201" s="8"/>
      <c r="L201" s="8"/>
    </row>
    <row r="202" spans="4:12" ht="20.100000000000001" customHeight="1" x14ac:dyDescent="0.2">
      <c r="D202" s="8" t="s">
        <v>1966</v>
      </c>
      <c r="E202" t="s">
        <v>523</v>
      </c>
      <c r="F202">
        <v>0.16</v>
      </c>
      <c r="G202" s="8"/>
      <c r="H202" s="8"/>
      <c r="I202" s="8"/>
      <c r="J202" s="8"/>
      <c r="K202" s="8"/>
      <c r="L202" s="8"/>
    </row>
    <row r="203" spans="4:12" ht="20.100000000000001" customHeight="1" x14ac:dyDescent="0.2">
      <c r="D203" s="8" t="s">
        <v>1966</v>
      </c>
      <c r="E203" t="s">
        <v>530</v>
      </c>
      <c r="F203">
        <v>0.01</v>
      </c>
      <c r="G203" s="8"/>
      <c r="H203" s="8"/>
      <c r="I203" s="8"/>
      <c r="J203" s="8"/>
      <c r="K203" s="8"/>
      <c r="L203" s="8"/>
    </row>
    <row r="204" spans="4:12" ht="20.100000000000001" customHeight="1" x14ac:dyDescent="0.2">
      <c r="D204" s="8" t="s">
        <v>1966</v>
      </c>
      <c r="E204" t="s">
        <v>520</v>
      </c>
      <c r="F204">
        <v>0</v>
      </c>
      <c r="G204" s="8"/>
      <c r="H204" s="8"/>
      <c r="I204" s="8"/>
      <c r="J204" s="8"/>
      <c r="K204" s="8"/>
      <c r="L204" s="8"/>
    </row>
    <row r="205" spans="4:12" ht="20.100000000000001" customHeight="1" x14ac:dyDescent="0.2">
      <c r="D205" s="8" t="s">
        <v>1968</v>
      </c>
      <c r="E205" t="s">
        <v>521</v>
      </c>
      <c r="F205">
        <v>0.05</v>
      </c>
      <c r="G205" s="8"/>
      <c r="H205" s="8"/>
      <c r="I205" s="8"/>
      <c r="J205" s="8"/>
      <c r="K205" s="8"/>
      <c r="L205" s="8"/>
    </row>
    <row r="206" spans="4:12" ht="20.100000000000001" customHeight="1" x14ac:dyDescent="0.2">
      <c r="D206" s="8" t="s">
        <v>1968</v>
      </c>
      <c r="E206" t="s">
        <v>524</v>
      </c>
      <c r="F206">
        <v>7.0000000000000007E-2</v>
      </c>
      <c r="G206" s="8"/>
      <c r="H206" s="8"/>
      <c r="I206" s="8"/>
      <c r="J206" s="8"/>
      <c r="K206" s="8"/>
      <c r="L206" s="8"/>
    </row>
    <row r="207" spans="4:12" ht="20.100000000000001" customHeight="1" x14ac:dyDescent="0.2">
      <c r="D207" s="8" t="s">
        <v>1968</v>
      </c>
      <c r="E207" t="s">
        <v>534</v>
      </c>
      <c r="F207">
        <v>0.04</v>
      </c>
      <c r="G207" s="8"/>
      <c r="H207" s="8"/>
      <c r="I207" s="8"/>
      <c r="J207" s="8"/>
      <c r="K207" s="8"/>
      <c r="L207" s="8"/>
    </row>
    <row r="208" spans="4:12" ht="20.100000000000001" customHeight="1" x14ac:dyDescent="0.2">
      <c r="D208" s="8" t="s">
        <v>1968</v>
      </c>
      <c r="E208" t="s">
        <v>522</v>
      </c>
      <c r="F208">
        <v>0.09</v>
      </c>
      <c r="G208" s="8"/>
      <c r="H208" s="8"/>
      <c r="I208" s="8"/>
      <c r="J208" s="8"/>
      <c r="K208" s="8"/>
      <c r="L208" s="8"/>
    </row>
    <row r="209" spans="1:12" ht="20.100000000000001" customHeight="1" x14ac:dyDescent="0.2">
      <c r="D209" s="8" t="s">
        <v>1968</v>
      </c>
      <c r="E209" t="s">
        <v>526</v>
      </c>
      <c r="F209">
        <v>0.11</v>
      </c>
      <c r="G209" s="8"/>
      <c r="H209" s="8"/>
      <c r="I209" s="8"/>
      <c r="J209" s="8"/>
      <c r="K209" s="8"/>
      <c r="L209" s="8"/>
    </row>
    <row r="210" spans="1:12" ht="20.100000000000001" customHeight="1" x14ac:dyDescent="0.2">
      <c r="D210" s="8" t="s">
        <v>1968</v>
      </c>
      <c r="E210" t="s">
        <v>523</v>
      </c>
      <c r="F210">
        <v>0.16</v>
      </c>
      <c r="G210" s="8"/>
      <c r="H210" s="8"/>
      <c r="I210" s="8"/>
      <c r="J210" s="8"/>
      <c r="K210" s="8"/>
      <c r="L210" s="8"/>
    </row>
    <row r="211" spans="1:12" ht="20.100000000000001" customHeight="1" x14ac:dyDescent="0.2">
      <c r="D211" s="8" t="s">
        <v>1968</v>
      </c>
      <c r="E211" t="s">
        <v>530</v>
      </c>
      <c r="F211">
        <v>0.01</v>
      </c>
      <c r="G211" s="8"/>
      <c r="H211" s="8"/>
      <c r="I211" s="8"/>
      <c r="J211" s="8"/>
      <c r="K211" s="8"/>
      <c r="L211" s="8"/>
    </row>
    <row r="212" spans="1:12" ht="20.100000000000001" customHeight="1" x14ac:dyDescent="0.2">
      <c r="D212" s="8" t="s">
        <v>1968</v>
      </c>
      <c r="E212" t="s">
        <v>520</v>
      </c>
      <c r="F212">
        <v>0</v>
      </c>
      <c r="G212" s="8"/>
      <c r="H212" s="8"/>
      <c r="I212" s="8"/>
      <c r="J212" s="8"/>
      <c r="K212" s="8"/>
      <c r="L212" s="8"/>
    </row>
    <row r="213" spans="1:12" ht="20.100000000000001" customHeight="1" x14ac:dyDescent="0.2">
      <c r="D213" s="8" t="s">
        <v>1971</v>
      </c>
      <c r="E213" t="s">
        <v>521</v>
      </c>
      <c r="F213">
        <v>0.05</v>
      </c>
      <c r="G213" s="8"/>
      <c r="H213" s="8"/>
      <c r="I213" s="8"/>
      <c r="J213" s="8"/>
      <c r="K213" s="8"/>
      <c r="L213" s="8"/>
    </row>
    <row r="214" spans="1:12" ht="20.100000000000001" customHeight="1" x14ac:dyDescent="0.2">
      <c r="D214" s="8" t="s">
        <v>1971</v>
      </c>
      <c r="E214" t="s">
        <v>524</v>
      </c>
      <c r="F214">
        <v>7.0000000000000007E-2</v>
      </c>
      <c r="G214" s="8"/>
      <c r="H214" s="8"/>
      <c r="I214" s="8"/>
      <c r="J214" s="8"/>
    </row>
    <row r="215" spans="1:12" ht="20.100000000000001" customHeight="1" x14ac:dyDescent="0.2">
      <c r="D215" s="8" t="s">
        <v>1971</v>
      </c>
      <c r="E215" t="s">
        <v>534</v>
      </c>
      <c r="F215">
        <v>0.04</v>
      </c>
      <c r="G215" s="8"/>
      <c r="H215" s="8"/>
      <c r="I215" s="8"/>
      <c r="J215" s="8"/>
    </row>
    <row r="216" spans="1:12" ht="20.100000000000001" customHeight="1" x14ac:dyDescent="0.2">
      <c r="D216" s="8" t="s">
        <v>1971</v>
      </c>
      <c r="E216" t="s">
        <v>522</v>
      </c>
      <c r="F216">
        <v>0.09</v>
      </c>
      <c r="G216" s="8"/>
      <c r="H216" s="8"/>
      <c r="I216" s="8"/>
      <c r="J216" s="8"/>
    </row>
    <row r="217" spans="1:12" ht="20.100000000000001" customHeight="1" x14ac:dyDescent="0.2">
      <c r="D217" s="8" t="s">
        <v>1971</v>
      </c>
      <c r="E217" t="s">
        <v>526</v>
      </c>
      <c r="F217">
        <v>0.11</v>
      </c>
      <c r="G217" s="8"/>
      <c r="H217" s="8"/>
      <c r="I217" s="8"/>
      <c r="J217" s="8"/>
    </row>
    <row r="218" spans="1:12" ht="20.100000000000001" customHeight="1" x14ac:dyDescent="0.2">
      <c r="D218" s="8" t="s">
        <v>1971</v>
      </c>
      <c r="E218" t="s">
        <v>523</v>
      </c>
      <c r="F218">
        <v>0.16</v>
      </c>
      <c r="G218" s="8"/>
      <c r="H218" s="8"/>
      <c r="I218" s="8"/>
      <c r="J218" s="8"/>
    </row>
    <row r="219" spans="1:12" ht="20.100000000000001" customHeight="1" x14ac:dyDescent="0.2">
      <c r="D219" s="8" t="s">
        <v>1971</v>
      </c>
      <c r="E219" t="s">
        <v>530</v>
      </c>
      <c r="F219">
        <v>0.01</v>
      </c>
      <c r="G219" s="8"/>
      <c r="H219" s="8"/>
      <c r="I219" s="8"/>
      <c r="J219" s="8"/>
    </row>
    <row r="220" spans="1:12" ht="20.100000000000001" customHeight="1" x14ac:dyDescent="0.2">
      <c r="D220" s="8" t="s">
        <v>1971</v>
      </c>
      <c r="E220" t="s">
        <v>520</v>
      </c>
      <c r="F220">
        <v>0</v>
      </c>
      <c r="G220" s="8"/>
      <c r="H220" s="8"/>
      <c r="I220" s="8"/>
      <c r="J220" s="8"/>
    </row>
    <row r="221" spans="1:12" ht="20.100000000000001" customHeight="1" x14ac:dyDescent="0.2">
      <c r="A221" s="85" t="str">
        <f>HYPERLINK("#A1", "▲ Back to top")</f>
        <v>▲ Back to top</v>
      </c>
      <c r="D221" s="8" t="s">
        <v>1973</v>
      </c>
      <c r="E221" t="s">
        <v>521</v>
      </c>
      <c r="F221">
        <v>0.05</v>
      </c>
      <c r="G221" s="8"/>
      <c r="H221" s="8"/>
      <c r="I221" s="8"/>
      <c r="J221" s="8"/>
    </row>
    <row r="222" spans="1:12" ht="20.100000000000001" customHeight="1" x14ac:dyDescent="0.2">
      <c r="D222" s="8" t="s">
        <v>1973</v>
      </c>
      <c r="E222" t="s">
        <v>524</v>
      </c>
      <c r="F222">
        <v>7.0000000000000007E-2</v>
      </c>
      <c r="G222" s="8"/>
      <c r="H222" s="8"/>
      <c r="I222" s="8"/>
      <c r="J222" s="8"/>
    </row>
    <row r="223" spans="1:12" ht="20.100000000000001" customHeight="1" x14ac:dyDescent="0.2">
      <c r="D223" s="8" t="s">
        <v>1973</v>
      </c>
      <c r="E223" t="s">
        <v>534</v>
      </c>
      <c r="F223">
        <v>0.04</v>
      </c>
      <c r="G223" s="8"/>
      <c r="H223" s="8"/>
      <c r="I223" s="8"/>
      <c r="J223" s="8"/>
    </row>
    <row r="224" spans="1:12" ht="20.100000000000001" customHeight="1" x14ac:dyDescent="0.2">
      <c r="D224" s="8" t="s">
        <v>1973</v>
      </c>
      <c r="E224" t="s">
        <v>522</v>
      </c>
      <c r="F224">
        <v>0.09</v>
      </c>
      <c r="G224" s="8"/>
      <c r="H224" s="8"/>
      <c r="I224" s="8"/>
      <c r="J224" s="8"/>
    </row>
    <row r="225" spans="4:10" ht="20.100000000000001" customHeight="1" x14ac:dyDescent="0.2">
      <c r="D225" s="8" t="s">
        <v>1973</v>
      </c>
      <c r="E225" t="s">
        <v>526</v>
      </c>
      <c r="F225">
        <v>0.11</v>
      </c>
      <c r="G225" s="8"/>
      <c r="H225" s="8"/>
      <c r="I225" s="8"/>
      <c r="J225" s="8"/>
    </row>
    <row r="226" spans="4:10" ht="20.100000000000001" customHeight="1" x14ac:dyDescent="0.2">
      <c r="D226" s="8" t="s">
        <v>1973</v>
      </c>
      <c r="E226" t="s">
        <v>523</v>
      </c>
      <c r="F226">
        <v>0.16</v>
      </c>
      <c r="G226" s="8"/>
      <c r="H226" s="8"/>
      <c r="I226" s="8"/>
      <c r="J226" s="8"/>
    </row>
    <row r="227" spans="4:10" ht="20.100000000000001" customHeight="1" x14ac:dyDescent="0.2">
      <c r="D227" s="8" t="s">
        <v>1973</v>
      </c>
      <c r="E227" t="s">
        <v>530</v>
      </c>
      <c r="F227">
        <v>0.01</v>
      </c>
      <c r="G227" s="8"/>
      <c r="H227" s="8"/>
      <c r="I227" s="8"/>
      <c r="J227" s="8"/>
    </row>
    <row r="228" spans="4:10" ht="20.100000000000001" customHeight="1" x14ac:dyDescent="0.2">
      <c r="D228" s="8" t="s">
        <v>1973</v>
      </c>
      <c r="E228" t="s">
        <v>520</v>
      </c>
      <c r="F228">
        <v>0</v>
      </c>
      <c r="G228" s="8"/>
      <c r="H228" s="8"/>
    </row>
    <row r="229" spans="4:10" ht="20.100000000000001" customHeight="1" x14ac:dyDescent="0.2">
      <c r="D229" s="8" t="s">
        <v>1974</v>
      </c>
      <c r="E229" t="s">
        <v>521</v>
      </c>
      <c r="F229">
        <v>0.05</v>
      </c>
      <c r="G229" s="8"/>
    </row>
    <row r="230" spans="4:10" ht="20.100000000000001" customHeight="1" x14ac:dyDescent="0.2">
      <c r="D230" s="8" t="s">
        <v>1974</v>
      </c>
      <c r="E230" t="s">
        <v>524</v>
      </c>
      <c r="F230">
        <v>7.0000000000000007E-2</v>
      </c>
      <c r="G230" s="8"/>
    </row>
    <row r="231" spans="4:10" ht="20.100000000000001" customHeight="1" x14ac:dyDescent="0.2">
      <c r="D231" s="8" t="s">
        <v>1974</v>
      </c>
      <c r="E231" t="s">
        <v>534</v>
      </c>
      <c r="F231">
        <v>0.04</v>
      </c>
      <c r="G231" s="8"/>
    </row>
    <row r="232" spans="4:10" ht="20.100000000000001" customHeight="1" x14ac:dyDescent="0.2">
      <c r="D232" s="8" t="s">
        <v>1974</v>
      </c>
      <c r="E232" t="s">
        <v>522</v>
      </c>
      <c r="F232">
        <v>0.09</v>
      </c>
      <c r="G232" s="8"/>
    </row>
    <row r="233" spans="4:10" ht="20.100000000000001" customHeight="1" x14ac:dyDescent="0.2">
      <c r="D233" s="8" t="s">
        <v>1974</v>
      </c>
      <c r="E233" t="s">
        <v>526</v>
      </c>
      <c r="F233">
        <v>0.11</v>
      </c>
      <c r="G233" s="8"/>
    </row>
    <row r="234" spans="4:10" ht="20.100000000000001" customHeight="1" x14ac:dyDescent="0.2">
      <c r="D234" s="8" t="s">
        <v>1974</v>
      </c>
      <c r="E234" t="s">
        <v>523</v>
      </c>
      <c r="F234">
        <v>0.16</v>
      </c>
      <c r="G234" s="8"/>
    </row>
    <row r="235" spans="4:10" ht="20.100000000000001" customHeight="1" x14ac:dyDescent="0.2">
      <c r="D235" s="8" t="s">
        <v>1974</v>
      </c>
      <c r="E235" t="s">
        <v>530</v>
      </c>
      <c r="F235">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61BAE-736F-481A-8B26-C46A7AD6D130}">
  <sheetPr>
    <tabColor theme="2" tint="-0.499984740745262"/>
  </sheetPr>
  <dimension ref="A1:M65"/>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10" t="e" vm="1">
        <v>#VALUE!</v>
      </c>
      <c r="C1" s="21" t="s">
        <v>1305</v>
      </c>
      <c r="D1" s="21"/>
      <c r="E1" s="21"/>
      <c r="F1" s="21"/>
      <c r="G1" s="21"/>
      <c r="H1" s="21"/>
      <c r="I1" s="21"/>
      <c r="J1" s="21"/>
      <c r="K1" s="21"/>
      <c r="L1" s="21"/>
      <c r="M1" s="21"/>
    </row>
    <row r="2" spans="1:13" ht="20.100000000000001" customHeight="1" x14ac:dyDescent="0.2">
      <c r="C2" s="3"/>
      <c r="D2" s="3"/>
      <c r="E2" s="3"/>
      <c r="F2" s="3"/>
      <c r="G2" s="3"/>
      <c r="H2" s="3"/>
      <c r="I2" s="3"/>
      <c r="J2" s="3"/>
      <c r="K2" s="3"/>
      <c r="L2" s="3"/>
      <c r="M2" s="3"/>
    </row>
    <row r="3" spans="1:13" ht="20.100000000000001" customHeight="1" x14ac:dyDescent="0.2">
      <c r="A3" s="5" t="str">
        <f>HYPERLINK("#'Home'!A1", "Home")</f>
        <v>Home</v>
      </c>
      <c r="C3" s="23"/>
      <c r="D3" s="23"/>
      <c r="E3" s="23"/>
      <c r="F3" s="23"/>
      <c r="G3" s="23"/>
      <c r="H3" s="23"/>
      <c r="I3" s="23"/>
      <c r="J3" s="23"/>
      <c r="K3" s="23"/>
      <c r="L3" s="23"/>
      <c r="M3" s="23"/>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Emissions Intensity")</f>
        <v>Results - Product Emissions Intensity</v>
      </c>
    </row>
    <row r="6" spans="1:13" ht="20.100000000000001" customHeight="1" x14ac:dyDescent="0.2">
      <c r="D6" s="2" t="s">
        <v>2000</v>
      </c>
      <c r="E6" s="25"/>
      <c r="F6" s="25"/>
      <c r="G6" s="25"/>
      <c r="H6" s="25"/>
    </row>
    <row r="7" spans="1:13" ht="20.100000000000001" customHeight="1" x14ac:dyDescent="0.2">
      <c r="D7" s="25" t="s">
        <v>411</v>
      </c>
      <c r="E7" s="25"/>
      <c r="F7" s="25"/>
      <c r="G7" s="25"/>
      <c r="H7" s="25"/>
    </row>
    <row r="8" spans="1:13" ht="20.100000000000001" customHeight="1" x14ac:dyDescent="0.2">
      <c r="A8" s="7" t="s">
        <v>0</v>
      </c>
      <c r="D8" s="17" t="s">
        <v>2001</v>
      </c>
      <c r="E8" s="25"/>
      <c r="F8" s="25"/>
      <c r="G8" s="25"/>
      <c r="H8" s="25"/>
    </row>
    <row r="9" spans="1:13" ht="20.100000000000001" customHeight="1" x14ac:dyDescent="0.2">
      <c r="A9" s="5" t="str">
        <f>HYPERLINK("#'Input - Enterprise'!A1", "Enterprise")</f>
        <v>Enterprise</v>
      </c>
      <c r="D9" s="27" t="s">
        <v>1306</v>
      </c>
      <c r="E9" s="20" t="s">
        <v>352</v>
      </c>
      <c r="F9" s="20" t="s">
        <v>1307</v>
      </c>
      <c r="G9" s="25"/>
    </row>
    <row r="10" spans="1:13" ht="20.100000000000001" customHeight="1" x14ac:dyDescent="0.2">
      <c r="A10" s="5" t="str">
        <f>HYPERLINK("#'Input - Site'!A1", "Site")</f>
        <v>Site</v>
      </c>
      <c r="D10" s="27">
        <v>1</v>
      </c>
      <c r="E10" s="27" t="s">
        <v>79</v>
      </c>
      <c r="F10" s="27" t="s">
        <v>2002</v>
      </c>
      <c r="G10" s="25"/>
    </row>
    <row r="11" spans="1:13" ht="20.100000000000001" customHeight="1" x14ac:dyDescent="0.2">
      <c r="A11" s="5" t="str">
        <f>HYPERLINK("#'Input - Pasture Beef'!A1", "Pasture Beef")</f>
        <v>Pasture Beef</v>
      </c>
      <c r="D11" s="27">
        <v>2</v>
      </c>
      <c r="E11" s="27" t="s">
        <v>81</v>
      </c>
      <c r="F11" s="27" t="s">
        <v>2003</v>
      </c>
      <c r="G11" s="25"/>
    </row>
    <row r="12" spans="1:13" ht="20.100000000000001" customHeight="1" x14ac:dyDescent="0.2">
      <c r="A12" s="5" t="str">
        <f>HYPERLINK("#'Input - Livestock sales'!A1", "Livestock sales")</f>
        <v>Livestock sales</v>
      </c>
      <c r="D12" s="20">
        <v>3</v>
      </c>
      <c r="E12" s="20" t="s">
        <v>82</v>
      </c>
      <c r="F12" s="20" t="s">
        <v>2004</v>
      </c>
      <c r="G12" s="25"/>
    </row>
    <row r="13" spans="1:13" ht="20.100000000000001" customHeight="1" x14ac:dyDescent="0.2">
      <c r="A13" s="5" t="str">
        <f>HYPERLINK("#'Input - Beef cattle purchases'!A1", "Beef cattle purchases")</f>
        <v>Beef cattle purchases</v>
      </c>
      <c r="D13" s="20" t="s">
        <v>2005</v>
      </c>
      <c r="E13" s="20" t="s">
        <v>2006</v>
      </c>
      <c r="F13" s="20" t="s">
        <v>2007</v>
      </c>
      <c r="G13" s="25"/>
    </row>
    <row r="14" spans="1:13" ht="20.100000000000001" customHeight="1" x14ac:dyDescent="0.2">
      <c r="A14" s="5" t="str">
        <f>HYPERLINK("#'Input - Pasture'!A1", "Pasture")</f>
        <v>Pasture</v>
      </c>
      <c r="D14" s="20" t="s">
        <v>2008</v>
      </c>
      <c r="E14" s="20" t="s">
        <v>2009</v>
      </c>
      <c r="F14" s="20" t="s">
        <v>2010</v>
      </c>
      <c r="G14" s="25"/>
    </row>
    <row r="15" spans="1:13" ht="20.100000000000001" customHeight="1" x14ac:dyDescent="0.2">
      <c r="A15" s="5" t="str">
        <f>HYPERLINK("#'Input - Fert Prod System'!A1", "Fert Prod System")</f>
        <v>Fert Prod System</v>
      </c>
      <c r="D15" s="20">
        <v>4</v>
      </c>
      <c r="E15" s="20" t="s">
        <v>84</v>
      </c>
      <c r="F15" s="20" t="s">
        <v>2011</v>
      </c>
      <c r="G15" s="25"/>
    </row>
    <row r="16" spans="1:13" ht="20.100000000000001" customHeight="1" x14ac:dyDescent="0.2">
      <c r="A16" s="5" t="str">
        <f>HYPERLINK("#'Input - Fertiliser'!A1", "Fertiliser")</f>
        <v>Fertiliser</v>
      </c>
      <c r="D16" s="20">
        <v>5</v>
      </c>
      <c r="E16" s="20" t="s">
        <v>2012</v>
      </c>
      <c r="F16" s="20" t="s">
        <v>2013</v>
      </c>
      <c r="G16" s="25"/>
    </row>
    <row r="17" spans="1:8" ht="20.100000000000001" customHeight="1" x14ac:dyDescent="0.2">
      <c r="A17" s="5" t="str">
        <f>HYPERLINK("#'Input - Fuel'!A1", "Fuel")</f>
        <v>Fuel</v>
      </c>
      <c r="D17" s="20">
        <v>6</v>
      </c>
      <c r="E17" s="20" t="s">
        <v>83</v>
      </c>
      <c r="F17" s="20" t="s">
        <v>2014</v>
      </c>
      <c r="G17" s="25"/>
    </row>
    <row r="18" spans="1:8" ht="20.100000000000001" customHeight="1" x14ac:dyDescent="0.2">
      <c r="A18" s="5" t="str">
        <f>HYPERLINK("#'Input - Electricity'!A1", "Electricity")</f>
        <v>Electricity</v>
      </c>
      <c r="D18" s="20">
        <v>7</v>
      </c>
      <c r="E18" s="20" t="s">
        <v>80</v>
      </c>
      <c r="F18" s="20" t="s">
        <v>2015</v>
      </c>
      <c r="G18" s="25"/>
    </row>
    <row r="19" spans="1:8" ht="20.100000000000001" customHeight="1" x14ac:dyDescent="0.2">
      <c r="A19" s="5" t="str">
        <f>HYPERLINK("#'Input - Common farm inputs'!A1", "Common farm inputs")</f>
        <v>Common farm inputs</v>
      </c>
      <c r="D19" s="20">
        <v>8</v>
      </c>
      <c r="E19" s="20" t="s">
        <v>86</v>
      </c>
      <c r="F19" s="20" t="s">
        <v>2016</v>
      </c>
      <c r="G19" s="25"/>
    </row>
    <row r="20" spans="1:8" ht="20.100000000000001" customHeight="1" x14ac:dyDescent="0.2">
      <c r="A20" s="5" t="str">
        <f>HYPERLINK("#'Input - Crop pasture farm input'!A1", "Crop pasture farm input")</f>
        <v>Crop pasture farm input</v>
      </c>
      <c r="D20" s="20">
        <v>9</v>
      </c>
      <c r="E20" s="20" t="s">
        <v>85</v>
      </c>
      <c r="F20" s="20" t="s">
        <v>2017</v>
      </c>
      <c r="G20" s="25"/>
    </row>
    <row r="21" spans="1:8" ht="20.100000000000001" customHeight="1" x14ac:dyDescent="0.2">
      <c r="A21" s="5" t="str">
        <f>HYPERLINK("#'Input - Livestock farm Inputs'!A1", "Livestock farm Inputs")</f>
        <v>Livestock farm Inputs</v>
      </c>
      <c r="D21" s="20">
        <v>10</v>
      </c>
      <c r="E21" s="20" t="s">
        <v>87</v>
      </c>
      <c r="F21" s="20" t="s">
        <v>2018</v>
      </c>
      <c r="G21" s="25"/>
    </row>
    <row r="22" spans="1:8" ht="20.100000000000001" customHeight="1" x14ac:dyDescent="0.2">
      <c r="A22" s="5" t="str">
        <f>HYPERLINK("#'Input - Freight'!A1", "Freight")</f>
        <v>Freight</v>
      </c>
      <c r="D22" s="20">
        <v>11</v>
      </c>
      <c r="E22" s="20" t="s">
        <v>88</v>
      </c>
      <c r="F22" s="20" t="s">
        <v>2019</v>
      </c>
      <c r="G22" s="25"/>
    </row>
    <row r="23" spans="1:8" ht="20.100000000000001" customHeight="1" x14ac:dyDescent="0.2">
      <c r="A23" s="5" t="str">
        <f>HYPERLINK("#'Input - Solid waste'!A1", "Solid waste")</f>
        <v>Solid waste</v>
      </c>
      <c r="D23" s="20" t="s">
        <v>2020</v>
      </c>
      <c r="E23" s="20" t="s">
        <v>2021</v>
      </c>
      <c r="F23" s="20" t="s">
        <v>2022</v>
      </c>
      <c r="G23" s="25"/>
    </row>
    <row r="24" spans="1:8" ht="20.100000000000001" customHeight="1" x14ac:dyDescent="0.2">
      <c r="A24" s="5" t="str">
        <f>HYPERLINK("#'Input - Manure sent off-site'!A1", "Manure sent off-site")</f>
        <v>Manure sent off-site</v>
      </c>
      <c r="D24" s="20" t="s">
        <v>2023</v>
      </c>
      <c r="E24" s="20" t="s">
        <v>2024</v>
      </c>
      <c r="F24" s="20" t="s">
        <v>2025</v>
      </c>
      <c r="G24" s="25"/>
    </row>
    <row r="25" spans="1:8" ht="20.100000000000001" customHeight="1" x14ac:dyDescent="0.2">
      <c r="A25" s="5" t="str">
        <f>HYPERLINK("#'Input - Data quality'!A1", "Data quality")</f>
        <v>Data quality</v>
      </c>
      <c r="D25" s="20">
        <v>12</v>
      </c>
      <c r="E25" s="20" t="s">
        <v>89</v>
      </c>
      <c r="F25" s="20" t="s">
        <v>2026</v>
      </c>
      <c r="G25" s="25"/>
    </row>
    <row r="26" spans="1:8" ht="20.100000000000001" customHeight="1" x14ac:dyDescent="0.2">
      <c r="D26" s="20">
        <v>13</v>
      </c>
      <c r="E26" s="20" t="s">
        <v>90</v>
      </c>
      <c r="F26" s="20" t="s">
        <v>2027</v>
      </c>
      <c r="G26" s="25"/>
    </row>
    <row r="27" spans="1:8" ht="20.100000000000001" customHeight="1" x14ac:dyDescent="0.2">
      <c r="D27" s="20">
        <v>14</v>
      </c>
      <c r="E27" s="20" t="s">
        <v>91</v>
      </c>
      <c r="F27" s="20" t="s">
        <v>2028</v>
      </c>
      <c r="G27" s="25"/>
    </row>
    <row r="28" spans="1:8" ht="20.100000000000001" customHeight="1" x14ac:dyDescent="0.2">
      <c r="A28" s="6" t="s">
        <v>2</v>
      </c>
      <c r="G28" s="25"/>
      <c r="H28" s="25"/>
    </row>
    <row r="29" spans="1:8" ht="20.100000000000001" customHeight="1" x14ac:dyDescent="0.2">
      <c r="A29" s="5" t="str">
        <f>HYPERLINK("#'3.2.1.1-2 Enteric Methane'!A1", "3.2.1.1-2 Enteric Methane")</f>
        <v>3.2.1.1-2 Enteric Methane</v>
      </c>
      <c r="D29" s="2" t="s">
        <v>2029</v>
      </c>
    </row>
    <row r="30" spans="1:8" ht="20.100000000000001" customHeight="1" x14ac:dyDescent="0.2">
      <c r="A30" s="5" t="str">
        <f>HYPERLINK("#'4.2.1.1-2 Methane'!A1", "4.2.1.1-2 Manure methane")</f>
        <v>4.2.1.1-2 Manure methane</v>
      </c>
      <c r="D30" s="17" t="s">
        <v>2030</v>
      </c>
    </row>
    <row r="31" spans="1:8" ht="20.100000000000001" customHeight="1" x14ac:dyDescent="0.2">
      <c r="A31" s="5" t="str">
        <f>HYPERLINK("#'4.2.1.3-4 Soil direct N20'!A1", "4.2.1.3-4 Soil direct N2O")</f>
        <v>4.2.1.3-4 Soil direct N2O</v>
      </c>
      <c r="D31" s="20" t="s">
        <v>144</v>
      </c>
      <c r="E31" s="20" t="s">
        <v>1308</v>
      </c>
      <c r="F31" s="1" t="s">
        <v>1309</v>
      </c>
    </row>
    <row r="32" spans="1:8" ht="20.100000000000001" customHeight="1" x14ac:dyDescent="0.2">
      <c r="A32" s="5" t="str">
        <f>HYPERLINK("#'4.2.1.5-6 Soil Atmos Dep'!A1", "4.2.1.5-6 Soil atm. deposition")</f>
        <v>4.2.1.5-6 Soil atm. deposition</v>
      </c>
      <c r="D32" s="20" t="s">
        <v>1054</v>
      </c>
      <c r="E32" s="20" t="s">
        <v>538</v>
      </c>
    </row>
    <row r="33" spans="1:6" ht="20.100000000000001" customHeight="1" x14ac:dyDescent="0.2">
      <c r="A33" s="5" t="str">
        <f>HYPERLINK("#'4.2.1.7-8 Soil leach runoff'!A1", "4.2.1.7-8 Soil leach &amp; runoff")</f>
        <v>4.2.1.7-8 Soil leach &amp; runoff</v>
      </c>
      <c r="D33" s="1" t="s">
        <v>1053</v>
      </c>
      <c r="E33" s="20" t="s">
        <v>521</v>
      </c>
    </row>
    <row r="34" spans="1:6" ht="20.100000000000001" customHeight="1" x14ac:dyDescent="0.2">
      <c r="A34" s="5" t="str">
        <f>HYPERLINK("#'5.1.1.1-2 Inorganic fert N2O'!A1", "5.1.1.1-2 Inorganic fert N2O")</f>
        <v>5.1.1.1-2 Inorganic fert N2O</v>
      </c>
      <c r="D34" s="1" t="s">
        <v>1931</v>
      </c>
      <c r="E34" s="20" t="s">
        <v>530</v>
      </c>
    </row>
    <row r="35" spans="1:6" ht="20.100000000000001" customHeight="1" x14ac:dyDescent="0.2">
      <c r="A35" s="5" t="str">
        <f>HYPERLINK("#'5.1.1.3-4 Inorganic fert CO2'!A1", "5.1.1.3-4 Inorganic fert CO2")</f>
        <v>5.1.1.3-4 Inorganic fert CO2</v>
      </c>
      <c r="E35" s="20" t="s">
        <v>534</v>
      </c>
    </row>
    <row r="36" spans="1:6" ht="20.100000000000001" customHeight="1" x14ac:dyDescent="0.2">
      <c r="A36" s="5" t="str">
        <f>HYPERLINK("#'5.2.1.1-2 Organic Fert N2O'!A1", "5.2.1.1-2 Organic fert N2O")</f>
        <v>5.2.1.1-2 Organic fert N2O</v>
      </c>
      <c r="E36" s="20" t="s">
        <v>522</v>
      </c>
    </row>
    <row r="37" spans="1:6" ht="20.100000000000001" customHeight="1" x14ac:dyDescent="0.2">
      <c r="A37" s="5" t="str">
        <f>HYPERLINK("#'5.3.1.1-2 Lime CO2'!A1", "5.3.1.1-2 Lime CO2")</f>
        <v>5.3.1.1-2 Lime CO2</v>
      </c>
      <c r="E37" s="20" t="s">
        <v>523</v>
      </c>
    </row>
    <row r="38" spans="1:6" ht="20.100000000000001" customHeight="1" x14ac:dyDescent="0.2">
      <c r="A38" s="5" t="str">
        <f>HYPERLINK("#'5.4.1.1-4 Atmos deposition'!A1", "5.4.1.1-4 Atmos. deposition")</f>
        <v>5.4.1.1-4 Atmos. deposition</v>
      </c>
      <c r="E38" s="20" t="s">
        <v>524</v>
      </c>
    </row>
    <row r="39" spans="1:6" ht="20.100000000000001" customHeight="1" x14ac:dyDescent="0.2">
      <c r="A39" s="5" t="str">
        <f>HYPERLINK("#'5.5.1.1-2 Leaching and runoff'!A1", "5.5.1.1-2 Leaching &amp; runoff")</f>
        <v>5.5.1.1-2 Leaching &amp; runoff</v>
      </c>
      <c r="E39" s="20" t="s">
        <v>526</v>
      </c>
    </row>
    <row r="40" spans="1:6" ht="20.100000000000001" customHeight="1" x14ac:dyDescent="0.2">
      <c r="A40" s="5" t="str">
        <f>HYPERLINK("#'6.2.1.1-2 Pasture residue N2O'!A1", "6.2.1.1-2 Pasture residue N2O")</f>
        <v>6.2.1.1-2 Pasture residue N2O</v>
      </c>
    </row>
    <row r="41" spans="1:6" ht="20.100000000000001" customHeight="1" x14ac:dyDescent="0.2">
      <c r="A41" s="5" t="str">
        <f>HYPERLINK("#'6.3.1.1-2 Leach runoff pasture'!A1", "6.3.1.1-2 Leach &amp; runoff (pasture)")</f>
        <v>6.3.1.1-2 Leach &amp; runoff (pasture)</v>
      </c>
      <c r="D41" s="2" t="s">
        <v>2031</v>
      </c>
    </row>
    <row r="42" spans="1:6" ht="20.100000000000001" customHeight="1" x14ac:dyDescent="0.2">
      <c r="A42" s="5" t="str">
        <f>HYPERLINK("#'8.1.1.1-2 Transport fuel'!A1", "8.1.1.1-2 Transport fuel")</f>
        <v>8.1.1.1-2 Transport fuel</v>
      </c>
      <c r="D42" s="17" t="s">
        <v>2030</v>
      </c>
    </row>
    <row r="43" spans="1:6" ht="20.100000000000001" customHeight="1" x14ac:dyDescent="0.2">
      <c r="A43" s="5" t="str">
        <f>HYPERLINK("#'8.2.1.1-2 Stationary fuel'!A1", "8.2.1.1-2 Stationary fuel")</f>
        <v>8.2.1.1-2 Stationary fuel</v>
      </c>
      <c r="D43" s="20" t="s">
        <v>144</v>
      </c>
      <c r="E43" s="20" t="s">
        <v>1308</v>
      </c>
      <c r="F43" s="1" t="s">
        <v>1310</v>
      </c>
    </row>
    <row r="44" spans="1:6" ht="20.100000000000001" customHeight="1" x14ac:dyDescent="0.2">
      <c r="A44" s="5" t="str">
        <f>HYPERLINK("#'10.1.1-2 Solid waste treatment'!A1", "10.1.1.1-2 Solid waste")</f>
        <v>10.1.1.1-2 Solid waste</v>
      </c>
      <c r="D44" s="20" t="s">
        <v>1935</v>
      </c>
      <c r="E44" s="20" t="s">
        <v>538</v>
      </c>
    </row>
    <row r="45" spans="1:6" ht="20.100000000000001" customHeight="1" x14ac:dyDescent="0.2">
      <c r="A45" s="5" t="str">
        <f>HYPERLINK("#'14.1.1-2 Purchased electricity'!A1", "14.1.1-2 Purchased electricity")</f>
        <v>14.1.1-2 Purchased electricity</v>
      </c>
      <c r="D45" s="20" t="s">
        <v>1936</v>
      </c>
      <c r="E45" s="20" t="s">
        <v>521</v>
      </c>
    </row>
    <row r="46" spans="1:6" ht="20.100000000000001" customHeight="1" x14ac:dyDescent="0.2">
      <c r="A46" s="5" t="str">
        <f>HYPERLINK("#'15 Scope 3'!A1", "15 Scope 3")</f>
        <v>15 Scope 3</v>
      </c>
      <c r="D46" s="20"/>
      <c r="E46" s="20" t="s">
        <v>534</v>
      </c>
    </row>
    <row r="47" spans="1:6" ht="20.100000000000001" customHeight="1" x14ac:dyDescent="0.2">
      <c r="A47" s="5" t="str">
        <f>HYPERLINK("#'Calcs - Manure sent off-site'!A1", "Calcs - Manure sent off-site")</f>
        <v>Calcs - Manure sent off-site</v>
      </c>
      <c r="D47" s="20"/>
      <c r="E47" s="20" t="s">
        <v>522</v>
      </c>
    </row>
    <row r="48" spans="1:6" ht="20.100000000000001" customHeight="1" x14ac:dyDescent="0.2">
      <c r="D48" s="20"/>
      <c r="E48" s="20" t="s">
        <v>523</v>
      </c>
    </row>
    <row r="49" spans="1:6" ht="20.100000000000001" customHeight="1" x14ac:dyDescent="0.2">
      <c r="D49" s="20"/>
      <c r="E49" s="20" t="s">
        <v>524</v>
      </c>
    </row>
    <row r="50" spans="1:6" ht="20.100000000000001" customHeight="1" x14ac:dyDescent="0.2">
      <c r="A50" s="86" t="s">
        <v>1</v>
      </c>
      <c r="D50" s="20"/>
      <c r="E50" s="20" t="s">
        <v>526</v>
      </c>
    </row>
    <row r="51" spans="1:6" ht="20.100000000000001" customHeight="1" x14ac:dyDescent="0.2">
      <c r="A51" s="5" t="str">
        <f>HYPERLINK("#'Constants - Pasture Beef'!A1", "Constants - Pasture Beef")</f>
        <v>Constants - Pasture Beef</v>
      </c>
    </row>
    <row r="52" spans="1:6" ht="20.100000000000001" customHeight="1" x14ac:dyDescent="0.2">
      <c r="A52" s="5" t="str">
        <f>HYPERLINK("#'Constants - Ag Residue'!A1", "Constants - Ag residue")</f>
        <v>Constants - Ag residue</v>
      </c>
      <c r="D52" s="2" t="s">
        <v>2032</v>
      </c>
    </row>
    <row r="53" spans="1:6" ht="20.100000000000001" customHeight="1" x14ac:dyDescent="0.2">
      <c r="A53" s="87" t="str">
        <f>HYPERLINK("#'Constants - Common Livestock'!A1", "Constants - Common Livestock")</f>
        <v>Constants - Common Livestock</v>
      </c>
      <c r="D53" s="17" t="s">
        <v>2030</v>
      </c>
    </row>
    <row r="54" spans="1:6" ht="20.100000000000001" customHeight="1" x14ac:dyDescent="0.2">
      <c r="A54" s="5" t="str">
        <f>HYPERLINK("#'Constants - Electricity'!A1", "Constants - Electricity")</f>
        <v>Constants - Electricity</v>
      </c>
      <c r="D54" s="20" t="s">
        <v>144</v>
      </c>
      <c r="E54" s="20" t="s">
        <v>1308</v>
      </c>
      <c r="F54" s="1" t="s">
        <v>1311</v>
      </c>
    </row>
    <row r="55" spans="1:6" ht="20.100000000000001" customHeight="1" x14ac:dyDescent="0.2">
      <c r="A55" s="5" t="str">
        <f>HYPERLINK("#'Constants - Fertiliser'!A1", "Constants - Fertiliser")</f>
        <v>Constants - Fertiliser</v>
      </c>
      <c r="D55" s="20" t="s">
        <v>1932</v>
      </c>
      <c r="E55" s="20" t="s">
        <v>538</v>
      </c>
    </row>
    <row r="56" spans="1:6" ht="20.100000000000001" customHeight="1" x14ac:dyDescent="0.2">
      <c r="A56" s="5" t="str">
        <f>HYPERLINK("#'Constants - Fuel'!A1", "Constants - Fuel")</f>
        <v>Constants - Fuel</v>
      </c>
    </row>
    <row r="57" spans="1:6" ht="20.100000000000001" customHeight="1" x14ac:dyDescent="0.2">
      <c r="A57" s="5" t="str">
        <f>HYPERLINK("#'Constants - Scope 3'!A1", "Constants - Scope 3")</f>
        <v>Constants - Scope 3</v>
      </c>
      <c r="D57" s="2" t="s">
        <v>2033</v>
      </c>
    </row>
    <row r="58" spans="1:6" ht="20.100000000000001" customHeight="1" x14ac:dyDescent="0.2">
      <c r="A58" s="5" t="str">
        <f>HYPERLINK("#'Constants - Solid Waste'!A1", "Constants - Solid Waste")</f>
        <v>Constants - Solid Waste</v>
      </c>
      <c r="D58" s="17" t="s">
        <v>2030</v>
      </c>
    </row>
    <row r="59" spans="1:6" ht="20.100000000000001" customHeight="1" x14ac:dyDescent="0.2">
      <c r="A59" s="5" t="str">
        <f>HYPERLINK("#'Constants - Common'!A1", "Constants - Common")</f>
        <v>Constants - Common</v>
      </c>
      <c r="D59" s="20" t="s">
        <v>144</v>
      </c>
      <c r="E59" s="20" t="s">
        <v>1308</v>
      </c>
      <c r="F59" s="1" t="s">
        <v>1312</v>
      </c>
    </row>
    <row r="60" spans="1:6" ht="20.100000000000001" customHeight="1" x14ac:dyDescent="0.2">
      <c r="A60" s="5" t="str">
        <f>HYPERLINK("#'Acknowledgements'!A1", "Acknowledgements")</f>
        <v>Acknowledgements</v>
      </c>
      <c r="D60" s="20" t="s">
        <v>1933</v>
      </c>
      <c r="E60" s="20" t="s">
        <v>524</v>
      </c>
    </row>
    <row r="62" spans="1:6" ht="20.100000000000001" customHeight="1" x14ac:dyDescent="0.2">
      <c r="D62" s="2" t="s">
        <v>2034</v>
      </c>
    </row>
    <row r="63" spans="1:6" ht="20.100000000000001" customHeight="1" x14ac:dyDescent="0.2">
      <c r="D63" s="17" t="s">
        <v>2030</v>
      </c>
    </row>
    <row r="64" spans="1:6" ht="20.100000000000001" customHeight="1" x14ac:dyDescent="0.2">
      <c r="D64" s="20" t="s">
        <v>144</v>
      </c>
      <c r="E64" s="20" t="s">
        <v>1308</v>
      </c>
      <c r="F64" s="1" t="s">
        <v>1313</v>
      </c>
    </row>
    <row r="65" spans="4:5" ht="20.100000000000001" customHeight="1" x14ac:dyDescent="0.2">
      <c r="D65" s="20" t="s">
        <v>1191</v>
      </c>
      <c r="E65" s="20" t="s">
        <v>538</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A617C-3B88-447C-8403-9A15EE992EEF}">
  <sheetPr>
    <tabColor theme="2" tint="-0.499984740745262"/>
  </sheetPr>
  <dimension ref="A1:AI60"/>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809</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2035</v>
      </c>
    </row>
    <row r="6" spans="1:35" ht="20.100000000000001" customHeight="1" x14ac:dyDescent="0.2">
      <c r="D6" s="17" t="s">
        <v>2036</v>
      </c>
      <c r="E6" s="8"/>
      <c r="F6" s="8"/>
    </row>
    <row r="7" spans="1:35" ht="20.100000000000001" customHeight="1" x14ac:dyDescent="0.2">
      <c r="D7" s="26" t="str" cm="1">
        <f t="array" ref="D7">"⚠️" &amp; Electricity_SourceData.Electricity_Scope2Scope3LocationBased_Variation()</f>
        <v>⚠️VARIATION OF SOURCE DATA: NSW and ACT split into separate rows.</v>
      </c>
      <c r="E7" s="8"/>
      <c r="F7" s="8"/>
    </row>
    <row r="8" spans="1:35" ht="20.100000000000001" customHeight="1" x14ac:dyDescent="0.2">
      <c r="A8" s="7" t="s">
        <v>0</v>
      </c>
      <c r="D8" s="8"/>
      <c r="E8" s="8"/>
      <c r="F8" s="8"/>
    </row>
    <row r="9" spans="1:35" ht="20.100000000000001" customHeight="1" x14ac:dyDescent="0.2">
      <c r="A9" s="5" t="str">
        <f>HYPERLINK("#'Input - Enterprise'!A1", "Enterprise")</f>
        <v>Enterprise</v>
      </c>
      <c r="D9" s="186" t="s">
        <v>810</v>
      </c>
      <c r="E9" s="186" t="s">
        <v>811</v>
      </c>
      <c r="F9" s="186" t="s">
        <v>812</v>
      </c>
    </row>
    <row r="10" spans="1:35" ht="20.100000000000001" customHeight="1" x14ac:dyDescent="0.2">
      <c r="A10" s="5" t="str">
        <f>HYPERLINK("#'Input - Site'!A1", "Site")</f>
        <v>Site</v>
      </c>
      <c r="D10" t="s">
        <v>2037</v>
      </c>
      <c r="E10">
        <v>0.64</v>
      </c>
      <c r="F10">
        <v>0.03</v>
      </c>
    </row>
    <row r="11" spans="1:35" ht="20.100000000000001" customHeight="1" x14ac:dyDescent="0.2">
      <c r="A11" s="5" t="str">
        <f>HYPERLINK("#'Input - Pasture Beef'!A1", "Pasture Beef")</f>
        <v>Pasture Beef</v>
      </c>
      <c r="D11" t="s">
        <v>520</v>
      </c>
      <c r="E11">
        <v>0.64</v>
      </c>
      <c r="F11">
        <v>0.03</v>
      </c>
    </row>
    <row r="12" spans="1:35" ht="20.100000000000001" customHeight="1" x14ac:dyDescent="0.2">
      <c r="A12" s="5" t="str">
        <f>HYPERLINK("#'Input - Livestock sales'!A1", "Livestock sales")</f>
        <v>Livestock sales</v>
      </c>
      <c r="D12" t="s">
        <v>1889</v>
      </c>
      <c r="E12">
        <v>0.78</v>
      </c>
      <c r="F12">
        <v>0.09</v>
      </c>
    </row>
    <row r="13" spans="1:35" ht="20.100000000000001" customHeight="1" x14ac:dyDescent="0.2">
      <c r="A13" s="5" t="str">
        <f>HYPERLINK("#'Input - Beef cattle purchases'!A1", "Beef cattle purchases")</f>
        <v>Beef cattle purchases</v>
      </c>
      <c r="D13" t="s">
        <v>1894</v>
      </c>
      <c r="E13">
        <v>0.67</v>
      </c>
      <c r="F13">
        <v>0.09</v>
      </c>
    </row>
    <row r="14" spans="1:35" ht="20.100000000000001" customHeight="1" x14ac:dyDescent="0.2">
      <c r="A14" s="5" t="str">
        <f>HYPERLINK("#'Input - Pasture'!A1", "Pasture")</f>
        <v>Pasture</v>
      </c>
      <c r="D14" t="s">
        <v>1887</v>
      </c>
      <c r="E14">
        <v>0.22</v>
      </c>
      <c r="F14">
        <v>0.04</v>
      </c>
    </row>
    <row r="15" spans="1:35" ht="20.100000000000001" customHeight="1" x14ac:dyDescent="0.2">
      <c r="A15" s="5" t="str">
        <f>HYPERLINK("#'Input - Fert Prod System'!A1", "Fert Prod System")</f>
        <v>Fert Prod System</v>
      </c>
      <c r="D15" t="s">
        <v>2038</v>
      </c>
      <c r="E15">
        <v>0.5</v>
      </c>
      <c r="F15">
        <v>0.06</v>
      </c>
    </row>
    <row r="16" spans="1:35" ht="20.100000000000001" customHeight="1" x14ac:dyDescent="0.2">
      <c r="A16" s="5" t="str">
        <f>HYPERLINK("#'Input - Fertiliser'!A1", "Fertiliser")</f>
        <v>Fertiliser</v>
      </c>
      <c r="D16" t="s">
        <v>781</v>
      </c>
      <c r="E16">
        <v>0.56000000000000005</v>
      </c>
      <c r="F16">
        <v>0.09</v>
      </c>
    </row>
    <row r="17" spans="1:8" ht="20.100000000000001" customHeight="1" x14ac:dyDescent="0.2">
      <c r="A17" s="5" t="str">
        <f>HYPERLINK("#'Input - Fuel'!A1", "Fuel")</f>
        <v>Fuel</v>
      </c>
      <c r="D17" t="s">
        <v>1888</v>
      </c>
      <c r="E17">
        <v>0.2</v>
      </c>
      <c r="F17">
        <v>0.03</v>
      </c>
    </row>
    <row r="18" spans="1:8" ht="20.100000000000001" customHeight="1" x14ac:dyDescent="0.2">
      <c r="A18" s="5" t="str">
        <f>HYPERLINK("#'Input - Electricity'!A1", "Electricity")</f>
        <v>Electricity</v>
      </c>
      <c r="D18" t="s">
        <v>2039</v>
      </c>
      <c r="E18">
        <v>0.56000000000000005</v>
      </c>
      <c r="F18">
        <v>0.09</v>
      </c>
    </row>
    <row r="19" spans="1:8" ht="20.100000000000001" customHeight="1" x14ac:dyDescent="0.2">
      <c r="A19" s="5" t="str">
        <f>HYPERLINK("#'Input - Common farm inputs'!A1", "Common farm inputs")</f>
        <v>Common farm inputs</v>
      </c>
      <c r="D19" t="s">
        <v>2040</v>
      </c>
      <c r="E19">
        <v>0.62</v>
      </c>
      <c r="F19">
        <v>7.0000000000000007E-2</v>
      </c>
    </row>
    <row r="20" spans="1:8" ht="20.100000000000001" customHeight="1" x14ac:dyDescent="0.2">
      <c r="A20" s="5" t="str">
        <f>HYPERLINK("#'Input - Crop pasture farm input'!A1", "Crop pasture farm input")</f>
        <v>Crop pasture farm input</v>
      </c>
    </row>
    <row r="21" spans="1:8" ht="20.100000000000001" customHeight="1" x14ac:dyDescent="0.2">
      <c r="A21" s="5" t="str">
        <f>HYPERLINK("#'Input - Livestock farm Inputs'!A1", "Livestock farm Inputs")</f>
        <v>Livestock farm Inputs</v>
      </c>
      <c r="D21" s="2" t="s">
        <v>2041</v>
      </c>
    </row>
    <row r="22" spans="1:8" ht="20.100000000000001" customHeight="1" x14ac:dyDescent="0.2">
      <c r="A22" s="5" t="str">
        <f>HYPERLINK("#'Input - Freight'!A1", "Freight")</f>
        <v>Freight</v>
      </c>
      <c r="D22" s="17" t="s">
        <v>2042</v>
      </c>
    </row>
    <row r="23" spans="1:8" ht="20.100000000000001" customHeight="1" x14ac:dyDescent="0.2">
      <c r="A23" s="5" t="str">
        <f>HYPERLINK("#'Input - Solid waste'!A1", "Solid waste")</f>
        <v>Solid waste</v>
      </c>
    </row>
    <row r="24" spans="1:8" ht="20.100000000000001" customHeight="1" x14ac:dyDescent="0.2">
      <c r="A24" s="5" t="str">
        <f>HYPERLINK("#'Input - Manure sent off-site'!A1", "Manure sent off-site")</f>
        <v>Manure sent off-site</v>
      </c>
      <c r="D24" s="177" t="s">
        <v>810</v>
      </c>
      <c r="E24" s="177" t="s">
        <v>813</v>
      </c>
      <c r="F24" s="177" t="s">
        <v>814</v>
      </c>
      <c r="G24" s="177" t="s">
        <v>815</v>
      </c>
      <c r="H24" s="177" t="s">
        <v>816</v>
      </c>
    </row>
    <row r="25" spans="1:8" ht="20.100000000000001" customHeight="1" x14ac:dyDescent="0.2">
      <c r="A25" s="5" t="str">
        <f>HYPERLINK("#'Input - Data quality'!A1", "Data quality")</f>
        <v>Data quality</v>
      </c>
      <c r="D25" t="s">
        <v>2040</v>
      </c>
      <c r="E25">
        <v>0.81</v>
      </c>
      <c r="F25">
        <v>226</v>
      </c>
      <c r="G25">
        <v>0.1</v>
      </c>
      <c r="H25">
        <v>29</v>
      </c>
    </row>
    <row r="28" spans="1:8" ht="20.100000000000001" customHeight="1" x14ac:dyDescent="0.2">
      <c r="A28" s="6" t="s">
        <v>2</v>
      </c>
    </row>
    <row r="29" spans="1:8" ht="20.100000000000001" customHeight="1" x14ac:dyDescent="0.2">
      <c r="A29" s="5" t="str">
        <f>HYPERLINK("#'3.2.1.1-2 Enteric Methane'!A1", "3.2.1.1-2 Enteric Methane")</f>
        <v>3.2.1.1-2 Enteric Methane</v>
      </c>
    </row>
    <row r="30" spans="1:8" ht="20.100000000000001" customHeight="1" x14ac:dyDescent="0.2">
      <c r="A30" s="5" t="str">
        <f>HYPERLINK("#'4.2.1.1-2 Methane'!A1", "4.2.1.1-2 Manure methane")</f>
        <v>4.2.1.1-2 Manure methane</v>
      </c>
    </row>
    <row r="31" spans="1:8" ht="20.100000000000001" customHeight="1" x14ac:dyDescent="0.2">
      <c r="A31" s="5" t="str">
        <f>HYPERLINK("#'4.2.1.3-4 Soil direct N20'!A1", "4.2.1.3-4 Soil direct N2O")</f>
        <v>4.2.1.3-4 Soil direct N2O</v>
      </c>
    </row>
    <row r="32" spans="1:8"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87"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5" t="str">
        <f>HYPERLINK("#'Acknowledgements'!A1", "Acknowledgements")</f>
        <v>Acknowledgements</v>
      </c>
    </row>
  </sheetData>
  <pageMargins left="0.7" right="0.7" top="0.75" bottom="0.75" header="0.3" footer="0.3"/>
  <tableParts count="2">
    <tablePart r:id="rId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E0149-899F-4496-A1BD-C3C4A55DCC6D}">
  <dimension ref="A1:AM223"/>
  <sheetViews>
    <sheetView showGridLines="0" tabSelected="1" topLeftCell="A75" zoomScaleNormal="100" workbookViewId="0">
      <pane xSplit="1" topLeftCell="B1" activePane="topRight" state="frozenSplit"/>
      <selection pane="topRight" activeCell="L84" sqref="L84"/>
    </sheetView>
  </sheetViews>
  <sheetFormatPr defaultRowHeight="20.100000000000001" customHeight="1" x14ac:dyDescent="0.2"/>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1" customFormat="1" ht="30" customHeight="1" x14ac:dyDescent="0.35">
      <c r="A1" s="10" t="e" vm="1">
        <v>#VALUE!</v>
      </c>
      <c r="C1" s="21" t="s">
        <v>740</v>
      </c>
      <c r="AF1" s="1"/>
      <c r="AG1" s="1"/>
      <c r="AH1" s="1"/>
      <c r="AI1" s="1"/>
      <c r="AJ1" s="1"/>
    </row>
    <row r="2" spans="1:36" s="3" customFormat="1" ht="20.100000000000001" customHeight="1" x14ac:dyDescent="0.2">
      <c r="A2"/>
      <c r="AF2" s="1"/>
      <c r="AG2" s="1"/>
      <c r="AH2" s="1"/>
      <c r="AI2" s="1"/>
      <c r="AJ2" s="1"/>
    </row>
    <row r="3" spans="1:36"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row>
    <row r="4" spans="1:36" ht="20.100000000000001" customHeight="1" x14ac:dyDescent="0.2">
      <c r="A4" s="5" t="str">
        <f>HYPERLINK("#'Results - Activity period'!A1", "Results - Activity period")</f>
        <v>Results - Activity period</v>
      </c>
    </row>
    <row r="5" spans="1:36" ht="20.100000000000001" customHeight="1" x14ac:dyDescent="0.2">
      <c r="A5" s="5" t="str">
        <f>HYPERLINK("#'Results - Product EI'!A1", "Results - Product Emissions Intensity")</f>
        <v>Results - Product Emissions Intensity</v>
      </c>
      <c r="D5" s="2" t="s">
        <v>2043</v>
      </c>
      <c r="E5" s="168"/>
      <c r="F5" s="168"/>
      <c r="G5" s="168"/>
      <c r="H5" s="168"/>
      <c r="I5" s="168"/>
      <c r="J5" s="168"/>
    </row>
    <row r="6" spans="1:36" ht="20.100000000000001" customHeight="1" x14ac:dyDescent="0.2">
      <c r="D6" s="17" t="s">
        <v>2044</v>
      </c>
    </row>
    <row r="7" spans="1:36" ht="20.100000000000001" customHeight="1" x14ac:dyDescent="0.2">
      <c r="D7" s="26" t="s">
        <v>2045</v>
      </c>
    </row>
    <row r="8" spans="1:36" ht="20.100000000000001" customHeight="1" x14ac:dyDescent="0.2">
      <c r="A8" s="7" t="s">
        <v>0</v>
      </c>
      <c r="D8" s="26" t="s">
        <v>2046</v>
      </c>
    </row>
    <row r="9" spans="1:36" ht="20.100000000000001" customHeight="1" x14ac:dyDescent="0.2">
      <c r="A9" s="5" t="str">
        <f>HYPERLINK("#'Input - Enterprise'!A1", "Enterprise")</f>
        <v>Enterprise</v>
      </c>
      <c r="D9" s="26" t="s">
        <v>2047</v>
      </c>
    </row>
    <row r="10" spans="1:36" ht="20.100000000000001" customHeight="1" x14ac:dyDescent="0.2">
      <c r="A10" s="5" t="str">
        <f>HYPERLINK("#'Input - Site'!A1", "Site")</f>
        <v>Site</v>
      </c>
      <c r="D10" s="26" t="s">
        <v>2048</v>
      </c>
    </row>
    <row r="11" spans="1:36" ht="20.100000000000001" customHeight="1" x14ac:dyDescent="0.2">
      <c r="A11" s="5" t="str">
        <f>HYPERLINK("#'Input - Pasture Beef'!A1", "Pasture Beef")</f>
        <v>Pasture Beef</v>
      </c>
      <c r="D11" s="26" t="s">
        <v>2049</v>
      </c>
    </row>
    <row r="12" spans="1:36" ht="20.100000000000001" customHeight="1" x14ac:dyDescent="0.2">
      <c r="A12" s="5" t="str">
        <f>HYPERLINK("#'Input - Livestock sales'!A1", "Livestock sales")</f>
        <v>Livestock sales</v>
      </c>
      <c r="D12" s="26" t="s">
        <v>2050</v>
      </c>
    </row>
    <row r="13" spans="1:36" ht="20.100000000000001" customHeight="1" x14ac:dyDescent="0.2">
      <c r="A13" s="5" t="str">
        <f>HYPERLINK("#'Input - Beef cattle purchases'!A1", "Beef cattle purchases")</f>
        <v>Beef cattle purchases</v>
      </c>
      <c r="D13" s="26" t="s">
        <v>2051</v>
      </c>
    </row>
    <row r="14" spans="1:36" ht="20.100000000000001" customHeight="1" x14ac:dyDescent="0.2">
      <c r="A14" s="5" t="str">
        <f>HYPERLINK("#'Input - Pasture'!A1", "Pasture")</f>
        <v>Pasture</v>
      </c>
      <c r="D14" s="26" t="s">
        <v>2052</v>
      </c>
    </row>
    <row r="15" spans="1:36" ht="20.100000000000001" customHeight="1" x14ac:dyDescent="0.2">
      <c r="A15" s="5" t="str">
        <f>HYPERLINK("#'Input - Fert Prod System'!A1", "Fert Prod System")</f>
        <v>Fert Prod System</v>
      </c>
      <c r="D15" s="26" t="s">
        <v>2053</v>
      </c>
    </row>
    <row r="16" spans="1:36" ht="20.100000000000001" customHeight="1" x14ac:dyDescent="0.2">
      <c r="A16" s="5" t="str">
        <f>HYPERLINK("#'Input - Fertiliser'!A1", "Fertiliser")</f>
        <v>Fertiliser</v>
      </c>
      <c r="D16" s="26" t="s">
        <v>2054</v>
      </c>
    </row>
    <row r="17" spans="1:22" ht="20.100000000000001" customHeight="1" x14ac:dyDescent="0.2">
      <c r="A17" s="5" t="str">
        <f>HYPERLINK("#'Input - Fuel'!A1", "Fuel")</f>
        <v>Fuel</v>
      </c>
      <c r="D17" s="26" t="s">
        <v>2055</v>
      </c>
      <c r="K17" s="2" t="s">
        <v>2057</v>
      </c>
      <c r="Q17" s="2" t="s">
        <v>2059</v>
      </c>
      <c r="V17" s="2" t="s">
        <v>2061</v>
      </c>
    </row>
    <row r="18" spans="1:22" ht="20.100000000000001" customHeight="1" x14ac:dyDescent="0.2">
      <c r="A18" s="5" t="str">
        <f>HYPERLINK("#'Input - Electricity'!A1", "Electricity")</f>
        <v>Electricity</v>
      </c>
      <c r="D18" s="26" t="s">
        <v>2056</v>
      </c>
      <c r="K18" s="17" t="s">
        <v>2058</v>
      </c>
      <c r="Q18" s="17" t="s">
        <v>2060</v>
      </c>
      <c r="V18" s="17" t="s">
        <v>2030</v>
      </c>
    </row>
    <row r="19" spans="1:22" ht="20.100000000000001" customHeight="1" x14ac:dyDescent="0.2">
      <c r="A19" s="5" t="str">
        <f>HYPERLINK("#'Input - Common farm inputs'!A1", "Common farm inputs")</f>
        <v>Common farm inputs</v>
      </c>
      <c r="D19" t="s">
        <v>661</v>
      </c>
      <c r="E19" t="s">
        <v>741</v>
      </c>
      <c r="F19" t="s">
        <v>742</v>
      </c>
      <c r="G19" t="s">
        <v>716</v>
      </c>
      <c r="H19" t="s">
        <v>743</v>
      </c>
      <c r="I19" t="s">
        <v>744</v>
      </c>
      <c r="K19" s="20" t="s">
        <v>661</v>
      </c>
      <c r="L19" s="20" t="s">
        <v>741</v>
      </c>
      <c r="Q19" s="20" t="s">
        <v>661</v>
      </c>
      <c r="R19" s="20" t="s">
        <v>741</v>
      </c>
      <c r="V19" s="20" t="s">
        <v>744</v>
      </c>
    </row>
    <row r="20" spans="1:22" ht="20.100000000000001" customHeight="1" x14ac:dyDescent="0.2">
      <c r="A20" s="5" t="str">
        <f>HYPERLINK("#'Input - Crop pasture farm input'!A1", "Crop pasture farm input")</f>
        <v>Crop pasture farm input</v>
      </c>
      <c r="D20" s="177" t="s">
        <v>2062</v>
      </c>
      <c r="E20" s="177">
        <v>0.1</v>
      </c>
      <c r="F20" s="177">
        <v>0</v>
      </c>
      <c r="G20" s="177" t="s">
        <v>2063</v>
      </c>
      <c r="H20" s="177" t="s">
        <v>2062</v>
      </c>
      <c r="I20" s="177" t="s">
        <v>1304</v>
      </c>
      <c r="K20" s="20" t="s">
        <v>2062</v>
      </c>
      <c r="L20" s="20">
        <v>0.1</v>
      </c>
      <c r="Q20" s="20" t="s">
        <v>2062</v>
      </c>
      <c r="R20" s="20">
        <v>0</v>
      </c>
      <c r="V20" s="20" t="s">
        <v>2089</v>
      </c>
    </row>
    <row r="21" spans="1:22" ht="20.100000000000001" customHeight="1" x14ac:dyDescent="0.2">
      <c r="A21" s="5" t="str">
        <f>HYPERLINK("#'Input - Livestock farm Inputs'!A1", "Livestock farm Inputs")</f>
        <v>Livestock farm Inputs</v>
      </c>
      <c r="D21" s="177" t="s">
        <v>2064</v>
      </c>
      <c r="E21" s="177">
        <v>0.18</v>
      </c>
      <c r="F21" s="177">
        <v>0</v>
      </c>
      <c r="G21" s="177" t="s">
        <v>2063</v>
      </c>
      <c r="H21" s="177" t="s">
        <v>2064</v>
      </c>
      <c r="I21" s="177" t="s">
        <v>1304</v>
      </c>
      <c r="K21" s="20" t="s">
        <v>2064</v>
      </c>
      <c r="L21" s="20">
        <v>0.18</v>
      </c>
      <c r="Q21" s="20" t="s">
        <v>2064</v>
      </c>
      <c r="R21" s="20">
        <v>0</v>
      </c>
      <c r="V21" s="20" t="s">
        <v>2090</v>
      </c>
    </row>
    <row r="22" spans="1:22" ht="20.100000000000001" customHeight="1" x14ac:dyDescent="0.2">
      <c r="A22" s="5" t="str">
        <f>HYPERLINK("#'Input - Freight'!A1", "Freight")</f>
        <v>Freight</v>
      </c>
      <c r="D22" s="177" t="s">
        <v>607</v>
      </c>
      <c r="E22" s="177">
        <v>0.46</v>
      </c>
      <c r="F22" s="177">
        <v>1</v>
      </c>
      <c r="G22" s="177" t="s">
        <v>2065</v>
      </c>
      <c r="H22" s="177" t="s">
        <v>607</v>
      </c>
      <c r="I22" s="177" t="s">
        <v>1304</v>
      </c>
      <c r="K22" s="20" t="s">
        <v>607</v>
      </c>
      <c r="L22" s="20">
        <v>0.46</v>
      </c>
      <c r="Q22" s="20" t="s">
        <v>607</v>
      </c>
      <c r="R22" s="20">
        <v>1</v>
      </c>
      <c r="V22" s="20" t="s">
        <v>2091</v>
      </c>
    </row>
    <row r="23" spans="1:22" ht="20.100000000000001" customHeight="1" x14ac:dyDescent="0.2">
      <c r="A23" s="5" t="str">
        <f>HYPERLINK("#'Input - Solid waste'!A1", "Solid waste")</f>
        <v>Solid waste</v>
      </c>
      <c r="D23" s="177" t="s">
        <v>2066</v>
      </c>
      <c r="E23" s="177">
        <v>0.21</v>
      </c>
      <c r="F23" s="177">
        <v>0</v>
      </c>
      <c r="G23" s="177" t="s">
        <v>2063</v>
      </c>
      <c r="H23" s="177" t="s">
        <v>2066</v>
      </c>
      <c r="I23" s="177" t="s">
        <v>1304</v>
      </c>
      <c r="K23" s="20" t="s">
        <v>2066</v>
      </c>
      <c r="L23" s="20">
        <v>0.21</v>
      </c>
      <c r="Q23" s="20" t="s">
        <v>2066</v>
      </c>
      <c r="R23" s="20">
        <v>0</v>
      </c>
      <c r="V23" s="20" t="s">
        <v>2092</v>
      </c>
    </row>
    <row r="24" spans="1:22" ht="20.100000000000001" customHeight="1" x14ac:dyDescent="0.2">
      <c r="A24" s="5" t="str">
        <f>HYPERLINK("#'Input - Manure sent off-site'!A1", "Manure sent off-site")</f>
        <v>Manure sent off-site</v>
      </c>
      <c r="D24" s="177" t="s">
        <v>2067</v>
      </c>
      <c r="E24" s="177">
        <v>0.32</v>
      </c>
      <c r="F24" s="177">
        <v>0.35</v>
      </c>
      <c r="G24" s="177" t="s">
        <v>2065</v>
      </c>
      <c r="H24" s="177" t="s">
        <v>2067</v>
      </c>
      <c r="I24" s="177" t="s">
        <v>1304</v>
      </c>
      <c r="K24" s="20" t="s">
        <v>2067</v>
      </c>
      <c r="L24" s="20">
        <v>0.32</v>
      </c>
      <c r="Q24" s="20" t="s">
        <v>2067</v>
      </c>
      <c r="R24" s="20">
        <v>0.35</v>
      </c>
    </row>
    <row r="25" spans="1:22" ht="20.100000000000001" customHeight="1" x14ac:dyDescent="0.2">
      <c r="A25" s="5" t="str">
        <f>HYPERLINK("#'Input - Data quality'!A1", "Data quality")</f>
        <v>Data quality</v>
      </c>
      <c r="D25" s="177" t="s">
        <v>2068</v>
      </c>
      <c r="E25" s="177">
        <v>0.33700000000000002</v>
      </c>
      <c r="F25" s="177">
        <v>0</v>
      </c>
      <c r="G25" s="177" t="s">
        <v>2069</v>
      </c>
      <c r="H25" s="177" t="s">
        <v>2068</v>
      </c>
      <c r="I25" s="177" t="s">
        <v>1304</v>
      </c>
      <c r="K25" s="20" t="s">
        <v>2068</v>
      </c>
      <c r="L25" s="20">
        <v>0.33700000000000002</v>
      </c>
      <c r="Q25" s="20" t="s">
        <v>2068</v>
      </c>
      <c r="R25" s="20">
        <v>0</v>
      </c>
    </row>
    <row r="26" spans="1:22" ht="20.100000000000001" customHeight="1" x14ac:dyDescent="0.2">
      <c r="D26" s="177" t="s">
        <v>2070</v>
      </c>
      <c r="E26" s="177">
        <v>0.27</v>
      </c>
      <c r="F26" s="177">
        <v>0</v>
      </c>
      <c r="G26" s="177" t="s">
        <v>2069</v>
      </c>
      <c r="H26" s="177" t="s">
        <v>2070</v>
      </c>
      <c r="I26" s="177" t="s">
        <v>1304</v>
      </c>
      <c r="K26" s="20" t="s">
        <v>2070</v>
      </c>
      <c r="L26" s="20">
        <v>0.27</v>
      </c>
      <c r="Q26" s="20" t="s">
        <v>2070</v>
      </c>
      <c r="R26" s="20">
        <v>0</v>
      </c>
    </row>
    <row r="27" spans="1:22" ht="20.100000000000001" customHeight="1" x14ac:dyDescent="0.2">
      <c r="D27" s="177" t="s">
        <v>2071</v>
      </c>
      <c r="E27" s="177">
        <v>1</v>
      </c>
      <c r="F27" s="177">
        <v>0</v>
      </c>
      <c r="G27" s="177" t="s">
        <v>2063</v>
      </c>
      <c r="H27" s="177" t="s">
        <v>2071</v>
      </c>
      <c r="I27" s="177" t="s">
        <v>2072</v>
      </c>
      <c r="K27" s="20" t="s">
        <v>2087</v>
      </c>
      <c r="L27" s="20">
        <v>0.21</v>
      </c>
      <c r="Q27" s="20" t="s">
        <v>2087</v>
      </c>
      <c r="R27" s="20">
        <v>0</v>
      </c>
    </row>
    <row r="28" spans="1:22" ht="20.100000000000001" customHeight="1" x14ac:dyDescent="0.2">
      <c r="A28" s="6" t="s">
        <v>2</v>
      </c>
      <c r="D28" s="177" t="s">
        <v>2073</v>
      </c>
      <c r="E28" s="177">
        <v>1</v>
      </c>
      <c r="F28" s="177">
        <v>0</v>
      </c>
      <c r="G28" s="177" t="s">
        <v>2074</v>
      </c>
      <c r="H28" s="177" t="s">
        <v>2075</v>
      </c>
      <c r="I28" s="177" t="s">
        <v>2072</v>
      </c>
      <c r="K28" s="20" t="s">
        <v>2088</v>
      </c>
      <c r="L28" s="20">
        <v>0.155</v>
      </c>
      <c r="Q28" s="20" t="s">
        <v>2088</v>
      </c>
      <c r="R28" s="20">
        <v>0</v>
      </c>
    </row>
    <row r="29" spans="1:22" ht="20.100000000000001" customHeight="1" x14ac:dyDescent="0.2">
      <c r="A29" s="5" t="str">
        <f>HYPERLINK("#'3.2.1.1-2 Enteric Methane'!A1", "3.2.1.1-2 Enteric Methane")</f>
        <v>3.2.1.1-2 Enteric Methane</v>
      </c>
      <c r="D29" s="177" t="s">
        <v>2076</v>
      </c>
      <c r="E29" s="177">
        <v>1</v>
      </c>
      <c r="F29" s="177">
        <v>0</v>
      </c>
      <c r="G29" s="177" t="s">
        <v>2065</v>
      </c>
      <c r="H29" s="177" t="s">
        <v>2077</v>
      </c>
      <c r="I29" s="177" t="s">
        <v>2072</v>
      </c>
    </row>
    <row r="30" spans="1:22" ht="20.100000000000001" customHeight="1" x14ac:dyDescent="0.2">
      <c r="A30" s="5" t="str">
        <f>HYPERLINK("#'4.2.1.1-2 Methane'!A1", "4.2.1.1-2 Manure methane")</f>
        <v>4.2.1.1-2 Manure methane</v>
      </c>
      <c r="D30" s="177" t="s">
        <v>2078</v>
      </c>
      <c r="E30" s="177">
        <v>0</v>
      </c>
      <c r="F30" s="177">
        <v>0</v>
      </c>
      <c r="G30" s="177" t="s">
        <v>2079</v>
      </c>
      <c r="H30" s="177" t="s">
        <v>2080</v>
      </c>
      <c r="I30" s="177" t="s">
        <v>2072</v>
      </c>
    </row>
    <row r="31" spans="1:22" ht="20.100000000000001" customHeight="1" x14ac:dyDescent="0.2">
      <c r="A31" s="5" t="str">
        <f>HYPERLINK("#'4.2.1.3-4 Soil direct N20'!A1", "4.2.1.3-4 Soil direct N2O")</f>
        <v>4.2.1.3-4 Soil direct N2O</v>
      </c>
      <c r="D31" s="177" t="s">
        <v>619</v>
      </c>
      <c r="E31" s="177">
        <v>0</v>
      </c>
      <c r="F31" s="177">
        <v>0</v>
      </c>
      <c r="G31" s="177" t="s">
        <v>2079</v>
      </c>
      <c r="H31" s="177" t="s">
        <v>2081</v>
      </c>
      <c r="I31" s="177" t="s">
        <v>2072</v>
      </c>
    </row>
    <row r="32" spans="1:22" ht="20.100000000000001" customHeight="1" x14ac:dyDescent="0.2">
      <c r="A32" s="5" t="str">
        <f>HYPERLINK("#'4.2.1.5-6 Soil Atmos Dep'!A1", "4.2.1.5-6 Soil atm. deposition")</f>
        <v>4.2.1.5-6 Soil atm. deposition</v>
      </c>
      <c r="D32" s="177" t="s">
        <v>620</v>
      </c>
      <c r="E32" s="177">
        <v>0</v>
      </c>
      <c r="F32" s="177">
        <v>0</v>
      </c>
      <c r="G32" s="177" t="s">
        <v>2079</v>
      </c>
      <c r="H32" s="177" t="s">
        <v>2082</v>
      </c>
      <c r="I32" s="177" t="s">
        <v>2072</v>
      </c>
    </row>
    <row r="33" spans="1:10" ht="20.100000000000001" customHeight="1" x14ac:dyDescent="0.2">
      <c r="A33" s="5" t="str">
        <f>HYPERLINK("#'4.2.1.7-8 Soil leach runoff'!A1", "4.2.1.7-8 Soil leach &amp; runoff")</f>
        <v>4.2.1.7-8 Soil leach &amp; runoff</v>
      </c>
      <c r="D33" s="177" t="s">
        <v>618</v>
      </c>
      <c r="E33" s="177">
        <v>0</v>
      </c>
      <c r="F33" s="177">
        <v>0</v>
      </c>
      <c r="G33" s="177" t="s">
        <v>2079</v>
      </c>
      <c r="H33" s="177" t="s">
        <v>2083</v>
      </c>
      <c r="I33" s="177" t="s">
        <v>2072</v>
      </c>
    </row>
    <row r="34" spans="1:10" ht="20.100000000000001" customHeight="1" x14ac:dyDescent="0.2">
      <c r="A34" s="5" t="str">
        <f>HYPERLINK("#'5.1.1.1-2 Inorganic fert N2O'!A1", "5.1.1.1-2 Inorganic fert N2O")</f>
        <v>5.1.1.1-2 Inorganic fert N2O</v>
      </c>
      <c r="D34" s="177" t="s">
        <v>2084</v>
      </c>
      <c r="E34" s="177">
        <v>0</v>
      </c>
      <c r="F34" s="177">
        <v>0</v>
      </c>
      <c r="G34" s="177" t="s">
        <v>2079</v>
      </c>
      <c r="H34" s="177" t="s">
        <v>2084</v>
      </c>
      <c r="I34" s="177" t="s">
        <v>2072</v>
      </c>
    </row>
    <row r="35" spans="1:10" ht="20.100000000000001" customHeight="1" x14ac:dyDescent="0.2">
      <c r="A35" s="5" t="str">
        <f>HYPERLINK("#'5.1.1.3-4 Inorganic fert CO2'!A1", "5.1.1.3-4 Inorganic fert CO2")</f>
        <v>5.1.1.3-4 Inorganic fert CO2</v>
      </c>
      <c r="D35" s="177" t="s">
        <v>2085</v>
      </c>
      <c r="E35" s="177">
        <v>0</v>
      </c>
      <c r="F35" s="177">
        <v>0</v>
      </c>
      <c r="G35" s="177" t="s">
        <v>2079</v>
      </c>
      <c r="H35" s="177" t="s">
        <v>2085</v>
      </c>
      <c r="I35" s="177" t="s">
        <v>2072</v>
      </c>
    </row>
    <row r="36" spans="1:10" ht="20.100000000000001" customHeight="1" x14ac:dyDescent="0.2">
      <c r="A36" s="5" t="str">
        <f>HYPERLINK("#'5.2.1.1-2 Organic Fert N2O'!A1", "5.2.1.1-2 Organic fert N2O")</f>
        <v>5.2.1.1-2 Organic fert N2O</v>
      </c>
      <c r="D36" s="177" t="s">
        <v>2086</v>
      </c>
      <c r="E36" s="177">
        <v>0</v>
      </c>
      <c r="F36" s="177">
        <v>0</v>
      </c>
      <c r="G36" s="177" t="s">
        <v>2079</v>
      </c>
      <c r="H36" s="177" t="s">
        <v>2086</v>
      </c>
      <c r="I36" s="177" t="s">
        <v>2072</v>
      </c>
    </row>
    <row r="37" spans="1:10" ht="20.100000000000001" customHeight="1" x14ac:dyDescent="0.2">
      <c r="A37" s="5" t="str">
        <f>HYPERLINK("#'5.3.1.1-2 Lime CO2'!A1", "5.3.1.1-2 Lime CO2")</f>
        <v>5.3.1.1-2 Lime CO2</v>
      </c>
      <c r="D37" s="177" t="s">
        <v>623</v>
      </c>
      <c r="E37" s="177">
        <v>0.82350000000000001</v>
      </c>
      <c r="F37" s="177">
        <v>0</v>
      </c>
      <c r="G37" s="177" t="s">
        <v>2063</v>
      </c>
      <c r="H37" s="177" t="s">
        <v>623</v>
      </c>
      <c r="I37" s="177" t="s">
        <v>2072</v>
      </c>
    </row>
    <row r="38" spans="1:10" ht="20.100000000000001" customHeight="1" x14ac:dyDescent="0.2">
      <c r="A38" s="5" t="str">
        <f>HYPERLINK("#'5.4.1.1-4 Atmos deposition'!A1", "5.4.1.1-4 Atmos. deposition")</f>
        <v>5.4.1.1-4 Atmos. deposition</v>
      </c>
      <c r="D38" s="20" t="s">
        <v>617</v>
      </c>
      <c r="E38" s="20">
        <v>0.155</v>
      </c>
      <c r="F38" s="20">
        <v>0</v>
      </c>
      <c r="G38" s="20" t="s">
        <v>2074</v>
      </c>
      <c r="H38" s="20" t="s">
        <v>617</v>
      </c>
      <c r="I38" s="20" t="s">
        <v>1304</v>
      </c>
    </row>
    <row r="39" spans="1:10" ht="20.100000000000001" customHeight="1" x14ac:dyDescent="0.2">
      <c r="A39" s="5" t="str">
        <f>HYPERLINK("#'5.5.1.1-2 Leaching and runoff'!A1", "5.5.1.1-2 Leaching &amp; runoff")</f>
        <v>5.5.1.1-2 Leaching &amp; runoff</v>
      </c>
    </row>
    <row r="40" spans="1:10" ht="20.100000000000001" customHeight="1" x14ac:dyDescent="0.2">
      <c r="A40" s="5" t="str">
        <f>HYPERLINK("#'6.2.1.1-2 Pasture residue N2O'!A1", "6.2.1.1-2 Pasture residue N2O")</f>
        <v>6.2.1.1-2 Pasture residue N2O</v>
      </c>
      <c r="D40" s="2" t="s">
        <v>745</v>
      </c>
      <c r="F40" s="2" t="s">
        <v>746</v>
      </c>
      <c r="H40" s="2" t="s">
        <v>485</v>
      </c>
      <c r="J40" s="2" t="s">
        <v>747</v>
      </c>
    </row>
    <row r="41" spans="1:10" ht="20.100000000000001" customHeight="1" x14ac:dyDescent="0.2">
      <c r="A41" s="5" t="str">
        <f>HYPERLINK("#'6.3.1.1-2 Leach runoff pasture'!A1", "6.3.1.1-2 Leach &amp; runoff (pasture)")</f>
        <v>6.3.1.1-2 Leach &amp; runoff (pasture)</v>
      </c>
      <c r="D41" s="20" t="s">
        <v>176</v>
      </c>
      <c r="F41" s="20" t="s">
        <v>176</v>
      </c>
      <c r="H41" s="20" t="s">
        <v>72</v>
      </c>
      <c r="J41" s="20" t="s">
        <v>748</v>
      </c>
    </row>
    <row r="42" spans="1:10" ht="20.100000000000001" customHeight="1" x14ac:dyDescent="0.2">
      <c r="A42" s="5" t="str">
        <f>HYPERLINK("#'8.1.1.1-2 Transport fuel'!A1", "8.1.1.1-2 Transport fuel")</f>
        <v>8.1.1.1-2 Transport fuel</v>
      </c>
      <c r="D42" s="20" t="s">
        <v>179</v>
      </c>
      <c r="F42" s="20" t="s">
        <v>179</v>
      </c>
      <c r="H42" s="20" t="s">
        <v>491</v>
      </c>
      <c r="J42" s="20" t="s">
        <v>749</v>
      </c>
    </row>
    <row r="43" spans="1:10" ht="20.100000000000001" customHeight="1" x14ac:dyDescent="0.2">
      <c r="A43" s="5" t="str">
        <f>HYPERLINK("#'8.2.1.1-2 Stationary fuel'!A1", "8.2.1.1-2 Stationary fuel")</f>
        <v>8.2.1.1-2 Stationary fuel</v>
      </c>
      <c r="D43" s="1" t="s">
        <v>750</v>
      </c>
      <c r="F43" s="1" t="s">
        <v>751</v>
      </c>
      <c r="H43" s="20" t="s">
        <v>495</v>
      </c>
      <c r="J43" s="1" t="s">
        <v>644</v>
      </c>
    </row>
    <row r="44" spans="1:10" ht="20.100000000000001" customHeight="1" x14ac:dyDescent="0.2">
      <c r="A44" s="5" t="str">
        <f>HYPERLINK("#'10.1.1-2 Solid waste treatment'!A1", "10.1.1.1-2 Solid waste")</f>
        <v>10.1.1.1-2 Solid waste</v>
      </c>
      <c r="F44" s="1" t="s">
        <v>752</v>
      </c>
      <c r="H44" s="1" t="s">
        <v>356</v>
      </c>
      <c r="J44" s="1" t="s">
        <v>753</v>
      </c>
    </row>
    <row r="45" spans="1:10" ht="20.100000000000001" customHeight="1" x14ac:dyDescent="0.2">
      <c r="A45" s="5" t="str">
        <f>HYPERLINK("#'14.1.1-2 Purchased electricity'!A1", "14.1.1-2 Purchased electricity")</f>
        <v>14.1.1-2 Purchased electricity</v>
      </c>
      <c r="F45" s="1" t="s">
        <v>684</v>
      </c>
      <c r="H45" s="1" t="s">
        <v>503</v>
      </c>
      <c r="J45" s="1" t="s">
        <v>643</v>
      </c>
    </row>
    <row r="46" spans="1:10" ht="20.100000000000001" customHeight="1" x14ac:dyDescent="0.2">
      <c r="A46" s="5" t="str">
        <f>HYPERLINK("#'15 Scope 3'!A1", "15 Scope 3")</f>
        <v>15 Scope 3</v>
      </c>
      <c r="H46" s="1" t="s">
        <v>505</v>
      </c>
      <c r="J46" s="1" t="s">
        <v>645</v>
      </c>
    </row>
    <row r="47" spans="1:10" ht="20.100000000000001" customHeight="1" x14ac:dyDescent="0.2">
      <c r="A47" s="5" t="str">
        <f>HYPERLINK("#'Calcs - Manure sent off-site'!A1", "Calcs - Manure sent off-site")</f>
        <v>Calcs - Manure sent off-site</v>
      </c>
    </row>
    <row r="48" spans="1:10" ht="20.100000000000001" customHeight="1" x14ac:dyDescent="0.2">
      <c r="D48" s="2" t="s">
        <v>2093</v>
      </c>
      <c r="G48" s="168"/>
    </row>
    <row r="49" spans="1:8" ht="20.100000000000001" customHeight="1" x14ac:dyDescent="0.2">
      <c r="D49" s="17" t="s">
        <v>2094</v>
      </c>
      <c r="G49" s="168"/>
    </row>
    <row r="50" spans="1:8" ht="20.100000000000001" customHeight="1" x14ac:dyDescent="0.2">
      <c r="A50" s="86" t="s">
        <v>1</v>
      </c>
      <c r="D50" s="20" t="s">
        <v>661</v>
      </c>
      <c r="E50" s="20" t="s">
        <v>754</v>
      </c>
      <c r="G50" s="168"/>
    </row>
    <row r="51" spans="1:8" ht="20.100000000000001" customHeight="1" x14ac:dyDescent="0.2">
      <c r="A51" s="5" t="str">
        <f>HYPERLINK("#'Constants - Pasture Beef'!A1", "Constants - Pasture Beef")</f>
        <v>Constants - Pasture Beef</v>
      </c>
      <c r="D51" s="20" t="s">
        <v>2065</v>
      </c>
      <c r="E51" s="20">
        <v>0.15</v>
      </c>
      <c r="G51" s="168"/>
    </row>
    <row r="52" spans="1:8" ht="20.100000000000001" customHeight="1" x14ac:dyDescent="0.2">
      <c r="A52" s="5" t="str">
        <f>HYPERLINK("#'Constants - Ag Residue'!A1", "Constants - Ag residue")</f>
        <v>Constants - Ag residue</v>
      </c>
      <c r="D52" s="1" t="s">
        <v>2063</v>
      </c>
      <c r="E52" s="20">
        <v>0.08</v>
      </c>
      <c r="G52" s="168"/>
    </row>
    <row r="53" spans="1:8" ht="20.100000000000001" customHeight="1" x14ac:dyDescent="0.2">
      <c r="A53" s="5" t="str">
        <f>HYPERLINK("#'Constants - Common Livestock'!A1", "Constants - Common Livestock")</f>
        <v>Constants - Common Livestock</v>
      </c>
      <c r="D53" s="1" t="s">
        <v>2074</v>
      </c>
      <c r="E53" s="20">
        <v>0.01</v>
      </c>
      <c r="G53" s="168"/>
    </row>
    <row r="54" spans="1:8" ht="20.100000000000001" customHeight="1" x14ac:dyDescent="0.2">
      <c r="A54" s="5" t="str">
        <f>HYPERLINK("#'Constants - Electricity'!A1", "Constants - Electricity")</f>
        <v>Constants - Electricity</v>
      </c>
      <c r="D54" s="1" t="s">
        <v>2069</v>
      </c>
      <c r="E54" s="20">
        <v>0.05</v>
      </c>
      <c r="G54" s="168"/>
      <c r="H54" s="168"/>
    </row>
    <row r="55" spans="1:8" ht="20.100000000000001" customHeight="1" x14ac:dyDescent="0.2">
      <c r="A55" s="87" t="str">
        <f>HYPERLINK("#'Constants - Fertiliser'!A1", "Constants - Fertiliser")</f>
        <v>Constants - Fertiliser</v>
      </c>
      <c r="D55" s="1" t="s">
        <v>2079</v>
      </c>
      <c r="E55" s="20">
        <v>0.11</v>
      </c>
      <c r="G55" s="168"/>
      <c r="H55" s="168"/>
    </row>
    <row r="56" spans="1:8" ht="20.100000000000001" customHeight="1" x14ac:dyDescent="0.2">
      <c r="A56" s="5" t="str">
        <f>HYPERLINK("#'Constants - Fuel'!A1", "Constants - Fuel")</f>
        <v>Constants - Fuel</v>
      </c>
    </row>
    <row r="57" spans="1:8" ht="20.100000000000001" customHeight="1" x14ac:dyDescent="0.2">
      <c r="A57" s="5" t="str">
        <f>HYPERLINK("#'Constants - Scope 3'!A1", "Constants - Scope 3")</f>
        <v>Constants - Scope 3</v>
      </c>
    </row>
    <row r="58" spans="1:8" ht="20.100000000000001" customHeight="1" x14ac:dyDescent="0.2">
      <c r="A58" s="5" t="str">
        <f>HYPERLINK("#'Constants - Solid Waste'!A1", "Constants - Solid Waste")</f>
        <v>Constants - Solid Waste</v>
      </c>
      <c r="D58" s="2" t="s">
        <v>2095</v>
      </c>
    </row>
    <row r="59" spans="1:8" ht="20.100000000000001" customHeight="1" x14ac:dyDescent="0.2">
      <c r="A59" s="5" t="str">
        <f>HYPERLINK("#'Constants - Common'!A1", "Constants - Common")</f>
        <v>Constants - Common</v>
      </c>
      <c r="D59" s="17" t="s">
        <v>2096</v>
      </c>
    </row>
    <row r="60" spans="1:8" ht="20.100000000000001" customHeight="1" x14ac:dyDescent="0.2">
      <c r="A60" s="5" t="str">
        <f>HYPERLINK("#'Acknowledgements'!A1", "Acknowledgements")</f>
        <v>Acknowledgements</v>
      </c>
      <c r="D60" s="77" t="s">
        <v>2097</v>
      </c>
      <c r="E60" s="1">
        <v>0.2</v>
      </c>
      <c r="F60" s="9" t="s">
        <v>1533</v>
      </c>
    </row>
    <row r="63" spans="1:8" ht="20.100000000000001" customHeight="1" x14ac:dyDescent="0.2">
      <c r="D63" s="2" t="s">
        <v>2098</v>
      </c>
    </row>
    <row r="64" spans="1:8" ht="20.100000000000001" customHeight="1" x14ac:dyDescent="0.2">
      <c r="D64" s="17" t="s">
        <v>2099</v>
      </c>
    </row>
    <row r="65" spans="1:6" ht="20.100000000000001" customHeight="1" x14ac:dyDescent="0.2">
      <c r="D65" s="20" t="s">
        <v>705</v>
      </c>
      <c r="E65" s="20" t="s">
        <v>755</v>
      </c>
      <c r="F65" s="20" t="s">
        <v>681</v>
      </c>
    </row>
    <row r="66" spans="1:6" ht="20.100000000000001" customHeight="1" x14ac:dyDescent="0.2">
      <c r="D66" s="20" t="s">
        <v>2100</v>
      </c>
      <c r="E66" s="20">
        <v>0.9</v>
      </c>
      <c r="F66" s="20">
        <v>0.12</v>
      </c>
    </row>
    <row r="67" spans="1:6" ht="20.100000000000001" customHeight="1" x14ac:dyDescent="0.2">
      <c r="D67" s="1" t="s">
        <v>2101</v>
      </c>
      <c r="E67" s="20">
        <v>0.95</v>
      </c>
      <c r="F67" s="20">
        <v>0.13</v>
      </c>
    </row>
    <row r="68" spans="1:6" ht="20.100000000000001" customHeight="1" x14ac:dyDescent="0.2">
      <c r="D68" s="1" t="s">
        <v>2102</v>
      </c>
      <c r="E68" s="20">
        <v>0</v>
      </c>
      <c r="F68" s="20">
        <v>0</v>
      </c>
    </row>
    <row r="71" spans="1:6" ht="20.100000000000001" customHeight="1" x14ac:dyDescent="0.2">
      <c r="A71" s="85" t="str">
        <f>HYPERLINK("#A1", "▲ Back to top")</f>
        <v>▲ Back to top</v>
      </c>
      <c r="D71" s="2" t="s">
        <v>2103</v>
      </c>
    </row>
    <row r="72" spans="1:6" ht="20.100000000000001" customHeight="1" x14ac:dyDescent="0.2">
      <c r="D72" s="17" t="s">
        <v>2104</v>
      </c>
    </row>
    <row r="73" spans="1:6" ht="20.100000000000001" customHeight="1" x14ac:dyDescent="0.2">
      <c r="D73" s="77" t="s">
        <v>1445</v>
      </c>
      <c r="E73" s="1">
        <v>0.21</v>
      </c>
      <c r="F73" s="9" t="s">
        <v>1570</v>
      </c>
    </row>
    <row r="76" spans="1:6" ht="20.100000000000001" customHeight="1" x14ac:dyDescent="0.2">
      <c r="D76" s="2" t="s">
        <v>2105</v>
      </c>
    </row>
    <row r="77" spans="1:6" ht="20.100000000000001" customHeight="1" x14ac:dyDescent="0.2">
      <c r="D77" s="17" t="s">
        <v>2106</v>
      </c>
    </row>
    <row r="78" spans="1:6" ht="20.100000000000001" customHeight="1" x14ac:dyDescent="0.2">
      <c r="D78" s="77" t="s">
        <v>1468</v>
      </c>
      <c r="E78" s="1">
        <v>0.24</v>
      </c>
      <c r="F78" s="9" t="s">
        <v>347</v>
      </c>
    </row>
    <row r="81" spans="4:39" ht="20.100000000000001" customHeight="1" x14ac:dyDescent="0.2">
      <c r="D81" s="2" t="s">
        <v>2107</v>
      </c>
    </row>
    <row r="82" spans="4:39" ht="20.100000000000001" customHeight="1" x14ac:dyDescent="0.2">
      <c r="D82" s="17" t="s">
        <v>2106</v>
      </c>
    </row>
    <row r="83" spans="4:39" ht="20.100000000000001" customHeight="1" x14ac:dyDescent="0.2">
      <c r="D83" s="77" t="s">
        <v>2108</v>
      </c>
      <c r="E83" s="1">
        <v>1.0999999999999999E-2</v>
      </c>
      <c r="F83" s="9" t="s">
        <v>2109</v>
      </c>
    </row>
    <row r="87" spans="4:39" ht="20.100000000000001" customHeight="1" x14ac:dyDescent="0.2">
      <c r="D87" s="2" t="s">
        <v>756</v>
      </c>
      <c r="E87" s="168"/>
      <c r="F87" s="168"/>
      <c r="G87" s="168"/>
      <c r="H87" s="168"/>
      <c r="I87" s="168"/>
      <c r="J87" s="168"/>
      <c r="K87" s="168"/>
      <c r="L87" s="168"/>
      <c r="N87" s="168"/>
      <c r="O87" s="168"/>
      <c r="P87" s="168"/>
      <c r="Q87" s="168"/>
      <c r="R87" s="168"/>
      <c r="S87" s="168"/>
      <c r="T87" s="168"/>
      <c r="U87" s="168"/>
    </row>
    <row r="88" spans="4:39" ht="20.100000000000001" customHeight="1" x14ac:dyDescent="0.2">
      <c r="D88" s="168"/>
    </row>
    <row r="89" spans="4:39" ht="20.100000000000001" customHeight="1" x14ac:dyDescent="0.2">
      <c r="D89" s="178" t="s">
        <v>757</v>
      </c>
      <c r="E89" s="20" t="s">
        <v>144</v>
      </c>
      <c r="F89" s="20" t="s">
        <v>126</v>
      </c>
      <c r="G89" s="131" t="s">
        <v>588</v>
      </c>
      <c r="H89" s="131" t="s">
        <v>758</v>
      </c>
      <c r="I89" s="131" t="s">
        <v>605</v>
      </c>
      <c r="J89" s="131" t="s">
        <v>606</v>
      </c>
      <c r="K89" s="131" t="s">
        <v>759</v>
      </c>
      <c r="L89" s="131" t="s">
        <v>760</v>
      </c>
      <c r="M89" s="131" t="s">
        <v>761</v>
      </c>
      <c r="N89" s="131" t="s">
        <v>762</v>
      </c>
      <c r="O89" s="131" t="s">
        <v>590</v>
      </c>
      <c r="P89" s="131" t="s">
        <v>591</v>
      </c>
      <c r="Q89" s="20" t="s">
        <v>592</v>
      </c>
      <c r="R89" s="20" t="s">
        <v>593</v>
      </c>
      <c r="S89" s="20" t="s">
        <v>594</v>
      </c>
      <c r="T89" s="20" t="s">
        <v>595</v>
      </c>
      <c r="U89" s="131" t="s">
        <v>596</v>
      </c>
      <c r="V89" s="131" t="s">
        <v>597</v>
      </c>
      <c r="W89" s="20" t="s">
        <v>598</v>
      </c>
      <c r="X89" s="131" t="s">
        <v>599</v>
      </c>
      <c r="Y89" s="131" t="s">
        <v>600</v>
      </c>
      <c r="Z89" s="131" t="s">
        <v>601</v>
      </c>
      <c r="AA89" s="131" t="s">
        <v>763</v>
      </c>
      <c r="AB89" s="131" t="s">
        <v>764</v>
      </c>
      <c r="AC89" s="20" t="s">
        <v>765</v>
      </c>
      <c r="AD89" s="20" t="s">
        <v>766</v>
      </c>
      <c r="AE89" s="20" t="s">
        <v>767</v>
      </c>
      <c r="AF89" s="20" t="s">
        <v>768</v>
      </c>
      <c r="AG89" s="20" t="s">
        <v>769</v>
      </c>
      <c r="AH89" s="20" t="s">
        <v>770</v>
      </c>
      <c r="AK89" s="1"/>
      <c r="AL89" s="1"/>
      <c r="AM89" s="1"/>
    </row>
    <row r="90" spans="4:39" ht="20.100000000000001" customHeight="1" x14ac:dyDescent="0.2">
      <c r="D90" s="177" t="s">
        <v>2110</v>
      </c>
      <c r="E90" s="177" t="s">
        <v>2111</v>
      </c>
      <c r="F90" s="177" t="s">
        <v>896</v>
      </c>
      <c r="G90" s="177">
        <v>1.26</v>
      </c>
      <c r="H90" s="177"/>
      <c r="I90" s="177"/>
      <c r="J90" s="177"/>
      <c r="K90" s="177">
        <v>2.6</v>
      </c>
      <c r="L90" s="177">
        <v>4</v>
      </c>
      <c r="M90" s="177">
        <v>22.5</v>
      </c>
      <c r="N90" s="177"/>
      <c r="O90" s="177" t="s">
        <v>619</v>
      </c>
      <c r="P90" s="177">
        <v>0.22500000000000001</v>
      </c>
      <c r="Q90" s="177" t="s">
        <v>2078</v>
      </c>
      <c r="R90" s="177">
        <v>0.04</v>
      </c>
      <c r="S90" s="177" t="s">
        <v>2076</v>
      </c>
      <c r="T90" s="177">
        <v>2.5999999999999999E-2</v>
      </c>
      <c r="U90" s="177"/>
      <c r="V90" s="177"/>
      <c r="W90" s="177"/>
      <c r="X90" s="177"/>
      <c r="Y90" s="177"/>
      <c r="Z90" s="177"/>
      <c r="AA90" s="177"/>
      <c r="AB90" s="177"/>
      <c r="AC90" s="177"/>
      <c r="AD90" s="177"/>
      <c r="AE90" s="177"/>
      <c r="AF90" s="177"/>
      <c r="AG90" s="177"/>
      <c r="AH90" s="177"/>
      <c r="AK90" s="1"/>
      <c r="AL90" s="1"/>
      <c r="AM90" s="1"/>
    </row>
    <row r="91" spans="4:39" ht="20.100000000000001" customHeight="1" x14ac:dyDescent="0.2">
      <c r="D91" s="177" t="s">
        <v>2110</v>
      </c>
      <c r="E91" s="177" t="s">
        <v>2112</v>
      </c>
      <c r="F91" s="177" t="s">
        <v>896</v>
      </c>
      <c r="G91" s="177">
        <v>1.26</v>
      </c>
      <c r="H91" s="177"/>
      <c r="I91" s="177"/>
      <c r="J91" s="177"/>
      <c r="K91" s="177">
        <v>9.6</v>
      </c>
      <c r="L91" s="177">
        <v>5</v>
      </c>
      <c r="M91" s="177">
        <v>10.5</v>
      </c>
      <c r="N91" s="177"/>
      <c r="O91" s="177" t="s">
        <v>619</v>
      </c>
      <c r="P91" s="177">
        <v>0.105</v>
      </c>
      <c r="Q91" s="177" t="s">
        <v>2076</v>
      </c>
      <c r="R91" s="177">
        <v>9.6000000000000002E-2</v>
      </c>
      <c r="S91" s="177" t="s">
        <v>2078</v>
      </c>
      <c r="T91" s="177">
        <v>0.05</v>
      </c>
      <c r="U91" s="177"/>
      <c r="V91" s="177"/>
      <c r="W91" s="177"/>
      <c r="X91" s="177"/>
      <c r="Y91" s="177"/>
      <c r="Z91" s="177"/>
      <c r="AA91" s="177"/>
      <c r="AB91" s="177"/>
      <c r="AC91" s="177"/>
      <c r="AD91" s="177"/>
      <c r="AE91" s="177"/>
      <c r="AF91" s="177"/>
      <c r="AG91" s="177"/>
      <c r="AH91" s="177"/>
      <c r="AK91" s="1"/>
      <c r="AL91" s="1"/>
      <c r="AM91" s="1"/>
    </row>
    <row r="92" spans="4:39" ht="20.100000000000001" customHeight="1" x14ac:dyDescent="0.2">
      <c r="D92" s="177" t="s">
        <v>2110</v>
      </c>
      <c r="E92" s="177" t="s">
        <v>2113</v>
      </c>
      <c r="F92" s="177" t="s">
        <v>896</v>
      </c>
      <c r="G92" s="177">
        <v>1.24</v>
      </c>
      <c r="H92" s="177"/>
      <c r="I92" s="177"/>
      <c r="J92" s="177"/>
      <c r="K92" s="177">
        <v>22.3</v>
      </c>
      <c r="L92" s="177"/>
      <c r="M92" s="177"/>
      <c r="N92" s="177"/>
      <c r="O92" s="177" t="s">
        <v>2071</v>
      </c>
      <c r="P92" s="177">
        <v>0.223</v>
      </c>
      <c r="Q92" s="177"/>
      <c r="R92" s="177"/>
      <c r="S92" s="177"/>
      <c r="T92" s="177"/>
      <c r="U92" s="177"/>
      <c r="V92" s="177"/>
      <c r="W92" s="177"/>
      <c r="X92" s="177"/>
      <c r="Y92" s="177"/>
      <c r="Z92" s="177"/>
      <c r="AA92" s="177"/>
      <c r="AB92" s="177"/>
      <c r="AC92" s="177"/>
      <c r="AD92" s="177"/>
      <c r="AE92" s="177"/>
      <c r="AF92" s="177"/>
      <c r="AG92" s="177"/>
      <c r="AH92" s="177"/>
      <c r="AK92" s="1"/>
      <c r="AL92" s="1"/>
      <c r="AM92" s="1"/>
    </row>
    <row r="93" spans="4:39" ht="20.100000000000001" customHeight="1" x14ac:dyDescent="0.2">
      <c r="D93" s="177" t="s">
        <v>2110</v>
      </c>
      <c r="E93" s="177" t="s">
        <v>2114</v>
      </c>
      <c r="F93" s="177" t="s">
        <v>896</v>
      </c>
      <c r="G93" s="177">
        <v>1.5</v>
      </c>
      <c r="H93" s="177"/>
      <c r="I93" s="177"/>
      <c r="J93" s="177"/>
      <c r="K93" s="177">
        <v>13.2</v>
      </c>
      <c r="L93" s="177"/>
      <c r="M93" s="177"/>
      <c r="N93" s="177"/>
      <c r="O93" s="177" t="s">
        <v>2115</v>
      </c>
      <c r="P93" s="177">
        <v>0.16200000000000001</v>
      </c>
      <c r="Q93" s="177" t="s">
        <v>2073</v>
      </c>
      <c r="R93" s="177">
        <v>0.13200000000000001</v>
      </c>
      <c r="S93" s="177"/>
      <c r="T93" s="177"/>
      <c r="U93" s="177"/>
      <c r="V93" s="177"/>
      <c r="W93" s="177"/>
      <c r="X93" s="177"/>
      <c r="Y93" s="177"/>
      <c r="Z93" s="177"/>
      <c r="AA93" s="177"/>
      <c r="AB93" s="177"/>
      <c r="AC93" s="177"/>
      <c r="AD93" s="177"/>
      <c r="AE93" s="177"/>
      <c r="AF93" s="177"/>
      <c r="AG93" s="177"/>
      <c r="AH93" s="177"/>
      <c r="AK93" s="1"/>
      <c r="AL93" s="1"/>
      <c r="AM93" s="1"/>
    </row>
    <row r="94" spans="4:39" ht="20.100000000000001" customHeight="1" x14ac:dyDescent="0.2">
      <c r="D94" s="177" t="s">
        <v>2110</v>
      </c>
      <c r="E94" s="177" t="s">
        <v>2116</v>
      </c>
      <c r="F94" s="177" t="s">
        <v>896</v>
      </c>
      <c r="G94" s="177">
        <v>1.5</v>
      </c>
      <c r="H94" s="177"/>
      <c r="I94" s="177"/>
      <c r="J94" s="177"/>
      <c r="K94" s="177">
        <v>13.2</v>
      </c>
      <c r="L94" s="177"/>
      <c r="M94" s="177"/>
      <c r="N94" s="177"/>
      <c r="O94" s="177" t="s">
        <v>2115</v>
      </c>
      <c r="P94" s="177">
        <v>0.187</v>
      </c>
      <c r="Q94" s="177" t="s">
        <v>2073</v>
      </c>
      <c r="R94" s="177">
        <v>0.13200000000000001</v>
      </c>
      <c r="S94" s="177"/>
      <c r="T94" s="177"/>
      <c r="U94" s="177"/>
      <c r="V94" s="177"/>
      <c r="W94" s="177"/>
      <c r="X94" s="177"/>
      <c r="Y94" s="177"/>
      <c r="Z94" s="177"/>
      <c r="AA94" s="177"/>
      <c r="AB94" s="177"/>
      <c r="AC94" s="177"/>
      <c r="AD94" s="177"/>
      <c r="AE94" s="177"/>
      <c r="AF94" s="177"/>
      <c r="AG94" s="177"/>
      <c r="AH94" s="177"/>
      <c r="AK94" s="1"/>
      <c r="AL94" s="1"/>
      <c r="AM94" s="1"/>
    </row>
    <row r="95" spans="4:39" ht="20.100000000000001" customHeight="1" x14ac:dyDescent="0.2">
      <c r="D95" s="177" t="s">
        <v>2110</v>
      </c>
      <c r="E95" s="177" t="s">
        <v>2117</v>
      </c>
      <c r="F95" s="177" t="s">
        <v>896</v>
      </c>
      <c r="G95" s="177">
        <v>1.5</v>
      </c>
      <c r="H95" s="177"/>
      <c r="I95" s="177"/>
      <c r="J95" s="177"/>
      <c r="K95" s="177">
        <v>13.2</v>
      </c>
      <c r="L95" s="177"/>
      <c r="M95" s="177"/>
      <c r="N95" s="177"/>
      <c r="O95" s="177" t="s">
        <v>2115</v>
      </c>
      <c r="P95" s="177">
        <v>0.183</v>
      </c>
      <c r="Q95" s="177" t="s">
        <v>2073</v>
      </c>
      <c r="R95" s="177">
        <v>0.13200000000000001</v>
      </c>
      <c r="S95" s="177"/>
      <c r="T95" s="177"/>
      <c r="U95" s="177"/>
      <c r="V95" s="177"/>
      <c r="W95" s="177"/>
      <c r="X95" s="177"/>
      <c r="Y95" s="177"/>
      <c r="Z95" s="177"/>
      <c r="AA95" s="177"/>
      <c r="AB95" s="177"/>
      <c r="AC95" s="177"/>
      <c r="AD95" s="177"/>
      <c r="AE95" s="177"/>
      <c r="AF95" s="177"/>
      <c r="AG95" s="177"/>
      <c r="AH95" s="177"/>
      <c r="AK95" s="1"/>
      <c r="AL95" s="1"/>
      <c r="AM95" s="1"/>
    </row>
    <row r="96" spans="4:39" ht="20.100000000000001" customHeight="1" x14ac:dyDescent="0.2">
      <c r="D96" s="177" t="s">
        <v>2110</v>
      </c>
      <c r="E96" s="177" t="s">
        <v>2118</v>
      </c>
      <c r="F96" s="177" t="s">
        <v>896</v>
      </c>
      <c r="G96" s="177">
        <v>1.25</v>
      </c>
      <c r="H96" s="177"/>
      <c r="I96" s="177"/>
      <c r="J96" s="177"/>
      <c r="K96" s="177">
        <v>10.3</v>
      </c>
      <c r="L96" s="177">
        <v>10</v>
      </c>
      <c r="M96" s="177">
        <v>3.4</v>
      </c>
      <c r="N96" s="177"/>
      <c r="O96" s="177" t="s">
        <v>2076</v>
      </c>
      <c r="P96" s="177">
        <v>0.10299999999999999</v>
      </c>
      <c r="Q96" s="177" t="s">
        <v>2078</v>
      </c>
      <c r="R96" s="177">
        <v>0.1</v>
      </c>
      <c r="S96" s="177" t="s">
        <v>619</v>
      </c>
      <c r="T96" s="177">
        <v>3.4000000000000002E-2</v>
      </c>
      <c r="U96" s="177"/>
      <c r="V96" s="177"/>
      <c r="W96" s="177"/>
      <c r="X96" s="177"/>
      <c r="Y96" s="177"/>
      <c r="Z96" s="177"/>
      <c r="AA96" s="177"/>
      <c r="AB96" s="177"/>
      <c r="AC96" s="177"/>
      <c r="AD96" s="177"/>
      <c r="AE96" s="177"/>
      <c r="AF96" s="177"/>
      <c r="AG96" s="177"/>
      <c r="AH96" s="177"/>
      <c r="AK96" s="1"/>
      <c r="AL96" s="1"/>
      <c r="AM96" s="1"/>
    </row>
    <row r="97" spans="1:39" ht="20.100000000000001" customHeight="1" x14ac:dyDescent="0.2">
      <c r="D97" s="177" t="s">
        <v>2110</v>
      </c>
      <c r="E97" s="177" t="s">
        <v>2119</v>
      </c>
      <c r="F97" s="177" t="s">
        <v>896</v>
      </c>
      <c r="G97" s="177">
        <v>1.43</v>
      </c>
      <c r="H97" s="177"/>
      <c r="I97" s="177"/>
      <c r="J97" s="177"/>
      <c r="K97" s="177">
        <v>2.5</v>
      </c>
      <c r="L97" s="177">
        <v>3.8</v>
      </c>
      <c r="M97" s="177">
        <v>22.5</v>
      </c>
      <c r="N97" s="177"/>
      <c r="O97" s="177" t="s">
        <v>619</v>
      </c>
      <c r="P97" s="177">
        <v>0.22500000000000001</v>
      </c>
      <c r="Q97" s="177" t="s">
        <v>2078</v>
      </c>
      <c r="R97" s="177">
        <v>3.7999999999999999E-2</v>
      </c>
      <c r="S97" s="177" t="s">
        <v>2076</v>
      </c>
      <c r="T97" s="177">
        <v>2.5000000000000001E-2</v>
      </c>
      <c r="U97" s="177"/>
      <c r="V97" s="177"/>
      <c r="W97" s="177"/>
      <c r="X97" s="177"/>
      <c r="Y97" s="177"/>
      <c r="Z97" s="177"/>
      <c r="AA97" s="177"/>
      <c r="AB97" s="177"/>
      <c r="AC97" s="177"/>
      <c r="AD97" s="177"/>
      <c r="AE97" s="177"/>
      <c r="AF97" s="177"/>
      <c r="AG97" s="177"/>
      <c r="AH97" s="177"/>
      <c r="AK97" s="1"/>
      <c r="AL97" s="1"/>
      <c r="AM97" s="1"/>
    </row>
    <row r="98" spans="1:39" ht="20.100000000000001" customHeight="1" x14ac:dyDescent="0.2">
      <c r="D98" s="177" t="s">
        <v>2110</v>
      </c>
      <c r="E98" s="177" t="s">
        <v>2120</v>
      </c>
      <c r="F98" s="177" t="s">
        <v>896</v>
      </c>
      <c r="G98" s="177">
        <v>1.29</v>
      </c>
      <c r="H98" s="177"/>
      <c r="I98" s="177"/>
      <c r="J98" s="177"/>
      <c r="K98" s="177">
        <v>10.5</v>
      </c>
      <c r="L98" s="177">
        <v>9.4</v>
      </c>
      <c r="M98" s="177">
        <v>4</v>
      </c>
      <c r="N98" s="177">
        <v>3</v>
      </c>
      <c r="O98" s="177" t="s">
        <v>2076</v>
      </c>
      <c r="P98" s="177">
        <v>0.105</v>
      </c>
      <c r="Q98" s="177" t="s">
        <v>2078</v>
      </c>
      <c r="R98" s="177">
        <v>9.4E-2</v>
      </c>
      <c r="S98" s="177" t="s">
        <v>619</v>
      </c>
      <c r="T98" s="177">
        <v>0.04</v>
      </c>
      <c r="U98" s="177" t="s">
        <v>620</v>
      </c>
      <c r="V98" s="177">
        <v>0.03</v>
      </c>
      <c r="W98" s="177"/>
      <c r="X98" s="177"/>
      <c r="Y98" s="177"/>
      <c r="Z98" s="177"/>
      <c r="AA98" s="177"/>
      <c r="AB98" s="177"/>
      <c r="AC98" s="177"/>
      <c r="AD98" s="177"/>
      <c r="AE98" s="177"/>
      <c r="AF98" s="177"/>
      <c r="AG98" s="177"/>
      <c r="AH98" s="177"/>
      <c r="AK98" s="1"/>
      <c r="AL98" s="1"/>
      <c r="AM98" s="1"/>
    </row>
    <row r="99" spans="1:39" ht="20.100000000000001" customHeight="1" x14ac:dyDescent="0.2">
      <c r="D99" s="177" t="s">
        <v>2110</v>
      </c>
      <c r="E99" s="177" t="s">
        <v>2121</v>
      </c>
      <c r="F99" s="177" t="s">
        <v>896</v>
      </c>
      <c r="G99" s="177">
        <v>1.32</v>
      </c>
      <c r="H99" s="177"/>
      <c r="I99" s="177"/>
      <c r="J99" s="177"/>
      <c r="K99" s="177">
        <v>9.5</v>
      </c>
      <c r="L99" s="177">
        <v>4.7</v>
      </c>
      <c r="M99" s="177">
        <v>10.8</v>
      </c>
      <c r="N99" s="177">
        <v>8.1</v>
      </c>
      <c r="O99" s="177" t="s">
        <v>619</v>
      </c>
      <c r="P99" s="177">
        <v>0.108</v>
      </c>
      <c r="Q99" s="177" t="s">
        <v>2076</v>
      </c>
      <c r="R99" s="177">
        <v>9.5000000000000001E-2</v>
      </c>
      <c r="S99" s="177" t="s">
        <v>620</v>
      </c>
      <c r="T99" s="177">
        <v>8.1000000000000003E-2</v>
      </c>
      <c r="U99" s="177" t="s">
        <v>2078</v>
      </c>
      <c r="V99" s="177">
        <v>4.7E-2</v>
      </c>
      <c r="W99" s="177"/>
      <c r="X99" s="177"/>
      <c r="Y99" s="177"/>
      <c r="Z99" s="177"/>
      <c r="AA99" s="177"/>
      <c r="AB99" s="177"/>
      <c r="AC99" s="177"/>
      <c r="AD99" s="177"/>
      <c r="AE99" s="177"/>
      <c r="AF99" s="177"/>
      <c r="AG99" s="177"/>
      <c r="AH99" s="177"/>
      <c r="AK99" s="1"/>
      <c r="AL99" s="1"/>
      <c r="AM99" s="1"/>
    </row>
    <row r="100" spans="1:39" ht="20.100000000000001" customHeight="1" x14ac:dyDescent="0.2">
      <c r="D100" s="177" t="s">
        <v>2110</v>
      </c>
      <c r="E100" s="177" t="s">
        <v>608</v>
      </c>
      <c r="F100" s="177" t="s">
        <v>653</v>
      </c>
      <c r="G100" s="177">
        <v>1</v>
      </c>
      <c r="H100" s="177"/>
      <c r="I100" s="177"/>
      <c r="J100" s="177"/>
      <c r="K100" s="177">
        <v>24</v>
      </c>
      <c r="L100" s="177">
        <v>5.2</v>
      </c>
      <c r="M100" s="177">
        <v>8</v>
      </c>
      <c r="N100" s="177">
        <v>5.3</v>
      </c>
      <c r="O100" s="177" t="s">
        <v>607</v>
      </c>
      <c r="P100" s="177">
        <v>0.52173899999999995</v>
      </c>
      <c r="Q100" s="177" t="s">
        <v>619</v>
      </c>
      <c r="R100" s="177">
        <v>0.08</v>
      </c>
      <c r="S100" s="177" t="s">
        <v>620</v>
      </c>
      <c r="T100" s="177">
        <v>5.2999999999999999E-2</v>
      </c>
      <c r="U100" s="177" t="s">
        <v>2078</v>
      </c>
      <c r="V100" s="177">
        <v>5.1999999999999998E-2</v>
      </c>
      <c r="W100" s="177" t="s">
        <v>2122</v>
      </c>
      <c r="X100" s="177">
        <v>1.2999999999999999E-2</v>
      </c>
      <c r="Y100" s="177" t="s">
        <v>2123</v>
      </c>
      <c r="Z100" s="177">
        <v>2E-3</v>
      </c>
      <c r="AA100" s="177" t="s">
        <v>2124</v>
      </c>
      <c r="AB100" s="177">
        <v>3.5000000000000001E-3</v>
      </c>
      <c r="AC100" s="177" t="s">
        <v>2125</v>
      </c>
      <c r="AD100" s="177">
        <v>1.2999999999999999E-3</v>
      </c>
      <c r="AE100" s="177" t="s">
        <v>2126</v>
      </c>
      <c r="AF100" s="177">
        <v>6.9999999999999999E-4</v>
      </c>
      <c r="AG100" s="177" t="s">
        <v>2127</v>
      </c>
      <c r="AH100" s="177">
        <v>6.9999999999999999E-4</v>
      </c>
      <c r="AK100" s="1"/>
      <c r="AL100" s="1"/>
      <c r="AM100" s="1"/>
    </row>
    <row r="101" spans="1:39" ht="20.100000000000001" customHeight="1" x14ac:dyDescent="0.2">
      <c r="A101" s="85" t="str">
        <f>HYPERLINK("#A1", "▲ Back to top")</f>
        <v>▲ Back to top</v>
      </c>
      <c r="D101" s="177" t="s">
        <v>2110</v>
      </c>
      <c r="E101" s="177" t="s">
        <v>2128</v>
      </c>
      <c r="F101" s="177" t="s">
        <v>653</v>
      </c>
      <c r="G101" s="177">
        <v>1</v>
      </c>
      <c r="H101" s="177"/>
      <c r="I101" s="177"/>
      <c r="J101" s="177"/>
      <c r="K101" s="177">
        <v>17</v>
      </c>
      <c r="L101" s="177">
        <v>0.04</v>
      </c>
      <c r="M101" s="177">
        <v>11.6</v>
      </c>
      <c r="N101" s="177">
        <v>0.5</v>
      </c>
      <c r="O101" s="177" t="s">
        <v>2084</v>
      </c>
      <c r="P101" s="177">
        <v>0.23200000000000001</v>
      </c>
      <c r="Q101" s="177" t="s">
        <v>2076</v>
      </c>
      <c r="R101" s="177">
        <v>0.17</v>
      </c>
      <c r="S101" s="177" t="s">
        <v>620</v>
      </c>
      <c r="T101" s="177">
        <v>5.0000000000000001E-3</v>
      </c>
      <c r="U101" s="177" t="s">
        <v>2122</v>
      </c>
      <c r="V101" s="177">
        <v>2.3999999999999998E-3</v>
      </c>
      <c r="W101" s="177" t="s">
        <v>2078</v>
      </c>
      <c r="X101" s="177">
        <v>4.0000000000000002E-4</v>
      </c>
      <c r="Y101" s="177"/>
      <c r="Z101" s="177"/>
      <c r="AA101" s="177"/>
      <c r="AB101" s="177"/>
      <c r="AC101" s="177"/>
      <c r="AD101" s="177"/>
      <c r="AE101" s="177"/>
      <c r="AF101" s="177"/>
      <c r="AG101" s="177"/>
      <c r="AH101" s="177"/>
      <c r="AK101" s="1"/>
      <c r="AL101" s="1"/>
      <c r="AM101" s="1"/>
    </row>
    <row r="102" spans="1:39" ht="20.100000000000001" customHeight="1" x14ac:dyDescent="0.2">
      <c r="D102" s="177" t="s">
        <v>2110</v>
      </c>
      <c r="E102" s="177" t="s">
        <v>2129</v>
      </c>
      <c r="F102" s="177" t="s">
        <v>896</v>
      </c>
      <c r="G102" s="177">
        <v>1.45</v>
      </c>
      <c r="H102" s="177"/>
      <c r="I102" s="177"/>
      <c r="J102" s="177"/>
      <c r="K102" s="177"/>
      <c r="L102" s="177"/>
      <c r="M102" s="177"/>
      <c r="N102" s="177"/>
      <c r="O102" s="177" t="s">
        <v>2115</v>
      </c>
      <c r="P102" s="177">
        <v>0.107</v>
      </c>
      <c r="Q102" s="177"/>
      <c r="R102" s="177"/>
      <c r="S102" s="177"/>
      <c r="T102" s="177"/>
      <c r="U102" s="177"/>
      <c r="V102" s="177"/>
      <c r="W102" s="177"/>
      <c r="X102" s="177"/>
      <c r="Y102" s="177"/>
      <c r="Z102" s="177"/>
      <c r="AA102" s="177"/>
      <c r="AB102" s="177"/>
      <c r="AC102" s="177"/>
      <c r="AD102" s="177"/>
      <c r="AE102" s="177"/>
      <c r="AF102" s="177"/>
      <c r="AG102" s="177"/>
      <c r="AH102" s="177"/>
      <c r="AK102" s="1"/>
      <c r="AL102" s="1"/>
      <c r="AM102" s="1"/>
    </row>
    <row r="103" spans="1:39" ht="20.100000000000001" customHeight="1" x14ac:dyDescent="0.2">
      <c r="D103" s="177" t="s">
        <v>2110</v>
      </c>
      <c r="E103" s="177" t="s">
        <v>2130</v>
      </c>
      <c r="F103" s="177" t="s">
        <v>653</v>
      </c>
      <c r="G103" s="177">
        <v>1</v>
      </c>
      <c r="H103" s="177"/>
      <c r="I103" s="177"/>
      <c r="J103" s="177"/>
      <c r="K103" s="177">
        <v>15</v>
      </c>
      <c r="L103" s="177">
        <v>6.5</v>
      </c>
      <c r="M103" s="177">
        <v>12.5</v>
      </c>
      <c r="N103" s="177">
        <v>6</v>
      </c>
      <c r="O103" s="177" t="s">
        <v>2071</v>
      </c>
      <c r="P103" s="177">
        <v>7.4999999999999997E-2</v>
      </c>
      <c r="Q103" s="177" t="s">
        <v>2073</v>
      </c>
      <c r="R103" s="177">
        <v>7.4999999999999997E-2</v>
      </c>
      <c r="S103" s="177" t="s">
        <v>619</v>
      </c>
      <c r="T103" s="177">
        <v>0.125</v>
      </c>
      <c r="U103" s="177" t="s">
        <v>2078</v>
      </c>
      <c r="V103" s="177">
        <v>6.5000000000000002E-2</v>
      </c>
      <c r="W103" s="177" t="s">
        <v>620</v>
      </c>
      <c r="X103" s="177">
        <v>0.06</v>
      </c>
      <c r="Y103" s="177"/>
      <c r="Z103" s="177"/>
      <c r="AA103" s="177"/>
      <c r="AB103" s="177"/>
      <c r="AC103" s="177"/>
      <c r="AD103" s="177"/>
      <c r="AE103" s="177"/>
      <c r="AF103" s="177"/>
      <c r="AG103" s="177"/>
      <c r="AH103" s="177"/>
      <c r="AK103" s="1"/>
      <c r="AL103" s="1"/>
      <c r="AM103" s="1"/>
    </row>
    <row r="104" spans="1:39" ht="20.100000000000001" customHeight="1" x14ac:dyDescent="0.2">
      <c r="D104" s="177" t="s">
        <v>2110</v>
      </c>
      <c r="E104" s="177" t="s">
        <v>2131</v>
      </c>
      <c r="F104" s="177" t="s">
        <v>896</v>
      </c>
      <c r="G104" s="177">
        <v>1.2150000000000001</v>
      </c>
      <c r="H104" s="177"/>
      <c r="I104" s="177"/>
      <c r="J104" s="177"/>
      <c r="K104" s="177">
        <v>12</v>
      </c>
      <c r="L104" s="177"/>
      <c r="M104" s="177">
        <v>10</v>
      </c>
      <c r="N104" s="177"/>
      <c r="O104" s="177" t="s">
        <v>607</v>
      </c>
      <c r="P104" s="177">
        <v>0.19565199999999999</v>
      </c>
      <c r="Q104" s="177" t="s">
        <v>619</v>
      </c>
      <c r="R104" s="177">
        <v>0.1</v>
      </c>
      <c r="S104" s="177" t="s">
        <v>2076</v>
      </c>
      <c r="T104" s="177">
        <v>0.03</v>
      </c>
      <c r="U104" s="177" t="s">
        <v>2127</v>
      </c>
      <c r="V104" s="177">
        <v>5.0000000000000001E-3</v>
      </c>
      <c r="W104" s="177"/>
      <c r="X104" s="177"/>
      <c r="Y104" s="177"/>
      <c r="Z104" s="177"/>
      <c r="AA104" s="177"/>
      <c r="AB104" s="177"/>
      <c r="AC104" s="177"/>
      <c r="AD104" s="177"/>
      <c r="AE104" s="177"/>
      <c r="AF104" s="177"/>
      <c r="AG104" s="177"/>
      <c r="AH104" s="177"/>
      <c r="AK104" s="1"/>
      <c r="AL104" s="1"/>
      <c r="AM104" s="1"/>
    </row>
    <row r="105" spans="1:39" ht="20.100000000000001" customHeight="1" x14ac:dyDescent="0.2">
      <c r="D105" s="177" t="s">
        <v>2110</v>
      </c>
      <c r="E105" s="177" t="s">
        <v>2132</v>
      </c>
      <c r="F105" s="177" t="s">
        <v>653</v>
      </c>
      <c r="G105" s="177">
        <v>1</v>
      </c>
      <c r="H105" s="177"/>
      <c r="I105" s="177"/>
      <c r="J105" s="177"/>
      <c r="K105" s="177">
        <v>21.66</v>
      </c>
      <c r="L105" s="177"/>
      <c r="M105" s="177"/>
      <c r="N105" s="177">
        <v>13.2</v>
      </c>
      <c r="O105" s="177" t="s">
        <v>2066</v>
      </c>
      <c r="P105" s="177">
        <v>0.55000000000000004</v>
      </c>
      <c r="Q105" s="177" t="s">
        <v>2068</v>
      </c>
      <c r="R105" s="177">
        <v>0.3</v>
      </c>
      <c r="S105" s="177"/>
      <c r="T105" s="177"/>
      <c r="U105" s="177"/>
      <c r="V105" s="177"/>
      <c r="W105" s="177"/>
      <c r="X105" s="177"/>
      <c r="Y105" s="177"/>
      <c r="Z105" s="177"/>
      <c r="AA105" s="177"/>
      <c r="AB105" s="177"/>
      <c r="AC105" s="177"/>
      <c r="AD105" s="177"/>
      <c r="AE105" s="177"/>
      <c r="AF105" s="177"/>
      <c r="AG105" s="177"/>
      <c r="AH105" s="177"/>
      <c r="AK105" s="1"/>
      <c r="AL105" s="1"/>
      <c r="AM105" s="1"/>
    </row>
    <row r="106" spans="1:39" ht="20.100000000000001" customHeight="1" x14ac:dyDescent="0.2">
      <c r="D106" s="177" t="s">
        <v>2133</v>
      </c>
      <c r="E106" s="177" t="s">
        <v>2134</v>
      </c>
      <c r="F106" s="177" t="s">
        <v>896</v>
      </c>
      <c r="G106" s="177">
        <v>1.319</v>
      </c>
      <c r="H106" s="177"/>
      <c r="I106" s="177"/>
      <c r="J106" s="177"/>
      <c r="K106" s="177">
        <v>5</v>
      </c>
      <c r="L106" s="177">
        <v>15</v>
      </c>
      <c r="M106" s="177">
        <v>2.1</v>
      </c>
      <c r="N106" s="177"/>
      <c r="O106" s="177" t="s">
        <v>2078</v>
      </c>
      <c r="P106" s="177">
        <v>0.15</v>
      </c>
      <c r="Q106" s="177" t="s">
        <v>2115</v>
      </c>
      <c r="R106" s="177">
        <v>0.04</v>
      </c>
      <c r="S106" s="177" t="s">
        <v>2071</v>
      </c>
      <c r="T106" s="177">
        <v>2.9000000000000001E-2</v>
      </c>
      <c r="U106" s="177" t="s">
        <v>2073</v>
      </c>
      <c r="V106" s="177">
        <v>2.1000000000000001E-2</v>
      </c>
      <c r="W106" s="177" t="s">
        <v>619</v>
      </c>
      <c r="X106" s="177">
        <v>2.1000000000000001E-2</v>
      </c>
      <c r="Y106" s="177" t="s">
        <v>2126</v>
      </c>
      <c r="Z106" s="177">
        <v>5.0000000000000001E-3</v>
      </c>
      <c r="AA106" s="177" t="s">
        <v>2123</v>
      </c>
      <c r="AB106" s="177">
        <v>4.0000000000000001E-3</v>
      </c>
      <c r="AC106" s="177" t="s">
        <v>2124</v>
      </c>
      <c r="AD106" s="177">
        <v>4.0000000000000001E-3</v>
      </c>
      <c r="AE106" s="177" t="s">
        <v>2122</v>
      </c>
      <c r="AF106" s="177">
        <v>2E-3</v>
      </c>
      <c r="AG106" s="177"/>
      <c r="AH106" s="177"/>
      <c r="AK106" s="1"/>
      <c r="AL106" s="1"/>
      <c r="AM106" s="1"/>
    </row>
    <row r="107" spans="1:39" ht="20.100000000000001" customHeight="1" x14ac:dyDescent="0.2">
      <c r="D107" s="177" t="s">
        <v>2135</v>
      </c>
      <c r="E107" s="177" t="s">
        <v>2136</v>
      </c>
      <c r="F107" s="177" t="s">
        <v>653</v>
      </c>
      <c r="G107" s="177">
        <v>1</v>
      </c>
      <c r="H107" s="177"/>
      <c r="I107" s="177"/>
      <c r="J107" s="177" t="s">
        <v>2091</v>
      </c>
      <c r="K107" s="177">
        <v>17.7</v>
      </c>
      <c r="L107" s="177"/>
      <c r="M107" s="177"/>
      <c r="N107" s="177"/>
      <c r="O107" s="177" t="s">
        <v>2071</v>
      </c>
      <c r="P107" s="177">
        <v>0.17699999999999999</v>
      </c>
      <c r="Q107" s="177"/>
      <c r="R107" s="177"/>
      <c r="S107" s="177"/>
      <c r="T107" s="177"/>
      <c r="U107" s="177"/>
      <c r="V107" s="177"/>
      <c r="W107" s="177"/>
      <c r="X107" s="177"/>
      <c r="Y107" s="177"/>
      <c r="Z107" s="177"/>
      <c r="AA107" s="177"/>
      <c r="AB107" s="177"/>
      <c r="AC107" s="177"/>
      <c r="AD107" s="177"/>
      <c r="AE107" s="177"/>
      <c r="AF107" s="177"/>
      <c r="AG107" s="177"/>
      <c r="AH107" s="177"/>
      <c r="AK107" s="1"/>
      <c r="AL107" s="1"/>
      <c r="AM107" s="1"/>
    </row>
    <row r="108" spans="1:39" ht="20.100000000000001" customHeight="1" x14ac:dyDescent="0.2">
      <c r="D108" s="177" t="s">
        <v>2135</v>
      </c>
      <c r="E108" s="177" t="s">
        <v>2087</v>
      </c>
      <c r="F108" s="177" t="s">
        <v>653</v>
      </c>
      <c r="G108" s="177">
        <v>1</v>
      </c>
      <c r="H108" s="177"/>
      <c r="I108" s="177"/>
      <c r="J108" s="177" t="s">
        <v>2091</v>
      </c>
      <c r="K108" s="177">
        <v>21</v>
      </c>
      <c r="L108" s="177"/>
      <c r="M108" s="177"/>
      <c r="N108" s="177">
        <v>24</v>
      </c>
      <c r="O108" s="177" t="s">
        <v>620</v>
      </c>
      <c r="P108" s="177">
        <v>0.24</v>
      </c>
      <c r="Q108" s="177" t="s">
        <v>2071</v>
      </c>
      <c r="R108" s="177">
        <v>0.21</v>
      </c>
      <c r="S108" s="177"/>
      <c r="T108" s="177"/>
      <c r="U108" s="177"/>
      <c r="V108" s="177"/>
      <c r="W108" s="177"/>
      <c r="X108" s="177"/>
      <c r="Y108" s="177"/>
      <c r="Z108" s="177"/>
      <c r="AA108" s="177"/>
      <c r="AB108" s="177"/>
      <c r="AC108" s="177"/>
      <c r="AD108" s="177"/>
      <c r="AE108" s="177"/>
      <c r="AF108" s="177"/>
      <c r="AG108" s="177"/>
      <c r="AH108" s="177"/>
      <c r="AK108" s="1"/>
      <c r="AL108" s="1"/>
      <c r="AM108" s="1"/>
    </row>
    <row r="109" spans="1:39" ht="20.100000000000001" customHeight="1" x14ac:dyDescent="0.2">
      <c r="D109" s="177" t="s">
        <v>2137</v>
      </c>
      <c r="E109" s="177" t="s">
        <v>2138</v>
      </c>
      <c r="F109" s="177" t="s">
        <v>653</v>
      </c>
      <c r="G109" s="177">
        <v>1</v>
      </c>
      <c r="H109" s="177"/>
      <c r="I109" s="177"/>
      <c r="J109" s="177"/>
      <c r="K109" s="177">
        <v>21</v>
      </c>
      <c r="L109" s="177"/>
      <c r="M109" s="177"/>
      <c r="N109" s="177">
        <v>24</v>
      </c>
      <c r="O109" s="177" t="s">
        <v>2066</v>
      </c>
      <c r="P109" s="177">
        <v>1</v>
      </c>
      <c r="Q109" s="177"/>
      <c r="R109" s="177"/>
      <c r="S109" s="177"/>
      <c r="T109" s="177"/>
      <c r="U109" s="177"/>
      <c r="V109" s="177"/>
      <c r="W109" s="177"/>
      <c r="X109" s="177"/>
      <c r="Y109" s="177"/>
      <c r="Z109" s="177"/>
      <c r="AA109" s="177"/>
      <c r="AB109" s="177"/>
      <c r="AC109" s="177"/>
      <c r="AD109" s="177"/>
      <c r="AE109" s="177"/>
      <c r="AF109" s="177"/>
      <c r="AG109" s="177"/>
      <c r="AH109" s="177"/>
      <c r="AK109" s="1"/>
      <c r="AL109" s="1"/>
      <c r="AM109" s="1"/>
    </row>
    <row r="110" spans="1:39" ht="20.100000000000001" customHeight="1" x14ac:dyDescent="0.2">
      <c r="D110" s="177" t="s">
        <v>2139</v>
      </c>
      <c r="E110" s="177" t="s">
        <v>2140</v>
      </c>
      <c r="F110" s="177" t="s">
        <v>653</v>
      </c>
      <c r="G110" s="177">
        <v>1</v>
      </c>
      <c r="H110" s="177"/>
      <c r="I110" s="177"/>
      <c r="J110" s="177"/>
      <c r="K110" s="177">
        <v>18</v>
      </c>
      <c r="L110" s="177">
        <v>20</v>
      </c>
      <c r="M110" s="177"/>
      <c r="N110" s="177"/>
      <c r="O110" s="177" t="s">
        <v>2064</v>
      </c>
      <c r="P110" s="177">
        <v>1</v>
      </c>
      <c r="Q110" s="177"/>
      <c r="R110" s="177"/>
      <c r="S110" s="177"/>
      <c r="T110" s="177"/>
      <c r="U110" s="177"/>
      <c r="V110" s="177"/>
      <c r="W110" s="177"/>
      <c r="X110" s="177"/>
      <c r="Y110" s="177"/>
      <c r="Z110" s="177"/>
      <c r="AA110" s="177"/>
      <c r="AB110" s="177"/>
      <c r="AC110" s="177"/>
      <c r="AD110" s="177"/>
      <c r="AE110" s="177"/>
      <c r="AF110" s="177"/>
      <c r="AG110" s="177"/>
      <c r="AH110" s="177"/>
      <c r="AK110" s="1"/>
      <c r="AL110" s="1"/>
      <c r="AM110" s="1"/>
    </row>
    <row r="111" spans="1:39" ht="20.100000000000001" customHeight="1" x14ac:dyDescent="0.2">
      <c r="D111" s="177" t="s">
        <v>2141</v>
      </c>
      <c r="E111" s="177" t="s">
        <v>2142</v>
      </c>
      <c r="F111" s="177" t="s">
        <v>653</v>
      </c>
      <c r="G111" s="177">
        <v>1</v>
      </c>
      <c r="H111" s="177"/>
      <c r="I111" s="177"/>
      <c r="J111" s="177"/>
      <c r="K111" s="177">
        <v>8</v>
      </c>
      <c r="L111" s="177">
        <v>14</v>
      </c>
      <c r="M111" s="177"/>
      <c r="N111" s="177">
        <v>27.6</v>
      </c>
      <c r="O111" s="177" t="s">
        <v>620</v>
      </c>
      <c r="P111" s="177">
        <v>0.27600000000000002</v>
      </c>
      <c r="Q111" s="177" t="s">
        <v>2078</v>
      </c>
      <c r="R111" s="177">
        <v>0.14000000000000001</v>
      </c>
      <c r="S111" s="177" t="s">
        <v>2076</v>
      </c>
      <c r="T111" s="177">
        <v>0.08</v>
      </c>
      <c r="U111" s="177" t="s">
        <v>2143</v>
      </c>
      <c r="V111" s="177">
        <v>2.4E-2</v>
      </c>
      <c r="W111" s="177"/>
      <c r="X111" s="177"/>
      <c r="Y111" s="177"/>
      <c r="Z111" s="177"/>
      <c r="AA111" s="177"/>
      <c r="AB111" s="177"/>
      <c r="AC111" s="177"/>
      <c r="AD111" s="177"/>
      <c r="AE111" s="177"/>
      <c r="AF111" s="177"/>
      <c r="AG111" s="177"/>
      <c r="AH111" s="177"/>
      <c r="AK111" s="1"/>
      <c r="AL111" s="1"/>
      <c r="AM111" s="1"/>
    </row>
    <row r="112" spans="1:39" ht="20.100000000000001" customHeight="1" x14ac:dyDescent="0.2">
      <c r="D112" s="177" t="s">
        <v>2144</v>
      </c>
      <c r="E112" s="177" t="s">
        <v>2145</v>
      </c>
      <c r="F112" s="177" t="s">
        <v>653</v>
      </c>
      <c r="G112" s="177">
        <v>1</v>
      </c>
      <c r="H112" s="177"/>
      <c r="I112" s="177"/>
      <c r="J112" s="177"/>
      <c r="K112" s="177">
        <v>16.899999999999999</v>
      </c>
      <c r="L112" s="177">
        <v>18.2</v>
      </c>
      <c r="M112" s="177"/>
      <c r="N112" s="177">
        <v>8</v>
      </c>
      <c r="O112" s="177" t="s">
        <v>2078</v>
      </c>
      <c r="P112" s="177">
        <v>0.182</v>
      </c>
      <c r="Q112" s="177" t="s">
        <v>2076</v>
      </c>
      <c r="R112" s="177">
        <v>0.16900000000000001</v>
      </c>
      <c r="S112" s="177" t="s">
        <v>620</v>
      </c>
      <c r="T112" s="177">
        <v>0.08</v>
      </c>
      <c r="U112" s="177" t="s">
        <v>2123</v>
      </c>
      <c r="V112" s="177">
        <v>2E-3</v>
      </c>
      <c r="W112" s="177" t="s">
        <v>2126</v>
      </c>
      <c r="X112" s="177">
        <v>1E-3</v>
      </c>
      <c r="Y112" s="177"/>
      <c r="Z112" s="177"/>
      <c r="AA112" s="177"/>
      <c r="AB112" s="177"/>
      <c r="AC112" s="177"/>
      <c r="AD112" s="177"/>
      <c r="AE112" s="177"/>
      <c r="AF112" s="177"/>
      <c r="AG112" s="177"/>
      <c r="AH112" s="177"/>
      <c r="AK112" s="1"/>
      <c r="AL112" s="1"/>
      <c r="AM112" s="1"/>
    </row>
    <row r="113" spans="4:39" ht="20.100000000000001" customHeight="1" x14ac:dyDescent="0.2">
      <c r="D113" s="177" t="s">
        <v>2141</v>
      </c>
      <c r="E113" s="177" t="s">
        <v>2146</v>
      </c>
      <c r="F113" s="177" t="s">
        <v>896</v>
      </c>
      <c r="G113" s="177">
        <v>1.32</v>
      </c>
      <c r="H113" s="177"/>
      <c r="I113" s="177"/>
      <c r="J113" s="177"/>
      <c r="K113" s="177">
        <v>42.5</v>
      </c>
      <c r="L113" s="177"/>
      <c r="M113" s="177"/>
      <c r="N113" s="177"/>
      <c r="O113" s="177" t="s">
        <v>607</v>
      </c>
      <c r="P113" s="177">
        <v>0.467391</v>
      </c>
      <c r="Q113" s="177" t="s">
        <v>2073</v>
      </c>
      <c r="R113" s="177">
        <v>0.105</v>
      </c>
      <c r="S113" s="177" t="s">
        <v>2071</v>
      </c>
      <c r="T113" s="177">
        <v>0.105</v>
      </c>
      <c r="U113" s="177" t="s">
        <v>2147</v>
      </c>
      <c r="V113" s="177">
        <v>6.0000000000000001E-3</v>
      </c>
      <c r="W113" s="177"/>
      <c r="X113" s="177"/>
      <c r="Y113" s="177"/>
      <c r="Z113" s="177"/>
      <c r="AA113" s="177"/>
      <c r="AB113" s="177"/>
      <c r="AC113" s="177"/>
      <c r="AD113" s="177"/>
      <c r="AE113" s="177"/>
      <c r="AF113" s="177"/>
      <c r="AG113" s="177"/>
      <c r="AH113" s="177"/>
      <c r="AK113" s="1"/>
      <c r="AL113" s="1"/>
      <c r="AM113" s="1"/>
    </row>
    <row r="114" spans="4:39" ht="20.100000000000001" customHeight="1" x14ac:dyDescent="0.2">
      <c r="D114" s="177" t="s">
        <v>2135</v>
      </c>
      <c r="E114" s="177" t="s">
        <v>2148</v>
      </c>
      <c r="F114" s="177" t="s">
        <v>653</v>
      </c>
      <c r="G114" s="177">
        <v>1</v>
      </c>
      <c r="H114" s="177"/>
      <c r="I114" s="177"/>
      <c r="J114" s="177" t="s">
        <v>2091</v>
      </c>
      <c r="K114" s="177">
        <v>40.5</v>
      </c>
      <c r="L114" s="177"/>
      <c r="M114" s="177"/>
      <c r="N114" s="177"/>
      <c r="O114" s="177" t="s">
        <v>2071</v>
      </c>
      <c r="P114" s="177">
        <v>0.27</v>
      </c>
      <c r="Q114" s="177" t="s">
        <v>2073</v>
      </c>
      <c r="R114" s="177">
        <v>0.13500000000000001</v>
      </c>
      <c r="S114" s="177" t="s">
        <v>2115</v>
      </c>
      <c r="T114" s="177">
        <v>0.12</v>
      </c>
      <c r="U114" s="177"/>
      <c r="V114" s="177"/>
      <c r="W114" s="177"/>
      <c r="X114" s="177"/>
      <c r="Y114" s="177"/>
      <c r="Z114" s="177"/>
      <c r="AA114" s="177"/>
      <c r="AB114" s="177"/>
      <c r="AC114" s="177"/>
      <c r="AD114" s="177"/>
      <c r="AE114" s="177"/>
      <c r="AF114" s="177"/>
      <c r="AG114" s="177"/>
      <c r="AH114" s="177"/>
      <c r="AK114" s="1"/>
      <c r="AL114" s="1"/>
      <c r="AM114" s="1"/>
    </row>
    <row r="115" spans="4:39" ht="20.100000000000001" customHeight="1" x14ac:dyDescent="0.2">
      <c r="D115" s="177" t="s">
        <v>2133</v>
      </c>
      <c r="E115" s="177" t="s">
        <v>2149</v>
      </c>
      <c r="F115" s="177" t="s">
        <v>896</v>
      </c>
      <c r="G115" s="177">
        <v>1.1379999999999999</v>
      </c>
      <c r="H115" s="177"/>
      <c r="I115" s="177"/>
      <c r="J115" s="177"/>
      <c r="K115" s="177"/>
      <c r="L115" s="177"/>
      <c r="M115" s="177"/>
      <c r="N115" s="177"/>
      <c r="O115" s="177" t="s">
        <v>2115</v>
      </c>
      <c r="P115" s="177">
        <v>5.8999999999999997E-2</v>
      </c>
      <c r="Q115" s="177" t="s">
        <v>2126</v>
      </c>
      <c r="R115" s="177">
        <v>3.0000000000000001E-3</v>
      </c>
      <c r="S115" s="177" t="s">
        <v>2127</v>
      </c>
      <c r="T115" s="177">
        <v>1E-3</v>
      </c>
      <c r="U115" s="177"/>
      <c r="V115" s="177"/>
      <c r="W115" s="177"/>
      <c r="X115" s="177"/>
      <c r="Y115" s="177"/>
      <c r="Z115" s="177"/>
      <c r="AA115" s="177"/>
      <c r="AB115" s="177"/>
      <c r="AC115" s="177"/>
      <c r="AD115" s="177"/>
      <c r="AE115" s="177"/>
      <c r="AF115" s="177"/>
      <c r="AG115" s="177"/>
      <c r="AH115" s="177"/>
      <c r="AK115" s="1"/>
      <c r="AL115" s="1"/>
      <c r="AM115" s="1"/>
    </row>
    <row r="116" spans="4:39" ht="20.100000000000001" customHeight="1" x14ac:dyDescent="0.2">
      <c r="D116" s="177" t="s">
        <v>2141</v>
      </c>
      <c r="E116" s="177" t="s">
        <v>2150</v>
      </c>
      <c r="F116" s="177" t="s">
        <v>653</v>
      </c>
      <c r="G116" s="177">
        <v>1</v>
      </c>
      <c r="H116" s="177"/>
      <c r="I116" s="177"/>
      <c r="J116" s="177"/>
      <c r="K116" s="177">
        <v>13.5</v>
      </c>
      <c r="L116" s="177">
        <v>15</v>
      </c>
      <c r="M116" s="177">
        <v>6.25</v>
      </c>
      <c r="N116" s="177">
        <v>1.2</v>
      </c>
      <c r="O116" s="177" t="s">
        <v>2078</v>
      </c>
      <c r="P116" s="177">
        <v>0.15</v>
      </c>
      <c r="Q116" s="177" t="s">
        <v>2071</v>
      </c>
      <c r="R116" s="177">
        <v>0.13500000000000001</v>
      </c>
      <c r="S116" s="177" t="s">
        <v>2084</v>
      </c>
      <c r="T116" s="177">
        <v>0.125</v>
      </c>
      <c r="U116" s="177" t="s">
        <v>2143</v>
      </c>
      <c r="V116" s="177">
        <v>2.3E-2</v>
      </c>
      <c r="W116" s="177" t="s">
        <v>620</v>
      </c>
      <c r="X116" s="177">
        <v>1.2E-2</v>
      </c>
      <c r="Y116" s="177"/>
      <c r="Z116" s="177"/>
      <c r="AA116" s="177"/>
      <c r="AB116" s="177"/>
      <c r="AC116" s="177"/>
      <c r="AD116" s="177"/>
      <c r="AE116" s="177"/>
      <c r="AF116" s="177"/>
      <c r="AG116" s="177"/>
      <c r="AH116" s="177"/>
      <c r="AK116" s="1"/>
      <c r="AL116" s="1"/>
      <c r="AM116" s="1"/>
    </row>
    <row r="117" spans="4:39" ht="20.100000000000001" customHeight="1" x14ac:dyDescent="0.2">
      <c r="D117" s="177" t="s">
        <v>2151</v>
      </c>
      <c r="E117" s="177" t="s">
        <v>2152</v>
      </c>
      <c r="F117" s="177" t="s">
        <v>896</v>
      </c>
      <c r="G117" s="177">
        <v>1.25</v>
      </c>
      <c r="H117" s="177"/>
      <c r="I117" s="177"/>
      <c r="J117" s="177"/>
      <c r="K117" s="177">
        <v>3</v>
      </c>
      <c r="L117" s="177"/>
      <c r="M117" s="177">
        <v>21</v>
      </c>
      <c r="N117" s="177"/>
      <c r="O117" s="177" t="s">
        <v>619</v>
      </c>
      <c r="P117" s="177">
        <v>0.21</v>
      </c>
      <c r="Q117" s="177" t="s">
        <v>2076</v>
      </c>
      <c r="R117" s="177">
        <v>0.03</v>
      </c>
      <c r="S117" s="177"/>
      <c r="T117" s="177"/>
      <c r="U117" s="177"/>
      <c r="V117" s="177"/>
      <c r="W117" s="177"/>
      <c r="X117" s="177"/>
      <c r="Y117" s="177"/>
      <c r="Z117" s="177"/>
      <c r="AA117" s="177"/>
      <c r="AB117" s="177"/>
      <c r="AC117" s="177"/>
      <c r="AD117" s="177"/>
      <c r="AE117" s="177"/>
      <c r="AF117" s="177"/>
      <c r="AG117" s="177"/>
      <c r="AH117" s="177"/>
      <c r="AK117" s="1"/>
      <c r="AL117" s="1"/>
      <c r="AM117" s="1"/>
    </row>
    <row r="118" spans="4:39" ht="20.100000000000001" customHeight="1" x14ac:dyDescent="0.2">
      <c r="D118" s="177" t="s">
        <v>2151</v>
      </c>
      <c r="E118" s="177" t="s">
        <v>2153</v>
      </c>
      <c r="F118" s="177" t="s">
        <v>896</v>
      </c>
      <c r="G118" s="177">
        <v>1.2</v>
      </c>
      <c r="H118" s="177"/>
      <c r="I118" s="177"/>
      <c r="J118" s="177"/>
      <c r="K118" s="177">
        <v>5</v>
      </c>
      <c r="L118" s="177">
        <v>3</v>
      </c>
      <c r="M118" s="177">
        <v>8</v>
      </c>
      <c r="N118" s="177"/>
      <c r="O118" s="177" t="s">
        <v>619</v>
      </c>
      <c r="P118" s="177">
        <v>0.08</v>
      </c>
      <c r="Q118" s="177" t="s">
        <v>2076</v>
      </c>
      <c r="R118" s="177">
        <v>0.05</v>
      </c>
      <c r="S118" s="177" t="s">
        <v>2078</v>
      </c>
      <c r="T118" s="177">
        <v>0.03</v>
      </c>
      <c r="U118" s="177"/>
      <c r="V118" s="177"/>
      <c r="W118" s="177"/>
      <c r="X118" s="177"/>
      <c r="Y118" s="177"/>
      <c r="Z118" s="177"/>
      <c r="AA118" s="177"/>
      <c r="AB118" s="177"/>
      <c r="AC118" s="177"/>
      <c r="AD118" s="177"/>
      <c r="AE118" s="177"/>
      <c r="AF118" s="177"/>
      <c r="AG118" s="177"/>
      <c r="AH118" s="177"/>
      <c r="AK118" s="1"/>
      <c r="AL118" s="1"/>
      <c r="AM118" s="1"/>
    </row>
    <row r="119" spans="4:39" ht="20.100000000000001" customHeight="1" x14ac:dyDescent="0.2">
      <c r="D119" s="177" t="s">
        <v>2141</v>
      </c>
      <c r="E119" s="177" t="s">
        <v>2154</v>
      </c>
      <c r="F119" s="177" t="s">
        <v>653</v>
      </c>
      <c r="G119" s="177">
        <v>1</v>
      </c>
      <c r="H119" s="177"/>
      <c r="I119" s="177"/>
      <c r="J119" s="177"/>
      <c r="K119" s="177">
        <v>21</v>
      </c>
      <c r="L119" s="177"/>
      <c r="M119" s="177"/>
      <c r="N119" s="177">
        <v>24</v>
      </c>
      <c r="O119" s="177" t="s">
        <v>2066</v>
      </c>
      <c r="P119" s="177">
        <v>1</v>
      </c>
      <c r="Q119" s="177"/>
      <c r="R119" s="177"/>
      <c r="S119" s="177"/>
      <c r="T119" s="177"/>
      <c r="U119" s="177"/>
      <c r="V119" s="177"/>
      <c r="W119" s="177"/>
      <c r="X119" s="177"/>
      <c r="Y119" s="177"/>
      <c r="Z119" s="177"/>
      <c r="AA119" s="177"/>
      <c r="AB119" s="177"/>
      <c r="AC119" s="177"/>
      <c r="AD119" s="177"/>
      <c r="AE119" s="177"/>
      <c r="AF119" s="177"/>
      <c r="AG119" s="177"/>
      <c r="AH119" s="177"/>
      <c r="AK119" s="1"/>
      <c r="AL119" s="1"/>
      <c r="AM119" s="1"/>
    </row>
    <row r="120" spans="4:39" ht="20.100000000000001" customHeight="1" x14ac:dyDescent="0.2">
      <c r="D120" s="177" t="s">
        <v>2110</v>
      </c>
      <c r="E120" s="177" t="s">
        <v>2155</v>
      </c>
      <c r="F120" s="177" t="s">
        <v>896</v>
      </c>
      <c r="G120" s="177">
        <v>1.5</v>
      </c>
      <c r="H120" s="177"/>
      <c r="I120" s="177"/>
      <c r="J120" s="177"/>
      <c r="K120" s="177">
        <v>9</v>
      </c>
      <c r="L120" s="177"/>
      <c r="M120" s="177"/>
      <c r="N120" s="177">
        <v>13.94</v>
      </c>
      <c r="O120" s="177" t="s">
        <v>2066</v>
      </c>
      <c r="P120" s="177">
        <v>0.58064499999999997</v>
      </c>
      <c r="Q120" s="177" t="s">
        <v>2122</v>
      </c>
      <c r="R120" s="177">
        <v>1.2E-2</v>
      </c>
      <c r="S120" s="177"/>
      <c r="T120" s="177"/>
      <c r="U120" s="177"/>
      <c r="V120" s="177"/>
      <c r="W120" s="177"/>
      <c r="X120" s="177"/>
      <c r="Y120" s="177"/>
      <c r="Z120" s="177"/>
      <c r="AA120" s="177"/>
      <c r="AB120" s="177"/>
      <c r="AC120" s="177"/>
      <c r="AD120" s="177"/>
      <c r="AE120" s="177"/>
      <c r="AF120" s="177"/>
      <c r="AG120" s="177"/>
      <c r="AH120" s="177"/>
      <c r="AK120" s="1"/>
      <c r="AL120" s="1"/>
      <c r="AM120" s="1"/>
    </row>
    <row r="121" spans="4:39" ht="20.100000000000001" customHeight="1" x14ac:dyDescent="0.2">
      <c r="D121" s="177" t="s">
        <v>2141</v>
      </c>
      <c r="E121" s="177" t="s">
        <v>2156</v>
      </c>
      <c r="F121" s="177" t="s">
        <v>653</v>
      </c>
      <c r="G121" s="177">
        <v>1</v>
      </c>
      <c r="H121" s="177"/>
      <c r="I121" s="177"/>
      <c r="J121" s="177"/>
      <c r="K121" s="177">
        <v>10</v>
      </c>
      <c r="L121" s="177">
        <v>17.5</v>
      </c>
      <c r="M121" s="177"/>
      <c r="N121" s="177">
        <v>12</v>
      </c>
      <c r="O121" s="177" t="s">
        <v>2078</v>
      </c>
      <c r="P121" s="177">
        <v>0.17499999999999999</v>
      </c>
      <c r="Q121" s="177" t="s">
        <v>620</v>
      </c>
      <c r="R121" s="177">
        <v>0.12</v>
      </c>
      <c r="S121" s="177" t="s">
        <v>2071</v>
      </c>
      <c r="T121" s="177">
        <v>0.1</v>
      </c>
      <c r="U121" s="177" t="s">
        <v>2143</v>
      </c>
      <c r="V121" s="177">
        <v>0.03</v>
      </c>
      <c r="W121" s="177"/>
      <c r="X121" s="177"/>
      <c r="Y121" s="177"/>
      <c r="Z121" s="177"/>
      <c r="AA121" s="177"/>
      <c r="AB121" s="177"/>
      <c r="AC121" s="177"/>
      <c r="AD121" s="177"/>
      <c r="AE121" s="177"/>
      <c r="AF121" s="177"/>
      <c r="AG121" s="177"/>
      <c r="AH121" s="177"/>
      <c r="AK121" s="1"/>
      <c r="AL121" s="1"/>
      <c r="AM121" s="1"/>
    </row>
    <row r="122" spans="4:39" ht="20.100000000000001" customHeight="1" x14ac:dyDescent="0.2">
      <c r="D122" s="177" t="s">
        <v>2141</v>
      </c>
      <c r="E122" s="177" t="s">
        <v>2157</v>
      </c>
      <c r="F122" s="177" t="s">
        <v>653</v>
      </c>
      <c r="G122" s="177">
        <v>1</v>
      </c>
      <c r="H122" s="177"/>
      <c r="I122" s="177"/>
      <c r="J122" s="177"/>
      <c r="K122" s="177">
        <v>11</v>
      </c>
      <c r="L122" s="177">
        <v>21.8</v>
      </c>
      <c r="M122" s="177"/>
      <c r="N122" s="177">
        <v>4</v>
      </c>
      <c r="O122" s="177" t="s">
        <v>2078</v>
      </c>
      <c r="P122" s="177">
        <v>0.218</v>
      </c>
      <c r="Q122" s="177" t="s">
        <v>2076</v>
      </c>
      <c r="R122" s="177">
        <v>0.11</v>
      </c>
      <c r="S122" s="177" t="s">
        <v>620</v>
      </c>
      <c r="T122" s="177">
        <v>0.04</v>
      </c>
      <c r="U122" s="177" t="s">
        <v>2143</v>
      </c>
      <c r="V122" s="177">
        <v>0.03</v>
      </c>
      <c r="W122" s="177" t="s">
        <v>2123</v>
      </c>
      <c r="X122" s="177">
        <v>0.01</v>
      </c>
      <c r="Y122" s="177"/>
      <c r="Z122" s="177"/>
      <c r="AA122" s="177"/>
      <c r="AB122" s="177"/>
      <c r="AC122" s="177"/>
      <c r="AD122" s="177"/>
      <c r="AE122" s="177"/>
      <c r="AF122" s="177"/>
      <c r="AG122" s="177"/>
      <c r="AH122" s="177"/>
      <c r="AK122" s="1"/>
      <c r="AL122" s="1"/>
      <c r="AM122" s="1"/>
    </row>
    <row r="123" spans="4:39" ht="20.100000000000001" customHeight="1" x14ac:dyDescent="0.2">
      <c r="D123" s="177" t="s">
        <v>2141</v>
      </c>
      <c r="E123" s="177" t="s">
        <v>2158</v>
      </c>
      <c r="F123" s="177" t="s">
        <v>653</v>
      </c>
      <c r="G123" s="177">
        <v>1</v>
      </c>
      <c r="H123" s="177"/>
      <c r="I123" s="177"/>
      <c r="J123" s="177"/>
      <c r="K123" s="177">
        <v>32.5</v>
      </c>
      <c r="L123" s="177">
        <v>5.4</v>
      </c>
      <c r="M123" s="177">
        <v>6.25</v>
      </c>
      <c r="N123" s="177"/>
      <c r="O123" s="177" t="s">
        <v>607</v>
      </c>
      <c r="P123" s="177">
        <v>0.6</v>
      </c>
      <c r="Q123" s="177" t="s">
        <v>2071</v>
      </c>
      <c r="R123" s="177">
        <v>4.9000000000000002E-2</v>
      </c>
      <c r="S123" s="177" t="s">
        <v>2078</v>
      </c>
      <c r="T123" s="177">
        <v>5.3999999999999999E-2</v>
      </c>
      <c r="U123" s="177" t="s">
        <v>2084</v>
      </c>
      <c r="V123" s="177">
        <v>0.125</v>
      </c>
      <c r="W123" s="177"/>
      <c r="X123" s="177"/>
      <c r="Y123" s="177"/>
      <c r="Z123" s="177"/>
      <c r="AA123" s="177"/>
      <c r="AB123" s="177"/>
      <c r="AC123" s="177"/>
      <c r="AD123" s="177"/>
      <c r="AE123" s="177"/>
      <c r="AF123" s="177"/>
      <c r="AG123" s="177"/>
      <c r="AH123" s="177"/>
      <c r="AK123" s="1"/>
      <c r="AL123" s="1"/>
      <c r="AM123" s="1"/>
    </row>
    <row r="124" spans="4:39" ht="20.100000000000001" customHeight="1" x14ac:dyDescent="0.2">
      <c r="D124" s="177" t="s">
        <v>2137</v>
      </c>
      <c r="E124" s="177" t="s">
        <v>2159</v>
      </c>
      <c r="F124" s="177" t="s">
        <v>653</v>
      </c>
      <c r="G124" s="177">
        <v>1</v>
      </c>
      <c r="H124" s="177" t="s">
        <v>361</v>
      </c>
      <c r="I124" s="177"/>
      <c r="J124" s="177"/>
      <c r="K124" s="177">
        <v>45.54</v>
      </c>
      <c r="L124" s="177"/>
      <c r="M124" s="177"/>
      <c r="N124" s="177"/>
      <c r="O124" s="177" t="s">
        <v>607</v>
      </c>
      <c r="P124" s="177">
        <v>0.99</v>
      </c>
      <c r="Q124" s="177"/>
      <c r="R124" s="177"/>
      <c r="S124" s="177"/>
      <c r="T124" s="177"/>
      <c r="U124" s="177"/>
      <c r="V124" s="177"/>
      <c r="W124" s="177"/>
      <c r="X124" s="177"/>
      <c r="Y124" s="177"/>
      <c r="Z124" s="177"/>
      <c r="AA124" s="177"/>
      <c r="AB124" s="177"/>
      <c r="AC124" s="177"/>
      <c r="AD124" s="177"/>
      <c r="AE124" s="177"/>
      <c r="AF124" s="177"/>
      <c r="AG124" s="177"/>
      <c r="AH124" s="177"/>
      <c r="AK124" s="1"/>
      <c r="AL124" s="1"/>
      <c r="AM124" s="1"/>
    </row>
    <row r="125" spans="4:39" ht="20.100000000000001" customHeight="1" x14ac:dyDescent="0.2">
      <c r="D125" s="177" t="s">
        <v>2110</v>
      </c>
      <c r="E125" s="177" t="s">
        <v>2160</v>
      </c>
      <c r="F125" s="177" t="s">
        <v>653</v>
      </c>
      <c r="G125" s="177">
        <v>1</v>
      </c>
      <c r="H125" s="177"/>
      <c r="I125" s="177"/>
      <c r="J125" s="177"/>
      <c r="K125" s="177">
        <v>14.87</v>
      </c>
      <c r="L125" s="177">
        <v>2.2000000000000002</v>
      </c>
      <c r="M125" s="177">
        <v>16.600000000000001</v>
      </c>
      <c r="N125" s="177">
        <v>8</v>
      </c>
      <c r="O125" s="177" t="s">
        <v>2068</v>
      </c>
      <c r="P125" s="177">
        <v>0.44117600000000001</v>
      </c>
      <c r="Q125" s="177" t="s">
        <v>619</v>
      </c>
      <c r="R125" s="177">
        <v>0.16600000000000001</v>
      </c>
      <c r="S125" s="177" t="s">
        <v>620</v>
      </c>
      <c r="T125" s="177">
        <v>0.08</v>
      </c>
      <c r="U125" s="177" t="s">
        <v>2078</v>
      </c>
      <c r="V125" s="177">
        <v>2.1999999999999999E-2</v>
      </c>
      <c r="W125" s="177" t="s">
        <v>2122</v>
      </c>
      <c r="X125" s="177">
        <v>1.2E-2</v>
      </c>
      <c r="Y125" s="177" t="s">
        <v>2127</v>
      </c>
      <c r="Z125" s="177">
        <v>2.0000000000000001E-4</v>
      </c>
      <c r="AA125" s="177" t="s">
        <v>2123</v>
      </c>
      <c r="AB125" s="177">
        <v>1E-4</v>
      </c>
      <c r="AC125" s="177"/>
      <c r="AD125" s="177"/>
      <c r="AE125" s="177"/>
      <c r="AF125" s="177"/>
      <c r="AG125" s="177"/>
      <c r="AH125" s="177"/>
      <c r="AK125" s="1"/>
      <c r="AL125" s="1"/>
      <c r="AM125" s="1"/>
    </row>
    <row r="126" spans="4:39" ht="20.100000000000001" customHeight="1" x14ac:dyDescent="0.2">
      <c r="D126" s="177" t="s">
        <v>2133</v>
      </c>
      <c r="E126" s="177" t="s">
        <v>2161</v>
      </c>
      <c r="F126" s="177" t="s">
        <v>896</v>
      </c>
      <c r="G126" s="177">
        <v>1.2989999999999999</v>
      </c>
      <c r="H126" s="177"/>
      <c r="I126" s="177"/>
      <c r="J126" s="177"/>
      <c r="K126" s="177">
        <v>38</v>
      </c>
      <c r="L126" s="177"/>
      <c r="M126" s="177"/>
      <c r="N126" s="177">
        <v>2</v>
      </c>
      <c r="O126" s="177" t="s">
        <v>607</v>
      </c>
      <c r="P126" s="177">
        <v>0.46087</v>
      </c>
      <c r="Q126" s="177" t="s">
        <v>2071</v>
      </c>
      <c r="R126" s="177">
        <v>9.1999999999999998E-2</v>
      </c>
      <c r="S126" s="177" t="s">
        <v>2073</v>
      </c>
      <c r="T126" s="177">
        <v>7.5999999999999998E-2</v>
      </c>
      <c r="U126" s="177" t="s">
        <v>620</v>
      </c>
      <c r="V126" s="177">
        <v>0.02</v>
      </c>
      <c r="W126" s="177"/>
      <c r="X126" s="177"/>
      <c r="Y126" s="177"/>
      <c r="Z126" s="177"/>
      <c r="AA126" s="177"/>
      <c r="AB126" s="177"/>
      <c r="AC126" s="177"/>
      <c r="AD126" s="177"/>
      <c r="AE126" s="177"/>
      <c r="AF126" s="177"/>
      <c r="AG126" s="177"/>
      <c r="AH126" s="177"/>
      <c r="AK126" s="1"/>
      <c r="AL126" s="1"/>
      <c r="AM126" s="1"/>
    </row>
    <row r="127" spans="4:39" ht="20.100000000000001" customHeight="1" x14ac:dyDescent="0.2">
      <c r="D127" s="177" t="s">
        <v>2139</v>
      </c>
      <c r="E127" s="177" t="s">
        <v>2162</v>
      </c>
      <c r="F127" s="177" t="s">
        <v>653</v>
      </c>
      <c r="G127" s="177">
        <v>1</v>
      </c>
      <c r="H127" s="177"/>
      <c r="I127" s="177"/>
      <c r="J127" s="177"/>
      <c r="K127" s="177"/>
      <c r="L127" s="177">
        <v>8.8000000000000007</v>
      </c>
      <c r="M127" s="177"/>
      <c r="N127" s="177">
        <v>11</v>
      </c>
      <c r="O127" s="177" t="s">
        <v>2086</v>
      </c>
      <c r="P127" s="177">
        <v>1</v>
      </c>
      <c r="Q127" s="177"/>
      <c r="R127" s="177"/>
      <c r="S127" s="177"/>
      <c r="T127" s="177"/>
      <c r="U127" s="177"/>
      <c r="V127" s="177"/>
      <c r="W127" s="177"/>
      <c r="X127" s="177"/>
      <c r="Y127" s="177"/>
      <c r="Z127" s="177"/>
      <c r="AA127" s="177"/>
      <c r="AB127" s="177"/>
      <c r="AC127" s="177"/>
      <c r="AD127" s="177"/>
      <c r="AE127" s="177"/>
      <c r="AF127" s="177"/>
      <c r="AG127" s="177"/>
      <c r="AH127" s="177"/>
      <c r="AK127" s="1"/>
      <c r="AL127" s="1"/>
      <c r="AM127" s="1"/>
    </row>
    <row r="128" spans="4:39" ht="20.100000000000001" customHeight="1" x14ac:dyDescent="0.2">
      <c r="D128" s="177" t="s">
        <v>2151</v>
      </c>
      <c r="E128" s="177" t="s">
        <v>2163</v>
      </c>
      <c r="F128" s="177" t="s">
        <v>896</v>
      </c>
      <c r="G128" s="177">
        <v>1.2</v>
      </c>
      <c r="H128" s="177"/>
      <c r="I128" s="177"/>
      <c r="J128" s="177"/>
      <c r="K128" s="177">
        <v>10</v>
      </c>
      <c r="L128" s="177">
        <v>1</v>
      </c>
      <c r="M128" s="177">
        <v>11</v>
      </c>
      <c r="N128" s="177"/>
      <c r="O128" s="177" t="s">
        <v>619</v>
      </c>
      <c r="P128" s="177">
        <v>0.11</v>
      </c>
      <c r="Q128" s="177" t="s">
        <v>2076</v>
      </c>
      <c r="R128" s="177">
        <v>0.1</v>
      </c>
      <c r="S128" s="177" t="s">
        <v>2078</v>
      </c>
      <c r="T128" s="177">
        <v>0.01</v>
      </c>
      <c r="U128" s="177"/>
      <c r="V128" s="177"/>
      <c r="W128" s="177"/>
      <c r="X128" s="177"/>
      <c r="Y128" s="177"/>
      <c r="Z128" s="177"/>
      <c r="AA128" s="177"/>
      <c r="AB128" s="177"/>
      <c r="AC128" s="177"/>
      <c r="AD128" s="177"/>
      <c r="AE128" s="177"/>
      <c r="AF128" s="177"/>
      <c r="AG128" s="177"/>
      <c r="AH128" s="177"/>
      <c r="AK128" s="1"/>
      <c r="AL128" s="1"/>
      <c r="AM128" s="1"/>
    </row>
    <row r="129" spans="1:39" ht="20.100000000000001" customHeight="1" x14ac:dyDescent="0.2">
      <c r="D129" s="177" t="s">
        <v>2151</v>
      </c>
      <c r="E129" s="177" t="s">
        <v>2164</v>
      </c>
      <c r="F129" s="177" t="s">
        <v>896</v>
      </c>
      <c r="G129" s="177">
        <v>1.3</v>
      </c>
      <c r="H129" s="177"/>
      <c r="I129" s="177"/>
      <c r="J129" s="177"/>
      <c r="K129" s="177">
        <v>3</v>
      </c>
      <c r="L129" s="177"/>
      <c r="M129" s="177">
        <v>22</v>
      </c>
      <c r="N129" s="177"/>
      <c r="O129" s="177" t="s">
        <v>619</v>
      </c>
      <c r="P129" s="177">
        <v>0.22</v>
      </c>
      <c r="Q129" s="177" t="s">
        <v>2076</v>
      </c>
      <c r="R129" s="177">
        <v>0.03</v>
      </c>
      <c r="S129" s="177"/>
      <c r="T129" s="177"/>
      <c r="U129" s="177"/>
      <c r="V129" s="177"/>
      <c r="W129" s="177"/>
      <c r="X129" s="177"/>
      <c r="Y129" s="177"/>
      <c r="Z129" s="177"/>
      <c r="AA129" s="177"/>
      <c r="AB129" s="177"/>
      <c r="AC129" s="177"/>
      <c r="AD129" s="177"/>
      <c r="AE129" s="177"/>
      <c r="AF129" s="177"/>
      <c r="AG129" s="177"/>
      <c r="AH129" s="177"/>
      <c r="AK129" s="1"/>
      <c r="AL129" s="1"/>
      <c r="AM129" s="1"/>
    </row>
    <row r="130" spans="1:39" ht="20.100000000000001" customHeight="1" x14ac:dyDescent="0.2">
      <c r="D130" s="177" t="s">
        <v>2165</v>
      </c>
      <c r="E130" s="177" t="s">
        <v>2166</v>
      </c>
      <c r="F130" s="177" t="s">
        <v>896</v>
      </c>
      <c r="G130" s="177">
        <v>1.1850000000000001</v>
      </c>
      <c r="H130" s="177"/>
      <c r="I130" s="177"/>
      <c r="J130" s="177"/>
      <c r="K130" s="177">
        <v>23.8</v>
      </c>
      <c r="L130" s="177"/>
      <c r="M130" s="177"/>
      <c r="N130" s="177"/>
      <c r="O130" s="177" t="s">
        <v>607</v>
      </c>
      <c r="P130" s="177">
        <v>0.51739100000000005</v>
      </c>
      <c r="Q130" s="177"/>
      <c r="R130" s="177"/>
      <c r="S130" s="177"/>
      <c r="T130" s="177"/>
      <c r="U130" s="177"/>
      <c r="V130" s="177"/>
      <c r="W130" s="177"/>
      <c r="X130" s="177"/>
      <c r="Y130" s="177"/>
      <c r="Z130" s="177"/>
      <c r="AA130" s="177"/>
      <c r="AB130" s="177"/>
      <c r="AC130" s="177"/>
      <c r="AD130" s="177"/>
      <c r="AE130" s="177"/>
      <c r="AF130" s="177"/>
      <c r="AG130" s="177"/>
      <c r="AH130" s="177"/>
      <c r="AK130" s="1"/>
      <c r="AL130" s="1"/>
      <c r="AM130" s="1"/>
    </row>
    <row r="131" spans="1:39" ht="20.100000000000001" customHeight="1" x14ac:dyDescent="0.2">
      <c r="A131" s="85" t="str">
        <f>HYPERLINK("#A1", "▲ Back to top")</f>
        <v>▲ Back to top</v>
      </c>
      <c r="D131" s="177" t="s">
        <v>2133</v>
      </c>
      <c r="E131" s="177" t="s">
        <v>2167</v>
      </c>
      <c r="F131" s="177" t="s">
        <v>896</v>
      </c>
      <c r="G131" s="177">
        <v>1.2549999999999999</v>
      </c>
      <c r="H131" s="177"/>
      <c r="I131" s="177"/>
      <c r="J131" s="177"/>
      <c r="K131" s="177"/>
      <c r="L131" s="177"/>
      <c r="M131" s="177">
        <v>0.1</v>
      </c>
      <c r="N131" s="177">
        <v>4.4000000000000004</v>
      </c>
      <c r="O131" s="177" t="s">
        <v>620</v>
      </c>
      <c r="P131" s="177">
        <v>4.3999999999999997E-2</v>
      </c>
      <c r="Q131" s="177" t="s">
        <v>2123</v>
      </c>
      <c r="R131" s="177">
        <v>2.1999999999999999E-2</v>
      </c>
      <c r="S131" s="177" t="s">
        <v>2125</v>
      </c>
      <c r="T131" s="177">
        <v>2.1999999999999999E-2</v>
      </c>
      <c r="U131" s="177" t="s">
        <v>2124</v>
      </c>
      <c r="V131" s="177">
        <v>1.6E-2</v>
      </c>
      <c r="W131" s="177" t="s">
        <v>2127</v>
      </c>
      <c r="X131" s="177">
        <v>8.0000000000000002E-3</v>
      </c>
      <c r="Y131" s="177" t="s">
        <v>2122</v>
      </c>
      <c r="Z131" s="177">
        <v>7.0000000000000001E-3</v>
      </c>
      <c r="AA131" s="177" t="s">
        <v>2168</v>
      </c>
      <c r="AB131" s="177">
        <v>5.0000000000000001E-3</v>
      </c>
      <c r="AC131" s="177" t="s">
        <v>2126</v>
      </c>
      <c r="AD131" s="177">
        <v>3.0000000000000001E-3</v>
      </c>
      <c r="AE131" s="177" t="s">
        <v>619</v>
      </c>
      <c r="AF131" s="177">
        <v>1E-3</v>
      </c>
      <c r="AG131" s="177" t="s">
        <v>2169</v>
      </c>
      <c r="AH131" s="177">
        <v>2.9999999999999997E-4</v>
      </c>
      <c r="AK131" s="1"/>
      <c r="AL131" s="1"/>
      <c r="AM131" s="1"/>
    </row>
    <row r="132" spans="1:39" ht="20.100000000000001" customHeight="1" x14ac:dyDescent="0.2">
      <c r="D132" s="177" t="s">
        <v>2151</v>
      </c>
      <c r="E132" s="177" t="s">
        <v>2170</v>
      </c>
      <c r="F132" s="177" t="s">
        <v>896</v>
      </c>
      <c r="G132" s="177">
        <v>1.23</v>
      </c>
      <c r="H132" s="177"/>
      <c r="I132" s="177"/>
      <c r="J132" s="177"/>
      <c r="K132" s="177">
        <v>9.7100000000000009</v>
      </c>
      <c r="L132" s="177"/>
      <c r="M132" s="177">
        <v>3.25</v>
      </c>
      <c r="N132" s="177">
        <v>2.11</v>
      </c>
      <c r="O132" s="177" t="s">
        <v>2076</v>
      </c>
      <c r="P132" s="177">
        <v>9.7100000000000006E-2</v>
      </c>
      <c r="Q132" s="177" t="s">
        <v>619</v>
      </c>
      <c r="R132" s="177">
        <v>3.2500000000000001E-2</v>
      </c>
      <c r="S132" s="177" t="s">
        <v>620</v>
      </c>
      <c r="T132" s="177">
        <v>2.1100000000000001E-2</v>
      </c>
      <c r="U132" s="177" t="s">
        <v>2123</v>
      </c>
      <c r="V132" s="177">
        <v>1.4999999999999999E-2</v>
      </c>
      <c r="W132" s="177" t="s">
        <v>2125</v>
      </c>
      <c r="X132" s="177">
        <v>1.11E-2</v>
      </c>
      <c r="Y132" s="177" t="s">
        <v>2124</v>
      </c>
      <c r="Z132" s="177">
        <v>1.15E-2</v>
      </c>
      <c r="AA132" s="177" t="s">
        <v>2122</v>
      </c>
      <c r="AB132" s="177">
        <v>4.4999999999999997E-3</v>
      </c>
      <c r="AC132" s="177" t="s">
        <v>2127</v>
      </c>
      <c r="AD132" s="177">
        <v>2E-3</v>
      </c>
      <c r="AE132" s="177"/>
      <c r="AF132" s="177"/>
      <c r="AG132" s="177"/>
      <c r="AH132" s="177"/>
      <c r="AK132" s="1"/>
      <c r="AL132" s="1"/>
      <c r="AM132" s="1"/>
    </row>
    <row r="133" spans="1:39" ht="20.100000000000001" customHeight="1" x14ac:dyDescent="0.2">
      <c r="D133" s="177" t="s">
        <v>2110</v>
      </c>
      <c r="E133" s="177" t="s">
        <v>2171</v>
      </c>
      <c r="F133" s="177" t="s">
        <v>653</v>
      </c>
      <c r="G133" s="177">
        <v>1</v>
      </c>
      <c r="H133" s="177"/>
      <c r="I133" s="177"/>
      <c r="J133" s="177"/>
      <c r="K133" s="177">
        <v>10</v>
      </c>
      <c r="L133" s="177">
        <v>10.9</v>
      </c>
      <c r="M133" s="177">
        <v>10</v>
      </c>
      <c r="N133" s="177">
        <v>4.34</v>
      </c>
      <c r="O133" s="177" t="s">
        <v>2062</v>
      </c>
      <c r="P133" s="177">
        <v>0.4178</v>
      </c>
      <c r="Q133" s="177" t="s">
        <v>2068</v>
      </c>
      <c r="R133" s="177">
        <v>0.17280000000000001</v>
      </c>
      <c r="S133" s="177" t="s">
        <v>2172</v>
      </c>
      <c r="T133" s="177">
        <v>0.24096400000000001</v>
      </c>
      <c r="U133" s="177" t="s">
        <v>2085</v>
      </c>
      <c r="V133" s="177">
        <v>0.1</v>
      </c>
      <c r="W133" s="177" t="s">
        <v>2122</v>
      </c>
      <c r="X133" s="177">
        <v>1.2E-2</v>
      </c>
      <c r="Y133" s="177" t="s">
        <v>2123</v>
      </c>
      <c r="Z133" s="177">
        <v>3.5999999999999999E-3</v>
      </c>
      <c r="AA133" s="177" t="s">
        <v>2127</v>
      </c>
      <c r="AB133" s="177">
        <v>1E-3</v>
      </c>
      <c r="AC133" s="177" t="s">
        <v>2173</v>
      </c>
      <c r="AD133" s="177">
        <v>5.1900000000000002E-2</v>
      </c>
      <c r="AE133" s="177"/>
      <c r="AF133" s="177"/>
      <c r="AG133" s="177"/>
      <c r="AH133" s="177"/>
      <c r="AK133" s="1"/>
      <c r="AL133" s="1"/>
      <c r="AM133" s="1"/>
    </row>
    <row r="134" spans="1:39" ht="20.100000000000001" customHeight="1" x14ac:dyDescent="0.2">
      <c r="D134" s="177" t="s">
        <v>2139</v>
      </c>
      <c r="E134" s="177" t="s">
        <v>2066</v>
      </c>
      <c r="F134" s="177" t="s">
        <v>653</v>
      </c>
      <c r="G134" s="177">
        <v>1</v>
      </c>
      <c r="H134" s="177"/>
      <c r="I134" s="177"/>
      <c r="J134" s="177"/>
      <c r="K134" s="177">
        <v>21</v>
      </c>
      <c r="L134" s="177"/>
      <c r="M134" s="177"/>
      <c r="N134" s="177">
        <v>24</v>
      </c>
      <c r="O134" s="177" t="s">
        <v>2066</v>
      </c>
      <c r="P134" s="177">
        <v>1</v>
      </c>
      <c r="Q134" s="177"/>
      <c r="R134" s="177"/>
      <c r="S134" s="177"/>
      <c r="T134" s="177"/>
      <c r="U134" s="177"/>
      <c r="V134" s="177"/>
      <c r="W134" s="177"/>
      <c r="X134" s="177"/>
      <c r="Y134" s="177"/>
      <c r="Z134" s="177"/>
      <c r="AA134" s="177"/>
      <c r="AB134" s="177"/>
      <c r="AC134" s="177"/>
      <c r="AD134" s="177"/>
      <c r="AE134" s="177"/>
      <c r="AF134" s="177"/>
      <c r="AG134" s="177"/>
      <c r="AH134" s="177"/>
      <c r="AK134" s="1"/>
      <c r="AL134" s="1"/>
      <c r="AM134" s="1"/>
    </row>
    <row r="135" spans="1:39" ht="20.100000000000001" customHeight="1" x14ac:dyDescent="0.2">
      <c r="D135" s="177" t="s">
        <v>2139</v>
      </c>
      <c r="E135" s="177" t="s">
        <v>2174</v>
      </c>
      <c r="F135" s="177" t="s">
        <v>653</v>
      </c>
      <c r="G135" s="177">
        <v>1</v>
      </c>
      <c r="H135" s="177"/>
      <c r="I135" s="177"/>
      <c r="J135" s="177"/>
      <c r="K135" s="177">
        <v>10</v>
      </c>
      <c r="L135" s="177">
        <v>21.9</v>
      </c>
      <c r="M135" s="177"/>
      <c r="N135" s="177">
        <v>1.5</v>
      </c>
      <c r="O135" s="177" t="s">
        <v>2062</v>
      </c>
      <c r="P135" s="177">
        <v>1</v>
      </c>
      <c r="Q135" s="177"/>
      <c r="R135" s="177"/>
      <c r="S135" s="177"/>
      <c r="T135" s="177"/>
      <c r="U135" s="177"/>
      <c r="V135" s="177"/>
      <c r="W135" s="177"/>
      <c r="X135" s="177"/>
      <c r="Y135" s="177"/>
      <c r="Z135" s="177"/>
      <c r="AA135" s="177"/>
      <c r="AB135" s="177"/>
      <c r="AC135" s="177"/>
      <c r="AD135" s="177"/>
      <c r="AE135" s="177"/>
      <c r="AF135" s="177"/>
      <c r="AG135" s="177"/>
      <c r="AH135" s="177"/>
      <c r="AK135" s="1"/>
      <c r="AL135" s="1"/>
      <c r="AM135" s="1"/>
    </row>
    <row r="136" spans="1:39" ht="20.100000000000001" customHeight="1" x14ac:dyDescent="0.2">
      <c r="D136" s="177" t="s">
        <v>2139</v>
      </c>
      <c r="E136" s="177" t="s">
        <v>607</v>
      </c>
      <c r="F136" s="177" t="s">
        <v>653</v>
      </c>
      <c r="G136" s="177">
        <v>1</v>
      </c>
      <c r="H136" s="177"/>
      <c r="I136" s="177"/>
      <c r="J136" s="177"/>
      <c r="K136" s="177">
        <v>46</v>
      </c>
      <c r="L136" s="177"/>
      <c r="M136" s="177"/>
      <c r="N136" s="177"/>
      <c r="O136" s="177" t="s">
        <v>607</v>
      </c>
      <c r="P136" s="177">
        <v>1</v>
      </c>
      <c r="Q136" s="177"/>
      <c r="R136" s="177"/>
      <c r="S136" s="177"/>
      <c r="T136" s="177"/>
      <c r="U136" s="177"/>
      <c r="V136" s="177"/>
      <c r="W136" s="177"/>
      <c r="X136" s="177"/>
      <c r="Y136" s="177"/>
      <c r="Z136" s="177"/>
      <c r="AA136" s="177"/>
      <c r="AB136" s="177"/>
      <c r="AC136" s="177"/>
      <c r="AD136" s="177"/>
      <c r="AE136" s="177"/>
      <c r="AF136" s="177"/>
      <c r="AG136" s="177"/>
      <c r="AH136" s="177"/>
      <c r="AK136" s="1"/>
      <c r="AL136" s="1"/>
      <c r="AM136" s="1"/>
    </row>
    <row r="137" spans="1:39" ht="20.100000000000001" customHeight="1" x14ac:dyDescent="0.2">
      <c r="D137" s="177" t="s">
        <v>2175</v>
      </c>
      <c r="E137" s="177" t="s">
        <v>2084</v>
      </c>
      <c r="F137" s="177" t="s">
        <v>653</v>
      </c>
      <c r="G137" s="177">
        <v>1</v>
      </c>
      <c r="H137" s="177"/>
      <c r="I137" s="177"/>
      <c r="J137" s="177"/>
      <c r="K137" s="177"/>
      <c r="L137" s="177"/>
      <c r="M137" s="177">
        <v>50</v>
      </c>
      <c r="N137" s="177"/>
      <c r="O137" s="177" t="s">
        <v>2084</v>
      </c>
      <c r="P137" s="177">
        <v>1</v>
      </c>
      <c r="Q137" s="177"/>
      <c r="R137" s="177"/>
      <c r="S137" s="177"/>
      <c r="T137" s="177"/>
      <c r="U137" s="177"/>
      <c r="V137" s="177"/>
      <c r="W137" s="177"/>
      <c r="X137" s="177"/>
      <c r="Y137" s="177"/>
      <c r="Z137" s="177"/>
      <c r="AA137" s="177"/>
      <c r="AB137" s="177"/>
      <c r="AC137" s="177"/>
      <c r="AD137" s="177"/>
      <c r="AE137" s="177"/>
      <c r="AF137" s="177"/>
      <c r="AG137" s="177"/>
      <c r="AH137" s="177"/>
      <c r="AK137" s="1"/>
      <c r="AL137" s="1"/>
      <c r="AM137" s="1"/>
    </row>
    <row r="138" spans="1:39" ht="20.100000000000001" customHeight="1" x14ac:dyDescent="0.2">
      <c r="D138" s="177" t="s">
        <v>2135</v>
      </c>
      <c r="E138" s="177" t="s">
        <v>2176</v>
      </c>
      <c r="F138" s="177" t="s">
        <v>896</v>
      </c>
      <c r="G138" s="177">
        <v>1.32</v>
      </c>
      <c r="H138" s="177"/>
      <c r="I138" s="177" t="s">
        <v>2091</v>
      </c>
      <c r="J138" s="177" t="s">
        <v>2091</v>
      </c>
      <c r="K138" s="177">
        <v>32</v>
      </c>
      <c r="L138" s="177"/>
      <c r="M138" s="177"/>
      <c r="N138" s="177"/>
      <c r="O138" s="177" t="s">
        <v>2067</v>
      </c>
      <c r="P138" s="177">
        <v>1</v>
      </c>
      <c r="Q138" s="177"/>
      <c r="R138" s="177"/>
      <c r="S138" s="177"/>
      <c r="T138" s="177"/>
      <c r="U138" s="177"/>
      <c r="V138" s="177"/>
      <c r="W138" s="177"/>
      <c r="X138" s="177"/>
      <c r="Y138" s="177"/>
      <c r="Z138" s="177"/>
      <c r="AA138" s="177"/>
      <c r="AB138" s="177"/>
      <c r="AC138" s="177"/>
      <c r="AD138" s="177"/>
      <c r="AE138" s="177"/>
      <c r="AF138" s="177"/>
      <c r="AG138" s="177"/>
      <c r="AH138" s="177"/>
      <c r="AK138" s="1"/>
      <c r="AL138" s="1"/>
      <c r="AM138" s="1"/>
    </row>
    <row r="139" spans="1:39" ht="20.100000000000001" customHeight="1" x14ac:dyDescent="0.2">
      <c r="D139" s="177" t="s">
        <v>2135</v>
      </c>
      <c r="E139" s="177" t="s">
        <v>2177</v>
      </c>
      <c r="F139" s="177" t="s">
        <v>653</v>
      </c>
      <c r="G139" s="177">
        <v>1</v>
      </c>
      <c r="H139" s="177"/>
      <c r="I139" s="177" t="s">
        <v>2091</v>
      </c>
      <c r="J139" s="177"/>
      <c r="K139" s="177">
        <v>46</v>
      </c>
      <c r="L139" s="177"/>
      <c r="M139" s="177"/>
      <c r="N139" s="177"/>
      <c r="O139" s="177" t="s">
        <v>607</v>
      </c>
      <c r="P139" s="177">
        <v>1</v>
      </c>
      <c r="Q139" s="177" t="s">
        <v>2178</v>
      </c>
      <c r="R139" s="177">
        <v>0</v>
      </c>
      <c r="S139" s="177"/>
      <c r="T139" s="177"/>
      <c r="U139" s="177"/>
      <c r="V139" s="177"/>
      <c r="W139" s="177"/>
      <c r="X139" s="177"/>
      <c r="Y139" s="177"/>
      <c r="Z139" s="177"/>
      <c r="AA139" s="177"/>
      <c r="AB139" s="177"/>
      <c r="AC139" s="177"/>
      <c r="AD139" s="177"/>
      <c r="AE139" s="177"/>
      <c r="AF139" s="177"/>
      <c r="AG139" s="177"/>
      <c r="AH139" s="177"/>
      <c r="AK139" s="1"/>
      <c r="AL139" s="1"/>
      <c r="AM139" s="1"/>
    </row>
    <row r="140" spans="1:39" ht="20.100000000000001" customHeight="1" x14ac:dyDescent="0.2">
      <c r="D140" s="177" t="s">
        <v>2179</v>
      </c>
      <c r="E140" s="177" t="s">
        <v>2180</v>
      </c>
      <c r="F140" s="177" t="s">
        <v>653</v>
      </c>
      <c r="G140" s="177">
        <v>1</v>
      </c>
      <c r="H140" s="177"/>
      <c r="I140" s="177"/>
      <c r="J140" s="177"/>
      <c r="K140" s="177">
        <v>15.5</v>
      </c>
      <c r="L140" s="177"/>
      <c r="M140" s="177"/>
      <c r="N140" s="177"/>
      <c r="O140" s="177" t="s">
        <v>617</v>
      </c>
      <c r="P140" s="177">
        <v>1</v>
      </c>
      <c r="Q140" s="177"/>
      <c r="R140" s="177"/>
      <c r="S140" s="177"/>
      <c r="T140" s="177"/>
      <c r="U140" s="177"/>
      <c r="V140" s="177"/>
      <c r="W140" s="177"/>
      <c r="X140" s="177"/>
      <c r="Y140" s="177"/>
      <c r="Z140" s="177"/>
      <c r="AA140" s="177"/>
      <c r="AB140" s="177"/>
      <c r="AC140" s="177"/>
      <c r="AD140" s="177"/>
      <c r="AE140" s="177"/>
      <c r="AF140" s="177"/>
      <c r="AG140" s="177"/>
      <c r="AH140" s="177"/>
      <c r="AK140" s="1"/>
      <c r="AL140" s="1"/>
      <c r="AM140" s="1"/>
    </row>
    <row r="141" spans="1:39" ht="20.100000000000001" customHeight="1" x14ac:dyDescent="0.2">
      <c r="D141" s="177" t="s">
        <v>2179</v>
      </c>
      <c r="E141" s="177" t="s">
        <v>2181</v>
      </c>
      <c r="F141" s="177" t="s">
        <v>653</v>
      </c>
      <c r="G141" s="177">
        <v>1</v>
      </c>
      <c r="H141" s="177"/>
      <c r="I141" s="177"/>
      <c r="J141" s="177"/>
      <c r="K141" s="177">
        <v>15.4</v>
      </c>
      <c r="L141" s="177"/>
      <c r="M141" s="177"/>
      <c r="N141" s="177"/>
      <c r="O141" s="177" t="s">
        <v>617</v>
      </c>
      <c r="P141" s="177">
        <v>0.99354799999999999</v>
      </c>
      <c r="Q141" s="177" t="s">
        <v>2127</v>
      </c>
      <c r="R141" s="177">
        <v>3.0000000000000001E-3</v>
      </c>
      <c r="S141" s="177"/>
      <c r="T141" s="177"/>
      <c r="U141" s="177"/>
      <c r="V141" s="177"/>
      <c r="W141" s="177"/>
      <c r="X141" s="177"/>
      <c r="Y141" s="177"/>
      <c r="Z141" s="177"/>
      <c r="AA141" s="177"/>
      <c r="AB141" s="177"/>
      <c r="AC141" s="177"/>
      <c r="AD141" s="177"/>
      <c r="AE141" s="177"/>
      <c r="AF141" s="177"/>
      <c r="AG141" s="177"/>
      <c r="AH141" s="177"/>
      <c r="AK141" s="1"/>
      <c r="AL141" s="1"/>
      <c r="AM141" s="1"/>
    </row>
    <row r="142" spans="1:39" ht="20.100000000000001" customHeight="1" x14ac:dyDescent="0.2">
      <c r="D142" s="177" t="s">
        <v>2179</v>
      </c>
      <c r="E142" s="177" t="s">
        <v>2182</v>
      </c>
      <c r="F142" s="177" t="s">
        <v>653</v>
      </c>
      <c r="G142" s="177">
        <v>1</v>
      </c>
      <c r="H142" s="177"/>
      <c r="I142" s="177"/>
      <c r="J142" s="177"/>
      <c r="K142" s="177">
        <v>12</v>
      </c>
      <c r="L142" s="177">
        <v>5</v>
      </c>
      <c r="M142" s="177">
        <v>15</v>
      </c>
      <c r="N142" s="177">
        <v>8</v>
      </c>
      <c r="O142" s="177" t="s">
        <v>2073</v>
      </c>
      <c r="P142" s="177">
        <v>0.05</v>
      </c>
      <c r="Q142" s="177" t="s">
        <v>2071</v>
      </c>
      <c r="R142" s="177">
        <v>7.0000000000000007E-2</v>
      </c>
      <c r="S142" s="177" t="s">
        <v>2078</v>
      </c>
      <c r="T142" s="177">
        <v>0.05</v>
      </c>
      <c r="U142" s="177" t="s">
        <v>619</v>
      </c>
      <c r="V142" s="177">
        <v>0.15</v>
      </c>
      <c r="W142" s="177" t="s">
        <v>620</v>
      </c>
      <c r="X142" s="177">
        <v>0.08</v>
      </c>
      <c r="Y142" s="177" t="s">
        <v>2122</v>
      </c>
      <c r="Z142" s="177">
        <v>1.6E-2</v>
      </c>
      <c r="AA142" s="177" t="s">
        <v>2123</v>
      </c>
      <c r="AB142" s="177">
        <v>2.0000000000000001E-4</v>
      </c>
      <c r="AC142" s="177" t="s">
        <v>2127</v>
      </c>
      <c r="AD142" s="177">
        <v>1.4999999999999999E-4</v>
      </c>
      <c r="AE142" s="177"/>
      <c r="AF142" s="177"/>
      <c r="AG142" s="177"/>
      <c r="AH142" s="177"/>
      <c r="AK142" s="1"/>
      <c r="AL142" s="1"/>
      <c r="AM142" s="1"/>
    </row>
    <row r="143" spans="1:39" ht="20.100000000000001" customHeight="1" x14ac:dyDescent="0.2">
      <c r="D143" s="177" t="s">
        <v>2179</v>
      </c>
      <c r="E143" s="177" t="s">
        <v>2183</v>
      </c>
      <c r="F143" s="177" t="s">
        <v>653</v>
      </c>
      <c r="G143" s="177">
        <v>1</v>
      </c>
      <c r="H143" s="177"/>
      <c r="I143" s="177"/>
      <c r="J143" s="177"/>
      <c r="K143" s="177">
        <v>9</v>
      </c>
      <c r="L143" s="177"/>
      <c r="M143" s="177">
        <v>30</v>
      </c>
      <c r="N143" s="177">
        <v>14</v>
      </c>
      <c r="O143" s="177" t="s">
        <v>619</v>
      </c>
      <c r="P143" s="177">
        <v>0.3</v>
      </c>
      <c r="Q143" s="177" t="s">
        <v>620</v>
      </c>
      <c r="R143" s="177">
        <v>0.14000000000000001</v>
      </c>
      <c r="S143" s="177" t="s">
        <v>2073</v>
      </c>
      <c r="T143" s="177">
        <v>4.4999999999999998E-2</v>
      </c>
      <c r="U143" s="177" t="s">
        <v>2071</v>
      </c>
      <c r="V143" s="177">
        <v>4.4999999999999998E-2</v>
      </c>
      <c r="W143" s="177"/>
      <c r="X143" s="177"/>
      <c r="Y143" s="177"/>
      <c r="Z143" s="177"/>
      <c r="AA143" s="177"/>
      <c r="AB143" s="177"/>
      <c r="AC143" s="177"/>
      <c r="AD143" s="177"/>
      <c r="AE143" s="177"/>
      <c r="AF143" s="177"/>
      <c r="AG143" s="177"/>
      <c r="AH143" s="177"/>
      <c r="AK143" s="1"/>
      <c r="AL143" s="1"/>
      <c r="AM143" s="1"/>
    </row>
    <row r="144" spans="1:39" ht="20.100000000000001" customHeight="1" x14ac:dyDescent="0.2">
      <c r="D144" s="177" t="s">
        <v>2179</v>
      </c>
      <c r="E144" s="177" t="s">
        <v>2184</v>
      </c>
      <c r="F144" s="177" t="s">
        <v>653</v>
      </c>
      <c r="G144" s="177">
        <v>1</v>
      </c>
      <c r="H144" s="177"/>
      <c r="I144" s="177"/>
      <c r="J144" s="177"/>
      <c r="K144" s="177">
        <v>13</v>
      </c>
      <c r="L144" s="177">
        <v>1.75</v>
      </c>
      <c r="M144" s="177">
        <v>21</v>
      </c>
      <c r="N144" s="177">
        <v>10.8</v>
      </c>
      <c r="O144" s="177" t="s">
        <v>619</v>
      </c>
      <c r="P144" s="177">
        <v>0.21</v>
      </c>
      <c r="Q144" s="177" t="s">
        <v>620</v>
      </c>
      <c r="R144" s="177">
        <v>0.108</v>
      </c>
      <c r="S144" s="177" t="s">
        <v>2071</v>
      </c>
      <c r="T144" s="177">
        <v>7.6999999999999999E-2</v>
      </c>
      <c r="U144" s="177" t="s">
        <v>2073</v>
      </c>
      <c r="V144" s="177">
        <v>5.2999999999999999E-2</v>
      </c>
      <c r="W144" s="177" t="s">
        <v>2078</v>
      </c>
      <c r="X144" s="177">
        <v>1.7500000000000002E-2</v>
      </c>
      <c r="Y144" s="177" t="s">
        <v>2122</v>
      </c>
      <c r="Z144" s="177">
        <v>4.0000000000000001E-3</v>
      </c>
      <c r="AA144" s="177" t="s">
        <v>2123</v>
      </c>
      <c r="AB144" s="177">
        <v>8.0000000000000004E-4</v>
      </c>
      <c r="AC144" s="177" t="s">
        <v>2127</v>
      </c>
      <c r="AD144" s="177">
        <v>8.0000000000000004E-4</v>
      </c>
      <c r="AE144" s="177"/>
      <c r="AF144" s="177"/>
      <c r="AG144" s="177"/>
      <c r="AH144" s="177"/>
      <c r="AK144" s="1"/>
      <c r="AL144" s="1"/>
      <c r="AM144" s="1"/>
    </row>
    <row r="145" spans="4:39" ht="20.100000000000001" customHeight="1" x14ac:dyDescent="0.2">
      <c r="D145" s="177" t="s">
        <v>2179</v>
      </c>
      <c r="E145" s="177" t="s">
        <v>2185</v>
      </c>
      <c r="F145" s="177" t="s">
        <v>653</v>
      </c>
      <c r="G145" s="177">
        <v>1</v>
      </c>
      <c r="H145" s="177"/>
      <c r="I145" s="177"/>
      <c r="J145" s="177"/>
      <c r="K145" s="177">
        <v>15</v>
      </c>
      <c r="L145" s="177">
        <v>6.5</v>
      </c>
      <c r="M145" s="177">
        <v>12.5</v>
      </c>
      <c r="N145" s="177">
        <v>7.2</v>
      </c>
      <c r="O145" s="177" t="s">
        <v>2073</v>
      </c>
      <c r="P145" s="177">
        <v>9.5000000000000001E-2</v>
      </c>
      <c r="Q145" s="177" t="s">
        <v>619</v>
      </c>
      <c r="R145" s="177">
        <v>0.125</v>
      </c>
      <c r="S145" s="177" t="s">
        <v>620</v>
      </c>
      <c r="T145" s="177">
        <v>7.1999999999999995E-2</v>
      </c>
      <c r="U145" s="177" t="s">
        <v>2078</v>
      </c>
      <c r="V145" s="177">
        <v>6.5000000000000002E-2</v>
      </c>
      <c r="W145" s="177" t="s">
        <v>2071</v>
      </c>
      <c r="X145" s="177">
        <v>5.5E-2</v>
      </c>
      <c r="Y145" s="177" t="s">
        <v>2122</v>
      </c>
      <c r="Z145" s="177">
        <v>6.6E-3</v>
      </c>
      <c r="AA145" s="177" t="s">
        <v>2127</v>
      </c>
      <c r="AB145" s="177">
        <v>1E-3</v>
      </c>
      <c r="AC145" s="177" t="s">
        <v>2123</v>
      </c>
      <c r="AD145" s="177">
        <v>5.9999999999999995E-4</v>
      </c>
      <c r="AE145" s="177"/>
      <c r="AF145" s="177"/>
      <c r="AG145" s="177"/>
      <c r="AH145" s="177"/>
      <c r="AK145" s="1"/>
      <c r="AL145" s="1"/>
      <c r="AM145" s="1"/>
    </row>
    <row r="146" spans="4:39" ht="20.100000000000001" customHeight="1" x14ac:dyDescent="0.2">
      <c r="D146" s="177" t="s">
        <v>2179</v>
      </c>
      <c r="E146" s="177" t="s">
        <v>2186</v>
      </c>
      <c r="F146" s="177" t="s">
        <v>653</v>
      </c>
      <c r="G146" s="177">
        <v>1</v>
      </c>
      <c r="H146" s="177"/>
      <c r="I146" s="177"/>
      <c r="J146" s="177"/>
      <c r="K146" s="177">
        <v>15.5</v>
      </c>
      <c r="L146" s="177"/>
      <c r="M146" s="177"/>
      <c r="N146" s="177"/>
      <c r="O146" s="177" t="s">
        <v>617</v>
      </c>
      <c r="P146" s="177">
        <v>1</v>
      </c>
      <c r="Q146" s="177" t="s">
        <v>2127</v>
      </c>
      <c r="R146" s="177">
        <v>1E-3</v>
      </c>
      <c r="S146" s="177"/>
      <c r="T146" s="177"/>
      <c r="U146" s="177"/>
      <c r="V146" s="177"/>
      <c r="W146" s="177"/>
      <c r="X146" s="177"/>
      <c r="Y146" s="177"/>
      <c r="Z146" s="177"/>
      <c r="AA146" s="177"/>
      <c r="AB146" s="177"/>
      <c r="AC146" s="177"/>
      <c r="AD146" s="177"/>
      <c r="AE146" s="177"/>
      <c r="AF146" s="177"/>
      <c r="AG146" s="177"/>
      <c r="AH146" s="177"/>
      <c r="AK146" s="1"/>
      <c r="AL146" s="1"/>
      <c r="AM146" s="1"/>
    </row>
    <row r="147" spans="4:39" ht="20.100000000000001" customHeight="1" x14ac:dyDescent="0.2">
      <c r="D147" s="177" t="s">
        <v>2179</v>
      </c>
      <c r="E147" s="177" t="s">
        <v>2187</v>
      </c>
      <c r="F147" s="177" t="s">
        <v>653</v>
      </c>
      <c r="G147" s="177">
        <v>1</v>
      </c>
      <c r="H147" s="177"/>
      <c r="I147" s="177"/>
      <c r="J147" s="177"/>
      <c r="K147" s="177">
        <v>10</v>
      </c>
      <c r="L147" s="177">
        <v>21.9</v>
      </c>
      <c r="M147" s="177"/>
      <c r="N147" s="177"/>
      <c r="O147" s="177" t="s">
        <v>2062</v>
      </c>
      <c r="P147" s="177">
        <v>1</v>
      </c>
      <c r="Q147" s="177"/>
      <c r="R147" s="177"/>
      <c r="S147" s="177"/>
      <c r="T147" s="177"/>
      <c r="U147" s="177"/>
      <c r="V147" s="177"/>
      <c r="W147" s="177"/>
      <c r="X147" s="177"/>
      <c r="Y147" s="177"/>
      <c r="Z147" s="177"/>
      <c r="AA147" s="177"/>
      <c r="AB147" s="177"/>
      <c r="AC147" s="177"/>
      <c r="AD147" s="177"/>
      <c r="AE147" s="177"/>
      <c r="AF147" s="177"/>
      <c r="AG147" s="177"/>
      <c r="AH147" s="177"/>
      <c r="AK147" s="1"/>
      <c r="AL147" s="1"/>
      <c r="AM147" s="1"/>
    </row>
    <row r="148" spans="4:39" ht="20.100000000000001" customHeight="1" x14ac:dyDescent="0.2">
      <c r="D148" s="177" t="s">
        <v>2179</v>
      </c>
      <c r="E148" s="177" t="s">
        <v>2188</v>
      </c>
      <c r="F148" s="177" t="s">
        <v>653</v>
      </c>
      <c r="G148" s="177">
        <v>1</v>
      </c>
      <c r="H148" s="177"/>
      <c r="I148" s="177"/>
      <c r="J148" s="177"/>
      <c r="K148" s="177">
        <v>12</v>
      </c>
      <c r="L148" s="177">
        <v>5.2</v>
      </c>
      <c r="M148" s="177">
        <v>29.9</v>
      </c>
      <c r="N148" s="177">
        <v>1</v>
      </c>
      <c r="O148" s="177" t="s">
        <v>619</v>
      </c>
      <c r="P148" s="177">
        <v>0.29899999999999999</v>
      </c>
      <c r="Q148" s="177" t="s">
        <v>2073</v>
      </c>
      <c r="R148" s="177">
        <v>0.10100000000000001</v>
      </c>
      <c r="S148" s="177" t="s">
        <v>2078</v>
      </c>
      <c r="T148" s="177">
        <v>5.1999999999999998E-2</v>
      </c>
      <c r="U148" s="177" t="s">
        <v>2071</v>
      </c>
      <c r="V148" s="177">
        <v>1.9E-2</v>
      </c>
      <c r="W148" s="177" t="s">
        <v>620</v>
      </c>
      <c r="X148" s="177">
        <v>0.01</v>
      </c>
      <c r="Y148" s="177" t="s">
        <v>2122</v>
      </c>
      <c r="Z148" s="177">
        <v>6.0000000000000001E-3</v>
      </c>
      <c r="AA148" s="177" t="s">
        <v>2125</v>
      </c>
      <c r="AB148" s="177">
        <v>6.9999999999999999E-4</v>
      </c>
      <c r="AC148" s="177" t="s">
        <v>2124</v>
      </c>
      <c r="AD148" s="177">
        <v>4.0000000000000002E-4</v>
      </c>
      <c r="AE148" s="177" t="s">
        <v>2123</v>
      </c>
      <c r="AF148" s="177">
        <v>2.5000000000000001E-4</v>
      </c>
      <c r="AG148" s="177" t="s">
        <v>2127</v>
      </c>
      <c r="AH148" s="177">
        <v>2.5000000000000001E-4</v>
      </c>
      <c r="AK148" s="1"/>
      <c r="AL148" s="1"/>
      <c r="AM148" s="1"/>
    </row>
    <row r="149" spans="4:39" ht="20.100000000000001" customHeight="1" x14ac:dyDescent="0.2">
      <c r="D149" s="177" t="s">
        <v>2179</v>
      </c>
      <c r="E149" s="177" t="s">
        <v>2189</v>
      </c>
      <c r="F149" s="177" t="s">
        <v>653</v>
      </c>
      <c r="G149" s="177">
        <v>1</v>
      </c>
      <c r="H149" s="177"/>
      <c r="I149" s="177"/>
      <c r="J149" s="177"/>
      <c r="K149" s="177">
        <v>18</v>
      </c>
      <c r="L149" s="177">
        <v>7.9</v>
      </c>
      <c r="M149" s="177">
        <v>14.9</v>
      </c>
      <c r="N149" s="177">
        <v>2</v>
      </c>
      <c r="O149" s="177" t="s">
        <v>619</v>
      </c>
      <c r="P149" s="177">
        <v>0.14899999999999999</v>
      </c>
      <c r="Q149" s="177" t="s">
        <v>607</v>
      </c>
      <c r="R149" s="177">
        <v>0.21304300000000001</v>
      </c>
      <c r="S149" s="177" t="s">
        <v>2078</v>
      </c>
      <c r="T149" s="177">
        <v>7.9000000000000001E-2</v>
      </c>
      <c r="U149" s="177" t="s">
        <v>2073</v>
      </c>
      <c r="V149" s="177">
        <v>4.9000000000000002E-2</v>
      </c>
      <c r="W149" s="177" t="s">
        <v>2071</v>
      </c>
      <c r="X149" s="177">
        <v>3.3000000000000002E-2</v>
      </c>
      <c r="Y149" s="177" t="s">
        <v>620</v>
      </c>
      <c r="Z149" s="177">
        <v>0.02</v>
      </c>
      <c r="AA149" s="177" t="s">
        <v>2122</v>
      </c>
      <c r="AB149" s="177">
        <v>1.7999999999999999E-2</v>
      </c>
      <c r="AC149" s="177" t="s">
        <v>2125</v>
      </c>
      <c r="AD149" s="177">
        <v>6.9999999999999999E-4</v>
      </c>
      <c r="AE149" s="177" t="s">
        <v>2124</v>
      </c>
      <c r="AF149" s="177">
        <v>4.0000000000000002E-4</v>
      </c>
      <c r="AG149" s="177" t="s">
        <v>2123</v>
      </c>
      <c r="AH149" s="177">
        <v>2.5000000000000001E-4</v>
      </c>
      <c r="AK149" s="1"/>
      <c r="AL149" s="1"/>
      <c r="AM149" s="1"/>
    </row>
    <row r="150" spans="4:39" ht="20.100000000000001" customHeight="1" x14ac:dyDescent="0.2">
      <c r="D150" s="177" t="s">
        <v>2179</v>
      </c>
      <c r="E150" s="177" t="s">
        <v>2190</v>
      </c>
      <c r="F150" s="177" t="s">
        <v>653</v>
      </c>
      <c r="G150" s="177">
        <v>1</v>
      </c>
      <c r="H150" s="177"/>
      <c r="I150" s="177"/>
      <c r="J150" s="177"/>
      <c r="K150" s="177">
        <v>21</v>
      </c>
      <c r="L150" s="177">
        <v>7.4</v>
      </c>
      <c r="M150" s="177">
        <v>2.5</v>
      </c>
      <c r="N150" s="177">
        <v>4</v>
      </c>
      <c r="O150" s="177" t="s">
        <v>2073</v>
      </c>
      <c r="P150" s="177">
        <v>0.105</v>
      </c>
      <c r="Q150" s="177" t="s">
        <v>2071</v>
      </c>
      <c r="R150" s="177">
        <v>0.105</v>
      </c>
      <c r="S150" s="177" t="s">
        <v>2078</v>
      </c>
      <c r="T150" s="177">
        <v>7.3999999999999996E-2</v>
      </c>
      <c r="U150" s="177" t="s">
        <v>620</v>
      </c>
      <c r="V150" s="177">
        <v>0.04</v>
      </c>
      <c r="W150" s="177" t="s">
        <v>619</v>
      </c>
      <c r="X150" s="177">
        <v>2.5000000000000001E-2</v>
      </c>
      <c r="Y150" s="177" t="s">
        <v>2122</v>
      </c>
      <c r="Z150" s="177">
        <v>4.0000000000000001E-3</v>
      </c>
      <c r="AA150" s="177" t="s">
        <v>2123</v>
      </c>
      <c r="AB150" s="177">
        <v>1.5E-3</v>
      </c>
      <c r="AC150" s="177"/>
      <c r="AD150" s="177"/>
      <c r="AE150" s="177"/>
      <c r="AF150" s="177"/>
      <c r="AG150" s="177"/>
      <c r="AH150" s="177"/>
      <c r="AK150" s="1"/>
      <c r="AL150" s="1"/>
      <c r="AM150" s="1"/>
    </row>
    <row r="151" spans="4:39" ht="20.100000000000001" customHeight="1" x14ac:dyDescent="0.2">
      <c r="D151" s="177" t="s">
        <v>2179</v>
      </c>
      <c r="E151" s="177" t="s">
        <v>2191</v>
      </c>
      <c r="F151" s="177" t="s">
        <v>653</v>
      </c>
      <c r="G151" s="177">
        <v>1</v>
      </c>
      <c r="H151" s="177"/>
      <c r="I151" s="177"/>
      <c r="J151" s="177"/>
      <c r="K151" s="177">
        <v>7.5</v>
      </c>
      <c r="L151" s="177"/>
      <c r="M151" s="177">
        <v>29.9</v>
      </c>
      <c r="N151" s="177">
        <v>4</v>
      </c>
      <c r="O151" s="177" t="s">
        <v>619</v>
      </c>
      <c r="P151" s="177">
        <v>0.29899999999999999</v>
      </c>
      <c r="Q151" s="177" t="s">
        <v>2073</v>
      </c>
      <c r="R151" s="177">
        <v>5.1999999999999998E-2</v>
      </c>
      <c r="S151" s="177" t="s">
        <v>620</v>
      </c>
      <c r="T151" s="177">
        <v>0.04</v>
      </c>
      <c r="U151" s="177" t="s">
        <v>2122</v>
      </c>
      <c r="V151" s="177">
        <v>2.7E-2</v>
      </c>
      <c r="W151" s="177" t="s">
        <v>2071</v>
      </c>
      <c r="X151" s="177">
        <v>2.3E-2</v>
      </c>
      <c r="Y151" s="177"/>
      <c r="Z151" s="177"/>
      <c r="AA151" s="177"/>
      <c r="AB151" s="177"/>
      <c r="AC151" s="177"/>
      <c r="AD151" s="177"/>
      <c r="AE151" s="177"/>
      <c r="AF151" s="177"/>
      <c r="AG151" s="177"/>
      <c r="AH151" s="177"/>
      <c r="AK151" s="1"/>
      <c r="AL151" s="1"/>
      <c r="AM151" s="1"/>
    </row>
    <row r="152" spans="4:39" ht="20.100000000000001" customHeight="1" x14ac:dyDescent="0.2">
      <c r="D152" s="177" t="s">
        <v>2110</v>
      </c>
      <c r="E152" s="177" t="s">
        <v>2192</v>
      </c>
      <c r="F152" s="177" t="s">
        <v>653</v>
      </c>
      <c r="G152" s="177">
        <v>1</v>
      </c>
      <c r="H152" s="177"/>
      <c r="I152" s="177"/>
      <c r="J152" s="177"/>
      <c r="K152" s="177">
        <v>10</v>
      </c>
      <c r="L152" s="177">
        <v>21.9</v>
      </c>
      <c r="M152" s="177"/>
      <c r="N152" s="177"/>
      <c r="O152" s="177" t="s">
        <v>2062</v>
      </c>
      <c r="P152" s="177">
        <v>1</v>
      </c>
      <c r="Q152" s="177"/>
      <c r="R152" s="177"/>
      <c r="S152" s="177"/>
      <c r="T152" s="177"/>
      <c r="U152" s="177"/>
      <c r="V152" s="177"/>
      <c r="W152" s="177"/>
      <c r="X152" s="177"/>
      <c r="Y152" s="177"/>
      <c r="Z152" s="177"/>
      <c r="AA152" s="177"/>
      <c r="AB152" s="177"/>
      <c r="AC152" s="177"/>
      <c r="AD152" s="177"/>
      <c r="AE152" s="177"/>
      <c r="AF152" s="177"/>
      <c r="AG152" s="177"/>
      <c r="AH152" s="177"/>
      <c r="AK152" s="1"/>
      <c r="AL152" s="1"/>
      <c r="AM152" s="1"/>
    </row>
    <row r="153" spans="4:39" ht="20.100000000000001" customHeight="1" x14ac:dyDescent="0.2">
      <c r="D153" s="177" t="s">
        <v>2110</v>
      </c>
      <c r="E153" s="177" t="s">
        <v>2193</v>
      </c>
      <c r="F153" s="177" t="s">
        <v>653</v>
      </c>
      <c r="G153" s="177">
        <v>1</v>
      </c>
      <c r="H153" s="177"/>
      <c r="I153" s="177"/>
      <c r="J153" s="177"/>
      <c r="K153" s="177">
        <v>21</v>
      </c>
      <c r="L153" s="177"/>
      <c r="M153" s="177"/>
      <c r="N153" s="177">
        <v>24</v>
      </c>
      <c r="O153" s="177" t="s">
        <v>2066</v>
      </c>
      <c r="P153" s="177">
        <v>1</v>
      </c>
      <c r="Q153" s="177"/>
      <c r="R153" s="177"/>
      <c r="S153" s="177"/>
      <c r="T153" s="177"/>
      <c r="U153" s="177"/>
      <c r="V153" s="177"/>
      <c r="W153" s="177"/>
      <c r="X153" s="177"/>
      <c r="Y153" s="177"/>
      <c r="Z153" s="177"/>
      <c r="AA153" s="177"/>
      <c r="AB153" s="177"/>
      <c r="AC153" s="177"/>
      <c r="AD153" s="177"/>
      <c r="AE153" s="177"/>
      <c r="AF153" s="177"/>
      <c r="AG153" s="177"/>
      <c r="AH153" s="177"/>
      <c r="AK153" s="1"/>
      <c r="AL153" s="1"/>
      <c r="AM153" s="1"/>
    </row>
    <row r="154" spans="4:39" ht="20.100000000000001" customHeight="1" x14ac:dyDescent="0.2">
      <c r="D154" s="177" t="s">
        <v>2110</v>
      </c>
      <c r="E154" s="177" t="s">
        <v>2194</v>
      </c>
      <c r="F154" s="177" t="s">
        <v>653</v>
      </c>
      <c r="G154" s="177">
        <v>1</v>
      </c>
      <c r="H154" s="177"/>
      <c r="I154" s="177"/>
      <c r="J154" s="177"/>
      <c r="K154" s="177">
        <v>12</v>
      </c>
      <c r="L154" s="177">
        <v>5</v>
      </c>
      <c r="M154" s="177">
        <v>14</v>
      </c>
      <c r="N154" s="177">
        <v>9.6999999999999993</v>
      </c>
      <c r="O154" s="177" t="s">
        <v>619</v>
      </c>
      <c r="P154" s="177">
        <v>0.14000000000000001</v>
      </c>
      <c r="Q154" s="177" t="s">
        <v>620</v>
      </c>
      <c r="R154" s="177">
        <v>9.7000000000000003E-2</v>
      </c>
      <c r="S154" s="177" t="s">
        <v>2073</v>
      </c>
      <c r="T154" s="177">
        <v>0.06</v>
      </c>
      <c r="U154" s="177" t="s">
        <v>2071</v>
      </c>
      <c r="V154" s="177">
        <v>0.06</v>
      </c>
      <c r="W154" s="177" t="s">
        <v>2078</v>
      </c>
      <c r="X154" s="177">
        <v>0.05</v>
      </c>
      <c r="Y154" s="177" t="s">
        <v>2115</v>
      </c>
      <c r="Z154" s="177">
        <v>3.1E-2</v>
      </c>
      <c r="AA154" s="177" t="s">
        <v>2122</v>
      </c>
      <c r="AB154" s="177">
        <v>1.2E-2</v>
      </c>
      <c r="AC154" s="177" t="s">
        <v>2123</v>
      </c>
      <c r="AD154" s="177">
        <v>1E-3</v>
      </c>
      <c r="AE154" s="177" t="s">
        <v>2127</v>
      </c>
      <c r="AF154" s="177">
        <v>2.0000000000000001E-4</v>
      </c>
      <c r="AG154" s="177"/>
      <c r="AH154" s="177"/>
      <c r="AK154" s="1"/>
    </row>
    <row r="155" spans="4:39" ht="20.100000000000001" customHeight="1" x14ac:dyDescent="0.2">
      <c r="D155" s="177" t="s">
        <v>2110</v>
      </c>
      <c r="E155" s="177" t="s">
        <v>2195</v>
      </c>
      <c r="F155" s="177" t="s">
        <v>653</v>
      </c>
      <c r="G155" s="177">
        <v>1</v>
      </c>
      <c r="H155" s="177"/>
      <c r="I155" s="177"/>
      <c r="J155" s="177"/>
      <c r="K155" s="177">
        <v>10</v>
      </c>
      <c r="L155" s="177">
        <v>11</v>
      </c>
      <c r="M155" s="177">
        <v>10</v>
      </c>
      <c r="N155" s="177">
        <v>6</v>
      </c>
      <c r="O155" s="177" t="s">
        <v>2078</v>
      </c>
      <c r="P155" s="177">
        <v>0.11</v>
      </c>
      <c r="Q155" s="177" t="s">
        <v>619</v>
      </c>
      <c r="R155" s="177">
        <v>0.1</v>
      </c>
      <c r="S155" s="177" t="s">
        <v>620</v>
      </c>
      <c r="T155" s="177">
        <v>0.06</v>
      </c>
      <c r="U155" s="177" t="s">
        <v>2073</v>
      </c>
      <c r="V155" s="177">
        <v>0.05</v>
      </c>
      <c r="W155" s="177" t="s">
        <v>2071</v>
      </c>
      <c r="X155" s="177">
        <v>0.05</v>
      </c>
      <c r="Y155" s="177" t="s">
        <v>2115</v>
      </c>
      <c r="Z155" s="177">
        <v>4.2999999999999997E-2</v>
      </c>
      <c r="AA155" s="177" t="s">
        <v>2122</v>
      </c>
      <c r="AB155" s="177">
        <v>1.2E-2</v>
      </c>
      <c r="AC155" s="177" t="s">
        <v>2123</v>
      </c>
      <c r="AD155" s="177">
        <v>3.5999999999999999E-3</v>
      </c>
      <c r="AE155" s="177" t="s">
        <v>2127</v>
      </c>
      <c r="AF155" s="177">
        <v>1E-3</v>
      </c>
      <c r="AG155" s="177"/>
      <c r="AH155" s="177"/>
      <c r="AK155" s="1"/>
    </row>
    <row r="156" spans="4:39" ht="20.100000000000001" customHeight="1" x14ac:dyDescent="0.2">
      <c r="D156" s="177" t="s">
        <v>2110</v>
      </c>
      <c r="E156" s="177" t="s">
        <v>2196</v>
      </c>
      <c r="F156" s="177" t="s">
        <v>653</v>
      </c>
      <c r="G156" s="177">
        <v>1</v>
      </c>
      <c r="H156" s="177"/>
      <c r="I156" s="177"/>
      <c r="J156" s="177"/>
      <c r="K156" s="177">
        <v>11</v>
      </c>
      <c r="L156" s="177">
        <v>2.6</v>
      </c>
      <c r="M156" s="177">
        <v>20.8</v>
      </c>
      <c r="N156" s="177">
        <v>4</v>
      </c>
      <c r="O156" s="177" t="s">
        <v>2073</v>
      </c>
      <c r="P156" s="177">
        <v>5.5E-2</v>
      </c>
      <c r="Q156" s="177" t="s">
        <v>2071</v>
      </c>
      <c r="R156" s="177">
        <v>5.5E-2</v>
      </c>
      <c r="S156" s="177" t="s">
        <v>2078</v>
      </c>
      <c r="T156" s="177">
        <v>2.5999999999999999E-2</v>
      </c>
      <c r="U156" s="177" t="s">
        <v>619</v>
      </c>
      <c r="V156" s="177">
        <v>0.20799999999999999</v>
      </c>
      <c r="W156" s="177" t="s">
        <v>620</v>
      </c>
      <c r="X156" s="177">
        <v>0.04</v>
      </c>
      <c r="Y156" s="177" t="s">
        <v>2122</v>
      </c>
      <c r="Z156" s="177">
        <v>2.4E-2</v>
      </c>
      <c r="AA156" s="177"/>
      <c r="AB156" s="177"/>
      <c r="AC156" s="177"/>
      <c r="AD156" s="177"/>
      <c r="AE156" s="177"/>
      <c r="AF156" s="177"/>
      <c r="AG156" s="177"/>
      <c r="AH156" s="177"/>
      <c r="AK156" s="1"/>
    </row>
    <row r="157" spans="4:39" ht="20.100000000000001" customHeight="1" x14ac:dyDescent="0.2">
      <c r="D157" s="177" t="s">
        <v>2110</v>
      </c>
      <c r="E157" s="177" t="s">
        <v>2197</v>
      </c>
      <c r="F157" s="177" t="s">
        <v>653</v>
      </c>
      <c r="G157" s="177">
        <v>1</v>
      </c>
      <c r="H157" s="177"/>
      <c r="I157" s="177"/>
      <c r="J157" s="177"/>
      <c r="K157" s="177">
        <v>12</v>
      </c>
      <c r="L157" s="177">
        <v>5.2</v>
      </c>
      <c r="M157" s="177">
        <v>14.1</v>
      </c>
      <c r="N157" s="177">
        <v>9.6</v>
      </c>
      <c r="O157" s="177" t="s">
        <v>619</v>
      </c>
      <c r="P157" s="177">
        <v>0.14099999999999999</v>
      </c>
      <c r="Q157" s="177" t="s">
        <v>620</v>
      </c>
      <c r="R157" s="177">
        <v>9.6000000000000002E-2</v>
      </c>
      <c r="S157" s="177" t="s">
        <v>2073</v>
      </c>
      <c r="T157" s="177">
        <v>0.06</v>
      </c>
      <c r="U157" s="177" t="s">
        <v>2071</v>
      </c>
      <c r="V157" s="177">
        <v>0.06</v>
      </c>
      <c r="W157" s="177" t="s">
        <v>2078</v>
      </c>
      <c r="X157" s="177">
        <v>5.1999999999999998E-2</v>
      </c>
      <c r="Y157" s="177" t="s">
        <v>2122</v>
      </c>
      <c r="Z157" s="177">
        <v>1.2E-2</v>
      </c>
      <c r="AA157" s="177" t="s">
        <v>2123</v>
      </c>
      <c r="AB157" s="177">
        <v>8.0000000000000004E-4</v>
      </c>
      <c r="AC157" s="177" t="s">
        <v>2125</v>
      </c>
      <c r="AD157" s="177">
        <v>6.9999999999999999E-4</v>
      </c>
      <c r="AE157" s="177" t="s">
        <v>2124</v>
      </c>
      <c r="AF157" s="177">
        <v>5.9999999999999995E-4</v>
      </c>
      <c r="AG157" s="177" t="s">
        <v>2127</v>
      </c>
      <c r="AH157" s="177">
        <v>2.0000000000000001E-4</v>
      </c>
      <c r="AK157" s="1"/>
    </row>
    <row r="158" spans="4:39" ht="20.100000000000001" customHeight="1" x14ac:dyDescent="0.2">
      <c r="D158" s="177" t="s">
        <v>2110</v>
      </c>
      <c r="E158" s="177" t="s">
        <v>2198</v>
      </c>
      <c r="F158" s="177" t="s">
        <v>653</v>
      </c>
      <c r="G158" s="177">
        <v>1</v>
      </c>
      <c r="H158" s="177"/>
      <c r="I158" s="177"/>
      <c r="J158" s="177"/>
      <c r="K158" s="177">
        <v>25</v>
      </c>
      <c r="L158" s="177"/>
      <c r="M158" s="177"/>
      <c r="N158" s="177">
        <v>12.8</v>
      </c>
      <c r="O158" s="177" t="s">
        <v>2066</v>
      </c>
      <c r="P158" s="177">
        <v>0.53333299999999995</v>
      </c>
      <c r="Q158" s="177" t="s">
        <v>2068</v>
      </c>
      <c r="R158" s="177">
        <v>0.40949600000000003</v>
      </c>
      <c r="S158" s="177" t="s">
        <v>2123</v>
      </c>
      <c r="T158" s="177">
        <v>1E-3</v>
      </c>
      <c r="U158" s="177" t="s">
        <v>2124</v>
      </c>
      <c r="V158" s="177">
        <v>1E-3</v>
      </c>
      <c r="W158" s="177" t="s">
        <v>2127</v>
      </c>
      <c r="X158" s="177">
        <v>1E-4</v>
      </c>
      <c r="Y158" s="177" t="s">
        <v>2169</v>
      </c>
      <c r="Z158" s="258">
        <v>1.0000000000000001E-5</v>
      </c>
      <c r="AA158" s="177"/>
      <c r="AB158" s="177"/>
      <c r="AC158" s="177"/>
      <c r="AD158" s="177"/>
      <c r="AE158" s="177"/>
      <c r="AF158" s="177"/>
      <c r="AG158" s="177"/>
      <c r="AH158" s="177"/>
      <c r="AK158" s="1"/>
    </row>
    <row r="159" spans="4:39" ht="20.100000000000001" customHeight="1" x14ac:dyDescent="0.2">
      <c r="D159" s="177" t="s">
        <v>2199</v>
      </c>
      <c r="E159" s="177" t="s">
        <v>2200</v>
      </c>
      <c r="F159" s="177" t="s">
        <v>653</v>
      </c>
      <c r="G159" s="177">
        <v>1</v>
      </c>
      <c r="H159" s="177"/>
      <c r="I159" s="177"/>
      <c r="J159" s="177"/>
      <c r="K159" s="177"/>
      <c r="L159" s="177">
        <v>8.8000000000000007</v>
      </c>
      <c r="M159" s="177"/>
      <c r="N159" s="177">
        <v>11</v>
      </c>
      <c r="O159" s="177" t="s">
        <v>2086</v>
      </c>
      <c r="P159" s="177">
        <v>1</v>
      </c>
      <c r="Q159" s="177"/>
      <c r="R159" s="177"/>
      <c r="S159" s="177"/>
      <c r="T159" s="177"/>
      <c r="U159" s="177"/>
      <c r="V159" s="177"/>
      <c r="W159" s="177"/>
      <c r="X159" s="177"/>
      <c r="Y159" s="177"/>
      <c r="Z159" s="177"/>
      <c r="AA159" s="177"/>
      <c r="AB159" s="177"/>
      <c r="AC159" s="177"/>
      <c r="AD159" s="177"/>
      <c r="AE159" s="177"/>
      <c r="AF159" s="177"/>
      <c r="AG159" s="177"/>
      <c r="AH159" s="177"/>
      <c r="AK159" s="1"/>
    </row>
    <row r="160" spans="4:39" ht="20.100000000000001" customHeight="1" x14ac:dyDescent="0.2">
      <c r="D160" s="177" t="s">
        <v>2139</v>
      </c>
      <c r="E160" s="177" t="s">
        <v>2201</v>
      </c>
      <c r="F160" s="177" t="s">
        <v>653</v>
      </c>
      <c r="G160" s="177">
        <v>1</v>
      </c>
      <c r="H160" s="177"/>
      <c r="I160" s="177"/>
      <c r="J160" s="177"/>
      <c r="K160" s="177">
        <v>10</v>
      </c>
      <c r="L160" s="177">
        <v>21.9</v>
      </c>
      <c r="M160" s="177">
        <v>0</v>
      </c>
      <c r="N160" s="177">
        <v>2</v>
      </c>
      <c r="O160" s="177" t="s">
        <v>2062</v>
      </c>
      <c r="P160" s="177">
        <v>1</v>
      </c>
      <c r="Q160" s="177" t="s">
        <v>2123</v>
      </c>
      <c r="R160" s="177">
        <v>0.01</v>
      </c>
      <c r="S160" s="177"/>
      <c r="T160" s="177"/>
      <c r="U160" s="177"/>
      <c r="V160" s="177"/>
      <c r="W160" s="177"/>
      <c r="X160" s="177"/>
      <c r="Y160" s="177"/>
      <c r="Z160" s="177"/>
      <c r="AA160" s="177"/>
      <c r="AB160" s="177"/>
      <c r="AC160" s="177"/>
      <c r="AD160" s="177"/>
      <c r="AE160" s="177"/>
      <c r="AF160" s="177"/>
      <c r="AG160" s="177"/>
      <c r="AH160" s="177"/>
      <c r="AK160" s="1"/>
    </row>
    <row r="161" spans="1:37" ht="20.100000000000001" customHeight="1" x14ac:dyDescent="0.2">
      <c r="A161" s="85" t="str">
        <f>HYPERLINK("#A1", "▲ Back to top")</f>
        <v>▲ Back to top</v>
      </c>
      <c r="D161" s="177" t="s">
        <v>2202</v>
      </c>
      <c r="E161" s="177" t="s">
        <v>2203</v>
      </c>
      <c r="F161" s="177" t="s">
        <v>653</v>
      </c>
      <c r="G161" s="177">
        <v>1</v>
      </c>
      <c r="H161" s="177"/>
      <c r="I161" s="177"/>
      <c r="J161" s="177"/>
      <c r="K161" s="177">
        <v>21</v>
      </c>
      <c r="L161" s="177">
        <v>0.86</v>
      </c>
      <c r="M161" s="177">
        <v>5.8</v>
      </c>
      <c r="N161" s="177">
        <v>4.2</v>
      </c>
      <c r="O161" s="177" t="s">
        <v>2076</v>
      </c>
      <c r="P161" s="177">
        <v>0.21</v>
      </c>
      <c r="Q161" s="177" t="s">
        <v>619</v>
      </c>
      <c r="R161" s="177">
        <v>5.8000000000000003E-2</v>
      </c>
      <c r="S161" s="177" t="s">
        <v>620</v>
      </c>
      <c r="T161" s="177">
        <v>4.2000000000000003E-2</v>
      </c>
      <c r="U161" s="177" t="s">
        <v>2078</v>
      </c>
      <c r="V161" s="177">
        <v>8.6E-3</v>
      </c>
      <c r="W161" s="177"/>
      <c r="X161" s="177"/>
      <c r="Y161" s="177"/>
      <c r="Z161" s="177"/>
      <c r="AA161" s="177"/>
      <c r="AB161" s="177"/>
      <c r="AC161" s="177"/>
      <c r="AD161" s="177"/>
      <c r="AE161" s="177"/>
      <c r="AF161" s="177"/>
      <c r="AG161" s="177"/>
      <c r="AH161" s="177"/>
      <c r="AK161" s="1"/>
    </row>
    <row r="162" spans="1:37" ht="20.100000000000001" customHeight="1" x14ac:dyDescent="0.2">
      <c r="D162" s="177" t="s">
        <v>2141</v>
      </c>
      <c r="E162" s="177" t="s">
        <v>2204</v>
      </c>
      <c r="F162" s="177" t="s">
        <v>653</v>
      </c>
      <c r="G162" s="177">
        <v>1</v>
      </c>
      <c r="H162" s="177"/>
      <c r="I162" s="177"/>
      <c r="J162" s="177"/>
      <c r="K162" s="177"/>
      <c r="L162" s="177">
        <v>8.8000000000000007</v>
      </c>
      <c r="M162" s="177"/>
      <c r="N162" s="177">
        <v>11</v>
      </c>
      <c r="O162" s="177" t="s">
        <v>2086</v>
      </c>
      <c r="P162" s="177">
        <v>1</v>
      </c>
      <c r="Q162" s="177"/>
      <c r="R162" s="177"/>
      <c r="S162" s="177"/>
      <c r="T162" s="177"/>
      <c r="U162" s="177"/>
      <c r="V162" s="177"/>
      <c r="W162" s="177"/>
      <c r="X162" s="177"/>
      <c r="Y162" s="177"/>
      <c r="Z162" s="177"/>
      <c r="AA162" s="177"/>
      <c r="AB162" s="177"/>
      <c r="AC162" s="177"/>
      <c r="AD162" s="177"/>
      <c r="AE162" s="177"/>
      <c r="AF162" s="177"/>
      <c r="AG162" s="177"/>
      <c r="AH162" s="177"/>
      <c r="AK162" s="1"/>
    </row>
    <row r="163" spans="1:37" ht="20.100000000000001" customHeight="1" x14ac:dyDescent="0.2">
      <c r="D163" s="177" t="s">
        <v>2205</v>
      </c>
      <c r="E163" s="177" t="s">
        <v>2206</v>
      </c>
      <c r="F163" s="177" t="s">
        <v>653</v>
      </c>
      <c r="G163" s="177">
        <v>1</v>
      </c>
      <c r="H163" s="177"/>
      <c r="I163" s="177"/>
      <c r="J163" s="177"/>
      <c r="K163" s="177">
        <v>82.35</v>
      </c>
      <c r="L163" s="177"/>
      <c r="M163" s="177"/>
      <c r="N163" s="177"/>
      <c r="O163" s="177" t="s">
        <v>623</v>
      </c>
      <c r="P163" s="177">
        <v>1</v>
      </c>
      <c r="Q163" s="177"/>
      <c r="R163" s="177"/>
      <c r="S163" s="177"/>
      <c r="T163" s="177"/>
      <c r="U163" s="177"/>
      <c r="V163" s="177"/>
      <c r="W163" s="177"/>
      <c r="X163" s="177"/>
      <c r="Y163" s="177"/>
      <c r="Z163" s="177"/>
      <c r="AA163" s="177"/>
      <c r="AB163" s="177"/>
      <c r="AC163" s="177"/>
      <c r="AD163" s="177"/>
      <c r="AE163" s="177"/>
      <c r="AF163" s="177"/>
      <c r="AG163" s="177"/>
      <c r="AH163" s="177"/>
      <c r="AK163" s="1"/>
    </row>
    <row r="164" spans="1:37" ht="20.100000000000001" customHeight="1" x14ac:dyDescent="0.2">
      <c r="D164" s="177" t="s">
        <v>2141</v>
      </c>
      <c r="E164" s="177" t="s">
        <v>2207</v>
      </c>
      <c r="F164" s="177" t="s">
        <v>653</v>
      </c>
      <c r="G164" s="177">
        <v>1</v>
      </c>
      <c r="H164" s="177" t="s">
        <v>361</v>
      </c>
      <c r="I164" s="177"/>
      <c r="J164" s="177"/>
      <c r="K164" s="177">
        <v>46</v>
      </c>
      <c r="L164" s="177"/>
      <c r="M164" s="177"/>
      <c r="N164" s="177"/>
      <c r="O164" s="177" t="s">
        <v>607</v>
      </c>
      <c r="P164" s="177">
        <v>1</v>
      </c>
      <c r="Q164" s="177"/>
      <c r="R164" s="177"/>
      <c r="S164" s="177"/>
      <c r="T164" s="177"/>
      <c r="U164" s="177"/>
      <c r="V164" s="177"/>
      <c r="W164" s="177"/>
      <c r="X164" s="177"/>
      <c r="Y164" s="177"/>
      <c r="Z164" s="177"/>
      <c r="AA164" s="177"/>
      <c r="AB164" s="177"/>
      <c r="AC164" s="177"/>
      <c r="AD164" s="177"/>
      <c r="AE164" s="177"/>
      <c r="AF164" s="177"/>
      <c r="AG164" s="177"/>
      <c r="AH164" s="177"/>
      <c r="AK164" s="1"/>
    </row>
    <row r="165" spans="1:37" ht="20.100000000000001" customHeight="1" x14ac:dyDescent="0.2">
      <c r="D165" s="177" t="s">
        <v>2208</v>
      </c>
      <c r="E165" s="177" t="s">
        <v>2209</v>
      </c>
      <c r="F165" s="177" t="s">
        <v>653</v>
      </c>
      <c r="G165" s="177">
        <v>1</v>
      </c>
      <c r="H165" s="177" t="s">
        <v>361</v>
      </c>
      <c r="I165" s="177"/>
      <c r="J165" s="177"/>
      <c r="K165" s="177">
        <v>45.54</v>
      </c>
      <c r="L165" s="177"/>
      <c r="M165" s="177"/>
      <c r="N165" s="177"/>
      <c r="O165" s="177" t="s">
        <v>607</v>
      </c>
      <c r="P165" s="177">
        <v>0.99</v>
      </c>
      <c r="Q165" s="177" t="s">
        <v>2210</v>
      </c>
      <c r="R165" s="177">
        <v>0.01</v>
      </c>
      <c r="S165" s="177"/>
      <c r="T165" s="177"/>
      <c r="U165" s="177"/>
      <c r="V165" s="177"/>
      <c r="W165" s="177"/>
      <c r="X165" s="177"/>
      <c r="Y165" s="177"/>
      <c r="Z165" s="177"/>
      <c r="AA165" s="177"/>
      <c r="AB165" s="177"/>
      <c r="AC165" s="177"/>
      <c r="AD165" s="177"/>
      <c r="AE165" s="177"/>
      <c r="AF165" s="177"/>
      <c r="AG165" s="177"/>
      <c r="AH165" s="177"/>
      <c r="AK165" s="1"/>
    </row>
    <row r="166" spans="1:37" ht="20.100000000000001" customHeight="1" x14ac:dyDescent="0.2">
      <c r="D166" s="177" t="s">
        <v>2211</v>
      </c>
      <c r="E166" s="177" t="s">
        <v>2212</v>
      </c>
      <c r="F166" s="177" t="s">
        <v>653</v>
      </c>
      <c r="G166" s="177">
        <v>1</v>
      </c>
      <c r="H166" s="177"/>
      <c r="I166" s="177"/>
      <c r="J166" s="177"/>
      <c r="K166" s="177"/>
      <c r="L166" s="177"/>
      <c r="M166" s="177">
        <v>50</v>
      </c>
      <c r="N166" s="177"/>
      <c r="O166" s="177" t="s">
        <v>2084</v>
      </c>
      <c r="P166" s="177">
        <v>1</v>
      </c>
      <c r="Q166" s="177"/>
      <c r="R166" s="177"/>
      <c r="S166" s="177"/>
      <c r="T166" s="177"/>
      <c r="U166" s="177"/>
      <c r="V166" s="177"/>
      <c r="W166" s="177"/>
      <c r="X166" s="177"/>
      <c r="Y166" s="177"/>
      <c r="Z166" s="177"/>
      <c r="AA166" s="177"/>
      <c r="AB166" s="177"/>
      <c r="AC166" s="177"/>
      <c r="AD166" s="177"/>
      <c r="AE166" s="177"/>
      <c r="AF166" s="177"/>
      <c r="AG166" s="177"/>
      <c r="AH166" s="177"/>
      <c r="AK166" s="1"/>
    </row>
    <row r="167" spans="1:37" ht="20.100000000000001" customHeight="1" x14ac:dyDescent="0.2">
      <c r="D167" s="177" t="s">
        <v>2213</v>
      </c>
      <c r="E167" s="177" t="s">
        <v>2214</v>
      </c>
      <c r="F167" s="177" t="s">
        <v>653</v>
      </c>
      <c r="G167" s="177">
        <v>1</v>
      </c>
      <c r="H167" s="177"/>
      <c r="I167" s="177"/>
      <c r="J167" s="177"/>
      <c r="K167" s="177">
        <v>10</v>
      </c>
      <c r="L167" s="177">
        <v>21.9</v>
      </c>
      <c r="M167" s="177"/>
      <c r="N167" s="177"/>
      <c r="O167" s="177" t="s">
        <v>2062</v>
      </c>
      <c r="P167" s="177">
        <v>1</v>
      </c>
      <c r="Q167" s="177"/>
      <c r="R167" s="177"/>
      <c r="S167" s="177"/>
      <c r="T167" s="177"/>
      <c r="U167" s="177"/>
      <c r="V167" s="177"/>
      <c r="W167" s="177"/>
      <c r="X167" s="177"/>
      <c r="Y167" s="177"/>
      <c r="Z167" s="177"/>
      <c r="AA167" s="177"/>
      <c r="AB167" s="177"/>
      <c r="AC167" s="177"/>
      <c r="AD167" s="177"/>
      <c r="AE167" s="177"/>
      <c r="AF167" s="177"/>
      <c r="AG167" s="177"/>
      <c r="AH167" s="177"/>
      <c r="AK167" s="1"/>
    </row>
    <row r="168" spans="1:37" ht="20.100000000000001" customHeight="1" x14ac:dyDescent="0.2">
      <c r="D168" s="177" t="s">
        <v>2110</v>
      </c>
      <c r="E168" s="177" t="s">
        <v>2215</v>
      </c>
      <c r="F168" s="177" t="s">
        <v>653</v>
      </c>
      <c r="G168" s="177">
        <v>1</v>
      </c>
      <c r="H168" s="177"/>
      <c r="I168" s="177"/>
      <c r="J168" s="177"/>
      <c r="K168" s="177">
        <v>26</v>
      </c>
      <c r="L168" s="177"/>
      <c r="M168" s="177"/>
      <c r="N168" s="177">
        <v>13</v>
      </c>
      <c r="O168" s="177" t="s">
        <v>2066</v>
      </c>
      <c r="P168" s="177">
        <v>0.54166700000000001</v>
      </c>
      <c r="Q168" s="177" t="s">
        <v>2068</v>
      </c>
      <c r="R168" s="177">
        <v>0.43397599999999997</v>
      </c>
      <c r="S168" s="177"/>
      <c r="T168" s="177"/>
      <c r="U168" s="177"/>
      <c r="V168" s="177"/>
      <c r="W168" s="177"/>
      <c r="X168" s="177"/>
      <c r="Y168" s="177"/>
      <c r="Z168" s="177"/>
      <c r="AA168" s="177"/>
      <c r="AB168" s="177"/>
      <c r="AC168" s="177"/>
      <c r="AD168" s="177"/>
      <c r="AE168" s="177"/>
      <c r="AF168" s="177"/>
      <c r="AG168" s="177"/>
      <c r="AH168" s="177"/>
      <c r="AK168" s="1"/>
    </row>
    <row r="169" spans="1:37" ht="20.100000000000001" customHeight="1" x14ac:dyDescent="0.2">
      <c r="D169" s="177" t="s">
        <v>2216</v>
      </c>
      <c r="E169" s="177" t="s">
        <v>2217</v>
      </c>
      <c r="F169" s="177" t="s">
        <v>896</v>
      </c>
      <c r="G169" s="177">
        <v>1.2350000000000001</v>
      </c>
      <c r="H169" s="177"/>
      <c r="I169" s="177"/>
      <c r="J169" s="177"/>
      <c r="K169" s="177">
        <v>26.6</v>
      </c>
      <c r="L169" s="177"/>
      <c r="M169" s="177"/>
      <c r="N169" s="177">
        <v>6.7</v>
      </c>
      <c r="O169" s="177" t="s">
        <v>607</v>
      </c>
      <c r="P169" s="177">
        <v>0.45081500000000002</v>
      </c>
      <c r="Q169" s="177" t="s">
        <v>2066</v>
      </c>
      <c r="R169" s="177">
        <v>0.279167</v>
      </c>
      <c r="S169" s="177"/>
      <c r="T169" s="177"/>
      <c r="U169" s="177"/>
      <c r="V169" s="177"/>
      <c r="W169" s="177"/>
      <c r="X169" s="177"/>
      <c r="Y169" s="177"/>
      <c r="Z169" s="177"/>
      <c r="AA169" s="177"/>
      <c r="AB169" s="177"/>
      <c r="AC169" s="177"/>
      <c r="AD169" s="177"/>
      <c r="AE169" s="177"/>
      <c r="AF169" s="177"/>
      <c r="AG169" s="177"/>
      <c r="AH169" s="177"/>
      <c r="AK169" s="1"/>
    </row>
    <row r="170" spans="1:37" ht="20.100000000000001" customHeight="1" x14ac:dyDescent="0.2">
      <c r="D170" s="177" t="s">
        <v>2216</v>
      </c>
      <c r="E170" s="177" t="s">
        <v>2218</v>
      </c>
      <c r="F170" s="177" t="s">
        <v>896</v>
      </c>
      <c r="G170" s="177">
        <v>1.28</v>
      </c>
      <c r="H170" s="177"/>
      <c r="I170" s="177"/>
      <c r="J170" s="177"/>
      <c r="K170" s="177">
        <v>0</v>
      </c>
      <c r="L170" s="177"/>
      <c r="M170" s="177"/>
      <c r="N170" s="177"/>
      <c r="O170" s="177" t="s">
        <v>607</v>
      </c>
      <c r="P170" s="177">
        <v>0.65217400000000003</v>
      </c>
      <c r="Q170" s="177"/>
      <c r="R170" s="177"/>
      <c r="S170" s="177"/>
      <c r="T170" s="177"/>
      <c r="U170" s="177"/>
      <c r="V170" s="177"/>
      <c r="W170" s="177"/>
      <c r="X170" s="177"/>
      <c r="Y170" s="177"/>
      <c r="Z170" s="177"/>
      <c r="AA170" s="177"/>
      <c r="AB170" s="177"/>
      <c r="AC170" s="177"/>
      <c r="AD170" s="177"/>
      <c r="AE170" s="177"/>
      <c r="AF170" s="177"/>
      <c r="AG170" s="177"/>
      <c r="AH170" s="177"/>
      <c r="AK170" s="1"/>
    </row>
    <row r="171" spans="1:37" ht="20.100000000000001" customHeight="1" x14ac:dyDescent="0.2">
      <c r="D171" s="177" t="s">
        <v>2219</v>
      </c>
      <c r="E171" s="177" t="s">
        <v>2220</v>
      </c>
      <c r="F171" s="177" t="s">
        <v>653</v>
      </c>
      <c r="G171" s="177">
        <v>1</v>
      </c>
      <c r="H171" s="177"/>
      <c r="I171" s="177"/>
      <c r="J171" s="177"/>
      <c r="K171" s="177">
        <v>36</v>
      </c>
      <c r="L171" s="177"/>
      <c r="M171" s="177"/>
      <c r="N171" s="177">
        <v>9.6</v>
      </c>
      <c r="O171" s="177" t="s">
        <v>2076</v>
      </c>
      <c r="P171" s="177">
        <v>0.36</v>
      </c>
      <c r="Q171" s="177" t="s">
        <v>620</v>
      </c>
      <c r="R171" s="177">
        <v>9.6000000000000002E-2</v>
      </c>
      <c r="S171" s="177"/>
      <c r="T171" s="177"/>
      <c r="U171" s="177"/>
      <c r="V171" s="177"/>
      <c r="W171" s="177"/>
      <c r="X171" s="177"/>
      <c r="Y171" s="177"/>
      <c r="Z171" s="177"/>
      <c r="AA171" s="177"/>
      <c r="AB171" s="177"/>
      <c r="AC171" s="177"/>
      <c r="AD171" s="177"/>
      <c r="AE171" s="177"/>
      <c r="AF171" s="177"/>
      <c r="AG171" s="177"/>
      <c r="AH171" s="177"/>
      <c r="AK171" s="1"/>
    </row>
    <row r="172" spans="1:37" ht="20.100000000000001" customHeight="1" x14ac:dyDescent="0.2">
      <c r="D172" s="177" t="s">
        <v>2135</v>
      </c>
      <c r="E172" s="177" t="s">
        <v>2221</v>
      </c>
      <c r="F172" s="177" t="s">
        <v>896</v>
      </c>
      <c r="G172" s="177">
        <v>1.3</v>
      </c>
      <c r="H172" s="177"/>
      <c r="I172" s="177"/>
      <c r="J172" s="177"/>
      <c r="K172" s="177">
        <v>20</v>
      </c>
      <c r="L172" s="177">
        <v>8.73</v>
      </c>
      <c r="M172" s="177">
        <v>16.600000000000001</v>
      </c>
      <c r="N172" s="177"/>
      <c r="O172" s="177" t="s">
        <v>2076</v>
      </c>
      <c r="P172" s="177">
        <v>0.2</v>
      </c>
      <c r="Q172" s="177" t="s">
        <v>2078</v>
      </c>
      <c r="R172" s="177">
        <v>8.7279999999999996E-2</v>
      </c>
      <c r="S172" s="177" t="s">
        <v>619</v>
      </c>
      <c r="T172" s="177">
        <v>0.16602</v>
      </c>
      <c r="U172" s="177"/>
      <c r="V172" s="177"/>
      <c r="W172" s="177"/>
      <c r="X172" s="177"/>
      <c r="Y172" s="177"/>
      <c r="Z172" s="177"/>
      <c r="AA172" s="177"/>
      <c r="AB172" s="177"/>
      <c r="AC172" s="177"/>
      <c r="AD172" s="177"/>
      <c r="AE172" s="177"/>
      <c r="AF172" s="177"/>
      <c r="AG172" s="177"/>
      <c r="AH172" s="177"/>
      <c r="AK172" s="1"/>
    </row>
    <row r="173" spans="1:37" ht="20.100000000000001" customHeight="1" x14ac:dyDescent="0.2">
      <c r="D173" s="177" t="s">
        <v>2222</v>
      </c>
      <c r="E173" s="177" t="s">
        <v>2223</v>
      </c>
      <c r="F173" s="177" t="s">
        <v>653</v>
      </c>
      <c r="G173" s="177">
        <v>1</v>
      </c>
      <c r="H173" s="177"/>
      <c r="I173" s="177"/>
      <c r="J173" s="177"/>
      <c r="K173" s="177">
        <v>15</v>
      </c>
      <c r="L173" s="177"/>
      <c r="M173" s="177">
        <v>9.9600000000000009</v>
      </c>
      <c r="N173" s="177"/>
      <c r="O173" s="177" t="s">
        <v>2073</v>
      </c>
      <c r="P173" s="177">
        <v>8.4737000000000007E-2</v>
      </c>
      <c r="Q173" s="177" t="s">
        <v>619</v>
      </c>
      <c r="R173" s="177">
        <v>9.9612000000000006E-2</v>
      </c>
      <c r="S173" s="177" t="s">
        <v>617</v>
      </c>
      <c r="T173" s="177">
        <v>0.42105300000000001</v>
      </c>
      <c r="U173" s="177" t="s">
        <v>2122</v>
      </c>
      <c r="V173" s="177">
        <v>5.0000000000000001E-3</v>
      </c>
      <c r="W173" s="177" t="s">
        <v>2127</v>
      </c>
      <c r="X173" s="177">
        <v>2.0000000000000001E-4</v>
      </c>
      <c r="Y173" s="177"/>
      <c r="Z173" s="177"/>
      <c r="AA173" s="177"/>
      <c r="AB173" s="177"/>
      <c r="AC173" s="177"/>
      <c r="AD173" s="177"/>
      <c r="AE173" s="177"/>
      <c r="AF173" s="177"/>
      <c r="AG173" s="177"/>
      <c r="AH173" s="177"/>
      <c r="AK173" s="1"/>
    </row>
    <row r="174" spans="1:37" ht="20.100000000000001" customHeight="1" x14ac:dyDescent="0.2">
      <c r="D174" s="177" t="s">
        <v>2141</v>
      </c>
      <c r="E174" s="177" t="s">
        <v>2224</v>
      </c>
      <c r="F174" s="177" t="s">
        <v>653</v>
      </c>
      <c r="G174" s="177">
        <v>1</v>
      </c>
      <c r="H174" s="177"/>
      <c r="I174" s="177"/>
      <c r="J174" s="177"/>
      <c r="K174" s="177">
        <v>15.1</v>
      </c>
      <c r="L174" s="177">
        <v>4.4000000000000004</v>
      </c>
      <c r="M174" s="177">
        <v>11.5</v>
      </c>
      <c r="N174" s="177">
        <v>13.6</v>
      </c>
      <c r="O174" s="177" t="s">
        <v>2076</v>
      </c>
      <c r="P174" s="177">
        <v>0.151</v>
      </c>
      <c r="Q174" s="177" t="s">
        <v>2078</v>
      </c>
      <c r="R174" s="177">
        <v>4.3999999999999997E-2</v>
      </c>
      <c r="S174" s="177" t="s">
        <v>619</v>
      </c>
      <c r="T174" s="177">
        <v>0.115</v>
      </c>
      <c r="U174" s="177" t="s">
        <v>620</v>
      </c>
      <c r="V174" s="177">
        <v>0.13600000000000001</v>
      </c>
      <c r="W174" s="177"/>
      <c r="X174" s="177"/>
      <c r="Y174" s="177"/>
      <c r="Z174" s="177"/>
      <c r="AA174" s="177"/>
      <c r="AB174" s="177"/>
      <c r="AC174" s="177"/>
      <c r="AD174" s="177"/>
      <c r="AE174" s="177"/>
      <c r="AF174" s="177"/>
      <c r="AG174" s="177"/>
      <c r="AH174" s="177"/>
      <c r="AK174" s="1"/>
    </row>
    <row r="175" spans="1:37" ht="20.100000000000001" customHeight="1" x14ac:dyDescent="0.2">
      <c r="D175" s="177" t="s">
        <v>2141</v>
      </c>
      <c r="E175" s="177" t="s">
        <v>2225</v>
      </c>
      <c r="F175" s="177" t="s">
        <v>653</v>
      </c>
      <c r="G175" s="177">
        <v>1</v>
      </c>
      <c r="H175" s="177"/>
      <c r="I175" s="177"/>
      <c r="J175" s="177"/>
      <c r="K175" s="177">
        <v>14.6</v>
      </c>
      <c r="L175" s="177">
        <v>12.1</v>
      </c>
      <c r="M175" s="177"/>
      <c r="N175" s="177">
        <v>11.6</v>
      </c>
      <c r="O175" s="177" t="s">
        <v>2076</v>
      </c>
      <c r="P175" s="177">
        <v>0.14599999999999999</v>
      </c>
      <c r="Q175" s="177" t="s">
        <v>2078</v>
      </c>
      <c r="R175" s="177">
        <v>0.121</v>
      </c>
      <c r="S175" s="177" t="s">
        <v>620</v>
      </c>
      <c r="T175" s="177">
        <v>0.11600000000000001</v>
      </c>
      <c r="U175" s="177"/>
      <c r="V175" s="177"/>
      <c r="W175" s="177"/>
      <c r="X175" s="177"/>
      <c r="Y175" s="177"/>
      <c r="Z175" s="177"/>
      <c r="AA175" s="177"/>
      <c r="AB175" s="177"/>
      <c r="AC175" s="177"/>
      <c r="AD175" s="177"/>
      <c r="AE175" s="177"/>
      <c r="AF175" s="177"/>
      <c r="AG175" s="177"/>
      <c r="AH175" s="177"/>
      <c r="AK175" s="1"/>
    </row>
    <row r="176" spans="1:37" ht="20.100000000000001" customHeight="1" x14ac:dyDescent="0.2">
      <c r="D176" s="177" t="s">
        <v>2141</v>
      </c>
      <c r="E176" s="177" t="s">
        <v>2226</v>
      </c>
      <c r="F176" s="177" t="s">
        <v>653</v>
      </c>
      <c r="G176" s="177">
        <v>1</v>
      </c>
      <c r="H176" s="177"/>
      <c r="I176" s="177"/>
      <c r="J176" s="177"/>
      <c r="K176" s="177">
        <v>19</v>
      </c>
      <c r="L176" s="177">
        <v>13</v>
      </c>
      <c r="M176" s="177">
        <v>0</v>
      </c>
      <c r="N176" s="177">
        <v>9</v>
      </c>
      <c r="O176" s="177" t="s">
        <v>2076</v>
      </c>
      <c r="P176" s="177">
        <v>0.19</v>
      </c>
      <c r="Q176" s="177" t="s">
        <v>2078</v>
      </c>
      <c r="R176" s="177">
        <v>0.13</v>
      </c>
      <c r="S176" s="177" t="s">
        <v>620</v>
      </c>
      <c r="T176" s="177">
        <v>0.09</v>
      </c>
      <c r="U176" s="177"/>
      <c r="V176" s="177"/>
      <c r="W176" s="177"/>
      <c r="X176" s="177"/>
      <c r="Y176" s="177"/>
      <c r="Z176" s="177"/>
      <c r="AA176" s="177"/>
      <c r="AB176" s="177"/>
      <c r="AC176" s="177"/>
      <c r="AD176" s="177"/>
      <c r="AE176" s="177"/>
      <c r="AF176" s="177"/>
      <c r="AG176" s="177"/>
      <c r="AH176" s="177"/>
      <c r="AK176" s="1"/>
    </row>
    <row r="177" spans="1:37" ht="20.100000000000001" customHeight="1" x14ac:dyDescent="0.2">
      <c r="D177" s="177" t="s">
        <v>2141</v>
      </c>
      <c r="E177" s="177" t="s">
        <v>2227</v>
      </c>
      <c r="F177" s="177" t="s">
        <v>653</v>
      </c>
      <c r="G177" s="177">
        <v>1</v>
      </c>
      <c r="H177" s="177"/>
      <c r="I177" s="177"/>
      <c r="J177" s="177"/>
      <c r="K177" s="177">
        <v>23.8</v>
      </c>
      <c r="L177" s="177">
        <v>3.7</v>
      </c>
      <c r="M177" s="177">
        <v>13</v>
      </c>
      <c r="N177" s="177">
        <v>4.0999999999999996</v>
      </c>
      <c r="O177" s="177" t="s">
        <v>2076</v>
      </c>
      <c r="P177" s="177">
        <v>0.23799999999999999</v>
      </c>
      <c r="Q177" s="177" t="s">
        <v>2078</v>
      </c>
      <c r="R177" s="177">
        <v>3.6999999999999998E-2</v>
      </c>
      <c r="S177" s="177" t="s">
        <v>619</v>
      </c>
      <c r="T177" s="177">
        <v>0.13</v>
      </c>
      <c r="U177" s="177" t="s">
        <v>620</v>
      </c>
      <c r="V177" s="177">
        <v>4.1000000000000002E-2</v>
      </c>
      <c r="W177" s="177"/>
      <c r="X177" s="177"/>
      <c r="Y177" s="177"/>
      <c r="Z177" s="177"/>
      <c r="AA177" s="177"/>
      <c r="AB177" s="177"/>
      <c r="AC177" s="177"/>
      <c r="AD177" s="177"/>
      <c r="AE177" s="177"/>
      <c r="AF177" s="177"/>
      <c r="AG177" s="177"/>
      <c r="AH177" s="177"/>
      <c r="AK177" s="1"/>
    </row>
    <row r="178" spans="1:37" ht="20.100000000000001" customHeight="1" x14ac:dyDescent="0.2">
      <c r="D178" s="177" t="s">
        <v>2141</v>
      </c>
      <c r="E178" s="177" t="s">
        <v>2228</v>
      </c>
      <c r="F178" s="177" t="s">
        <v>653</v>
      </c>
      <c r="G178" s="177">
        <v>1</v>
      </c>
      <c r="H178" s="177"/>
      <c r="I178" s="177"/>
      <c r="J178" s="177"/>
      <c r="K178" s="177">
        <v>32.799999999999997</v>
      </c>
      <c r="L178" s="177"/>
      <c r="M178" s="177">
        <v>11</v>
      </c>
      <c r="N178" s="177">
        <v>2.9</v>
      </c>
      <c r="O178" s="177" t="s">
        <v>607</v>
      </c>
      <c r="P178" s="177">
        <v>0.66086999999999996</v>
      </c>
      <c r="Q178" s="177" t="s">
        <v>2071</v>
      </c>
      <c r="R178" s="177">
        <v>2.4E-2</v>
      </c>
      <c r="S178" s="177" t="s">
        <v>619</v>
      </c>
      <c r="T178" s="177">
        <v>0.11</v>
      </c>
      <c r="U178" s="177" t="s">
        <v>620</v>
      </c>
      <c r="V178" s="177">
        <v>2.9000000000000001E-2</v>
      </c>
      <c r="W178" s="177"/>
      <c r="X178" s="177"/>
      <c r="Y178" s="177"/>
      <c r="Z178" s="177"/>
      <c r="AA178" s="177"/>
      <c r="AB178" s="177"/>
      <c r="AC178" s="177"/>
      <c r="AD178" s="177"/>
      <c r="AE178" s="177"/>
      <c r="AF178" s="177"/>
      <c r="AG178" s="177"/>
      <c r="AH178" s="177"/>
      <c r="AK178" s="1"/>
    </row>
    <row r="179" spans="1:37" ht="20.100000000000001" customHeight="1" x14ac:dyDescent="0.2">
      <c r="D179" s="177" t="s">
        <v>2141</v>
      </c>
      <c r="E179" s="177" t="s">
        <v>2229</v>
      </c>
      <c r="F179" s="177" t="s">
        <v>653</v>
      </c>
      <c r="G179" s="177">
        <v>1</v>
      </c>
      <c r="H179" s="177"/>
      <c r="I179" s="177"/>
      <c r="J179" s="177"/>
      <c r="K179" s="177">
        <v>11.7</v>
      </c>
      <c r="L179" s="177">
        <v>4.7</v>
      </c>
      <c r="M179" s="177">
        <v>23.9</v>
      </c>
      <c r="N179" s="177">
        <v>4.5999999999999996</v>
      </c>
      <c r="O179" s="177" t="s">
        <v>2076</v>
      </c>
      <c r="P179" s="177">
        <v>0.11700000000000001</v>
      </c>
      <c r="Q179" s="177" t="s">
        <v>2078</v>
      </c>
      <c r="R179" s="177">
        <v>4.7E-2</v>
      </c>
      <c r="S179" s="177" t="s">
        <v>619</v>
      </c>
      <c r="T179" s="177">
        <v>0.23899999999999999</v>
      </c>
      <c r="U179" s="177" t="s">
        <v>620</v>
      </c>
      <c r="V179" s="177">
        <v>4.5999999999999999E-2</v>
      </c>
      <c r="W179" s="177"/>
      <c r="X179" s="177"/>
      <c r="Y179" s="177"/>
      <c r="Z179" s="177"/>
      <c r="AA179" s="177"/>
      <c r="AB179" s="177"/>
      <c r="AC179" s="177"/>
      <c r="AD179" s="177"/>
      <c r="AE179" s="177"/>
      <c r="AF179" s="177"/>
      <c r="AG179" s="177"/>
      <c r="AH179" s="177"/>
      <c r="AK179" s="1"/>
    </row>
    <row r="180" spans="1:37" ht="20.100000000000001" customHeight="1" x14ac:dyDescent="0.2">
      <c r="D180" s="177" t="s">
        <v>2139</v>
      </c>
      <c r="E180" s="177" t="s">
        <v>2230</v>
      </c>
      <c r="F180" s="177" t="s">
        <v>653</v>
      </c>
      <c r="G180" s="177">
        <v>1</v>
      </c>
      <c r="H180" s="177"/>
      <c r="I180" s="177"/>
      <c r="J180" s="177"/>
      <c r="K180" s="177"/>
      <c r="L180" s="177">
        <v>4.4000000000000004</v>
      </c>
      <c r="M180" s="177">
        <v>25</v>
      </c>
      <c r="N180" s="177">
        <v>5.5</v>
      </c>
      <c r="O180" s="177" t="s">
        <v>2086</v>
      </c>
      <c r="P180" s="177">
        <v>0.5</v>
      </c>
      <c r="Q180" s="177" t="s">
        <v>2084</v>
      </c>
      <c r="R180" s="177">
        <v>0.5</v>
      </c>
      <c r="S180" s="177"/>
      <c r="T180" s="177"/>
      <c r="U180" s="177"/>
      <c r="V180" s="177"/>
      <c r="W180" s="177"/>
      <c r="X180" s="177"/>
      <c r="Y180" s="177"/>
      <c r="Z180" s="177"/>
      <c r="AA180" s="177"/>
      <c r="AB180" s="177"/>
      <c r="AC180" s="177"/>
      <c r="AD180" s="177"/>
      <c r="AE180" s="177"/>
      <c r="AF180" s="177"/>
      <c r="AG180" s="177"/>
      <c r="AH180" s="177"/>
    </row>
    <row r="181" spans="1:37" ht="20.100000000000001" customHeight="1" x14ac:dyDescent="0.2">
      <c r="D181" s="177" t="s">
        <v>2139</v>
      </c>
      <c r="E181" s="177" t="s">
        <v>2231</v>
      </c>
      <c r="F181" s="177" t="s">
        <v>653</v>
      </c>
      <c r="G181" s="177">
        <v>1</v>
      </c>
      <c r="H181" s="177"/>
      <c r="I181" s="177"/>
      <c r="J181" s="177"/>
      <c r="K181" s="177"/>
      <c r="L181" s="177">
        <v>5.84</v>
      </c>
      <c r="M181" s="177">
        <v>16.8</v>
      </c>
      <c r="N181" s="177">
        <v>7.29</v>
      </c>
      <c r="O181" s="177" t="s">
        <v>2086</v>
      </c>
      <c r="P181" s="177">
        <v>0.66315800000000003</v>
      </c>
      <c r="Q181" s="177" t="s">
        <v>2084</v>
      </c>
      <c r="R181" s="177">
        <v>0.33600000000000002</v>
      </c>
      <c r="S181" s="177"/>
      <c r="T181" s="177"/>
      <c r="U181" s="177"/>
      <c r="V181" s="177"/>
      <c r="W181" s="177"/>
      <c r="X181" s="177"/>
      <c r="Y181" s="177"/>
      <c r="Z181" s="177"/>
      <c r="AA181" s="177"/>
      <c r="AB181" s="177"/>
      <c r="AC181" s="177"/>
      <c r="AD181" s="177"/>
      <c r="AE181" s="177"/>
      <c r="AF181" s="177"/>
      <c r="AG181" s="177"/>
      <c r="AH181" s="177"/>
    </row>
    <row r="182" spans="1:37" ht="20.100000000000001" customHeight="1" x14ac:dyDescent="0.2">
      <c r="D182" s="177" t="s">
        <v>2139</v>
      </c>
      <c r="E182" s="177" t="s">
        <v>2232</v>
      </c>
      <c r="F182" s="177" t="s">
        <v>653</v>
      </c>
      <c r="G182" s="177">
        <v>1</v>
      </c>
      <c r="H182" s="177"/>
      <c r="I182" s="177"/>
      <c r="J182" s="177"/>
      <c r="K182" s="177"/>
      <c r="L182" s="177">
        <v>6.58</v>
      </c>
      <c r="M182" s="177">
        <v>12.5</v>
      </c>
      <c r="N182" s="177">
        <v>8.2200000000000006</v>
      </c>
      <c r="O182" s="177" t="s">
        <v>2086</v>
      </c>
      <c r="P182" s="177">
        <v>0.74736800000000003</v>
      </c>
      <c r="Q182" s="177" t="s">
        <v>2084</v>
      </c>
      <c r="R182" s="177">
        <v>0.25</v>
      </c>
      <c r="S182" s="177"/>
      <c r="T182" s="177"/>
      <c r="U182" s="177"/>
      <c r="V182" s="177"/>
      <c r="W182" s="177"/>
      <c r="X182" s="177"/>
      <c r="Y182" s="177"/>
      <c r="Z182" s="177"/>
      <c r="AA182" s="177"/>
      <c r="AB182" s="177"/>
      <c r="AC182" s="177"/>
      <c r="AD182" s="177"/>
      <c r="AE182" s="177"/>
      <c r="AF182" s="177"/>
      <c r="AG182" s="177"/>
      <c r="AH182" s="177"/>
    </row>
    <row r="183" spans="1:37" ht="20.100000000000001" customHeight="1" x14ac:dyDescent="0.2">
      <c r="D183" s="177" t="s">
        <v>2139</v>
      </c>
      <c r="E183" s="177" t="s">
        <v>2233</v>
      </c>
      <c r="F183" s="177" t="s">
        <v>653</v>
      </c>
      <c r="G183" s="177">
        <v>1</v>
      </c>
      <c r="H183" s="177"/>
      <c r="I183" s="177"/>
      <c r="J183" s="177"/>
      <c r="K183" s="177"/>
      <c r="L183" s="177">
        <v>7.04</v>
      </c>
      <c r="M183" s="177">
        <v>10</v>
      </c>
      <c r="N183" s="177">
        <v>8.8000000000000007</v>
      </c>
      <c r="O183" s="177" t="s">
        <v>2086</v>
      </c>
      <c r="P183" s="177">
        <v>0.8</v>
      </c>
      <c r="Q183" s="177" t="s">
        <v>2084</v>
      </c>
      <c r="R183" s="177">
        <v>0.2</v>
      </c>
      <c r="S183" s="177"/>
      <c r="T183" s="177"/>
      <c r="U183" s="177"/>
      <c r="V183" s="177"/>
      <c r="W183" s="177"/>
      <c r="X183" s="177"/>
      <c r="Y183" s="177"/>
      <c r="Z183" s="177"/>
      <c r="AA183" s="177"/>
      <c r="AB183" s="177"/>
      <c r="AC183" s="177"/>
      <c r="AD183" s="177"/>
      <c r="AE183" s="177"/>
      <c r="AF183" s="177"/>
      <c r="AG183" s="177"/>
      <c r="AH183" s="177"/>
    </row>
    <row r="184" spans="1:37" ht="20.100000000000001" customHeight="1" x14ac:dyDescent="0.2">
      <c r="D184" s="177" t="s">
        <v>2139</v>
      </c>
      <c r="E184" s="177" t="s">
        <v>2234</v>
      </c>
      <c r="F184" s="177" t="s">
        <v>653</v>
      </c>
      <c r="G184" s="177">
        <v>1</v>
      </c>
      <c r="H184" s="177"/>
      <c r="I184" s="177"/>
      <c r="J184" s="177"/>
      <c r="K184" s="177"/>
      <c r="L184" s="177">
        <v>7.32</v>
      </c>
      <c r="M184" s="177">
        <v>8.4</v>
      </c>
      <c r="N184" s="177">
        <v>9.15</v>
      </c>
      <c r="O184" s="177" t="s">
        <v>2086</v>
      </c>
      <c r="P184" s="177">
        <v>0.83157899999999996</v>
      </c>
      <c r="Q184" s="177" t="s">
        <v>2084</v>
      </c>
      <c r="R184" s="177">
        <v>0.16800000000000001</v>
      </c>
      <c r="S184" s="177"/>
      <c r="T184" s="177"/>
      <c r="U184" s="177"/>
      <c r="V184" s="177"/>
      <c r="W184" s="177"/>
      <c r="X184" s="177"/>
      <c r="Y184" s="177"/>
      <c r="Z184" s="177"/>
      <c r="AA184" s="177"/>
      <c r="AB184" s="177"/>
      <c r="AC184" s="177"/>
      <c r="AD184" s="177"/>
      <c r="AE184" s="177"/>
      <c r="AF184" s="177"/>
      <c r="AG184" s="177"/>
      <c r="AH184" s="177"/>
    </row>
    <row r="185" spans="1:37" ht="20.100000000000001" customHeight="1" x14ac:dyDescent="0.2">
      <c r="D185" s="177" t="s">
        <v>2235</v>
      </c>
      <c r="E185" s="177" t="s">
        <v>2236</v>
      </c>
      <c r="F185" s="177" t="s">
        <v>653</v>
      </c>
      <c r="G185" s="177">
        <v>1</v>
      </c>
      <c r="H185" s="177"/>
      <c r="I185" s="177"/>
      <c r="J185" s="177"/>
      <c r="K185" s="177">
        <v>23.9</v>
      </c>
      <c r="L185" s="177"/>
      <c r="M185" s="177"/>
      <c r="N185" s="177">
        <v>10.8</v>
      </c>
      <c r="O185" s="177" t="s">
        <v>2073</v>
      </c>
      <c r="P185" s="177">
        <v>7.3999999999999996E-2</v>
      </c>
      <c r="Q185" s="177" t="s">
        <v>2071</v>
      </c>
      <c r="R185" s="177">
        <v>0.16500000000000001</v>
      </c>
      <c r="S185" s="177" t="s">
        <v>620</v>
      </c>
      <c r="T185" s="177">
        <v>0.108</v>
      </c>
      <c r="U185" s="177" t="s">
        <v>2115</v>
      </c>
      <c r="V185" s="177">
        <v>4.3999999999999997E-2</v>
      </c>
      <c r="W185" s="177"/>
      <c r="X185" s="177"/>
      <c r="Y185" s="177"/>
      <c r="Z185" s="177"/>
      <c r="AA185" s="177"/>
      <c r="AB185" s="177"/>
      <c r="AC185" s="177"/>
      <c r="AD185" s="177"/>
      <c r="AE185" s="177"/>
      <c r="AF185" s="177"/>
      <c r="AG185" s="177"/>
      <c r="AH185" s="177"/>
    </row>
    <row r="186" spans="1:37" ht="20.100000000000001" customHeight="1" x14ac:dyDescent="0.2">
      <c r="D186" s="177" t="s">
        <v>2235</v>
      </c>
      <c r="E186" s="177" t="s">
        <v>609</v>
      </c>
      <c r="F186" s="177" t="s">
        <v>653</v>
      </c>
      <c r="G186" s="177">
        <v>1</v>
      </c>
      <c r="H186" s="177"/>
      <c r="I186" s="177"/>
      <c r="J186" s="177"/>
      <c r="K186" s="177">
        <v>17.899999999999999</v>
      </c>
      <c r="L186" s="177"/>
      <c r="M186" s="177">
        <v>15</v>
      </c>
      <c r="N186" s="177">
        <v>3.6</v>
      </c>
      <c r="O186" s="177" t="s">
        <v>2073</v>
      </c>
      <c r="P186" s="177">
        <v>5.5E-2</v>
      </c>
      <c r="Q186" s="177" t="s">
        <v>2071</v>
      </c>
      <c r="R186" s="177">
        <v>0.124</v>
      </c>
      <c r="S186" s="177" t="s">
        <v>619</v>
      </c>
      <c r="T186" s="177">
        <v>0.15</v>
      </c>
      <c r="U186" s="177" t="s">
        <v>620</v>
      </c>
      <c r="V186" s="177">
        <v>3.5999999999999997E-2</v>
      </c>
      <c r="W186" s="177" t="s">
        <v>2115</v>
      </c>
      <c r="X186" s="177">
        <v>4.3999999999999997E-2</v>
      </c>
      <c r="Y186" s="177"/>
      <c r="Z186" s="177"/>
      <c r="AA186" s="177"/>
      <c r="AB186" s="177"/>
      <c r="AC186" s="177"/>
      <c r="AD186" s="177"/>
      <c r="AE186" s="177"/>
      <c r="AF186" s="177"/>
      <c r="AG186" s="177"/>
      <c r="AH186" s="177"/>
    </row>
    <row r="187" spans="1:37" ht="20.100000000000001" customHeight="1" x14ac:dyDescent="0.2">
      <c r="D187" s="177" t="s">
        <v>2235</v>
      </c>
      <c r="E187" s="177" t="s">
        <v>2237</v>
      </c>
      <c r="F187" s="177" t="s">
        <v>653</v>
      </c>
      <c r="G187" s="177">
        <v>1</v>
      </c>
      <c r="H187" s="177"/>
      <c r="I187" s="177"/>
      <c r="J187" s="177"/>
      <c r="K187" s="177">
        <v>16.899999999999999</v>
      </c>
      <c r="L187" s="177"/>
      <c r="M187" s="177">
        <v>14.4</v>
      </c>
      <c r="N187" s="177">
        <v>8.6999999999999993</v>
      </c>
      <c r="O187" s="177" t="s">
        <v>2073</v>
      </c>
      <c r="P187" s="177">
        <v>5.1999999999999998E-2</v>
      </c>
      <c r="Q187" s="177" t="s">
        <v>2071</v>
      </c>
      <c r="R187" s="177">
        <v>0.11700000000000001</v>
      </c>
      <c r="S187" s="177" t="s">
        <v>619</v>
      </c>
      <c r="T187" s="177">
        <v>0.14399999999999999</v>
      </c>
      <c r="U187" s="177" t="s">
        <v>620</v>
      </c>
      <c r="V187" s="177">
        <v>8.6999999999999994E-2</v>
      </c>
      <c r="W187" s="177" t="s">
        <v>2115</v>
      </c>
      <c r="X187" s="177">
        <v>4.3999999999999997E-2</v>
      </c>
      <c r="Y187" s="177"/>
      <c r="Z187" s="177"/>
      <c r="AA187" s="177"/>
      <c r="AB187" s="177"/>
      <c r="AC187" s="177"/>
      <c r="AD187" s="177"/>
      <c r="AE187" s="177"/>
      <c r="AF187" s="177"/>
      <c r="AG187" s="177"/>
      <c r="AH187" s="177"/>
    </row>
    <row r="188" spans="1:37" ht="20.100000000000001" customHeight="1" x14ac:dyDescent="0.2">
      <c r="D188" s="177" t="s">
        <v>2235</v>
      </c>
      <c r="E188" s="177" t="s">
        <v>2238</v>
      </c>
      <c r="F188" s="177" t="s">
        <v>653</v>
      </c>
      <c r="G188" s="177">
        <v>1</v>
      </c>
      <c r="H188" s="177"/>
      <c r="I188" s="177"/>
      <c r="J188" s="177"/>
      <c r="K188" s="177">
        <v>18.8</v>
      </c>
      <c r="L188" s="177">
        <v>1</v>
      </c>
      <c r="M188" s="177">
        <v>12.5</v>
      </c>
      <c r="N188" s="177">
        <v>3.7</v>
      </c>
      <c r="O188" s="177" t="s">
        <v>2073</v>
      </c>
      <c r="P188" s="177">
        <v>5.8000000000000003E-2</v>
      </c>
      <c r="Q188" s="177" t="s">
        <v>2071</v>
      </c>
      <c r="R188" s="177">
        <v>0.13</v>
      </c>
      <c r="S188" s="177" t="s">
        <v>2078</v>
      </c>
      <c r="T188" s="177">
        <v>0.01</v>
      </c>
      <c r="U188" s="177" t="s">
        <v>619</v>
      </c>
      <c r="V188" s="177">
        <v>0.125</v>
      </c>
      <c r="W188" s="177" t="s">
        <v>620</v>
      </c>
      <c r="X188" s="177">
        <v>3.6999999999999998E-2</v>
      </c>
      <c r="Y188" s="177" t="s">
        <v>2115</v>
      </c>
      <c r="Z188" s="177">
        <v>4.3999999999999997E-2</v>
      </c>
      <c r="AA188" s="177"/>
      <c r="AB188" s="177"/>
      <c r="AC188" s="177"/>
      <c r="AD188" s="177"/>
      <c r="AE188" s="177"/>
      <c r="AF188" s="177"/>
      <c r="AG188" s="177"/>
      <c r="AH188" s="177"/>
    </row>
    <row r="189" spans="1:37" ht="20.100000000000001" customHeight="1" x14ac:dyDescent="0.2">
      <c r="D189" s="177" t="s">
        <v>2235</v>
      </c>
      <c r="E189" s="177" t="s">
        <v>2239</v>
      </c>
      <c r="F189" s="177" t="s">
        <v>653</v>
      </c>
      <c r="G189" s="177">
        <v>1</v>
      </c>
      <c r="H189" s="177"/>
      <c r="I189" s="177"/>
      <c r="J189" s="177"/>
      <c r="K189" s="177">
        <v>18.600000000000001</v>
      </c>
      <c r="L189" s="177">
        <v>3</v>
      </c>
      <c r="M189" s="177">
        <v>12.5</v>
      </c>
      <c r="N189" s="177">
        <v>1.4</v>
      </c>
      <c r="O189" s="177" t="s">
        <v>2073</v>
      </c>
      <c r="P189" s="177">
        <v>5.8000000000000003E-2</v>
      </c>
      <c r="Q189" s="177" t="s">
        <v>2071</v>
      </c>
      <c r="R189" s="177">
        <v>0.128</v>
      </c>
      <c r="S189" s="177" t="s">
        <v>2078</v>
      </c>
      <c r="T189" s="177">
        <v>0.03</v>
      </c>
      <c r="U189" s="177" t="s">
        <v>619</v>
      </c>
      <c r="V189" s="177">
        <v>0.125</v>
      </c>
      <c r="W189" s="177" t="s">
        <v>620</v>
      </c>
      <c r="X189" s="177">
        <v>1.4E-2</v>
      </c>
      <c r="Y189" s="177" t="s">
        <v>2115</v>
      </c>
      <c r="Z189" s="177">
        <v>4.3999999999999997E-2</v>
      </c>
      <c r="AA189" s="177"/>
      <c r="AB189" s="177"/>
      <c r="AC189" s="177"/>
      <c r="AD189" s="177"/>
      <c r="AE189" s="177"/>
      <c r="AF189" s="177"/>
      <c r="AG189" s="177"/>
      <c r="AH189" s="177"/>
    </row>
    <row r="190" spans="1:37" ht="20.100000000000001" customHeight="1" x14ac:dyDescent="0.2">
      <c r="D190" s="177" t="s">
        <v>2235</v>
      </c>
      <c r="E190" s="177" t="s">
        <v>2240</v>
      </c>
      <c r="F190" s="177" t="s">
        <v>653</v>
      </c>
      <c r="G190" s="177">
        <v>1</v>
      </c>
      <c r="H190" s="177"/>
      <c r="I190" s="177"/>
      <c r="J190" s="177"/>
      <c r="K190" s="177">
        <v>15.8</v>
      </c>
      <c r="L190" s="177"/>
      <c r="M190" s="177">
        <v>19</v>
      </c>
      <c r="N190" s="177">
        <v>3.2</v>
      </c>
      <c r="O190" s="177" t="s">
        <v>2073</v>
      </c>
      <c r="P190" s="177">
        <v>4.9000000000000002E-2</v>
      </c>
      <c r="Q190" s="177" t="s">
        <v>2071</v>
      </c>
      <c r="R190" s="177">
        <v>0.109</v>
      </c>
      <c r="S190" s="177" t="s">
        <v>619</v>
      </c>
      <c r="T190" s="177">
        <v>0.19</v>
      </c>
      <c r="U190" s="177" t="s">
        <v>620</v>
      </c>
      <c r="V190" s="177">
        <v>3.2000000000000001E-2</v>
      </c>
      <c r="W190" s="177" t="s">
        <v>2115</v>
      </c>
      <c r="X190" s="177">
        <v>3.9E-2</v>
      </c>
      <c r="Y190" s="177"/>
      <c r="Z190" s="177"/>
      <c r="AA190" s="177"/>
      <c r="AB190" s="177"/>
      <c r="AC190" s="177"/>
      <c r="AD190" s="177"/>
      <c r="AE190" s="177"/>
      <c r="AF190" s="177"/>
      <c r="AG190" s="177"/>
      <c r="AH190" s="177"/>
    </row>
    <row r="191" spans="1:37" ht="20.100000000000001" customHeight="1" x14ac:dyDescent="0.2">
      <c r="A191" s="85" t="str">
        <f>HYPERLINK("#A1", "▲ Back to top")</f>
        <v>▲ Back to top</v>
      </c>
      <c r="D191" s="177" t="s">
        <v>2141</v>
      </c>
      <c r="E191" s="177" t="s">
        <v>2241</v>
      </c>
      <c r="F191" s="177" t="s">
        <v>653</v>
      </c>
      <c r="G191" s="177">
        <v>1</v>
      </c>
      <c r="H191" s="177"/>
      <c r="I191" s="177"/>
      <c r="J191" s="177"/>
      <c r="K191" s="177">
        <v>25.9</v>
      </c>
      <c r="L191" s="177">
        <v>3.9</v>
      </c>
      <c r="M191" s="177">
        <v>15.9</v>
      </c>
      <c r="N191" s="177">
        <v>0.3</v>
      </c>
      <c r="O191" s="177" t="s">
        <v>2076</v>
      </c>
      <c r="P191" s="177">
        <v>0.25900000000000001</v>
      </c>
      <c r="Q191" s="177" t="s">
        <v>2078</v>
      </c>
      <c r="R191" s="177">
        <v>3.9E-2</v>
      </c>
      <c r="S191" s="177" t="s">
        <v>619</v>
      </c>
      <c r="T191" s="177">
        <v>0.159</v>
      </c>
      <c r="U191" s="177" t="s">
        <v>620</v>
      </c>
      <c r="V191" s="177">
        <v>3.0000000000000001E-3</v>
      </c>
      <c r="W191" s="177"/>
      <c r="X191" s="177"/>
      <c r="Y191" s="177"/>
      <c r="Z191" s="177"/>
      <c r="AA191" s="177"/>
      <c r="AB191" s="177"/>
      <c r="AC191" s="177"/>
      <c r="AD191" s="177"/>
      <c r="AE191" s="177"/>
      <c r="AF191" s="177"/>
      <c r="AG191" s="177"/>
      <c r="AH191" s="177"/>
    </row>
    <row r="192" spans="1:37" ht="20.100000000000001" customHeight="1" x14ac:dyDescent="0.2">
      <c r="D192" s="177" t="s">
        <v>2179</v>
      </c>
      <c r="E192" s="177" t="s">
        <v>2242</v>
      </c>
      <c r="F192" s="177" t="s">
        <v>653</v>
      </c>
      <c r="G192" s="177">
        <v>1</v>
      </c>
      <c r="H192" s="177"/>
      <c r="I192" s="177"/>
      <c r="J192" s="177"/>
      <c r="K192" s="177">
        <v>15.6</v>
      </c>
      <c r="L192" s="177">
        <v>6.37</v>
      </c>
      <c r="M192" s="177">
        <v>12.45</v>
      </c>
      <c r="N192" s="177">
        <v>2.6</v>
      </c>
      <c r="O192" s="177" t="s">
        <v>2073</v>
      </c>
      <c r="P192" s="177">
        <v>5.8000000000000003E-2</v>
      </c>
      <c r="Q192" s="177" t="s">
        <v>2071</v>
      </c>
      <c r="R192" s="177">
        <v>9.8000000000000004E-2</v>
      </c>
      <c r="S192" s="177" t="s">
        <v>2078</v>
      </c>
      <c r="T192" s="177">
        <v>6.3714000000000007E-2</v>
      </c>
      <c r="U192" s="177" t="s">
        <v>619</v>
      </c>
      <c r="V192" s="177">
        <v>0.124515</v>
      </c>
      <c r="W192" s="177" t="s">
        <v>620</v>
      </c>
      <c r="X192" s="177">
        <v>2.5999999999999999E-2</v>
      </c>
      <c r="Y192" s="177"/>
      <c r="Z192" s="177"/>
      <c r="AA192" s="177"/>
      <c r="AB192" s="177"/>
      <c r="AC192" s="177"/>
      <c r="AD192" s="177"/>
      <c r="AE192" s="177"/>
      <c r="AF192" s="177"/>
      <c r="AG192" s="177"/>
      <c r="AH192" s="177"/>
    </row>
    <row r="193" spans="4:34" ht="20.100000000000001" customHeight="1" x14ac:dyDescent="0.2">
      <c r="D193" s="177" t="s">
        <v>2243</v>
      </c>
      <c r="E193" s="177" t="s">
        <v>2244</v>
      </c>
      <c r="F193" s="177" t="s">
        <v>653</v>
      </c>
      <c r="G193" s="177">
        <v>1</v>
      </c>
      <c r="H193" s="177"/>
      <c r="I193" s="177"/>
      <c r="J193" s="177"/>
      <c r="K193" s="177">
        <v>11.15</v>
      </c>
      <c r="L193" s="177">
        <v>17.52</v>
      </c>
      <c r="M193" s="177"/>
      <c r="N193" s="177">
        <v>3.6</v>
      </c>
      <c r="O193" s="177" t="s">
        <v>2062</v>
      </c>
      <c r="P193" s="177">
        <v>0.8</v>
      </c>
      <c r="Q193" s="177" t="s">
        <v>2066</v>
      </c>
      <c r="R193" s="177">
        <v>0.15</v>
      </c>
      <c r="S193" s="177" t="s">
        <v>2126</v>
      </c>
      <c r="T193" s="177" t="s">
        <v>1263</v>
      </c>
      <c r="U193" s="177" t="s">
        <v>2169</v>
      </c>
      <c r="V193" s="177" t="s">
        <v>1263</v>
      </c>
      <c r="W193" s="177" t="s">
        <v>2123</v>
      </c>
      <c r="X193" s="177" t="s">
        <v>1263</v>
      </c>
      <c r="Y193" s="177"/>
      <c r="Z193" s="177"/>
      <c r="AA193" s="177"/>
      <c r="AB193" s="177"/>
      <c r="AC193" s="177"/>
      <c r="AD193" s="177"/>
      <c r="AE193" s="177"/>
      <c r="AF193" s="177"/>
      <c r="AG193" s="177"/>
      <c r="AH193" s="177"/>
    </row>
    <row r="194" spans="4:34" ht="20.100000000000001" customHeight="1" x14ac:dyDescent="0.2">
      <c r="D194" s="177" t="s">
        <v>2243</v>
      </c>
      <c r="E194" s="177" t="s">
        <v>2245</v>
      </c>
      <c r="F194" s="177" t="s">
        <v>653</v>
      </c>
      <c r="G194" s="177">
        <v>1</v>
      </c>
      <c r="H194" s="177"/>
      <c r="I194" s="177"/>
      <c r="J194" s="177"/>
      <c r="K194" s="177"/>
      <c r="L194" s="177">
        <v>5.5</v>
      </c>
      <c r="M194" s="177">
        <v>15</v>
      </c>
      <c r="N194" s="177">
        <v>6.88</v>
      </c>
      <c r="O194" s="177" t="s">
        <v>2086</v>
      </c>
      <c r="P194" s="177">
        <v>0.625</v>
      </c>
      <c r="Q194" s="177" t="s">
        <v>2084</v>
      </c>
      <c r="R194" s="177">
        <v>0.3</v>
      </c>
      <c r="S194" s="177"/>
      <c r="T194" s="177"/>
      <c r="U194" s="177"/>
      <c r="V194" s="177"/>
      <c r="W194" s="177"/>
      <c r="X194" s="177"/>
      <c r="Y194" s="177"/>
      <c r="Z194" s="177"/>
      <c r="AA194" s="177"/>
      <c r="AB194" s="177"/>
      <c r="AC194" s="177"/>
      <c r="AD194" s="177"/>
      <c r="AE194" s="177"/>
      <c r="AF194" s="177"/>
      <c r="AG194" s="177"/>
      <c r="AH194" s="177"/>
    </row>
    <row r="195" spans="4:34" ht="20.100000000000001" customHeight="1" x14ac:dyDescent="0.2">
      <c r="D195" s="177" t="s">
        <v>2246</v>
      </c>
      <c r="E195" s="177" t="s">
        <v>2247</v>
      </c>
      <c r="F195" s="177" t="s">
        <v>653</v>
      </c>
      <c r="G195" s="177">
        <v>1</v>
      </c>
      <c r="H195" s="177"/>
      <c r="I195" s="177"/>
      <c r="J195" s="177"/>
      <c r="K195" s="177">
        <v>27</v>
      </c>
      <c r="L195" s="177"/>
      <c r="M195" s="177"/>
      <c r="N195" s="177"/>
      <c r="O195" s="177" t="s">
        <v>2070</v>
      </c>
      <c r="P195" s="177">
        <v>1</v>
      </c>
      <c r="Q195" s="177"/>
      <c r="R195" s="177"/>
      <c r="S195" s="177"/>
      <c r="T195" s="177"/>
      <c r="U195" s="177"/>
      <c r="V195" s="177"/>
      <c r="W195" s="177"/>
      <c r="X195" s="177"/>
      <c r="Y195" s="177"/>
      <c r="Z195" s="177"/>
      <c r="AA195" s="177"/>
      <c r="AB195" s="177"/>
      <c r="AC195" s="177"/>
      <c r="AD195" s="177"/>
      <c r="AE195" s="177"/>
      <c r="AF195" s="177"/>
      <c r="AG195" s="177"/>
      <c r="AH195" s="177"/>
    </row>
    <row r="196" spans="4:34" ht="20.100000000000001" customHeight="1" x14ac:dyDescent="0.2">
      <c r="D196" s="177" t="s">
        <v>2141</v>
      </c>
      <c r="E196" s="177" t="s">
        <v>2248</v>
      </c>
      <c r="F196" s="177" t="s">
        <v>653</v>
      </c>
      <c r="G196" s="177">
        <v>1</v>
      </c>
      <c r="H196" s="177"/>
      <c r="I196" s="177"/>
      <c r="J196" s="177"/>
      <c r="K196" s="177">
        <v>20.6</v>
      </c>
      <c r="L196" s="177">
        <v>3</v>
      </c>
      <c r="M196" s="177">
        <v>7.5</v>
      </c>
      <c r="N196" s="177">
        <v>3.8</v>
      </c>
      <c r="O196" s="177" t="s">
        <v>2073</v>
      </c>
      <c r="P196" s="177">
        <v>6.4000000000000001E-2</v>
      </c>
      <c r="Q196" s="177" t="s">
        <v>2071</v>
      </c>
      <c r="R196" s="177">
        <v>0.14199999999999999</v>
      </c>
      <c r="S196" s="177" t="s">
        <v>2078</v>
      </c>
      <c r="T196" s="177">
        <v>0.03</v>
      </c>
      <c r="U196" s="177" t="s">
        <v>619</v>
      </c>
      <c r="V196" s="177">
        <v>7.4999999999999997E-2</v>
      </c>
      <c r="W196" s="177" t="s">
        <v>620</v>
      </c>
      <c r="X196" s="177">
        <v>3.7999999999999999E-2</v>
      </c>
      <c r="Y196" s="177" t="s">
        <v>2115</v>
      </c>
      <c r="Z196" s="177">
        <v>4.3999999999999997E-2</v>
      </c>
      <c r="AA196" s="177"/>
      <c r="AB196" s="177"/>
      <c r="AC196" s="177"/>
      <c r="AD196" s="177"/>
      <c r="AE196" s="177"/>
      <c r="AF196" s="177"/>
      <c r="AG196" s="177"/>
      <c r="AH196" s="177"/>
    </row>
    <row r="197" spans="4:34" ht="20.100000000000001" customHeight="1" x14ac:dyDescent="0.2">
      <c r="D197" s="177" t="s">
        <v>2141</v>
      </c>
      <c r="E197" s="177" t="s">
        <v>2249</v>
      </c>
      <c r="F197" s="177" t="s">
        <v>653</v>
      </c>
      <c r="G197" s="177">
        <v>1</v>
      </c>
      <c r="H197" s="177"/>
      <c r="I197" s="177"/>
      <c r="J197" s="177"/>
      <c r="K197" s="177">
        <v>17.8</v>
      </c>
      <c r="L197" s="177">
        <v>1</v>
      </c>
      <c r="M197" s="177">
        <v>15</v>
      </c>
      <c r="N197" s="177">
        <v>2.5</v>
      </c>
      <c r="O197" s="177" t="s">
        <v>2073</v>
      </c>
      <c r="P197" s="177">
        <v>5.5E-2</v>
      </c>
      <c r="Q197" s="177" t="s">
        <v>2071</v>
      </c>
      <c r="R197" s="177">
        <v>0.123</v>
      </c>
      <c r="S197" s="177" t="s">
        <v>2078</v>
      </c>
      <c r="T197" s="177">
        <v>0.01</v>
      </c>
      <c r="U197" s="177" t="s">
        <v>619</v>
      </c>
      <c r="V197" s="177">
        <v>0.15</v>
      </c>
      <c r="W197" s="177" t="s">
        <v>620</v>
      </c>
      <c r="X197" s="177">
        <v>2.5000000000000001E-2</v>
      </c>
      <c r="Y197" s="177" t="s">
        <v>2115</v>
      </c>
      <c r="Z197" s="177">
        <v>4.3999999999999997E-2</v>
      </c>
      <c r="AA197" s="177"/>
      <c r="AB197" s="177"/>
      <c r="AC197" s="177"/>
      <c r="AD197" s="177"/>
      <c r="AE197" s="177"/>
      <c r="AF197" s="177"/>
      <c r="AG197" s="177"/>
      <c r="AH197" s="177"/>
    </row>
    <row r="198" spans="4:34" ht="20.100000000000001" customHeight="1" x14ac:dyDescent="0.2">
      <c r="D198" s="177" t="s">
        <v>2250</v>
      </c>
      <c r="E198" s="177" t="s">
        <v>2251</v>
      </c>
      <c r="F198" s="177" t="s">
        <v>653</v>
      </c>
      <c r="G198" s="177">
        <v>1</v>
      </c>
      <c r="H198" s="177"/>
      <c r="I198" s="177"/>
      <c r="J198" s="177"/>
      <c r="K198" s="177">
        <v>10</v>
      </c>
      <c r="L198" s="177">
        <v>22</v>
      </c>
      <c r="M198" s="177"/>
      <c r="N198" s="177">
        <v>1.5</v>
      </c>
      <c r="O198" s="177" t="s">
        <v>2076</v>
      </c>
      <c r="P198" s="177">
        <v>0.1</v>
      </c>
      <c r="Q198" s="177" t="s">
        <v>2078</v>
      </c>
      <c r="R198" s="177">
        <v>0.22</v>
      </c>
      <c r="S198" s="177" t="s">
        <v>620</v>
      </c>
      <c r="T198" s="177">
        <v>1.4999999999999999E-2</v>
      </c>
      <c r="U198" s="177" t="s">
        <v>2123</v>
      </c>
      <c r="V198" s="177">
        <v>0.01</v>
      </c>
      <c r="W198" s="177"/>
      <c r="X198" s="177"/>
      <c r="Y198" s="177"/>
      <c r="Z198" s="177"/>
      <c r="AA198" s="177"/>
      <c r="AB198" s="177"/>
      <c r="AC198" s="177"/>
      <c r="AD198" s="177"/>
      <c r="AE198" s="177"/>
      <c r="AF198" s="177"/>
      <c r="AG198" s="177"/>
      <c r="AH198" s="177"/>
    </row>
    <row r="199" spans="4:34" ht="20.100000000000001" customHeight="1" x14ac:dyDescent="0.2">
      <c r="D199" s="177" t="s">
        <v>2250</v>
      </c>
      <c r="E199" s="177" t="s">
        <v>2252</v>
      </c>
      <c r="F199" s="177" t="s">
        <v>653</v>
      </c>
      <c r="G199" s="177">
        <v>1</v>
      </c>
      <c r="H199" s="177"/>
      <c r="I199" s="177"/>
      <c r="J199" s="177"/>
      <c r="K199" s="177"/>
      <c r="L199" s="177">
        <v>15.7</v>
      </c>
      <c r="M199" s="177"/>
      <c r="N199" s="177">
        <v>4.5999999999999996</v>
      </c>
      <c r="O199" s="177" t="s">
        <v>2078</v>
      </c>
      <c r="P199" s="177">
        <v>0.157</v>
      </c>
      <c r="Q199" s="177" t="s">
        <v>620</v>
      </c>
      <c r="R199" s="177">
        <v>4.5999999999999999E-2</v>
      </c>
      <c r="S199" s="177" t="s">
        <v>2115</v>
      </c>
      <c r="T199" s="177">
        <v>0.14000000000000001</v>
      </c>
      <c r="U199" s="177"/>
      <c r="V199" s="177"/>
      <c r="W199" s="177"/>
      <c r="X199" s="177"/>
      <c r="Y199" s="177"/>
      <c r="Z199" s="177"/>
      <c r="AA199" s="177"/>
      <c r="AB199" s="177"/>
      <c r="AC199" s="177"/>
      <c r="AD199" s="177"/>
      <c r="AE199" s="177"/>
      <c r="AF199" s="177"/>
      <c r="AG199" s="177"/>
      <c r="AH199" s="177"/>
    </row>
    <row r="200" spans="4:34" ht="20.100000000000001" customHeight="1" x14ac:dyDescent="0.2">
      <c r="D200" s="177" t="s">
        <v>2250</v>
      </c>
      <c r="E200" s="177" t="s">
        <v>2253</v>
      </c>
      <c r="F200" s="177" t="s">
        <v>653</v>
      </c>
      <c r="G200" s="177">
        <v>1</v>
      </c>
      <c r="H200" s="177"/>
      <c r="I200" s="177"/>
      <c r="J200" s="177"/>
      <c r="K200" s="177"/>
      <c r="L200" s="177"/>
      <c r="M200" s="177"/>
      <c r="N200" s="177">
        <v>90</v>
      </c>
      <c r="O200" s="177" t="s">
        <v>620</v>
      </c>
      <c r="P200" s="177">
        <v>0.9</v>
      </c>
      <c r="Q200" s="177"/>
      <c r="R200" s="177"/>
      <c r="S200" s="177"/>
      <c r="T200" s="177"/>
      <c r="U200" s="177"/>
      <c r="V200" s="177"/>
      <c r="W200" s="177"/>
      <c r="X200" s="177"/>
      <c r="Y200" s="177"/>
      <c r="Z200" s="177"/>
      <c r="AA200" s="177"/>
      <c r="AB200" s="177"/>
      <c r="AC200" s="177"/>
      <c r="AD200" s="177"/>
      <c r="AE200" s="177"/>
      <c r="AF200" s="177"/>
      <c r="AG200" s="177"/>
      <c r="AH200" s="177"/>
    </row>
    <row r="201" spans="4:34" ht="20.100000000000001" customHeight="1" x14ac:dyDescent="0.2">
      <c r="D201" s="177" t="s">
        <v>2250</v>
      </c>
      <c r="E201" s="177" t="s">
        <v>2254</v>
      </c>
      <c r="F201" s="177" t="s">
        <v>653</v>
      </c>
      <c r="G201" s="177">
        <v>1</v>
      </c>
      <c r="H201" s="177"/>
      <c r="I201" s="177"/>
      <c r="J201" s="177"/>
      <c r="K201" s="177">
        <v>19.5</v>
      </c>
      <c r="L201" s="177">
        <v>0.7</v>
      </c>
      <c r="M201" s="177"/>
      <c r="N201" s="177">
        <v>23</v>
      </c>
      <c r="O201" s="177" t="s">
        <v>2076</v>
      </c>
      <c r="P201" s="177">
        <v>0.19500000000000001</v>
      </c>
      <c r="Q201" s="177" t="s">
        <v>2078</v>
      </c>
      <c r="R201" s="177">
        <v>7.0000000000000001E-3</v>
      </c>
      <c r="S201" s="177" t="s">
        <v>620</v>
      </c>
      <c r="T201" s="177">
        <v>0.23</v>
      </c>
      <c r="U201" s="177"/>
      <c r="V201" s="177"/>
      <c r="W201" s="177"/>
      <c r="X201" s="177"/>
      <c r="Y201" s="177"/>
      <c r="Z201" s="177"/>
      <c r="AA201" s="177"/>
      <c r="AB201" s="177"/>
      <c r="AC201" s="177"/>
      <c r="AD201" s="177"/>
      <c r="AE201" s="177"/>
      <c r="AF201" s="177"/>
      <c r="AG201" s="177"/>
      <c r="AH201" s="177"/>
    </row>
    <row r="202" spans="4:34" ht="20.100000000000001" customHeight="1" x14ac:dyDescent="0.2">
      <c r="D202" s="177" t="s">
        <v>2250</v>
      </c>
      <c r="E202" s="177" t="s">
        <v>2255</v>
      </c>
      <c r="F202" s="177" t="s">
        <v>653</v>
      </c>
      <c r="G202" s="177">
        <v>1</v>
      </c>
      <c r="H202" s="177"/>
      <c r="I202" s="177"/>
      <c r="J202" s="177"/>
      <c r="K202" s="177">
        <v>10</v>
      </c>
      <c r="L202" s="177">
        <v>18</v>
      </c>
      <c r="M202" s="177"/>
      <c r="N202" s="177">
        <v>8</v>
      </c>
      <c r="O202" s="177" t="s">
        <v>2076</v>
      </c>
      <c r="P202" s="177">
        <v>0.1</v>
      </c>
      <c r="Q202" s="177" t="s">
        <v>2078</v>
      </c>
      <c r="R202" s="177">
        <v>0.18</v>
      </c>
      <c r="S202" s="177" t="s">
        <v>620</v>
      </c>
      <c r="T202" s="177">
        <v>0.08</v>
      </c>
      <c r="U202" s="177" t="s">
        <v>2123</v>
      </c>
      <c r="V202" s="177">
        <v>5.0000000000000001E-3</v>
      </c>
      <c r="W202" s="177"/>
      <c r="X202" s="177"/>
      <c r="Y202" s="177"/>
      <c r="Z202" s="177"/>
      <c r="AA202" s="177"/>
      <c r="AB202" s="177"/>
      <c r="AC202" s="177"/>
      <c r="AD202" s="177"/>
      <c r="AE202" s="177"/>
      <c r="AF202" s="177"/>
      <c r="AG202" s="177"/>
      <c r="AH202" s="177"/>
    </row>
    <row r="203" spans="4:34" ht="20.100000000000001" customHeight="1" x14ac:dyDescent="0.2">
      <c r="D203" s="177" t="s">
        <v>2250</v>
      </c>
      <c r="E203" s="177" t="s">
        <v>2256</v>
      </c>
      <c r="F203" s="177" t="s">
        <v>653</v>
      </c>
      <c r="G203" s="177">
        <v>1</v>
      </c>
      <c r="H203" s="177"/>
      <c r="I203" s="177"/>
      <c r="J203" s="177"/>
      <c r="K203" s="177">
        <v>9</v>
      </c>
      <c r="L203" s="177">
        <v>19.8</v>
      </c>
      <c r="M203" s="177">
        <v>0</v>
      </c>
      <c r="N203" s="177">
        <v>10.4</v>
      </c>
      <c r="O203" s="177" t="s">
        <v>2076</v>
      </c>
      <c r="P203" s="177">
        <v>0.09</v>
      </c>
      <c r="Q203" s="177" t="s">
        <v>2078</v>
      </c>
      <c r="R203" s="177">
        <v>0.19800000000000001</v>
      </c>
      <c r="S203" s="177" t="s">
        <v>620</v>
      </c>
      <c r="T203" s="177">
        <v>0.104</v>
      </c>
      <c r="U203" s="177"/>
      <c r="V203" s="177"/>
      <c r="W203" s="177"/>
      <c r="X203" s="177"/>
      <c r="Y203" s="177"/>
      <c r="Z203" s="177"/>
      <c r="AA203" s="177"/>
      <c r="AB203" s="177"/>
      <c r="AC203" s="177"/>
      <c r="AD203" s="177"/>
      <c r="AE203" s="177"/>
      <c r="AF203" s="177"/>
      <c r="AG203" s="177"/>
      <c r="AH203" s="177"/>
    </row>
    <row r="204" spans="4:34" ht="20.100000000000001" customHeight="1" x14ac:dyDescent="0.2">
      <c r="D204" s="177" t="s">
        <v>2250</v>
      </c>
      <c r="E204" s="177" t="s">
        <v>2257</v>
      </c>
      <c r="F204" s="177" t="s">
        <v>653</v>
      </c>
      <c r="G204" s="177">
        <v>1</v>
      </c>
      <c r="H204" s="177"/>
      <c r="I204" s="177"/>
      <c r="J204" s="177"/>
      <c r="K204" s="177">
        <v>15.2</v>
      </c>
      <c r="L204" s="177">
        <v>16.899999999999999</v>
      </c>
      <c r="M204" s="177">
        <v>0</v>
      </c>
      <c r="N204" s="177">
        <v>15.2</v>
      </c>
      <c r="O204" s="177" t="s">
        <v>2076</v>
      </c>
      <c r="P204" s="177">
        <v>0.152</v>
      </c>
      <c r="Q204" s="177" t="s">
        <v>2078</v>
      </c>
      <c r="R204" s="177">
        <v>0.16900000000000001</v>
      </c>
      <c r="S204" s="177" t="s">
        <v>620</v>
      </c>
      <c r="T204" s="177">
        <v>0.152</v>
      </c>
      <c r="U204" s="177"/>
      <c r="V204" s="177"/>
      <c r="W204" s="177"/>
      <c r="X204" s="177"/>
      <c r="Y204" s="177"/>
      <c r="Z204" s="177"/>
      <c r="AA204" s="177"/>
      <c r="AB204" s="177"/>
      <c r="AC204" s="177"/>
      <c r="AD204" s="177"/>
      <c r="AE204" s="177"/>
      <c r="AF204" s="177"/>
      <c r="AG204" s="177"/>
      <c r="AH204" s="177"/>
    </row>
    <row r="205" spans="4:34" ht="20.100000000000001" customHeight="1" x14ac:dyDescent="0.2">
      <c r="D205" s="177" t="s">
        <v>2250</v>
      </c>
      <c r="E205" s="177" t="s">
        <v>2258</v>
      </c>
      <c r="F205" s="177" t="s">
        <v>653</v>
      </c>
      <c r="G205" s="177">
        <v>1</v>
      </c>
      <c r="H205" s="177"/>
      <c r="I205" s="177"/>
      <c r="J205" s="177"/>
      <c r="K205" s="177">
        <v>16.2</v>
      </c>
      <c r="L205" s="177">
        <v>18</v>
      </c>
      <c r="M205" s="177">
        <v>0</v>
      </c>
      <c r="N205" s="177">
        <v>10.4</v>
      </c>
      <c r="O205" s="177" t="s">
        <v>2076</v>
      </c>
      <c r="P205" s="177">
        <v>0.16200000000000001</v>
      </c>
      <c r="Q205" s="177" t="s">
        <v>2078</v>
      </c>
      <c r="R205" s="177">
        <v>0.18</v>
      </c>
      <c r="S205" s="177" t="s">
        <v>620</v>
      </c>
      <c r="T205" s="177">
        <v>0.104</v>
      </c>
      <c r="U205" s="177"/>
      <c r="V205" s="177"/>
      <c r="W205" s="177"/>
      <c r="X205" s="177"/>
      <c r="Y205" s="177"/>
      <c r="Z205" s="177"/>
      <c r="AA205" s="177"/>
      <c r="AB205" s="177"/>
      <c r="AC205" s="177"/>
      <c r="AD205" s="177"/>
      <c r="AE205" s="177"/>
      <c r="AF205" s="177"/>
      <c r="AG205" s="177"/>
      <c r="AH205" s="177"/>
    </row>
    <row r="206" spans="4:34" ht="20.100000000000001" customHeight="1" x14ac:dyDescent="0.2">
      <c r="D206" s="177" t="s">
        <v>2250</v>
      </c>
      <c r="E206" s="177" t="s">
        <v>2259</v>
      </c>
      <c r="F206" s="177" t="s">
        <v>653</v>
      </c>
      <c r="G206" s="177">
        <v>1</v>
      </c>
      <c r="H206" s="177"/>
      <c r="I206" s="177"/>
      <c r="J206" s="177"/>
      <c r="K206" s="177">
        <v>5</v>
      </c>
      <c r="L206" s="177">
        <v>15.4</v>
      </c>
      <c r="M206" s="177">
        <v>0</v>
      </c>
      <c r="N206" s="177">
        <v>6.3</v>
      </c>
      <c r="O206" s="177" t="s">
        <v>2076</v>
      </c>
      <c r="P206" s="177">
        <v>0.05</v>
      </c>
      <c r="Q206" s="177" t="s">
        <v>2078</v>
      </c>
      <c r="R206" s="177">
        <v>0.154</v>
      </c>
      <c r="S206" s="177" t="s">
        <v>620</v>
      </c>
      <c r="T206" s="177">
        <v>6.3E-2</v>
      </c>
      <c r="U206" s="177"/>
      <c r="V206" s="177"/>
      <c r="W206" s="177"/>
      <c r="X206" s="177"/>
      <c r="Y206" s="177"/>
      <c r="Z206" s="177"/>
      <c r="AA206" s="177"/>
      <c r="AB206" s="177"/>
      <c r="AC206" s="177"/>
      <c r="AD206" s="177"/>
      <c r="AE206" s="177"/>
      <c r="AF206" s="177"/>
      <c r="AG206" s="177"/>
      <c r="AH206" s="177"/>
    </row>
    <row r="207" spans="4:34" ht="20.100000000000001" customHeight="1" x14ac:dyDescent="0.2">
      <c r="D207" s="177" t="s">
        <v>2250</v>
      </c>
      <c r="E207" s="177" t="s">
        <v>2260</v>
      </c>
      <c r="F207" s="177" t="s">
        <v>653</v>
      </c>
      <c r="G207" s="177">
        <v>1</v>
      </c>
      <c r="H207" s="177"/>
      <c r="I207" s="177"/>
      <c r="J207" s="177"/>
      <c r="K207" s="177">
        <v>9</v>
      </c>
      <c r="L207" s="177">
        <v>19.8</v>
      </c>
      <c r="M207" s="177">
        <v>0</v>
      </c>
      <c r="N207" s="177">
        <v>10.4</v>
      </c>
      <c r="O207" s="177" t="s">
        <v>2076</v>
      </c>
      <c r="P207" s="177">
        <v>0.09</v>
      </c>
      <c r="Q207" s="177" t="s">
        <v>2078</v>
      </c>
      <c r="R207" s="177">
        <v>0.19800000000000001</v>
      </c>
      <c r="S207" s="177" t="s">
        <v>620</v>
      </c>
      <c r="T207" s="177">
        <v>0.104</v>
      </c>
      <c r="U207" s="177" t="s">
        <v>2123</v>
      </c>
      <c r="V207" s="177">
        <v>8.9999999999999993E-3</v>
      </c>
      <c r="W207" s="177"/>
      <c r="X207" s="177"/>
      <c r="Y207" s="177"/>
      <c r="Z207" s="177"/>
      <c r="AA207" s="177"/>
      <c r="AB207" s="177"/>
      <c r="AC207" s="177"/>
      <c r="AD207" s="177"/>
      <c r="AE207" s="177"/>
      <c r="AF207" s="177"/>
      <c r="AG207" s="177"/>
      <c r="AH207" s="177"/>
    </row>
    <row r="208" spans="4:34" ht="20.100000000000001" customHeight="1" x14ac:dyDescent="0.2">
      <c r="D208" s="177" t="s">
        <v>2250</v>
      </c>
      <c r="E208" s="177" t="s">
        <v>2261</v>
      </c>
      <c r="F208" s="177" t="s">
        <v>653</v>
      </c>
      <c r="G208" s="177">
        <v>1</v>
      </c>
      <c r="H208" s="177"/>
      <c r="I208" s="177"/>
      <c r="J208" s="177"/>
      <c r="K208" s="177">
        <v>11.9</v>
      </c>
      <c r="L208" s="177">
        <v>17.600000000000001</v>
      </c>
      <c r="M208" s="177">
        <v>0</v>
      </c>
      <c r="N208" s="177">
        <v>5.9</v>
      </c>
      <c r="O208" s="177" t="s">
        <v>2076</v>
      </c>
      <c r="P208" s="177">
        <v>0.11899999999999999</v>
      </c>
      <c r="Q208" s="177" t="s">
        <v>2078</v>
      </c>
      <c r="R208" s="177">
        <v>0.17599999999999999</v>
      </c>
      <c r="S208" s="177" t="s">
        <v>620</v>
      </c>
      <c r="T208" s="177">
        <v>5.8999999999999997E-2</v>
      </c>
      <c r="U208" s="177" t="s">
        <v>2123</v>
      </c>
      <c r="V208" s="177">
        <v>8.0000000000000002E-3</v>
      </c>
      <c r="W208" s="177"/>
      <c r="X208" s="177"/>
      <c r="Y208" s="177"/>
      <c r="Z208" s="177"/>
      <c r="AA208" s="177"/>
      <c r="AB208" s="177"/>
      <c r="AC208" s="177"/>
      <c r="AD208" s="177"/>
      <c r="AE208" s="177"/>
      <c r="AF208" s="177"/>
      <c r="AG208" s="177"/>
      <c r="AH208" s="177"/>
    </row>
    <row r="209" spans="1:34" ht="20.100000000000001" customHeight="1" x14ac:dyDescent="0.2">
      <c r="D209" s="177" t="s">
        <v>2250</v>
      </c>
      <c r="E209" s="177" t="s">
        <v>2262</v>
      </c>
      <c r="F209" s="177" t="s">
        <v>653</v>
      </c>
      <c r="G209" s="177">
        <v>1</v>
      </c>
      <c r="H209" s="177"/>
      <c r="I209" s="177"/>
      <c r="J209" s="177"/>
      <c r="K209" s="177">
        <v>14.1</v>
      </c>
      <c r="L209" s="177">
        <v>12.8</v>
      </c>
      <c r="M209" s="177">
        <v>0</v>
      </c>
      <c r="N209" s="177">
        <v>10.7</v>
      </c>
      <c r="O209" s="177" t="s">
        <v>2076</v>
      </c>
      <c r="P209" s="177">
        <v>0.14099999999999999</v>
      </c>
      <c r="Q209" s="177" t="s">
        <v>2078</v>
      </c>
      <c r="R209" s="177">
        <v>0.128</v>
      </c>
      <c r="S209" s="177" t="s">
        <v>620</v>
      </c>
      <c r="T209" s="177">
        <v>0.107</v>
      </c>
      <c r="U209" s="177" t="s">
        <v>2123</v>
      </c>
      <c r="V209" s="177">
        <v>6.0000000000000001E-3</v>
      </c>
      <c r="W209" s="177"/>
      <c r="X209" s="177"/>
      <c r="Y209" s="177"/>
      <c r="Z209" s="177"/>
      <c r="AA209" s="177"/>
      <c r="AB209" s="177"/>
      <c r="AC209" s="177"/>
      <c r="AD209" s="177"/>
      <c r="AE209" s="177"/>
      <c r="AF209" s="177"/>
      <c r="AG209" s="177"/>
      <c r="AH209" s="177"/>
    </row>
    <row r="210" spans="1:34" ht="20.100000000000001" customHeight="1" x14ac:dyDescent="0.2">
      <c r="D210" s="177" t="s">
        <v>2250</v>
      </c>
      <c r="E210" s="177" t="s">
        <v>2263</v>
      </c>
      <c r="F210" s="177" t="s">
        <v>653</v>
      </c>
      <c r="G210" s="177">
        <v>1</v>
      </c>
      <c r="H210" s="177"/>
      <c r="I210" s="177"/>
      <c r="J210" s="177"/>
      <c r="K210" s="177">
        <v>18.600000000000001</v>
      </c>
      <c r="L210" s="177">
        <v>12.7</v>
      </c>
      <c r="M210" s="177">
        <v>0</v>
      </c>
      <c r="N210" s="177">
        <v>6.8</v>
      </c>
      <c r="O210" s="177" t="s">
        <v>2076</v>
      </c>
      <c r="P210" s="177">
        <v>0.186</v>
      </c>
      <c r="Q210" s="177" t="s">
        <v>2078</v>
      </c>
      <c r="R210" s="177">
        <v>0.127</v>
      </c>
      <c r="S210" s="177" t="s">
        <v>620</v>
      </c>
      <c r="T210" s="177">
        <v>6.8000000000000005E-2</v>
      </c>
      <c r="U210" s="177" t="s">
        <v>2123</v>
      </c>
      <c r="V210" s="177">
        <v>6.0000000000000001E-3</v>
      </c>
      <c r="W210" s="177"/>
      <c r="X210" s="177"/>
      <c r="Y210" s="177"/>
      <c r="Z210" s="177"/>
      <c r="AA210" s="177"/>
      <c r="AB210" s="177"/>
      <c r="AC210" s="177"/>
      <c r="AD210" s="177"/>
      <c r="AE210" s="177"/>
      <c r="AF210" s="177"/>
      <c r="AG210" s="177"/>
      <c r="AH210" s="177"/>
    </row>
    <row r="211" spans="1:34" ht="20.100000000000001" customHeight="1" x14ac:dyDescent="0.2">
      <c r="D211" s="177" t="s">
        <v>2250</v>
      </c>
      <c r="E211" s="177" t="s">
        <v>2264</v>
      </c>
      <c r="F211" s="177" t="s">
        <v>653</v>
      </c>
      <c r="G211" s="177">
        <v>1</v>
      </c>
      <c r="H211" s="177"/>
      <c r="I211" s="177"/>
      <c r="J211" s="177"/>
      <c r="K211" s="177">
        <v>32</v>
      </c>
      <c r="L211" s="177">
        <v>0</v>
      </c>
      <c r="M211" s="177">
        <v>11</v>
      </c>
      <c r="N211" s="177">
        <v>3</v>
      </c>
      <c r="O211" s="177" t="s">
        <v>2076</v>
      </c>
      <c r="P211" s="177">
        <v>0.32</v>
      </c>
      <c r="Q211" s="177" t="s">
        <v>619</v>
      </c>
      <c r="R211" s="177">
        <v>0.11</v>
      </c>
      <c r="S211" s="177" t="s">
        <v>620</v>
      </c>
      <c r="T211" s="177">
        <v>0.03</v>
      </c>
      <c r="U211" s="177"/>
      <c r="V211" s="177"/>
      <c r="W211" s="177"/>
      <c r="X211" s="177"/>
      <c r="Y211" s="177"/>
      <c r="Z211" s="177"/>
      <c r="AA211" s="177"/>
      <c r="AB211" s="177"/>
      <c r="AC211" s="177"/>
      <c r="AD211" s="177"/>
      <c r="AE211" s="177"/>
      <c r="AF211" s="177"/>
      <c r="AG211" s="177"/>
      <c r="AH211" s="177"/>
    </row>
    <row r="212" spans="1:34" ht="20.100000000000001" customHeight="1" x14ac:dyDescent="0.2">
      <c r="D212" s="177" t="s">
        <v>2250</v>
      </c>
      <c r="E212" s="177" t="s">
        <v>2265</v>
      </c>
      <c r="F212" s="177" t="s">
        <v>653</v>
      </c>
      <c r="G212" s="177">
        <v>1</v>
      </c>
      <c r="H212" s="177"/>
      <c r="I212" s="177"/>
      <c r="J212" s="177"/>
      <c r="K212" s="177">
        <v>31</v>
      </c>
      <c r="L212" s="177">
        <v>6</v>
      </c>
      <c r="M212" s="177">
        <v>0</v>
      </c>
      <c r="N212" s="177">
        <v>6</v>
      </c>
      <c r="O212" s="177" t="s">
        <v>2076</v>
      </c>
      <c r="P212" s="177">
        <v>0.31</v>
      </c>
      <c r="Q212" s="177" t="s">
        <v>2078</v>
      </c>
      <c r="R212" s="177">
        <v>0.06</v>
      </c>
      <c r="S212" s="177" t="s">
        <v>620</v>
      </c>
      <c r="T212" s="177">
        <v>0.06</v>
      </c>
      <c r="U212" s="177"/>
      <c r="V212" s="177"/>
      <c r="W212" s="177"/>
      <c r="X212" s="177"/>
      <c r="Y212" s="177"/>
      <c r="Z212" s="177"/>
      <c r="AA212" s="177"/>
      <c r="AB212" s="177"/>
      <c r="AC212" s="177"/>
      <c r="AD212" s="177"/>
      <c r="AE212" s="177"/>
      <c r="AF212" s="177"/>
      <c r="AG212" s="177"/>
      <c r="AH212" s="177"/>
    </row>
    <row r="213" spans="1:34" ht="20.100000000000001" customHeight="1" x14ac:dyDescent="0.2">
      <c r="D213" s="177" t="s">
        <v>2250</v>
      </c>
      <c r="E213" s="177" t="s">
        <v>2266</v>
      </c>
      <c r="F213" s="177" t="s">
        <v>653</v>
      </c>
      <c r="G213" s="177">
        <v>1</v>
      </c>
      <c r="H213" s="177"/>
      <c r="I213" s="177"/>
      <c r="J213" s="177"/>
      <c r="K213" s="177">
        <v>21</v>
      </c>
      <c r="L213" s="177">
        <v>4</v>
      </c>
      <c r="M213" s="177">
        <v>8</v>
      </c>
      <c r="N213" s="177">
        <v>7</v>
      </c>
      <c r="O213" s="177" t="s">
        <v>2076</v>
      </c>
      <c r="P213" s="177">
        <v>0.21</v>
      </c>
      <c r="Q213" s="177" t="s">
        <v>2078</v>
      </c>
      <c r="R213" s="177">
        <v>0.04</v>
      </c>
      <c r="S213" s="177" t="s">
        <v>619</v>
      </c>
      <c r="T213" s="177">
        <v>0.08</v>
      </c>
      <c r="U213" s="177" t="s">
        <v>620</v>
      </c>
      <c r="V213" s="177">
        <v>7.0000000000000007E-2</v>
      </c>
      <c r="W213" s="177"/>
      <c r="X213" s="177"/>
      <c r="Y213" s="177"/>
      <c r="Z213" s="177"/>
      <c r="AA213" s="177"/>
      <c r="AB213" s="177"/>
      <c r="AC213" s="177"/>
      <c r="AD213" s="177"/>
      <c r="AE213" s="177"/>
      <c r="AF213" s="177"/>
      <c r="AG213" s="177"/>
      <c r="AH213" s="177"/>
    </row>
    <row r="214" spans="1:34" ht="20.100000000000001" customHeight="1" x14ac:dyDescent="0.2">
      <c r="D214" s="177" t="s">
        <v>2250</v>
      </c>
      <c r="E214" s="177" t="s">
        <v>2267</v>
      </c>
      <c r="F214" s="177" t="s">
        <v>653</v>
      </c>
      <c r="G214" s="177">
        <v>1</v>
      </c>
      <c r="H214" s="177"/>
      <c r="I214" s="177"/>
      <c r="J214" s="177"/>
      <c r="K214" s="177">
        <v>23</v>
      </c>
      <c r="L214" s="177">
        <v>0</v>
      </c>
      <c r="M214" s="177">
        <v>25</v>
      </c>
      <c r="N214" s="177">
        <v>0</v>
      </c>
      <c r="O214" s="177" t="s">
        <v>2076</v>
      </c>
      <c r="P214" s="177">
        <v>0.23</v>
      </c>
      <c r="Q214" s="177" t="s">
        <v>619</v>
      </c>
      <c r="R214" s="177">
        <v>0.25</v>
      </c>
      <c r="S214" s="177"/>
      <c r="T214" s="177"/>
      <c r="U214" s="177"/>
      <c r="V214" s="177"/>
      <c r="W214" s="177"/>
      <c r="X214" s="177"/>
      <c r="Y214" s="177"/>
      <c r="Z214" s="177"/>
      <c r="AA214" s="177"/>
      <c r="AB214" s="177"/>
      <c r="AC214" s="177"/>
      <c r="AD214" s="177"/>
      <c r="AE214" s="177"/>
      <c r="AF214" s="177"/>
      <c r="AG214" s="177"/>
      <c r="AH214" s="177"/>
    </row>
    <row r="215" spans="1:34" ht="20.100000000000001" customHeight="1" x14ac:dyDescent="0.2">
      <c r="D215" s="177" t="s">
        <v>2250</v>
      </c>
      <c r="E215" s="177" t="s">
        <v>2268</v>
      </c>
      <c r="F215" s="177" t="s">
        <v>653</v>
      </c>
      <c r="G215" s="177">
        <v>1</v>
      </c>
      <c r="H215" s="177"/>
      <c r="I215" s="177"/>
      <c r="J215" s="177"/>
      <c r="K215" s="177">
        <v>25</v>
      </c>
      <c r="L215" s="177">
        <v>4</v>
      </c>
      <c r="M215" s="177">
        <v>13</v>
      </c>
      <c r="N215" s="177">
        <v>4</v>
      </c>
      <c r="O215" s="177" t="s">
        <v>2076</v>
      </c>
      <c r="P215" s="177">
        <v>0.25</v>
      </c>
      <c r="Q215" s="177" t="s">
        <v>2078</v>
      </c>
      <c r="R215" s="177">
        <v>0.04</v>
      </c>
      <c r="S215" s="177" t="s">
        <v>619</v>
      </c>
      <c r="T215" s="177">
        <v>0.13</v>
      </c>
      <c r="U215" s="177" t="s">
        <v>620</v>
      </c>
      <c r="V215" s="177">
        <v>0.04</v>
      </c>
      <c r="W215" s="177"/>
      <c r="X215" s="177"/>
      <c r="Y215" s="177"/>
      <c r="Z215" s="177"/>
      <c r="AA215" s="177"/>
      <c r="AB215" s="177"/>
      <c r="AC215" s="177"/>
      <c r="AD215" s="177"/>
      <c r="AE215" s="177"/>
      <c r="AF215" s="177"/>
      <c r="AG215" s="177"/>
      <c r="AH215" s="177"/>
    </row>
    <row r="216" spans="1:34" ht="20.100000000000001" customHeight="1" x14ac:dyDescent="0.2">
      <c r="D216" s="177" t="s">
        <v>2250</v>
      </c>
      <c r="E216" s="177" t="s">
        <v>2269</v>
      </c>
      <c r="F216" s="177" t="s">
        <v>653</v>
      </c>
      <c r="G216" s="177">
        <v>1</v>
      </c>
      <c r="H216" s="177"/>
      <c r="I216" s="177"/>
      <c r="J216" s="177"/>
      <c r="K216" s="177">
        <v>13</v>
      </c>
      <c r="L216" s="177">
        <v>5</v>
      </c>
      <c r="M216" s="177">
        <v>24</v>
      </c>
      <c r="N216" s="177">
        <v>5</v>
      </c>
      <c r="O216" s="177" t="s">
        <v>2076</v>
      </c>
      <c r="P216" s="177">
        <v>0.13</v>
      </c>
      <c r="Q216" s="177" t="s">
        <v>2078</v>
      </c>
      <c r="R216" s="177">
        <v>0.05</v>
      </c>
      <c r="S216" s="177" t="s">
        <v>619</v>
      </c>
      <c r="T216" s="177">
        <v>0.24</v>
      </c>
      <c r="U216" s="177" t="s">
        <v>620</v>
      </c>
      <c r="V216" s="177">
        <v>0.05</v>
      </c>
      <c r="W216" s="177"/>
      <c r="X216" s="177"/>
      <c r="Y216" s="177"/>
      <c r="Z216" s="177"/>
      <c r="AA216" s="177"/>
      <c r="AB216" s="177"/>
      <c r="AC216" s="177"/>
      <c r="AD216" s="177"/>
      <c r="AE216" s="177"/>
      <c r="AF216" s="177"/>
      <c r="AG216" s="177"/>
      <c r="AH216" s="177"/>
    </row>
    <row r="217" spans="1:34" ht="20.100000000000001" customHeight="1" x14ac:dyDescent="0.2">
      <c r="D217" s="177" t="s">
        <v>2250</v>
      </c>
      <c r="E217" s="177" t="s">
        <v>2270</v>
      </c>
      <c r="F217" s="177" t="s">
        <v>653</v>
      </c>
      <c r="G217" s="177">
        <v>1</v>
      </c>
      <c r="H217" s="177"/>
      <c r="I217" s="177"/>
      <c r="J217" s="177"/>
      <c r="K217" s="177">
        <v>11</v>
      </c>
      <c r="L217" s="177">
        <v>5</v>
      </c>
      <c r="M217" s="177">
        <v>24</v>
      </c>
      <c r="N217" s="177">
        <v>4</v>
      </c>
      <c r="O217" s="177" t="s">
        <v>2076</v>
      </c>
      <c r="P217" s="177">
        <v>0.11</v>
      </c>
      <c r="Q217" s="177" t="s">
        <v>2078</v>
      </c>
      <c r="R217" s="177">
        <v>0.05</v>
      </c>
      <c r="S217" s="177" t="s">
        <v>619</v>
      </c>
      <c r="T217" s="177">
        <v>0.24</v>
      </c>
      <c r="U217" s="177" t="s">
        <v>620</v>
      </c>
      <c r="V217" s="177">
        <v>0.04</v>
      </c>
      <c r="W217" s="177"/>
      <c r="X217" s="177"/>
      <c r="Y217" s="177"/>
      <c r="Z217" s="177"/>
      <c r="AA217" s="177"/>
      <c r="AB217" s="177"/>
      <c r="AC217" s="177"/>
      <c r="AD217" s="177"/>
      <c r="AE217" s="177"/>
      <c r="AF217" s="177"/>
      <c r="AG217" s="177"/>
      <c r="AH217" s="177"/>
    </row>
    <row r="218" spans="1:34" ht="20.100000000000001" customHeight="1" x14ac:dyDescent="0.2">
      <c r="D218" s="177" t="s">
        <v>2250</v>
      </c>
      <c r="E218" s="177" t="s">
        <v>2271</v>
      </c>
      <c r="F218" s="177" t="s">
        <v>653</v>
      </c>
      <c r="G218" s="177">
        <v>1</v>
      </c>
      <c r="H218" s="177"/>
      <c r="I218" s="177"/>
      <c r="J218" s="177"/>
      <c r="K218" s="177">
        <v>11</v>
      </c>
      <c r="L218" s="177">
        <v>8</v>
      </c>
      <c r="M218" s="177">
        <v>20</v>
      </c>
      <c r="N218" s="177">
        <v>6</v>
      </c>
      <c r="O218" s="177" t="s">
        <v>2076</v>
      </c>
      <c r="P218" s="177">
        <v>0.11</v>
      </c>
      <c r="Q218" s="177" t="s">
        <v>2078</v>
      </c>
      <c r="R218" s="177">
        <v>0.08</v>
      </c>
      <c r="S218" s="177" t="s">
        <v>619</v>
      </c>
      <c r="T218" s="177">
        <v>0.2</v>
      </c>
      <c r="U218" s="177" t="s">
        <v>620</v>
      </c>
      <c r="V218" s="177">
        <v>0.06</v>
      </c>
      <c r="W218" s="177"/>
      <c r="X218" s="177"/>
      <c r="Y218" s="177"/>
      <c r="Z218" s="177"/>
      <c r="AA218" s="177"/>
      <c r="AB218" s="177"/>
      <c r="AC218" s="177"/>
      <c r="AD218" s="177"/>
      <c r="AE218" s="177"/>
      <c r="AF218" s="177"/>
      <c r="AG218" s="177"/>
      <c r="AH218" s="177"/>
    </row>
    <row r="219" spans="1:34" ht="20.100000000000001" customHeight="1" x14ac:dyDescent="0.2">
      <c r="D219" s="177" t="s">
        <v>2250</v>
      </c>
      <c r="E219" s="177" t="s">
        <v>2272</v>
      </c>
      <c r="F219" s="177" t="s">
        <v>653</v>
      </c>
      <c r="G219" s="177">
        <v>1</v>
      </c>
      <c r="H219" s="177"/>
      <c r="I219" s="177"/>
      <c r="J219" s="177"/>
      <c r="K219" s="177">
        <v>9</v>
      </c>
      <c r="L219" s="177">
        <v>4</v>
      </c>
      <c r="M219" s="177">
        <v>5</v>
      </c>
      <c r="N219" s="177">
        <v>15</v>
      </c>
      <c r="O219" s="177" t="s">
        <v>2076</v>
      </c>
      <c r="P219" s="177">
        <v>0.09</v>
      </c>
      <c r="Q219" s="177" t="s">
        <v>2078</v>
      </c>
      <c r="R219" s="177">
        <v>0.04</v>
      </c>
      <c r="S219" s="177" t="s">
        <v>619</v>
      </c>
      <c r="T219" s="177">
        <v>0.05</v>
      </c>
      <c r="U219" s="177" t="s">
        <v>620</v>
      </c>
      <c r="V219" s="177">
        <v>0.15</v>
      </c>
      <c r="W219" s="177"/>
      <c r="X219" s="177"/>
      <c r="Y219" s="177"/>
      <c r="Z219" s="177"/>
      <c r="AA219" s="177"/>
      <c r="AB219" s="177"/>
      <c r="AC219" s="177"/>
      <c r="AD219" s="177"/>
      <c r="AE219" s="177"/>
      <c r="AF219" s="177"/>
      <c r="AG219" s="177"/>
      <c r="AH219" s="177"/>
    </row>
    <row r="220" spans="1:34" ht="20.100000000000001" customHeight="1" x14ac:dyDescent="0.2">
      <c r="D220" s="177" t="s">
        <v>2243</v>
      </c>
      <c r="E220" s="177" t="s">
        <v>2273</v>
      </c>
      <c r="F220" s="177" t="s">
        <v>653</v>
      </c>
      <c r="G220" s="177">
        <v>1</v>
      </c>
      <c r="H220" s="177"/>
      <c r="I220" s="177"/>
      <c r="J220" s="177"/>
      <c r="K220" s="177">
        <v>10.73</v>
      </c>
      <c r="L220" s="177">
        <v>10.95</v>
      </c>
      <c r="M220" s="177">
        <v>11.35</v>
      </c>
      <c r="N220" s="177">
        <v>6.55</v>
      </c>
      <c r="O220" s="177" t="s">
        <v>2062</v>
      </c>
      <c r="P220" s="177">
        <v>0.5</v>
      </c>
      <c r="Q220" s="177" t="s">
        <v>2066</v>
      </c>
      <c r="R220" s="177">
        <v>0.27300000000000002</v>
      </c>
      <c r="S220" s="177" t="s">
        <v>2084</v>
      </c>
      <c r="T220" s="177">
        <v>0.22700000000000001</v>
      </c>
      <c r="U220" s="177" t="s">
        <v>2126</v>
      </c>
      <c r="V220" s="177" t="s">
        <v>1263</v>
      </c>
      <c r="W220" s="177" t="s">
        <v>2123</v>
      </c>
      <c r="X220" s="177" t="s">
        <v>1263</v>
      </c>
      <c r="Y220" s="177"/>
      <c r="Z220" s="177"/>
      <c r="AA220" s="177"/>
      <c r="AB220" s="177"/>
      <c r="AC220" s="177"/>
      <c r="AD220" s="177"/>
      <c r="AE220" s="177"/>
      <c r="AF220" s="177"/>
      <c r="AG220" s="177"/>
      <c r="AH220" s="177"/>
    </row>
    <row r="221" spans="1:34" ht="20.100000000000001" customHeight="1" x14ac:dyDescent="0.2">
      <c r="A221" s="85" t="str">
        <f>HYPERLINK("#A1", "▲ Back to top")</f>
        <v>▲ Back to top</v>
      </c>
      <c r="D221" s="177" t="s">
        <v>2243</v>
      </c>
      <c r="E221" s="177" t="s">
        <v>2274</v>
      </c>
      <c r="F221" s="177" t="s">
        <v>653</v>
      </c>
      <c r="G221" s="177">
        <v>1</v>
      </c>
      <c r="H221" s="177"/>
      <c r="I221" s="177"/>
      <c r="J221" s="177"/>
      <c r="K221" s="177">
        <v>16.95</v>
      </c>
      <c r="L221" s="177">
        <v>8.06</v>
      </c>
      <c r="M221" s="177"/>
      <c r="N221" s="177">
        <v>15.17</v>
      </c>
      <c r="O221" s="177" t="s">
        <v>2066</v>
      </c>
      <c r="P221" s="177">
        <v>0.63200000000000001</v>
      </c>
      <c r="Q221" s="177" t="s">
        <v>2062</v>
      </c>
      <c r="R221" s="177">
        <v>0.36799999999999999</v>
      </c>
      <c r="S221" s="177" t="s">
        <v>2123</v>
      </c>
      <c r="T221" s="177" t="s">
        <v>1263</v>
      </c>
      <c r="U221" s="177" t="s">
        <v>2126</v>
      </c>
      <c r="V221" s="177" t="s">
        <v>1263</v>
      </c>
      <c r="W221" s="177" t="s">
        <v>2169</v>
      </c>
      <c r="X221" s="177" t="s">
        <v>1263</v>
      </c>
      <c r="Y221" s="177" t="s">
        <v>2275</v>
      </c>
      <c r="Z221" s="177" t="s">
        <v>1263</v>
      </c>
      <c r="AA221" s="177"/>
      <c r="AB221" s="177"/>
      <c r="AC221" s="177"/>
      <c r="AD221" s="177"/>
      <c r="AE221" s="177"/>
      <c r="AF221" s="177"/>
      <c r="AG221" s="177"/>
      <c r="AH221" s="177"/>
    </row>
    <row r="222" spans="1:34" ht="20.100000000000001" customHeight="1" x14ac:dyDescent="0.2">
      <c r="D222" s="177" t="s">
        <v>2243</v>
      </c>
      <c r="E222" s="177" t="s">
        <v>2276</v>
      </c>
      <c r="F222" s="177" t="s">
        <v>653</v>
      </c>
      <c r="G222" s="177">
        <v>1</v>
      </c>
      <c r="H222" s="177"/>
      <c r="I222" s="177"/>
      <c r="J222" s="177"/>
      <c r="K222" s="177"/>
      <c r="L222" s="177">
        <v>8.8000000000000007</v>
      </c>
      <c r="M222" s="177"/>
      <c r="N222" s="177">
        <v>11</v>
      </c>
      <c r="O222" s="177" t="s">
        <v>2086</v>
      </c>
      <c r="P222" s="177">
        <v>1</v>
      </c>
      <c r="Q222" s="177" t="s">
        <v>2126</v>
      </c>
      <c r="R222" s="177">
        <v>6.0000000000000001E-3</v>
      </c>
      <c r="S222" s="177" t="s">
        <v>2123</v>
      </c>
      <c r="T222" s="177">
        <v>3.0000000000000001E-3</v>
      </c>
      <c r="U222" s="177" t="s">
        <v>2169</v>
      </c>
      <c r="V222" s="177">
        <v>5.9999999999999995E-4</v>
      </c>
      <c r="W222" s="177"/>
      <c r="X222" s="177"/>
      <c r="Y222" s="177"/>
      <c r="Z222" s="177"/>
      <c r="AA222" s="177"/>
      <c r="AB222" s="177"/>
      <c r="AC222" s="177"/>
      <c r="AD222" s="177"/>
      <c r="AE222" s="177"/>
      <c r="AF222" s="177"/>
      <c r="AG222" s="177"/>
      <c r="AH222" s="177"/>
    </row>
    <row r="223" spans="1:34" ht="20.100000000000001" customHeight="1" x14ac:dyDescent="0.2">
      <c r="D223" s="177" t="s">
        <v>2243</v>
      </c>
      <c r="E223" s="177" t="s">
        <v>2277</v>
      </c>
      <c r="F223" s="177" t="s">
        <v>896</v>
      </c>
      <c r="G223" s="177">
        <v>1.32</v>
      </c>
      <c r="H223" s="177"/>
      <c r="I223" s="177"/>
      <c r="J223" s="177"/>
      <c r="K223" s="177">
        <v>32</v>
      </c>
      <c r="L223" s="177"/>
      <c r="M223" s="177"/>
      <c r="N223" s="177"/>
      <c r="O223" s="177" t="s">
        <v>2067</v>
      </c>
      <c r="P223" s="177">
        <v>1</v>
      </c>
      <c r="Q223" s="177"/>
      <c r="R223" s="177"/>
      <c r="S223" s="177"/>
      <c r="T223" s="177"/>
      <c r="U223" s="177"/>
      <c r="V223" s="177"/>
      <c r="W223" s="177"/>
      <c r="X223" s="177"/>
      <c r="Y223" s="177"/>
      <c r="Z223" s="177"/>
      <c r="AA223" s="177"/>
      <c r="AB223" s="177"/>
      <c r="AC223" s="177"/>
      <c r="AD223" s="177"/>
      <c r="AE223" s="177"/>
      <c r="AF223" s="177"/>
      <c r="AG223" s="177"/>
      <c r="AH223" s="177"/>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03947-1913-4EC1-9199-689402626B43}">
  <sheetPr>
    <tabColor theme="2" tint="-0.499984740745262"/>
  </sheetPr>
  <dimension ref="A1:AI162"/>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871</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2278</v>
      </c>
      <c r="E5" s="168"/>
      <c r="F5" s="168"/>
      <c r="G5" s="168"/>
      <c r="H5" s="168"/>
      <c r="I5" s="168"/>
      <c r="J5" s="168"/>
      <c r="K5" s="168"/>
      <c r="L5" s="168"/>
    </row>
    <row r="6" spans="1:35" ht="20.100000000000001" customHeight="1" x14ac:dyDescent="0.2">
      <c r="D6" s="1" t="s">
        <v>2279</v>
      </c>
      <c r="E6" s="168"/>
      <c r="F6" s="168"/>
      <c r="G6" s="168"/>
      <c r="H6" s="168"/>
      <c r="I6" s="168"/>
      <c r="J6" s="168"/>
      <c r="K6" s="168"/>
      <c r="L6" s="168"/>
    </row>
    <row r="7" spans="1:35" ht="20.100000000000001" customHeight="1" x14ac:dyDescent="0.2">
      <c r="D7" s="17" t="s">
        <v>2280</v>
      </c>
      <c r="E7" s="168"/>
      <c r="F7" s="168"/>
      <c r="G7" s="168"/>
      <c r="H7" s="168"/>
      <c r="I7" s="168"/>
      <c r="J7" s="168"/>
      <c r="K7" s="168"/>
      <c r="L7" s="168"/>
    </row>
    <row r="8" spans="1:35" ht="20.100000000000001" customHeight="1" x14ac:dyDescent="0.2">
      <c r="A8" s="7" t="s">
        <v>0</v>
      </c>
      <c r="D8" s="26" t="str" cm="1">
        <f t="array" ref="D8">"⚠️" &amp; Fuel_SourceData.Fuel_Scope1Scope3EmissionFactorsTransport_Variation()</f>
        <v>⚠️VARIATION OF SOURCE DATA: 'NE' values returned as zero for calculations.</v>
      </c>
      <c r="E8" s="168"/>
      <c r="F8" s="168"/>
      <c r="G8" s="168"/>
      <c r="H8" s="168"/>
      <c r="I8" s="168"/>
      <c r="J8" s="168"/>
      <c r="K8" s="168"/>
      <c r="L8" s="168"/>
    </row>
    <row r="9" spans="1:35" ht="20.100000000000001" customHeight="1" x14ac:dyDescent="0.2">
      <c r="A9" s="5" t="str">
        <f>HYPERLINK("#'Input - Enterprise'!A1", "Enterprise")</f>
        <v>Enterprise</v>
      </c>
      <c r="D9" s="217" t="s">
        <v>872</v>
      </c>
      <c r="E9" s="217" t="s">
        <v>873</v>
      </c>
      <c r="F9" s="217" t="s">
        <v>874</v>
      </c>
      <c r="G9" s="217" t="s">
        <v>875</v>
      </c>
      <c r="H9" s="217" t="s">
        <v>876</v>
      </c>
      <c r="I9" s="217" t="s">
        <v>877</v>
      </c>
      <c r="J9" s="217" t="s">
        <v>878</v>
      </c>
      <c r="K9" s="217" t="s">
        <v>879</v>
      </c>
      <c r="L9" s="217" t="s">
        <v>880</v>
      </c>
    </row>
    <row r="10" spans="1:35" ht="20.100000000000001" customHeight="1" x14ac:dyDescent="0.2">
      <c r="A10" s="5" t="str">
        <f>HYPERLINK("#'Input - Site'!A1", "Site")</f>
        <v>Site</v>
      </c>
      <c r="D10" s="218" t="s">
        <v>835</v>
      </c>
      <c r="E10" s="218" t="s">
        <v>2281</v>
      </c>
      <c r="F10" s="218">
        <v>34.200000000000003</v>
      </c>
      <c r="G10" s="218" t="s">
        <v>2282</v>
      </c>
      <c r="H10" s="218">
        <v>67.400000000000006</v>
      </c>
      <c r="I10" s="218">
        <v>0.02</v>
      </c>
      <c r="J10" s="218">
        <v>0.2</v>
      </c>
      <c r="K10" s="218">
        <v>67.62</v>
      </c>
      <c r="L10" s="218">
        <v>17.2</v>
      </c>
    </row>
    <row r="11" spans="1:35" ht="20.100000000000001" customHeight="1" x14ac:dyDescent="0.2">
      <c r="A11" s="5" t="str">
        <f>HYPERLINK("#'Input - Pasture Beef'!A1", "Pasture Beef")</f>
        <v>Pasture Beef</v>
      </c>
      <c r="D11" s="218" t="s">
        <v>835</v>
      </c>
      <c r="E11" s="218" t="s">
        <v>2283</v>
      </c>
      <c r="F11" s="218">
        <v>38.6</v>
      </c>
      <c r="G11" s="218" t="s">
        <v>2282</v>
      </c>
      <c r="H11" s="218">
        <v>69.900000000000006</v>
      </c>
      <c r="I11" s="218">
        <v>0.01</v>
      </c>
      <c r="J11" s="218">
        <v>0.5</v>
      </c>
      <c r="K11" s="218">
        <v>70.41</v>
      </c>
      <c r="L11" s="218">
        <v>17.3</v>
      </c>
    </row>
    <row r="12" spans="1:35" ht="20.100000000000001" customHeight="1" x14ac:dyDescent="0.2">
      <c r="A12" s="5" t="str">
        <f>HYPERLINK("#'Input - Livestock sales'!A1", "Livestock sales")</f>
        <v>Livestock sales</v>
      </c>
      <c r="D12" s="218" t="s">
        <v>835</v>
      </c>
      <c r="E12" s="218" t="s">
        <v>897</v>
      </c>
      <c r="F12" s="218">
        <v>26.2</v>
      </c>
      <c r="G12" s="218" t="s">
        <v>2282</v>
      </c>
      <c r="H12" s="218">
        <v>60.2</v>
      </c>
      <c r="I12" s="218">
        <v>0.5</v>
      </c>
      <c r="J12" s="218">
        <v>0.3</v>
      </c>
      <c r="K12" s="218">
        <v>61</v>
      </c>
      <c r="L12" s="218">
        <v>20.2</v>
      </c>
    </row>
    <row r="13" spans="1:35" ht="20.100000000000001" customHeight="1" x14ac:dyDescent="0.2">
      <c r="A13" s="5" t="str">
        <f>HYPERLINK("#'Input - Beef cattle purchases'!A1", "Beef cattle purchases")</f>
        <v>Beef cattle purchases</v>
      </c>
      <c r="D13" s="218" t="s">
        <v>835</v>
      </c>
      <c r="E13" s="218" t="s">
        <v>839</v>
      </c>
      <c r="F13" s="218">
        <v>39.700000000000003</v>
      </c>
      <c r="G13" s="218" t="s">
        <v>2282</v>
      </c>
      <c r="H13" s="218">
        <v>73.599999999999994</v>
      </c>
      <c r="I13" s="218">
        <v>0.08</v>
      </c>
      <c r="J13" s="218">
        <v>0.5</v>
      </c>
      <c r="K13" s="218">
        <v>74.180000000000007</v>
      </c>
      <c r="L13" s="218">
        <v>18</v>
      </c>
    </row>
    <row r="14" spans="1:35" ht="20.100000000000001" customHeight="1" x14ac:dyDescent="0.2">
      <c r="A14" s="5" t="str">
        <f>HYPERLINK("#'Input - Pasture'!A1", "Pasture")</f>
        <v>Pasture</v>
      </c>
      <c r="D14" s="218" t="s">
        <v>835</v>
      </c>
      <c r="E14" s="218" t="s">
        <v>899</v>
      </c>
      <c r="F14" s="218">
        <v>23.4</v>
      </c>
      <c r="G14" s="218" t="s">
        <v>2282</v>
      </c>
      <c r="H14" s="218">
        <v>0</v>
      </c>
      <c r="I14" s="218">
        <v>0.2</v>
      </c>
      <c r="J14" s="218">
        <v>0.2</v>
      </c>
      <c r="K14" s="218">
        <v>0.4</v>
      </c>
      <c r="L14" s="218" t="s">
        <v>2284</v>
      </c>
    </row>
    <row r="15" spans="1:35" ht="20.100000000000001" customHeight="1" x14ac:dyDescent="0.2">
      <c r="A15" s="5" t="str">
        <f>HYPERLINK("#'Input - Fert Prod System'!A1", "Fert Prod System")</f>
        <v>Fert Prod System</v>
      </c>
      <c r="D15" s="218" t="s">
        <v>835</v>
      </c>
      <c r="E15" s="218" t="s">
        <v>898</v>
      </c>
      <c r="F15" s="218">
        <v>34.6</v>
      </c>
      <c r="G15" s="218" t="s">
        <v>2282</v>
      </c>
      <c r="H15" s="218">
        <v>0</v>
      </c>
      <c r="I15" s="218">
        <v>0.8</v>
      </c>
      <c r="J15" s="218">
        <v>1.7</v>
      </c>
      <c r="K15" s="218">
        <v>2.5</v>
      </c>
      <c r="L15" s="218" t="s">
        <v>2284</v>
      </c>
    </row>
    <row r="16" spans="1:35" ht="20.100000000000001" customHeight="1" x14ac:dyDescent="0.2">
      <c r="A16" s="5" t="str">
        <f>HYPERLINK("#'Input - Fertiliser'!A1", "Fertiliser")</f>
        <v>Fertiliser</v>
      </c>
      <c r="D16" s="218" t="s">
        <v>835</v>
      </c>
      <c r="E16" s="218" t="s">
        <v>901</v>
      </c>
      <c r="F16" s="218">
        <v>38.6</v>
      </c>
      <c r="G16" s="218" t="s">
        <v>2282</v>
      </c>
      <c r="H16" s="218">
        <v>0</v>
      </c>
      <c r="I16" s="218">
        <v>0.01</v>
      </c>
      <c r="J16" s="218">
        <v>0.5</v>
      </c>
      <c r="K16" s="218">
        <v>0.51</v>
      </c>
      <c r="L16" s="218" t="s">
        <v>2284</v>
      </c>
    </row>
    <row r="17" spans="1:12" ht="20.100000000000001" customHeight="1" x14ac:dyDescent="0.2">
      <c r="A17" s="5" t="str">
        <f>HYPERLINK("#'Input - Fuel'!A1", "Fuel")</f>
        <v>Fuel</v>
      </c>
      <c r="D17" s="218" t="s">
        <v>835</v>
      </c>
      <c r="E17" s="218" t="s">
        <v>900</v>
      </c>
      <c r="F17" s="218">
        <v>23.4</v>
      </c>
      <c r="G17" s="218" t="s">
        <v>2282</v>
      </c>
      <c r="H17" s="218">
        <v>0</v>
      </c>
      <c r="I17" s="218">
        <v>0.8</v>
      </c>
      <c r="J17" s="218">
        <v>1.7</v>
      </c>
      <c r="K17" s="218">
        <v>2.5</v>
      </c>
      <c r="L17" s="218" t="s">
        <v>2284</v>
      </c>
    </row>
    <row r="18" spans="1:12" ht="20.100000000000001" customHeight="1" x14ac:dyDescent="0.2">
      <c r="A18" s="5" t="str">
        <f>HYPERLINK("#'Input - Electricity'!A1", "Electricity")</f>
        <v>Electricity</v>
      </c>
      <c r="D18" s="218" t="s">
        <v>2285</v>
      </c>
      <c r="E18" s="218" t="s">
        <v>2286</v>
      </c>
      <c r="F18" s="218">
        <v>3.9300000000000002E-2</v>
      </c>
      <c r="G18" s="218" t="s">
        <v>1708</v>
      </c>
      <c r="H18" s="218">
        <v>51.4</v>
      </c>
      <c r="I18" s="218">
        <v>7.3</v>
      </c>
      <c r="J18" s="218">
        <v>0.3</v>
      </c>
      <c r="K18" s="218">
        <v>59</v>
      </c>
      <c r="L18" s="218">
        <v>18</v>
      </c>
    </row>
    <row r="19" spans="1:12" ht="20.100000000000001" customHeight="1" x14ac:dyDescent="0.2">
      <c r="A19" s="5" t="str">
        <f>HYPERLINK("#'Input - Common farm inputs'!A1", "Common farm inputs")</f>
        <v>Common farm inputs</v>
      </c>
      <c r="D19" s="218" t="s">
        <v>2285</v>
      </c>
      <c r="E19" s="218" t="s">
        <v>2287</v>
      </c>
      <c r="F19" s="218">
        <v>25.3</v>
      </c>
      <c r="G19" s="218" t="s">
        <v>2282</v>
      </c>
      <c r="H19" s="218">
        <v>51.4</v>
      </c>
      <c r="I19" s="218">
        <v>7.3</v>
      </c>
      <c r="J19" s="218">
        <v>0.3</v>
      </c>
      <c r="K19" s="218">
        <v>59</v>
      </c>
      <c r="L19" s="218">
        <v>18</v>
      </c>
    </row>
    <row r="20" spans="1:12" ht="20.100000000000001" customHeight="1" x14ac:dyDescent="0.2">
      <c r="A20" s="5" t="str">
        <f>HYPERLINK("#'Input - Crop pasture farm input'!A1", "Crop pasture farm input")</f>
        <v>Crop pasture farm input</v>
      </c>
      <c r="D20" s="218" t="s">
        <v>2288</v>
      </c>
      <c r="E20" s="218" t="s">
        <v>2286</v>
      </c>
      <c r="F20" s="218">
        <v>3.9300000000000002E-2</v>
      </c>
      <c r="G20" s="218" t="s">
        <v>1708</v>
      </c>
      <c r="H20" s="218">
        <v>51.4</v>
      </c>
      <c r="I20" s="218">
        <v>2.8</v>
      </c>
      <c r="J20" s="218">
        <v>0.3</v>
      </c>
      <c r="K20" s="218">
        <v>54.5</v>
      </c>
      <c r="L20" s="218">
        <v>18</v>
      </c>
    </row>
    <row r="21" spans="1:12" ht="20.100000000000001" customHeight="1" x14ac:dyDescent="0.2">
      <c r="A21" s="5" t="str">
        <f>HYPERLINK("#'Input - Livestock farm Inputs'!A1", "Livestock farm Inputs")</f>
        <v>Livestock farm Inputs</v>
      </c>
      <c r="D21" s="218" t="s">
        <v>2288</v>
      </c>
      <c r="E21" s="218" t="s">
        <v>2287</v>
      </c>
      <c r="F21" s="218">
        <v>25.3</v>
      </c>
      <c r="G21" s="218" t="s">
        <v>2282</v>
      </c>
      <c r="H21" s="218">
        <v>51.4</v>
      </c>
      <c r="I21" s="218">
        <v>2.8</v>
      </c>
      <c r="J21" s="218">
        <v>0.3</v>
      </c>
      <c r="K21" s="218">
        <v>54.5</v>
      </c>
      <c r="L21" s="218">
        <v>18</v>
      </c>
    </row>
    <row r="22" spans="1:12" ht="20.100000000000001" customHeight="1" x14ac:dyDescent="0.2">
      <c r="A22" s="5" t="str">
        <f>HYPERLINK("#'Input - Freight'!A1", "Freight")</f>
        <v>Freight</v>
      </c>
      <c r="D22" s="218" t="s">
        <v>2288</v>
      </c>
      <c r="E22" s="218" t="s">
        <v>2289</v>
      </c>
      <c r="F22" s="218">
        <v>38.6</v>
      </c>
      <c r="G22" s="218" t="s">
        <v>2282</v>
      </c>
      <c r="H22" s="218">
        <v>69.900000000000006</v>
      </c>
      <c r="I22" s="218">
        <v>7.0000000000000007E-2</v>
      </c>
      <c r="J22" s="218">
        <v>0.4</v>
      </c>
      <c r="K22" s="218">
        <v>70.37</v>
      </c>
      <c r="L22" s="218">
        <v>17.3</v>
      </c>
    </row>
    <row r="23" spans="1:12" ht="20.100000000000001" customHeight="1" x14ac:dyDescent="0.2">
      <c r="A23" s="5" t="str">
        <f>HYPERLINK("#'Input - Solid waste'!A1", "Solid waste")</f>
        <v>Solid waste</v>
      </c>
      <c r="D23" s="218" t="s">
        <v>2288</v>
      </c>
      <c r="E23" s="218" t="s">
        <v>2290</v>
      </c>
      <c r="F23" s="218">
        <v>38.6</v>
      </c>
      <c r="G23" s="218" t="s">
        <v>2282</v>
      </c>
      <c r="H23" s="218">
        <v>69.900000000000006</v>
      </c>
      <c r="I23" s="218">
        <v>0.1</v>
      </c>
      <c r="J23" s="218">
        <v>0.4</v>
      </c>
      <c r="K23" s="218">
        <v>70.400000000000006</v>
      </c>
      <c r="L23" s="218">
        <v>17.3</v>
      </c>
    </row>
    <row r="24" spans="1:12" ht="20.100000000000001" customHeight="1" x14ac:dyDescent="0.2">
      <c r="A24" s="5" t="str">
        <f>HYPERLINK("#'Input - Manure sent off-site'!A1", "Manure sent off-site")</f>
        <v>Manure sent off-site</v>
      </c>
      <c r="D24" s="218" t="s">
        <v>2288</v>
      </c>
      <c r="E24" s="218" t="s">
        <v>2291</v>
      </c>
      <c r="F24" s="218">
        <v>38.6</v>
      </c>
      <c r="G24" s="218" t="s">
        <v>2282</v>
      </c>
      <c r="H24" s="218">
        <v>69.900000000000006</v>
      </c>
      <c r="I24" s="218">
        <v>0.2</v>
      </c>
      <c r="J24" s="218">
        <v>0.4</v>
      </c>
      <c r="K24" s="218">
        <v>70.5</v>
      </c>
      <c r="L24" s="218">
        <v>17.3</v>
      </c>
    </row>
    <row r="25" spans="1:12" ht="20.100000000000001" customHeight="1" x14ac:dyDescent="0.2">
      <c r="A25" s="5" t="str">
        <f>HYPERLINK("#'Input - Data quality'!A1", "Data quality")</f>
        <v>Data quality</v>
      </c>
      <c r="D25" s="218" t="s">
        <v>2288</v>
      </c>
      <c r="E25" s="218" t="s">
        <v>909</v>
      </c>
      <c r="F25" s="218">
        <v>38.6</v>
      </c>
      <c r="G25" s="218" t="s">
        <v>2282</v>
      </c>
      <c r="H25" s="218">
        <v>0</v>
      </c>
      <c r="I25" s="218">
        <v>7.0000000000000007E-2</v>
      </c>
      <c r="J25" s="218">
        <v>0.4</v>
      </c>
      <c r="K25" s="218">
        <v>0.47</v>
      </c>
      <c r="L25" s="218" t="s">
        <v>2284</v>
      </c>
    </row>
    <row r="26" spans="1:12" ht="20.100000000000001" customHeight="1" x14ac:dyDescent="0.2">
      <c r="D26" s="218" t="s">
        <v>2288</v>
      </c>
      <c r="E26" s="218" t="s">
        <v>910</v>
      </c>
      <c r="F26" s="218">
        <v>38.6</v>
      </c>
      <c r="G26" s="218" t="s">
        <v>2282</v>
      </c>
      <c r="H26" s="218">
        <v>0</v>
      </c>
      <c r="I26" s="218">
        <v>0.1</v>
      </c>
      <c r="J26" s="218">
        <v>0.4</v>
      </c>
      <c r="K26" s="218">
        <v>0.5</v>
      </c>
      <c r="L26" s="218" t="s">
        <v>2284</v>
      </c>
    </row>
    <row r="27" spans="1:12" ht="20.100000000000001" customHeight="1" x14ac:dyDescent="0.2">
      <c r="D27" s="218" t="s">
        <v>2288</v>
      </c>
      <c r="E27" s="218" t="s">
        <v>911</v>
      </c>
      <c r="F27" s="218">
        <v>38.6</v>
      </c>
      <c r="G27" s="218" t="s">
        <v>2282</v>
      </c>
      <c r="H27" s="218">
        <v>0</v>
      </c>
      <c r="I27" s="218">
        <v>0.2</v>
      </c>
      <c r="J27" s="218">
        <v>0.4</v>
      </c>
      <c r="K27" s="218">
        <v>0.6</v>
      </c>
      <c r="L27" s="218" t="s">
        <v>2284</v>
      </c>
    </row>
    <row r="28" spans="1:12" ht="20.100000000000001" customHeight="1" x14ac:dyDescent="0.2">
      <c r="A28" s="6" t="s">
        <v>2</v>
      </c>
      <c r="D28" s="218" t="s">
        <v>892</v>
      </c>
      <c r="E28" s="218" t="s">
        <v>2292</v>
      </c>
      <c r="F28" s="218">
        <v>33.1</v>
      </c>
      <c r="G28" s="218" t="s">
        <v>2282</v>
      </c>
      <c r="H28" s="218">
        <v>67</v>
      </c>
      <c r="I28" s="218">
        <v>0.06</v>
      </c>
      <c r="J28" s="218">
        <v>0.6</v>
      </c>
      <c r="K28" s="218">
        <v>67.66</v>
      </c>
      <c r="L28" s="218">
        <v>18</v>
      </c>
    </row>
    <row r="29" spans="1:12" ht="20.100000000000001" customHeight="1" x14ac:dyDescent="0.2">
      <c r="A29" s="5" t="str">
        <f>HYPERLINK("#'3.2.1.1-2 Enteric Methane'!A1", "3.2.1.1-2 Enteric Methane")</f>
        <v>3.2.1.1-2 Enteric Methane</v>
      </c>
      <c r="D29" s="218" t="s">
        <v>892</v>
      </c>
      <c r="E29" s="218" t="s">
        <v>2293</v>
      </c>
      <c r="F29" s="218">
        <v>36.799999999999997</v>
      </c>
      <c r="G29" s="218" t="s">
        <v>2282</v>
      </c>
      <c r="H29" s="218">
        <v>69.599999999999994</v>
      </c>
      <c r="I29" s="218">
        <v>0.01</v>
      </c>
      <c r="J29" s="218">
        <v>0.6</v>
      </c>
      <c r="K29" s="218">
        <v>70.209999999999994</v>
      </c>
      <c r="L29" s="218">
        <v>18</v>
      </c>
    </row>
    <row r="30" spans="1:12" ht="20.100000000000001" customHeight="1" x14ac:dyDescent="0.2">
      <c r="A30" s="5" t="str">
        <f>HYPERLINK("#'4.2.1.1-2 Methane'!A1", "4.2.1.1-2 Manure methane")</f>
        <v>4.2.1.1-2 Manure methane</v>
      </c>
      <c r="D30" s="218" t="s">
        <v>892</v>
      </c>
      <c r="E30" s="218" t="s">
        <v>904</v>
      </c>
      <c r="F30" s="218">
        <v>36.799999999999997</v>
      </c>
      <c r="G30" s="218" t="s">
        <v>2282</v>
      </c>
      <c r="H30" s="218">
        <v>0</v>
      </c>
      <c r="I30" s="218">
        <v>0.01</v>
      </c>
      <c r="J30" s="218">
        <v>0.6</v>
      </c>
      <c r="K30" s="218">
        <v>0.61</v>
      </c>
      <c r="L30" s="218" t="s">
        <v>2284</v>
      </c>
    </row>
    <row r="31" spans="1:12" ht="20.100000000000001" customHeight="1" x14ac:dyDescent="0.2">
      <c r="A31" s="5" t="str">
        <f>HYPERLINK("#'4.2.1.3-4 Soil direct N20'!A1", "4.2.1.3-4 Soil direct N2O")</f>
        <v>4.2.1.3-4 Soil direct N2O</v>
      </c>
      <c r="D31" s="218" t="s">
        <v>838</v>
      </c>
      <c r="E31" s="218" t="s">
        <v>2281</v>
      </c>
      <c r="F31" s="218">
        <v>34.200000000000003</v>
      </c>
      <c r="G31" s="218" t="s">
        <v>895</v>
      </c>
      <c r="H31" s="218">
        <v>67.400000000000006</v>
      </c>
      <c r="I31" s="218">
        <v>10.1</v>
      </c>
      <c r="J31" s="218">
        <v>0.3</v>
      </c>
      <c r="K31" s="218"/>
      <c r="L31" s="218">
        <v>17.2</v>
      </c>
    </row>
    <row r="32" spans="1:12" ht="20.100000000000001" customHeight="1" x14ac:dyDescent="0.2">
      <c r="A32" s="5" t="str">
        <f>HYPERLINK("#'4.2.1.5-6 Soil Atmos Dep'!A1", "4.2.1.5-6 Soil atm. deposition")</f>
        <v>4.2.1.5-6 Soil atm. deposition</v>
      </c>
      <c r="D32" s="219" t="s">
        <v>838</v>
      </c>
      <c r="E32" s="219" t="s">
        <v>2283</v>
      </c>
      <c r="F32" s="219">
        <v>38.6</v>
      </c>
      <c r="G32" s="219" t="s">
        <v>895</v>
      </c>
      <c r="H32" s="219">
        <v>69.900000000000006</v>
      </c>
      <c r="I32" s="219">
        <v>0.2</v>
      </c>
      <c r="J32" s="219">
        <v>0.5</v>
      </c>
      <c r="K32" s="219"/>
      <c r="L32" s="219">
        <v>17.3</v>
      </c>
    </row>
    <row r="33" spans="1:12" ht="20.100000000000001" customHeight="1" x14ac:dyDescent="0.2">
      <c r="A33" s="5" t="str">
        <f>HYPERLINK("#'4.2.1.7-8 Soil leach runoff'!A1", "4.2.1.7-8 Soil leach &amp; runoff")</f>
        <v>4.2.1.7-8 Soil leach &amp; runoff</v>
      </c>
      <c r="D33" s="219" t="s">
        <v>838</v>
      </c>
      <c r="E33" s="219" t="s">
        <v>2294</v>
      </c>
      <c r="F33" s="219">
        <v>39.700000000000003</v>
      </c>
      <c r="G33" s="219" t="s">
        <v>895</v>
      </c>
      <c r="H33" s="219">
        <v>73.599999999999994</v>
      </c>
      <c r="I33" s="219">
        <v>0.2</v>
      </c>
      <c r="J33" s="219">
        <v>0.5</v>
      </c>
      <c r="K33" s="219"/>
      <c r="L33" s="219">
        <v>18</v>
      </c>
    </row>
    <row r="34" spans="1:12" ht="20.100000000000001" customHeight="1" x14ac:dyDescent="0.2">
      <c r="A34" s="5" t="str">
        <f>HYPERLINK("#'5.1.1.1-2 Inorganic fert N2O'!A1", "5.1.1.1-2 Inorganic fert N2O")</f>
        <v>5.1.1.1-2 Inorganic fert N2O</v>
      </c>
      <c r="D34" s="219" t="s">
        <v>837</v>
      </c>
      <c r="E34" s="219" t="s">
        <v>2283</v>
      </c>
      <c r="F34" s="219">
        <v>38.6</v>
      </c>
      <c r="G34" s="219" t="s">
        <v>895</v>
      </c>
      <c r="H34" s="219">
        <v>69.900000000000006</v>
      </c>
      <c r="I34" s="219">
        <v>0.3</v>
      </c>
      <c r="J34" s="219">
        <v>0.5</v>
      </c>
      <c r="K34" s="219"/>
      <c r="L34" s="219">
        <v>17.3</v>
      </c>
    </row>
    <row r="35" spans="1:12" ht="20.100000000000001" customHeight="1" x14ac:dyDescent="0.2">
      <c r="A35" s="5" t="str">
        <f>HYPERLINK("#'5.1.1.3-4 Inorganic fert CO2'!A1", "5.1.1.3-4 Inorganic fert CO2")</f>
        <v>5.1.1.3-4 Inorganic fert CO2</v>
      </c>
    </row>
    <row r="36" spans="1:12" ht="20.100000000000001" customHeight="1" x14ac:dyDescent="0.2">
      <c r="A36" s="5" t="str">
        <f>HYPERLINK("#'5.2.1.1-2 Organic Fert N2O'!A1", "5.2.1.1-2 Organic fert N2O")</f>
        <v>5.2.1.1-2 Organic fert N2O</v>
      </c>
    </row>
    <row r="37" spans="1:12" ht="20.100000000000001" customHeight="1" x14ac:dyDescent="0.2">
      <c r="A37" s="5" t="str">
        <f>HYPERLINK("#'5.3.1.1-2 Lime CO2'!A1", "5.3.1.1-2 Lime CO2")</f>
        <v>5.3.1.1-2 Lime CO2</v>
      </c>
      <c r="D37" s="2" t="s">
        <v>2295</v>
      </c>
    </row>
    <row r="38" spans="1:12" ht="20.100000000000001" customHeight="1" x14ac:dyDescent="0.2">
      <c r="A38" s="5" t="str">
        <f>HYPERLINK("#'5.4.1.1-4 Atmos deposition'!A1", "5.4.1.1-4 Atmos. deposition")</f>
        <v>5.4.1.1-4 Atmos. deposition</v>
      </c>
      <c r="D38" s="17" t="s">
        <v>2296</v>
      </c>
    </row>
    <row r="39" spans="1:12" ht="20.100000000000001" customHeight="1" x14ac:dyDescent="0.2">
      <c r="A39" s="5" t="str">
        <f>HYPERLINK("#'5.5.1.1-2 Leaching and runoff'!A1", "5.5.1.1-2 Leaching &amp; runoff")</f>
        <v>5.5.1.1-2 Leaching &amp; runoff</v>
      </c>
      <c r="D39" s="20" t="s">
        <v>881</v>
      </c>
      <c r="E39" s="20" t="s">
        <v>882</v>
      </c>
      <c r="F39" s="20" t="s">
        <v>883</v>
      </c>
      <c r="G39" s="20" t="s">
        <v>884</v>
      </c>
      <c r="H39" s="20" t="s">
        <v>885</v>
      </c>
      <c r="I39" s="20" t="s">
        <v>886</v>
      </c>
      <c r="J39" s="20" t="s">
        <v>887</v>
      </c>
    </row>
    <row r="40" spans="1:12" ht="20.100000000000001" customHeight="1" x14ac:dyDescent="0.2">
      <c r="A40" s="5" t="str">
        <f>HYPERLINK("#'6.2.1.1-2 Pasture residue N2O'!A1", "6.2.1.1-2 Pasture residue N2O")</f>
        <v>6.2.1.1-2 Pasture residue N2O</v>
      </c>
      <c r="D40" s="20" t="s">
        <v>2297</v>
      </c>
      <c r="E40" s="20" t="s">
        <v>834</v>
      </c>
      <c r="F40" s="20">
        <v>34.200000000000003</v>
      </c>
      <c r="G40" s="20">
        <v>67.400000000000006</v>
      </c>
      <c r="H40" s="20">
        <v>10.1</v>
      </c>
      <c r="I40" s="20">
        <v>0.3</v>
      </c>
      <c r="J40" s="20">
        <v>17.2</v>
      </c>
    </row>
    <row r="41" spans="1:12" ht="20.100000000000001" customHeight="1" x14ac:dyDescent="0.2">
      <c r="A41" s="5" t="str">
        <f>HYPERLINK("#'6.3.1.1-2 Leach runoff pasture'!A1", "6.3.1.1-2 Leach &amp; runoff (pasture)")</f>
        <v>6.3.1.1-2 Leach &amp; runoff (pasture)</v>
      </c>
      <c r="D41" s="1" t="s">
        <v>2297</v>
      </c>
      <c r="E41" s="20" t="s">
        <v>836</v>
      </c>
      <c r="F41" s="20">
        <v>38.6</v>
      </c>
      <c r="G41" s="20">
        <v>69.900000000000006</v>
      </c>
      <c r="H41" s="20">
        <v>0.2</v>
      </c>
      <c r="I41" s="20">
        <v>0.5</v>
      </c>
      <c r="J41" s="20">
        <v>17.3</v>
      </c>
    </row>
    <row r="42" spans="1:12" ht="20.100000000000001" customHeight="1" x14ac:dyDescent="0.2">
      <c r="A42" s="5" t="str">
        <f>HYPERLINK("#'8.1.1.1-2 Transport fuel'!A1", "8.1.1.1-2 Transport fuel")</f>
        <v>8.1.1.1-2 Transport fuel</v>
      </c>
      <c r="D42" s="1" t="s">
        <v>2297</v>
      </c>
      <c r="E42" s="20" t="s">
        <v>2294</v>
      </c>
      <c r="F42" s="20">
        <v>39.700000000000003</v>
      </c>
      <c r="G42" s="20">
        <v>73.599999999999994</v>
      </c>
      <c r="H42" s="20">
        <v>0.2</v>
      </c>
      <c r="I42" s="20">
        <v>0.5</v>
      </c>
      <c r="J42" s="20">
        <v>18</v>
      </c>
    </row>
    <row r="43" spans="1:12" ht="20.100000000000001" customHeight="1" x14ac:dyDescent="0.2">
      <c r="A43" s="5" t="str">
        <f>HYPERLINK("#'8.2.1.1-2 Stationary fuel'!A1", "8.2.1.1-2 Stationary fuel")</f>
        <v>8.2.1.1-2 Stationary fuel</v>
      </c>
      <c r="D43" s="1" t="s">
        <v>837</v>
      </c>
      <c r="E43" s="20" t="s">
        <v>836</v>
      </c>
      <c r="F43" s="20">
        <v>38.6</v>
      </c>
      <c r="G43" s="20">
        <v>69.900000000000006</v>
      </c>
      <c r="H43" s="20">
        <v>0.3</v>
      </c>
      <c r="I43" s="20">
        <v>0.5</v>
      </c>
      <c r="J43" s="20">
        <v>17.3</v>
      </c>
    </row>
    <row r="44" spans="1:12" ht="20.100000000000001" customHeight="1" x14ac:dyDescent="0.2">
      <c r="A44" s="5" t="str">
        <f>HYPERLINK("#'10.1.1-2 Solid waste treatment'!A1", "10.1.1.1-2 Solid waste")</f>
        <v>10.1.1.1-2 Solid waste</v>
      </c>
    </row>
    <row r="45" spans="1:12" ht="20.100000000000001" customHeight="1" x14ac:dyDescent="0.2">
      <c r="A45" s="5" t="str">
        <f>HYPERLINK("#'14.1.1-2 Purchased electricity'!A1", "14.1.1-2 Purchased electricity")</f>
        <v>14.1.1-2 Purchased electricity</v>
      </c>
    </row>
    <row r="46" spans="1:12" ht="20.100000000000001" customHeight="1" x14ac:dyDescent="0.2">
      <c r="A46" s="5" t="str">
        <f>HYPERLINK("#'15 Scope 3'!A1", "15 Scope 3")</f>
        <v>15 Scope 3</v>
      </c>
    </row>
    <row r="47" spans="1:12" ht="20.100000000000001" customHeight="1" x14ac:dyDescent="0.2">
      <c r="A47" s="5" t="str">
        <f>HYPERLINK("#'Calcs - Manure sent off-site'!A1", "Calcs - Manure sent off-site")</f>
        <v>Calcs - Manure sent off-site</v>
      </c>
    </row>
    <row r="49" spans="1:12" ht="20.100000000000001" customHeight="1" x14ac:dyDescent="0.2">
      <c r="D49" s="2" t="s">
        <v>2298</v>
      </c>
      <c r="E49" s="168"/>
      <c r="F49" s="168"/>
      <c r="G49" s="168"/>
      <c r="H49" s="168"/>
      <c r="I49" s="168"/>
      <c r="J49" s="168"/>
      <c r="K49" s="168"/>
      <c r="L49" s="168"/>
    </row>
    <row r="50" spans="1:12" ht="20.100000000000001" customHeight="1" x14ac:dyDescent="0.2">
      <c r="A50" s="86" t="s">
        <v>1</v>
      </c>
      <c r="D50" s="1" t="s">
        <v>2299</v>
      </c>
      <c r="E50" s="168"/>
      <c r="F50" s="168"/>
      <c r="G50" s="168"/>
      <c r="H50" s="168"/>
      <c r="I50" s="168"/>
      <c r="J50" s="168"/>
      <c r="K50" s="168"/>
      <c r="L50" s="168"/>
    </row>
    <row r="51" spans="1:12" ht="20.100000000000001" customHeight="1" x14ac:dyDescent="0.2">
      <c r="A51" s="5" t="str">
        <f>HYPERLINK("#'Constants - Pasture Beef'!A1", "Constants - Pasture Beef")</f>
        <v>Constants - Pasture Beef</v>
      </c>
      <c r="D51" s="17" t="s">
        <v>2300</v>
      </c>
      <c r="E51" s="168"/>
      <c r="F51" s="168"/>
      <c r="G51" s="168"/>
      <c r="H51" s="168"/>
      <c r="I51" s="168"/>
      <c r="J51" s="168"/>
      <c r="K51" s="168"/>
      <c r="L51" s="168"/>
    </row>
    <row r="52" spans="1:12" ht="20.100000000000001" customHeight="1" x14ac:dyDescent="0.2">
      <c r="A52" s="5" t="str">
        <f>HYPERLINK("#'Constants - Ag Residue'!A1", "Constants - Ag residue")</f>
        <v>Constants - Ag residue</v>
      </c>
      <c r="D52" s="26" t="str" cm="1">
        <f t="array" ref="D52">"⚠️" &amp; Fuel_SourceData.Fuel_Scope1Scope3EmissionFactorsStationaryLiquid_Variation()</f>
        <v>⚠️VARIATION OF SOURCE DATA: 'NE' values returned as zero for calculations.</v>
      </c>
      <c r="E52" s="168"/>
      <c r="F52" s="168"/>
      <c r="G52" s="168"/>
      <c r="H52" s="168"/>
      <c r="I52" s="168"/>
      <c r="J52" s="168"/>
      <c r="K52" s="168"/>
      <c r="L52" s="168"/>
    </row>
    <row r="53" spans="1:12" ht="20.100000000000001" customHeight="1" x14ac:dyDescent="0.2">
      <c r="A53" s="5" t="str">
        <f>HYPERLINK("#'Constants - Common Livestock'!A1", "Constants - Common Livestock")</f>
        <v>Constants - Common Livestock</v>
      </c>
      <c r="D53" s="186" t="s">
        <v>873</v>
      </c>
      <c r="E53" s="217" t="s">
        <v>874</v>
      </c>
      <c r="F53" s="186" t="s">
        <v>875</v>
      </c>
      <c r="G53" s="217" t="s">
        <v>876</v>
      </c>
      <c r="H53" s="217" t="s">
        <v>877</v>
      </c>
      <c r="I53" s="217" t="s">
        <v>878</v>
      </c>
      <c r="J53" s="217" t="s">
        <v>879</v>
      </c>
      <c r="K53" s="217" t="s">
        <v>880</v>
      </c>
      <c r="L53" s="168"/>
    </row>
    <row r="54" spans="1:12" ht="20.100000000000001" customHeight="1" x14ac:dyDescent="0.2">
      <c r="A54" s="5" t="str">
        <f>HYPERLINK("#'Constants - Electricity'!A1", "Constants - Electricity")</f>
        <v>Constants - Electricity</v>
      </c>
      <c r="D54" s="218" t="s">
        <v>2301</v>
      </c>
      <c r="E54" s="218">
        <v>38.799999999999997</v>
      </c>
      <c r="F54" s="218" t="s">
        <v>2282</v>
      </c>
      <c r="G54" s="218">
        <v>13.9</v>
      </c>
      <c r="H54" s="218">
        <v>0</v>
      </c>
      <c r="I54" s="218">
        <v>0</v>
      </c>
      <c r="J54" s="218">
        <v>13.9</v>
      </c>
      <c r="K54" s="218">
        <v>18</v>
      </c>
      <c r="L54" s="168"/>
    </row>
    <row r="55" spans="1:12" ht="20.100000000000001" customHeight="1" x14ac:dyDescent="0.2">
      <c r="A55" s="5" t="str">
        <f>HYPERLINK("#'Constants - Fertiliser'!A1", "Constants - Fertiliser")</f>
        <v>Constants - Fertiliser</v>
      </c>
      <c r="D55" s="218" t="s">
        <v>2302</v>
      </c>
      <c r="E55" s="218">
        <v>38.799999999999997</v>
      </c>
      <c r="F55" s="218" t="s">
        <v>2282</v>
      </c>
      <c r="G55" s="218">
        <v>3.5</v>
      </c>
      <c r="H55" s="218">
        <v>0</v>
      </c>
      <c r="I55" s="218">
        <v>0</v>
      </c>
      <c r="J55" s="218">
        <v>3.5</v>
      </c>
      <c r="K55" s="218">
        <v>18</v>
      </c>
      <c r="L55" s="168"/>
    </row>
    <row r="56" spans="1:12" ht="20.100000000000001" customHeight="1" x14ac:dyDescent="0.2">
      <c r="A56" s="87" t="str">
        <f>HYPERLINK("#'Constants - Fuel'!A1", "Constants - Fuel")</f>
        <v>Constants - Fuel</v>
      </c>
      <c r="D56" s="218" t="s">
        <v>2303</v>
      </c>
      <c r="E56" s="218">
        <v>45.3</v>
      </c>
      <c r="F56" s="218" t="s">
        <v>1700</v>
      </c>
      <c r="G56" s="218">
        <v>69.599999999999994</v>
      </c>
      <c r="H56" s="218">
        <v>0.08</v>
      </c>
      <c r="I56" s="218">
        <v>0.2</v>
      </c>
      <c r="J56" s="218">
        <v>69.88</v>
      </c>
      <c r="K56" s="218" t="s">
        <v>2284</v>
      </c>
      <c r="L56" s="168"/>
    </row>
    <row r="57" spans="1:12" ht="20.100000000000001" customHeight="1" x14ac:dyDescent="0.2">
      <c r="A57" s="5" t="str">
        <f>HYPERLINK("#'Constants - Scope 3'!A1", "Constants - Scope 3")</f>
        <v>Constants - Scope 3</v>
      </c>
      <c r="D57" s="218" t="s">
        <v>2304</v>
      </c>
      <c r="E57" s="218">
        <v>46.5</v>
      </c>
      <c r="F57" s="218" t="s">
        <v>1700</v>
      </c>
      <c r="G57" s="218">
        <v>61</v>
      </c>
      <c r="H57" s="218">
        <v>0.08</v>
      </c>
      <c r="I57" s="218">
        <v>0.2</v>
      </c>
      <c r="J57" s="218">
        <v>61.28</v>
      </c>
      <c r="K57" s="218" t="s">
        <v>2284</v>
      </c>
      <c r="L57" s="168"/>
    </row>
    <row r="58" spans="1:12" ht="20.100000000000001" customHeight="1" x14ac:dyDescent="0.2">
      <c r="A58" s="5" t="str">
        <f>HYPERLINK("#'Constants - Solid Waste'!A1", "Constants - Solid Waste")</f>
        <v>Constants - Solid Waste</v>
      </c>
      <c r="D58" s="218" t="s">
        <v>2305</v>
      </c>
      <c r="E58" s="218">
        <v>34.200000000000003</v>
      </c>
      <c r="F58" s="218" t="s">
        <v>895</v>
      </c>
      <c r="G58" s="218">
        <v>67.400000000000006</v>
      </c>
      <c r="H58" s="218">
        <v>0.2</v>
      </c>
      <c r="I58" s="218">
        <v>0.2</v>
      </c>
      <c r="J58" s="218">
        <v>67.8</v>
      </c>
      <c r="K58" s="218">
        <v>17.2</v>
      </c>
      <c r="L58" s="168"/>
    </row>
    <row r="59" spans="1:12" ht="20.100000000000001" customHeight="1" x14ac:dyDescent="0.2">
      <c r="A59" s="5" t="str">
        <f>HYPERLINK("#'Constants - Common'!A1", "Constants - Common")</f>
        <v>Constants - Common</v>
      </c>
      <c r="D59" s="218" t="s">
        <v>2306</v>
      </c>
      <c r="E59" s="218">
        <v>33.1</v>
      </c>
      <c r="F59" s="218" t="s">
        <v>895</v>
      </c>
      <c r="G59" s="218">
        <v>67</v>
      </c>
      <c r="H59" s="218">
        <v>0.2</v>
      </c>
      <c r="I59" s="218">
        <v>0.2</v>
      </c>
      <c r="J59" s="218">
        <v>67.400000000000006</v>
      </c>
      <c r="K59" s="218">
        <v>18</v>
      </c>
      <c r="L59" s="168"/>
    </row>
    <row r="60" spans="1:12" ht="20.100000000000001" customHeight="1" x14ac:dyDescent="0.2">
      <c r="A60" s="5" t="str">
        <f>HYPERLINK("#'Acknowledgements'!A1", "Acknowledgements")</f>
        <v>Acknowledgements</v>
      </c>
      <c r="D60" s="218" t="s">
        <v>2307</v>
      </c>
      <c r="E60" s="218">
        <v>37.5</v>
      </c>
      <c r="F60" s="218" t="s">
        <v>895</v>
      </c>
      <c r="G60" s="218">
        <v>68.900000000000006</v>
      </c>
      <c r="H60" s="218">
        <v>0.01</v>
      </c>
      <c r="I60" s="218">
        <v>0.2</v>
      </c>
      <c r="J60" s="218">
        <v>69.11</v>
      </c>
      <c r="K60" s="218">
        <v>18</v>
      </c>
      <c r="L60" s="168"/>
    </row>
    <row r="61" spans="1:12" ht="20.100000000000001" customHeight="1" x14ac:dyDescent="0.2">
      <c r="D61" s="218" t="s">
        <v>2308</v>
      </c>
      <c r="E61" s="218">
        <v>36.799999999999997</v>
      </c>
      <c r="F61" s="218" t="s">
        <v>895</v>
      </c>
      <c r="G61" s="218">
        <v>69.599999999999994</v>
      </c>
      <c r="H61" s="218">
        <v>0.02</v>
      </c>
      <c r="I61" s="218">
        <v>0.2</v>
      </c>
      <c r="J61" s="218">
        <v>69.819999999999993</v>
      </c>
      <c r="K61" s="218">
        <v>18</v>
      </c>
      <c r="L61" s="168"/>
    </row>
    <row r="62" spans="1:12" ht="20.100000000000001" customHeight="1" x14ac:dyDescent="0.2">
      <c r="D62" s="218" t="s">
        <v>2309</v>
      </c>
      <c r="E62" s="218">
        <v>37.299999999999997</v>
      </c>
      <c r="F62" s="218" t="s">
        <v>895</v>
      </c>
      <c r="G62" s="218">
        <v>69.5</v>
      </c>
      <c r="H62" s="218">
        <v>0.03</v>
      </c>
      <c r="I62" s="218">
        <v>0.2</v>
      </c>
      <c r="J62" s="218">
        <v>69.73</v>
      </c>
      <c r="K62" s="218">
        <v>18</v>
      </c>
      <c r="L62" s="168"/>
    </row>
    <row r="63" spans="1:12" ht="20.100000000000001" customHeight="1" x14ac:dyDescent="0.2">
      <c r="D63" s="218" t="s">
        <v>2283</v>
      </c>
      <c r="E63" s="218">
        <v>38.6</v>
      </c>
      <c r="F63" s="218" t="s">
        <v>895</v>
      </c>
      <c r="G63" s="218">
        <v>69.900000000000006</v>
      </c>
      <c r="H63" s="218">
        <v>0.1</v>
      </c>
      <c r="I63" s="218">
        <v>0.2</v>
      </c>
      <c r="J63" s="218">
        <v>70.2</v>
      </c>
      <c r="K63" s="218">
        <v>17.3</v>
      </c>
      <c r="L63" s="168"/>
    </row>
    <row r="64" spans="1:12" ht="20.100000000000001" customHeight="1" x14ac:dyDescent="0.2">
      <c r="D64" s="218" t="s">
        <v>839</v>
      </c>
      <c r="E64" s="218">
        <v>39.700000000000003</v>
      </c>
      <c r="F64" s="218" t="s">
        <v>895</v>
      </c>
      <c r="G64" s="218">
        <v>73.599999999999994</v>
      </c>
      <c r="H64" s="218">
        <v>0.04</v>
      </c>
      <c r="I64" s="218">
        <v>0.2</v>
      </c>
      <c r="J64" s="218">
        <v>73.84</v>
      </c>
      <c r="K64" s="218">
        <v>18</v>
      </c>
      <c r="L64" s="168"/>
    </row>
    <row r="65" spans="1:13" ht="20.100000000000001" customHeight="1" x14ac:dyDescent="0.2">
      <c r="D65" s="218" t="s">
        <v>2310</v>
      </c>
      <c r="E65" s="218">
        <v>34.4</v>
      </c>
      <c r="F65" s="218" t="s">
        <v>895</v>
      </c>
      <c r="G65" s="218">
        <v>69.7</v>
      </c>
      <c r="H65" s="218">
        <v>0.03</v>
      </c>
      <c r="I65" s="218">
        <v>0.2</v>
      </c>
      <c r="J65" s="218">
        <v>69.930000000000007</v>
      </c>
      <c r="K65" s="218">
        <v>18</v>
      </c>
      <c r="L65" s="168"/>
    </row>
    <row r="66" spans="1:13" ht="20.100000000000001" customHeight="1" x14ac:dyDescent="0.2">
      <c r="D66" s="218" t="s">
        <v>2311</v>
      </c>
      <c r="E66" s="218">
        <v>34.4</v>
      </c>
      <c r="F66" s="218" t="s">
        <v>895</v>
      </c>
      <c r="G66" s="218">
        <v>69.7</v>
      </c>
      <c r="H66" s="218">
        <v>0.03</v>
      </c>
      <c r="I66" s="218">
        <v>0.2</v>
      </c>
      <c r="J66" s="218">
        <v>69.930000000000007</v>
      </c>
      <c r="K66" s="218">
        <v>18</v>
      </c>
      <c r="L66" s="168"/>
    </row>
    <row r="67" spans="1:13" ht="20.100000000000001" customHeight="1" x14ac:dyDescent="0.2">
      <c r="D67" s="218" t="s">
        <v>897</v>
      </c>
      <c r="E67" s="218">
        <v>25.7</v>
      </c>
      <c r="F67" s="218" t="s">
        <v>895</v>
      </c>
      <c r="G67" s="218">
        <v>60.2</v>
      </c>
      <c r="H67" s="218">
        <v>0.2</v>
      </c>
      <c r="I67" s="218">
        <v>0.2</v>
      </c>
      <c r="J67" s="218">
        <v>60.6</v>
      </c>
      <c r="K67" s="218">
        <v>20.2</v>
      </c>
      <c r="L67" s="168"/>
    </row>
    <row r="68" spans="1:13" ht="20.100000000000001" customHeight="1" x14ac:dyDescent="0.2">
      <c r="D68" s="218" t="s">
        <v>2312</v>
      </c>
      <c r="E68" s="218">
        <v>31.4</v>
      </c>
      <c r="F68" s="218" t="s">
        <v>895</v>
      </c>
      <c r="G68" s="218">
        <v>69.8</v>
      </c>
      <c r="H68" s="218">
        <v>0.01</v>
      </c>
      <c r="I68" s="218">
        <v>0.01</v>
      </c>
      <c r="J68" s="218">
        <v>69.819999999999993</v>
      </c>
      <c r="K68" s="218">
        <v>18</v>
      </c>
      <c r="L68" s="168"/>
    </row>
    <row r="69" spans="1:13" ht="20.100000000000001" customHeight="1" x14ac:dyDescent="0.2">
      <c r="D69" s="218" t="s">
        <v>2313</v>
      </c>
      <c r="E69" s="218">
        <v>34.200000000000003</v>
      </c>
      <c r="F69" s="218" t="s">
        <v>1700</v>
      </c>
      <c r="G69" s="218">
        <v>92.6</v>
      </c>
      <c r="H69" s="218">
        <v>0.08</v>
      </c>
      <c r="I69" s="218">
        <v>0.2</v>
      </c>
      <c r="J69" s="218">
        <v>92.88</v>
      </c>
      <c r="K69" s="218">
        <v>18</v>
      </c>
      <c r="L69" s="168"/>
    </row>
    <row r="70" spans="1:13" ht="20.100000000000001" customHeight="1" x14ac:dyDescent="0.2">
      <c r="D70" s="218" t="s">
        <v>2314</v>
      </c>
      <c r="E70" s="218">
        <v>42.9</v>
      </c>
      <c r="F70" s="218" t="s">
        <v>1700</v>
      </c>
      <c r="G70" s="218">
        <v>54.7</v>
      </c>
      <c r="H70" s="218">
        <v>0.03</v>
      </c>
      <c r="I70" s="218">
        <v>0.03</v>
      </c>
      <c r="J70" s="218">
        <v>54.76</v>
      </c>
      <c r="K70" s="218">
        <v>18</v>
      </c>
      <c r="L70" s="168"/>
    </row>
    <row r="71" spans="1:13" ht="20.100000000000001" customHeight="1" x14ac:dyDescent="0.2">
      <c r="A71" s="85" t="str">
        <f>HYPERLINK("#A1", "▲ Back to top")</f>
        <v>▲ Back to top</v>
      </c>
      <c r="D71" s="218" t="s">
        <v>2315</v>
      </c>
      <c r="E71" s="218">
        <v>34.200000000000003</v>
      </c>
      <c r="F71" s="218" t="s">
        <v>1700</v>
      </c>
      <c r="G71" s="218">
        <v>92.6</v>
      </c>
      <c r="H71" s="218">
        <v>0.08</v>
      </c>
      <c r="I71" s="218">
        <v>0.2</v>
      </c>
      <c r="J71" s="218">
        <v>92.88</v>
      </c>
      <c r="K71" s="218">
        <v>18</v>
      </c>
      <c r="L71" s="168"/>
    </row>
    <row r="72" spans="1:13" ht="20.100000000000001" customHeight="1" x14ac:dyDescent="0.2">
      <c r="D72" s="218" t="s">
        <v>2316</v>
      </c>
      <c r="E72" s="218">
        <v>34.4</v>
      </c>
      <c r="F72" s="218" t="s">
        <v>895</v>
      </c>
      <c r="G72" s="218">
        <v>69.8</v>
      </c>
      <c r="H72" s="218">
        <v>0.02</v>
      </c>
      <c r="I72" s="218">
        <v>0.1</v>
      </c>
      <c r="J72" s="218">
        <v>69.92</v>
      </c>
      <c r="K72" s="218">
        <v>18</v>
      </c>
      <c r="L72" s="168"/>
    </row>
    <row r="73" spans="1:13" ht="20.100000000000001" customHeight="1" x14ac:dyDescent="0.2">
      <c r="D73" s="218" t="s">
        <v>898</v>
      </c>
      <c r="E73" s="218">
        <v>34.6</v>
      </c>
      <c r="F73" s="218" t="s">
        <v>895</v>
      </c>
      <c r="G73" s="218">
        <v>0</v>
      </c>
      <c r="H73" s="218">
        <v>0.08</v>
      </c>
      <c r="I73" s="218">
        <v>0.2</v>
      </c>
      <c r="J73" s="218">
        <v>0.28000000000000003</v>
      </c>
      <c r="K73" s="218" t="s">
        <v>2284</v>
      </c>
      <c r="L73" s="168"/>
    </row>
    <row r="74" spans="1:13" ht="20.100000000000001" customHeight="1" x14ac:dyDescent="0.2">
      <c r="D74" s="218" t="s">
        <v>2317</v>
      </c>
      <c r="E74" s="218">
        <v>23.4</v>
      </c>
      <c r="F74" s="218" t="s">
        <v>895</v>
      </c>
      <c r="G74" s="218">
        <v>0</v>
      </c>
      <c r="H74" s="218">
        <v>0.08</v>
      </c>
      <c r="I74" s="218">
        <v>0.2</v>
      </c>
      <c r="J74" s="218">
        <v>0.28000000000000003</v>
      </c>
      <c r="K74" s="218" t="s">
        <v>2284</v>
      </c>
      <c r="L74" s="168"/>
    </row>
    <row r="75" spans="1:13" ht="20.100000000000001" customHeight="1" x14ac:dyDescent="0.2">
      <c r="D75" s="218" t="s">
        <v>2318</v>
      </c>
      <c r="E75" s="218">
        <v>23.4</v>
      </c>
      <c r="F75" s="218" t="s">
        <v>895</v>
      </c>
      <c r="G75" s="218">
        <v>0</v>
      </c>
      <c r="H75" s="218">
        <v>0.08</v>
      </c>
      <c r="I75" s="218">
        <v>0.2</v>
      </c>
      <c r="J75" s="218">
        <v>0.28000000000000003</v>
      </c>
      <c r="K75" s="218" t="s">
        <v>2284</v>
      </c>
      <c r="L75" s="168"/>
    </row>
    <row r="76" spans="1:13" ht="20.100000000000001" customHeight="1" x14ac:dyDescent="0.2">
      <c r="D76" s="218" t="s">
        <v>904</v>
      </c>
      <c r="E76" s="218">
        <v>36.799999999999997</v>
      </c>
      <c r="F76" s="218" t="s">
        <v>895</v>
      </c>
      <c r="G76" s="218">
        <v>0</v>
      </c>
      <c r="H76" s="218">
        <v>0.02</v>
      </c>
      <c r="I76" s="218">
        <v>0.2</v>
      </c>
      <c r="J76" s="218">
        <v>0.22</v>
      </c>
      <c r="K76" s="218" t="s">
        <v>2284</v>
      </c>
      <c r="L76" s="168"/>
    </row>
    <row r="77" spans="1:13" ht="20.100000000000001" customHeight="1" x14ac:dyDescent="0.2">
      <c r="D77" s="218" t="s">
        <v>901</v>
      </c>
      <c r="E77" s="218">
        <v>38.6</v>
      </c>
      <c r="F77" s="218" t="s">
        <v>895</v>
      </c>
      <c r="G77" s="218">
        <v>0</v>
      </c>
      <c r="H77" s="218">
        <v>0.1</v>
      </c>
      <c r="I77" s="218">
        <v>0.2</v>
      </c>
      <c r="J77" s="218">
        <v>0.3</v>
      </c>
      <c r="K77" s="218" t="s">
        <v>2284</v>
      </c>
      <c r="L77" s="168"/>
    </row>
    <row r="78" spans="1:13" ht="20.100000000000001" customHeight="1" x14ac:dyDescent="0.2">
      <c r="D78" s="168"/>
      <c r="E78" s="168"/>
      <c r="F78" s="168"/>
      <c r="G78" s="168"/>
      <c r="H78" s="168"/>
      <c r="I78" s="168"/>
      <c r="J78" s="168"/>
      <c r="K78" s="168"/>
      <c r="L78" s="168"/>
    </row>
    <row r="79" spans="1:13" ht="20.100000000000001" customHeight="1" x14ac:dyDescent="0.2">
      <c r="D79" s="168"/>
      <c r="E79" s="168"/>
      <c r="F79" s="168"/>
      <c r="G79" s="168"/>
      <c r="H79" s="168"/>
      <c r="I79" s="168"/>
      <c r="J79" s="168"/>
      <c r="K79" s="168"/>
      <c r="L79" s="168"/>
      <c r="M79" s="168"/>
    </row>
    <row r="80" spans="1:13" ht="20.100000000000001" customHeight="1" x14ac:dyDescent="0.2">
      <c r="D80" s="168"/>
      <c r="E80" s="168"/>
      <c r="F80" s="168"/>
      <c r="G80" s="168"/>
      <c r="H80" s="168"/>
      <c r="I80" s="168"/>
      <c r="J80" s="168"/>
      <c r="K80" s="168"/>
      <c r="L80" s="168"/>
      <c r="M80" s="168"/>
    </row>
    <row r="81" spans="4:12" ht="20.100000000000001" customHeight="1" x14ac:dyDescent="0.2">
      <c r="D81" s="2" t="s">
        <v>2319</v>
      </c>
      <c r="E81" s="168"/>
      <c r="F81" s="168"/>
      <c r="G81" s="168"/>
      <c r="H81" s="168"/>
      <c r="I81" s="168"/>
      <c r="J81" s="168"/>
      <c r="K81" s="168"/>
      <c r="L81" s="168"/>
    </row>
    <row r="82" spans="4:12" ht="20.100000000000001" customHeight="1" x14ac:dyDescent="0.2">
      <c r="D82" s="1" t="s">
        <v>2320</v>
      </c>
      <c r="E82" s="168"/>
      <c r="F82" s="168"/>
      <c r="G82" s="168"/>
      <c r="H82" s="168"/>
      <c r="I82" s="168"/>
      <c r="J82" s="168"/>
      <c r="K82" s="168"/>
      <c r="L82" s="168"/>
    </row>
    <row r="83" spans="4:12" ht="20.100000000000001" customHeight="1" x14ac:dyDescent="0.2">
      <c r="D83" s="17" t="s">
        <v>2321</v>
      </c>
      <c r="E83" s="168"/>
      <c r="F83" s="168"/>
      <c r="G83" s="168"/>
      <c r="H83" s="168"/>
      <c r="I83" s="168"/>
      <c r="J83" s="168"/>
      <c r="K83" s="168"/>
      <c r="L83" s="168"/>
    </row>
    <row r="84" spans="4:12" ht="20.100000000000001" customHeight="1" x14ac:dyDescent="0.2">
      <c r="D84" s="26"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68"/>
      <c r="F84" s="168"/>
      <c r="G84" s="168"/>
      <c r="H84" s="168"/>
      <c r="I84" s="168"/>
      <c r="J84" s="168"/>
      <c r="K84" s="168"/>
      <c r="L84" s="168"/>
    </row>
    <row r="85" spans="4:12" ht="20.100000000000001" customHeight="1" x14ac:dyDescent="0.2">
      <c r="D85" s="168"/>
      <c r="E85" s="168"/>
      <c r="F85" s="168"/>
      <c r="G85" s="168"/>
      <c r="H85" s="168"/>
      <c r="I85" s="168"/>
      <c r="J85" s="168"/>
      <c r="K85" s="168"/>
      <c r="L85" s="168"/>
    </row>
    <row r="86" spans="4:12" ht="20.100000000000001" customHeight="1" x14ac:dyDescent="0.2">
      <c r="D86" s="186" t="s">
        <v>873</v>
      </c>
      <c r="E86" s="217" t="s">
        <v>874</v>
      </c>
      <c r="F86" s="186" t="s">
        <v>875</v>
      </c>
      <c r="G86" s="217" t="s">
        <v>876</v>
      </c>
      <c r="H86" s="217" t="s">
        <v>877</v>
      </c>
      <c r="I86" s="217" t="s">
        <v>878</v>
      </c>
      <c r="J86" s="217" t="s">
        <v>879</v>
      </c>
      <c r="K86" s="168"/>
      <c r="L86" s="168"/>
    </row>
    <row r="87" spans="4:12" ht="20.100000000000001" customHeight="1" x14ac:dyDescent="0.2">
      <c r="D87" s="218" t="s">
        <v>2322</v>
      </c>
      <c r="E87" s="218">
        <v>3.9300000000000002E-2</v>
      </c>
      <c r="F87" s="218" t="s">
        <v>1708</v>
      </c>
      <c r="G87" s="218">
        <v>51.4</v>
      </c>
      <c r="H87" s="218">
        <v>0.1</v>
      </c>
      <c r="I87" s="218">
        <v>0.03</v>
      </c>
      <c r="J87" s="218">
        <v>51.53</v>
      </c>
      <c r="K87" s="168"/>
      <c r="L87" s="168"/>
    </row>
    <row r="88" spans="4:12" ht="20.100000000000001" customHeight="1" x14ac:dyDescent="0.2">
      <c r="D88" s="218" t="s">
        <v>2323</v>
      </c>
      <c r="E88" s="218">
        <v>3.7699999999999997E-2</v>
      </c>
      <c r="F88" s="218" t="s">
        <v>1708</v>
      </c>
      <c r="G88" s="218">
        <v>51.4</v>
      </c>
      <c r="H88" s="218">
        <v>0.2</v>
      </c>
      <c r="I88" s="218">
        <v>0.03</v>
      </c>
      <c r="J88" s="218">
        <v>51.63</v>
      </c>
      <c r="K88" s="168"/>
      <c r="L88" s="168"/>
    </row>
    <row r="89" spans="4:12" ht="20.100000000000001" customHeight="1" x14ac:dyDescent="0.2">
      <c r="D89" s="218" t="s">
        <v>2324</v>
      </c>
      <c r="E89" s="218">
        <v>3.7699999999999997E-2</v>
      </c>
      <c r="F89" s="218" t="s">
        <v>1708</v>
      </c>
      <c r="G89" s="218">
        <v>51.9</v>
      </c>
      <c r="H89" s="218">
        <v>4.5999999999999996</v>
      </c>
      <c r="I89" s="218">
        <v>0.3</v>
      </c>
      <c r="J89" s="218">
        <v>56.8</v>
      </c>
      <c r="K89" s="168"/>
      <c r="L89" s="168"/>
    </row>
    <row r="90" spans="4:12" ht="20.100000000000001" customHeight="1" x14ac:dyDescent="0.2">
      <c r="D90" s="218" t="s">
        <v>2325</v>
      </c>
      <c r="E90" s="218">
        <v>3.9300000000000002E-2</v>
      </c>
      <c r="F90" s="218" t="s">
        <v>1708</v>
      </c>
      <c r="G90" s="218">
        <v>51.4</v>
      </c>
      <c r="H90" s="218">
        <v>0.1</v>
      </c>
      <c r="I90" s="218">
        <v>0.03</v>
      </c>
      <c r="J90" s="218">
        <v>51.53</v>
      </c>
      <c r="K90" s="168"/>
      <c r="L90" s="168"/>
    </row>
    <row r="91" spans="4:12" ht="20.100000000000001" customHeight="1" x14ac:dyDescent="0.2">
      <c r="D91" s="218" t="s">
        <v>2326</v>
      </c>
      <c r="E91" s="218">
        <v>3.9300000000000002E-2</v>
      </c>
      <c r="F91" s="218" t="s">
        <v>1708</v>
      </c>
      <c r="G91" s="218">
        <v>51.4</v>
      </c>
      <c r="H91" s="218">
        <v>0.1</v>
      </c>
      <c r="I91" s="218">
        <v>0.03</v>
      </c>
      <c r="J91" s="218">
        <v>51.53</v>
      </c>
      <c r="K91" s="168"/>
      <c r="L91" s="168"/>
    </row>
    <row r="92" spans="4:12" ht="20.100000000000001" customHeight="1" x14ac:dyDescent="0.2">
      <c r="D92" s="218" t="s">
        <v>2327</v>
      </c>
      <c r="E92" s="218">
        <v>6.2899999999999998E-2</v>
      </c>
      <c r="F92" s="218" t="s">
        <v>1708</v>
      </c>
      <c r="G92" s="218">
        <v>56.5</v>
      </c>
      <c r="H92" s="218">
        <v>0.03</v>
      </c>
      <c r="I92" s="218">
        <v>0.03</v>
      </c>
      <c r="J92" s="218">
        <v>56.56</v>
      </c>
      <c r="K92" s="168"/>
      <c r="L92" s="168"/>
    </row>
    <row r="93" spans="4:12" ht="20.100000000000001" customHeight="1" x14ac:dyDescent="0.2">
      <c r="D93" s="218" t="s">
        <v>2328</v>
      </c>
      <c r="E93" s="218">
        <v>1.8100000000000002E-2</v>
      </c>
      <c r="F93" s="218" t="s">
        <v>1708</v>
      </c>
      <c r="G93" s="218">
        <v>37</v>
      </c>
      <c r="H93" s="218">
        <v>0.03</v>
      </c>
      <c r="I93" s="218">
        <v>0.05</v>
      </c>
      <c r="J93" s="218">
        <v>37.08</v>
      </c>
      <c r="K93" s="168"/>
      <c r="L93" s="168"/>
    </row>
    <row r="94" spans="4:12" ht="20.100000000000001" customHeight="1" x14ac:dyDescent="0.2">
      <c r="D94" s="218" t="s">
        <v>2329</v>
      </c>
      <c r="E94" s="218">
        <v>4.0000000000000001E-3</v>
      </c>
      <c r="F94" s="218" t="s">
        <v>1708</v>
      </c>
      <c r="G94" s="218">
        <v>234</v>
      </c>
      <c r="H94" s="218">
        <v>0.03</v>
      </c>
      <c r="I94" s="218">
        <v>0.02</v>
      </c>
      <c r="J94" s="218">
        <v>234.05</v>
      </c>
      <c r="K94" s="168"/>
      <c r="L94" s="168"/>
    </row>
    <row r="95" spans="4:12" ht="20.100000000000001" customHeight="1" x14ac:dyDescent="0.2">
      <c r="D95" s="218" t="s">
        <v>2330</v>
      </c>
      <c r="E95" s="218">
        <v>3.9E-2</v>
      </c>
      <c r="F95" s="218" t="s">
        <v>1708</v>
      </c>
      <c r="G95" s="218">
        <v>60.2</v>
      </c>
      <c r="H95" s="218">
        <v>0.04</v>
      </c>
      <c r="I95" s="218">
        <v>0.03</v>
      </c>
      <c r="J95" s="218">
        <v>60.27</v>
      </c>
      <c r="K95" s="168"/>
      <c r="L95" s="168"/>
    </row>
    <row r="96" spans="4:12" ht="20.100000000000001" customHeight="1" x14ac:dyDescent="0.2">
      <c r="D96" s="218" t="s">
        <v>2287</v>
      </c>
      <c r="E96" s="218">
        <v>25.3</v>
      </c>
      <c r="F96" s="218" t="s">
        <v>895</v>
      </c>
      <c r="G96" s="218">
        <v>51.4</v>
      </c>
      <c r="H96" s="218">
        <v>0.1</v>
      </c>
      <c r="I96" s="218">
        <v>0.03</v>
      </c>
      <c r="J96" s="218">
        <v>51.53</v>
      </c>
      <c r="K96" s="168"/>
      <c r="L96" s="168"/>
    </row>
    <row r="97" spans="1:13" ht="20.100000000000001" customHeight="1" x14ac:dyDescent="0.2">
      <c r="D97" s="218" t="s">
        <v>2331</v>
      </c>
      <c r="E97" s="218">
        <v>3.9E-2</v>
      </c>
      <c r="F97" s="218" t="s">
        <v>1708</v>
      </c>
      <c r="G97" s="218">
        <v>51.4</v>
      </c>
      <c r="H97" s="218">
        <v>0.1</v>
      </c>
      <c r="I97" s="218">
        <v>0.03</v>
      </c>
      <c r="J97" s="218">
        <v>51.53</v>
      </c>
      <c r="K97" s="168"/>
      <c r="L97" s="168"/>
    </row>
    <row r="98" spans="1:13" ht="20.100000000000001" customHeight="1" x14ac:dyDescent="0.2">
      <c r="D98" s="218" t="s">
        <v>2332</v>
      </c>
      <c r="E98" s="218">
        <v>3.7699999999999997E-2</v>
      </c>
      <c r="F98" s="218" t="s">
        <v>1708</v>
      </c>
      <c r="G98" s="218">
        <v>0</v>
      </c>
      <c r="H98" s="218">
        <v>6.4</v>
      </c>
      <c r="I98" s="218">
        <v>0.03</v>
      </c>
      <c r="J98" s="218">
        <v>6.43</v>
      </c>
      <c r="K98" s="168"/>
      <c r="L98" s="168"/>
    </row>
    <row r="99" spans="1:13" ht="20.100000000000001" customHeight="1" x14ac:dyDescent="0.2">
      <c r="D99" s="218" t="s">
        <v>2333</v>
      </c>
      <c r="E99" s="218">
        <v>3.7699999999999997E-2</v>
      </c>
      <c r="F99" s="218" t="s">
        <v>1708</v>
      </c>
      <c r="G99" s="218">
        <v>0</v>
      </c>
      <c r="H99" s="218">
        <v>6.4</v>
      </c>
      <c r="I99" s="218">
        <v>0.03</v>
      </c>
      <c r="J99" s="218">
        <v>6.43</v>
      </c>
      <c r="K99" s="168"/>
      <c r="L99" s="168"/>
    </row>
    <row r="100" spans="1:13" ht="20.100000000000001" customHeight="1" x14ac:dyDescent="0.2">
      <c r="D100" s="218" t="s">
        <v>2334</v>
      </c>
      <c r="E100" s="218">
        <v>3.6999999999999998E-2</v>
      </c>
      <c r="F100" s="218" t="s">
        <v>1708</v>
      </c>
      <c r="G100" s="218">
        <v>0</v>
      </c>
      <c r="H100" s="218">
        <v>6.4</v>
      </c>
      <c r="I100" s="218">
        <v>0.03</v>
      </c>
      <c r="J100" s="218">
        <v>6.43</v>
      </c>
      <c r="K100" s="168"/>
      <c r="L100" s="168"/>
    </row>
    <row r="101" spans="1:13" ht="20.100000000000001" customHeight="1" x14ac:dyDescent="0.2">
      <c r="A101" s="85" t="str">
        <f>HYPERLINK("#A1", "▲ Back to top")</f>
        <v>▲ Back to top</v>
      </c>
      <c r="D101" s="218" t="s">
        <v>2335</v>
      </c>
      <c r="E101" s="218">
        <v>3.9300000000000002E-2</v>
      </c>
      <c r="F101" s="218" t="s">
        <v>1708</v>
      </c>
      <c r="G101" s="218">
        <v>0</v>
      </c>
      <c r="H101" s="218">
        <v>0.1</v>
      </c>
      <c r="I101" s="218">
        <v>0.03</v>
      </c>
      <c r="J101" s="218">
        <v>0.13</v>
      </c>
      <c r="K101" s="168"/>
      <c r="L101" s="168"/>
    </row>
    <row r="102" spans="1:13" ht="20.100000000000001" customHeight="1" x14ac:dyDescent="0.2">
      <c r="D102" s="218" t="s">
        <v>2336</v>
      </c>
      <c r="E102" s="218">
        <v>1.2200000000000001E-2</v>
      </c>
      <c r="F102" s="218" t="s">
        <v>1708</v>
      </c>
      <c r="G102" s="218">
        <v>0</v>
      </c>
      <c r="H102" s="218">
        <v>0</v>
      </c>
      <c r="I102" s="218">
        <v>0.5</v>
      </c>
      <c r="J102" s="218">
        <v>0.5</v>
      </c>
      <c r="K102" s="168"/>
      <c r="L102" s="168"/>
    </row>
    <row r="103" spans="1:13" ht="20.100000000000001" customHeight="1" x14ac:dyDescent="0.2">
      <c r="D103" s="218" t="s">
        <v>2337</v>
      </c>
      <c r="E103" s="218">
        <v>1</v>
      </c>
      <c r="F103" s="218" t="s">
        <v>913</v>
      </c>
      <c r="G103" s="218">
        <v>51.4</v>
      </c>
      <c r="H103" s="218">
        <v>0.1</v>
      </c>
      <c r="I103" s="218">
        <v>0.03</v>
      </c>
      <c r="J103" s="218">
        <v>51.53</v>
      </c>
      <c r="K103" s="168"/>
      <c r="L103" s="168"/>
    </row>
    <row r="104" spans="1:13" ht="20.100000000000001" customHeight="1" x14ac:dyDescent="0.2">
      <c r="D104" s="218" t="s">
        <v>2338</v>
      </c>
      <c r="E104" s="218">
        <v>1</v>
      </c>
      <c r="F104" s="218" t="s">
        <v>913</v>
      </c>
      <c r="G104" s="218">
        <v>60.2</v>
      </c>
      <c r="H104" s="218">
        <v>0.04</v>
      </c>
      <c r="I104" s="218">
        <v>0.03</v>
      </c>
      <c r="J104" s="218">
        <v>60.27</v>
      </c>
      <c r="K104" s="168"/>
      <c r="L104" s="168"/>
    </row>
    <row r="105" spans="1:13" ht="20.100000000000001" customHeight="1" x14ac:dyDescent="0.2">
      <c r="D105" s="168"/>
      <c r="E105" s="168"/>
      <c r="F105" s="168"/>
      <c r="G105" s="168"/>
      <c r="H105" s="168"/>
      <c r="I105" s="168"/>
      <c r="J105" s="168"/>
      <c r="K105" s="168"/>
      <c r="L105" s="168"/>
      <c r="M105" s="168"/>
    </row>
    <row r="106" spans="1:13" ht="20.100000000000001" customHeight="1" x14ac:dyDescent="0.2">
      <c r="D106" s="168"/>
      <c r="E106" s="168"/>
      <c r="F106" s="168"/>
      <c r="G106" s="168"/>
      <c r="H106" s="168"/>
      <c r="I106" s="168"/>
      <c r="J106" s="168"/>
      <c r="K106" s="168"/>
      <c r="L106" s="168"/>
      <c r="M106" s="168"/>
    </row>
    <row r="107" spans="1:13" ht="20.100000000000001" customHeight="1" x14ac:dyDescent="0.2">
      <c r="D107" s="2" t="s">
        <v>2339</v>
      </c>
      <c r="E107" s="168"/>
      <c r="F107" s="168"/>
      <c r="G107" s="168"/>
      <c r="H107" s="168"/>
      <c r="I107" s="168"/>
      <c r="J107" s="168"/>
      <c r="K107" s="168"/>
      <c r="L107" s="168"/>
    </row>
    <row r="108" spans="1:13" ht="20.100000000000001" customHeight="1" x14ac:dyDescent="0.2">
      <c r="D108" s="1" t="s">
        <v>2340</v>
      </c>
      <c r="E108" s="168"/>
      <c r="F108" s="168"/>
      <c r="G108" s="168"/>
      <c r="H108" s="168"/>
      <c r="I108" s="168"/>
      <c r="J108" s="168"/>
      <c r="K108" s="168"/>
      <c r="L108" s="168"/>
    </row>
    <row r="109" spans="1:13" ht="20.100000000000001" customHeight="1" x14ac:dyDescent="0.2">
      <c r="D109" s="17" t="s">
        <v>2341</v>
      </c>
      <c r="E109" s="168"/>
      <c r="F109" s="168"/>
      <c r="G109" s="168"/>
      <c r="H109" s="168"/>
      <c r="I109" s="168"/>
      <c r="J109" s="168"/>
      <c r="K109" s="168"/>
      <c r="L109" s="168"/>
    </row>
    <row r="110" spans="1:13" ht="20.100000000000001" customHeight="1" x14ac:dyDescent="0.2">
      <c r="D110" s="26"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68"/>
      <c r="F110" s="168"/>
      <c r="G110" s="168"/>
      <c r="H110" s="168"/>
      <c r="I110" s="168"/>
      <c r="J110" s="168"/>
      <c r="K110" s="168"/>
      <c r="L110" s="168"/>
    </row>
    <row r="111" spans="1:13" ht="20.100000000000001" customHeight="1" x14ac:dyDescent="0.2">
      <c r="D111" s="168"/>
      <c r="E111" s="168"/>
      <c r="F111" s="168"/>
      <c r="G111" s="168"/>
      <c r="H111" s="168"/>
      <c r="I111" s="168"/>
      <c r="J111" s="168"/>
      <c r="K111" s="168"/>
      <c r="L111" s="168"/>
    </row>
    <row r="112" spans="1:13" ht="20.100000000000001" customHeight="1" x14ac:dyDescent="0.2">
      <c r="D112" s="186" t="s">
        <v>888</v>
      </c>
      <c r="E112" s="217" t="s">
        <v>823</v>
      </c>
      <c r="F112" s="217" t="s">
        <v>889</v>
      </c>
      <c r="G112" s="227" t="s">
        <v>2343</v>
      </c>
      <c r="H112" s="77" t="s">
        <v>890</v>
      </c>
      <c r="I112" s="168"/>
      <c r="J112" s="168"/>
      <c r="K112" s="168"/>
      <c r="L112" s="168"/>
    </row>
    <row r="113" spans="4:13" ht="20.100000000000001" customHeight="1" x14ac:dyDescent="0.2">
      <c r="D113" s="220" t="s">
        <v>2037</v>
      </c>
      <c r="E113" s="220">
        <v>13.1</v>
      </c>
      <c r="F113" s="220">
        <v>14</v>
      </c>
      <c r="G113" s="221" t="s">
        <v>2342</v>
      </c>
      <c r="H113" s="1" t="s">
        <v>2344</v>
      </c>
      <c r="I113" s="168"/>
      <c r="J113" s="168"/>
      <c r="K113" s="168"/>
      <c r="L113" s="168"/>
    </row>
    <row r="114" spans="4:13" ht="20.100000000000001" customHeight="1" x14ac:dyDescent="0.2">
      <c r="D114" s="220" t="s">
        <v>520</v>
      </c>
      <c r="E114" s="220">
        <v>13.1</v>
      </c>
      <c r="F114" s="220">
        <v>14</v>
      </c>
      <c r="G114" s="221"/>
      <c r="H114" s="1" t="s">
        <v>2345</v>
      </c>
      <c r="I114" s="168"/>
      <c r="J114" s="168"/>
      <c r="K114" s="168"/>
      <c r="L114" s="168"/>
    </row>
    <row r="115" spans="4:13" ht="20.100000000000001" customHeight="1" x14ac:dyDescent="0.2">
      <c r="D115" s="220" t="s">
        <v>1889</v>
      </c>
      <c r="E115" s="220">
        <v>4</v>
      </c>
      <c r="F115" s="220">
        <v>4</v>
      </c>
      <c r="G115" s="221"/>
      <c r="H115" s="1" t="s">
        <v>2346</v>
      </c>
      <c r="I115" s="168"/>
      <c r="J115" s="168"/>
      <c r="K115" s="168"/>
      <c r="L115" s="168"/>
    </row>
    <row r="116" spans="4:13" ht="20.100000000000001" customHeight="1" x14ac:dyDescent="0.2">
      <c r="D116" s="220" t="s">
        <v>1894</v>
      </c>
      <c r="E116" s="220">
        <v>8.8000000000000007</v>
      </c>
      <c r="F116" s="220">
        <v>7.9</v>
      </c>
      <c r="G116" s="221" t="s">
        <v>2342</v>
      </c>
      <c r="H116" s="1" t="s">
        <v>2347</v>
      </c>
      <c r="I116" s="168"/>
      <c r="J116" s="168"/>
      <c r="K116" s="168"/>
      <c r="L116" s="168"/>
    </row>
    <row r="117" spans="4:13" ht="20.100000000000001" customHeight="1" x14ac:dyDescent="0.2">
      <c r="D117" s="220" t="s">
        <v>1887</v>
      </c>
      <c r="E117" s="220">
        <v>10.7</v>
      </c>
      <c r="F117" s="220">
        <v>10.6</v>
      </c>
      <c r="G117" s="221"/>
      <c r="H117" s="1" t="s">
        <v>2348</v>
      </c>
      <c r="I117" s="168"/>
      <c r="J117" s="168"/>
      <c r="K117" s="168"/>
      <c r="L117" s="168"/>
    </row>
    <row r="118" spans="4:13" ht="20.100000000000001" customHeight="1" x14ac:dyDescent="0.2">
      <c r="D118" s="220" t="s">
        <v>108</v>
      </c>
      <c r="E118" s="220">
        <v>4.0999999999999996</v>
      </c>
      <c r="F118" s="220">
        <v>4</v>
      </c>
      <c r="G118" s="221" t="s">
        <v>2342</v>
      </c>
      <c r="H118" s="1" t="s">
        <v>2349</v>
      </c>
      <c r="I118" s="168"/>
      <c r="J118" s="168"/>
      <c r="K118" s="168"/>
      <c r="L118" s="168"/>
    </row>
    <row r="119" spans="4:13" ht="20.100000000000001" customHeight="1" x14ac:dyDescent="0.2">
      <c r="D119" s="220" t="s">
        <v>1888</v>
      </c>
      <c r="E119" s="220">
        <v>4</v>
      </c>
      <c r="F119" s="220">
        <v>4</v>
      </c>
      <c r="G119" s="221" t="s">
        <v>2342</v>
      </c>
      <c r="H119" s="1" t="s">
        <v>2350</v>
      </c>
      <c r="I119" s="168"/>
      <c r="J119" s="168"/>
      <c r="K119" s="168"/>
      <c r="L119" s="168"/>
    </row>
    <row r="120" spans="4:13" ht="20.100000000000001" customHeight="1" x14ac:dyDescent="0.2">
      <c r="D120" s="220" t="s">
        <v>1892</v>
      </c>
      <c r="E120" s="220">
        <v>4.0999999999999996</v>
      </c>
      <c r="F120" s="220">
        <v>4</v>
      </c>
      <c r="G120" s="221" t="s">
        <v>2342</v>
      </c>
      <c r="H120" s="1" t="s">
        <v>2351</v>
      </c>
      <c r="I120" s="168"/>
      <c r="J120" s="168"/>
      <c r="K120" s="168"/>
      <c r="L120" s="168"/>
    </row>
    <row r="121" spans="4:13" ht="20.100000000000001" customHeight="1" x14ac:dyDescent="0.2">
      <c r="D121" s="8"/>
      <c r="E121" s="8"/>
      <c r="F121" s="8"/>
      <c r="G121" s="221"/>
      <c r="H121" s="1" t="s">
        <v>2352</v>
      </c>
      <c r="I121" s="168"/>
      <c r="J121" s="168"/>
      <c r="K121" s="168"/>
      <c r="L121" s="168"/>
    </row>
    <row r="122" spans="4:13" ht="20.100000000000001" customHeight="1" x14ac:dyDescent="0.2">
      <c r="D122" s="168"/>
      <c r="F122" s="222"/>
      <c r="G122" s="221"/>
      <c r="H122" s="1" t="s">
        <v>2353</v>
      </c>
      <c r="I122" s="168"/>
      <c r="J122" s="168"/>
      <c r="K122" s="168"/>
      <c r="L122" s="168"/>
    </row>
    <row r="123" spans="4:13" ht="20.100000000000001" customHeight="1" x14ac:dyDescent="0.2">
      <c r="D123" s="223"/>
      <c r="F123" s="222"/>
      <c r="G123" s="221" t="s">
        <v>2342</v>
      </c>
      <c r="H123" s="1" t="s">
        <v>2354</v>
      </c>
      <c r="I123" s="168"/>
      <c r="J123" s="168"/>
      <c r="K123" s="168"/>
      <c r="L123" s="168"/>
    </row>
    <row r="124" spans="4:13" ht="20.100000000000001" customHeight="1" x14ac:dyDescent="0.2">
      <c r="D124" s="223"/>
      <c r="F124" s="222"/>
      <c r="G124" s="168"/>
      <c r="H124" s="1" t="s">
        <v>2355</v>
      </c>
      <c r="I124" s="168"/>
      <c r="J124" s="168"/>
      <c r="K124" s="168"/>
      <c r="L124" s="168"/>
    </row>
    <row r="125" spans="4:13" ht="20.100000000000001" customHeight="1" x14ac:dyDescent="0.2">
      <c r="D125" s="223"/>
      <c r="F125" s="222"/>
      <c r="G125" s="168"/>
      <c r="H125" s="168"/>
      <c r="I125" s="168"/>
      <c r="J125" s="168"/>
      <c r="K125" s="168"/>
      <c r="L125" s="168"/>
    </row>
    <row r="126" spans="4:13" ht="20.100000000000001" customHeight="1" x14ac:dyDescent="0.2">
      <c r="D126" s="168"/>
      <c r="E126" s="168"/>
      <c r="F126" s="168"/>
      <c r="G126" s="168"/>
      <c r="H126" s="168"/>
      <c r="I126" s="168"/>
      <c r="J126" s="168"/>
      <c r="K126" s="168"/>
      <c r="L126" s="168"/>
      <c r="M126" s="168"/>
    </row>
    <row r="127" spans="4:13" ht="20.100000000000001" customHeight="1" x14ac:dyDescent="0.2">
      <c r="D127" s="168"/>
      <c r="E127" s="168"/>
      <c r="F127" s="168"/>
      <c r="G127" s="168"/>
      <c r="H127" s="168"/>
      <c r="I127" s="168"/>
      <c r="J127" s="168"/>
      <c r="K127" s="168"/>
      <c r="L127" s="168"/>
      <c r="M127" s="168"/>
    </row>
    <row r="128" spans="4:13" ht="20.100000000000001" customHeight="1" x14ac:dyDescent="0.2">
      <c r="D128" s="168"/>
      <c r="E128" s="168"/>
      <c r="F128" s="168"/>
      <c r="G128" s="168"/>
      <c r="H128" s="168"/>
      <c r="I128" s="168"/>
      <c r="J128" s="168"/>
      <c r="K128" s="168"/>
      <c r="L128" s="168"/>
      <c r="M128" s="168"/>
    </row>
    <row r="129" spans="1:33" ht="20.100000000000001" customHeight="1" x14ac:dyDescent="0.2">
      <c r="D129" s="224"/>
      <c r="E129" s="168"/>
      <c r="F129" s="168"/>
      <c r="G129" s="168"/>
      <c r="H129" s="168"/>
      <c r="I129" s="168"/>
      <c r="J129" s="168"/>
      <c r="K129" s="168"/>
      <c r="L129" s="168"/>
    </row>
    <row r="130" spans="1:33" ht="20.100000000000001" customHeight="1" x14ac:dyDescent="0.2">
      <c r="D130" s="225" t="s">
        <v>891</v>
      </c>
      <c r="E130" s="225" t="s">
        <v>832</v>
      </c>
      <c r="F130" s="225" t="s">
        <v>892</v>
      </c>
      <c r="G130" s="225" t="s">
        <v>835</v>
      </c>
      <c r="H130" s="225" t="s">
        <v>837</v>
      </c>
      <c r="I130" s="225" t="s">
        <v>838</v>
      </c>
      <c r="J130" s="168"/>
      <c r="K130" s="168"/>
      <c r="L130" s="168"/>
    </row>
    <row r="131" spans="1:33" ht="20.100000000000001" customHeight="1" x14ac:dyDescent="0.2">
      <c r="A131" s="85" t="str">
        <f>HYPERLINK("#A1", "▲ Back to top")</f>
        <v>▲ Back to top</v>
      </c>
      <c r="D131" s="226" t="str">
        <f>$D$143</f>
        <v>Petrol</v>
      </c>
      <c r="E131" s="226" t="str">
        <f>$D$143</f>
        <v>Petrol</v>
      </c>
      <c r="F131" s="226" t="str">
        <f>$D$150</f>
        <v>Avgas</v>
      </c>
      <c r="G131" s="226" t="str">
        <f>$D$143</f>
        <v>Petrol</v>
      </c>
      <c r="H131" s="226" t="str">
        <f>$D$144</f>
        <v>Diesel</v>
      </c>
      <c r="I131" s="226" t="str">
        <f>$D$143</f>
        <v>Petrol</v>
      </c>
      <c r="J131" s="168"/>
      <c r="K131" s="168"/>
      <c r="L131" s="168"/>
    </row>
    <row r="132" spans="1:33" ht="20.100000000000001" customHeight="1" x14ac:dyDescent="0.2">
      <c r="D132" s="226" t="str">
        <f>$D$144</f>
        <v>Diesel</v>
      </c>
      <c r="E132" s="226" t="str">
        <f>$D$144</f>
        <v>Diesel</v>
      </c>
      <c r="F132" s="226" t="str">
        <f>$D$151</f>
        <v>Jet A1, Jet B</v>
      </c>
      <c r="G132" s="226" t="str">
        <f>$D$144</f>
        <v>Diesel</v>
      </c>
      <c r="H132" s="226"/>
      <c r="I132" s="226" t="str">
        <f>$D$144</f>
        <v>Diesel</v>
      </c>
      <c r="J132" s="168"/>
      <c r="K132" s="168"/>
      <c r="L132" s="168"/>
    </row>
    <row r="133" spans="1:33" ht="20.100000000000001" customHeight="1" x14ac:dyDescent="0.2">
      <c r="D133" s="226" t="str">
        <f>$D$145</f>
        <v>Liquefied petroleum gas (LPG)</v>
      </c>
      <c r="E133" s="226" t="str">
        <f>$D$145</f>
        <v>Liquefied petroleum gas (LPG)</v>
      </c>
      <c r="F133" s="226" t="str">
        <f>$D$152</f>
        <v>Renewable aviation kerosene</v>
      </c>
      <c r="G133" s="226" t="str">
        <f>$D$145</f>
        <v>Liquefied petroleum gas (LPG)</v>
      </c>
      <c r="H133" s="226"/>
      <c r="I133" s="226" t="s">
        <v>839</v>
      </c>
      <c r="J133" s="168"/>
      <c r="K133" s="168"/>
      <c r="L133" s="168"/>
    </row>
    <row r="134" spans="1:33" ht="20.100000000000001" customHeight="1" x14ac:dyDescent="0.2">
      <c r="D134" s="226" t="str">
        <f>$D$146</f>
        <v>Biodiesel</v>
      </c>
      <c r="E134" s="226" t="str">
        <f>$D$146</f>
        <v>Biodiesel</v>
      </c>
      <c r="F134" s="225"/>
      <c r="G134" s="226" t="str">
        <f>$D$160</f>
        <v>Fuel oil</v>
      </c>
      <c r="H134" s="226"/>
      <c r="I134" s="226"/>
      <c r="J134" s="168"/>
      <c r="K134" s="168"/>
      <c r="L134" s="168"/>
    </row>
    <row r="135" spans="1:33" ht="20.100000000000001" customHeight="1" x14ac:dyDescent="0.2">
      <c r="D135" s="226" t="str">
        <f>$D$147</f>
        <v>Ethanol</v>
      </c>
      <c r="E135" s="226" t="str">
        <f>$D$147</f>
        <v>Ethanol</v>
      </c>
      <c r="F135" s="225"/>
      <c r="G135" s="226" t="str">
        <f>$D$147</f>
        <v>Ethanol</v>
      </c>
      <c r="H135" s="226"/>
      <c r="I135" s="226"/>
      <c r="J135" s="168"/>
      <c r="K135" s="168"/>
      <c r="L135" s="168"/>
    </row>
    <row r="136" spans="1:33" ht="20.100000000000001" customHeight="1" x14ac:dyDescent="0.2">
      <c r="D136" s="226" t="str">
        <f>$D$148</f>
        <v>Other biofuels</v>
      </c>
      <c r="E136" s="226" t="str">
        <f>$D$148</f>
        <v>Other biofuels</v>
      </c>
      <c r="F136" s="225"/>
      <c r="G136" s="226" t="str">
        <f>$D$146</f>
        <v>Biodiesel</v>
      </c>
      <c r="H136" s="226"/>
      <c r="I136" s="226"/>
      <c r="J136" s="168"/>
      <c r="K136" s="168"/>
      <c r="L136" s="168"/>
    </row>
    <row r="137" spans="1:33" ht="20.100000000000001" customHeight="1" x14ac:dyDescent="0.2">
      <c r="D137" s="226" t="str">
        <f>$D$149</f>
        <v>Renewable diesel</v>
      </c>
      <c r="E137" s="226" t="str">
        <f>$D$149</f>
        <v>Renewable diesel</v>
      </c>
      <c r="F137" s="225"/>
      <c r="G137" s="226" t="str">
        <f>$D$149</f>
        <v>Renewable diesel</v>
      </c>
      <c r="H137" s="226"/>
      <c r="I137" s="226"/>
      <c r="J137" s="168"/>
      <c r="K137" s="168"/>
      <c r="L137" s="168"/>
    </row>
    <row r="138" spans="1:33" ht="20.100000000000001" customHeight="1" x14ac:dyDescent="0.2">
      <c r="D138" s="225"/>
      <c r="E138" s="227" t="str">
        <f>$D$161</f>
        <v>Natural gas (via pipeline) in GJ</v>
      </c>
      <c r="F138" s="227"/>
      <c r="G138" s="226" t="str">
        <f>$D$148</f>
        <v>Other biofuels</v>
      </c>
      <c r="H138" s="226"/>
      <c r="I138" s="226"/>
      <c r="J138" s="168"/>
      <c r="K138" s="168"/>
      <c r="L138" s="168"/>
    </row>
    <row r="139" spans="1:33" ht="20.100000000000001" customHeight="1" x14ac:dyDescent="0.2">
      <c r="D139" s="227"/>
      <c r="E139" s="227" t="str">
        <f>$D$162</f>
        <v>Town gas in GJ</v>
      </c>
      <c r="F139" s="227"/>
      <c r="G139" s="227"/>
      <c r="H139" s="227"/>
      <c r="I139" s="227"/>
      <c r="J139" s="168"/>
      <c r="K139" s="168"/>
      <c r="L139" s="168"/>
    </row>
    <row r="140" spans="1:33" ht="20.100000000000001" customHeight="1" x14ac:dyDescent="0.2">
      <c r="D140" s="168"/>
      <c r="E140" s="168"/>
      <c r="F140" s="168"/>
      <c r="G140" s="168"/>
      <c r="H140" s="168"/>
      <c r="I140" s="168"/>
      <c r="J140" s="168"/>
      <c r="K140" s="168"/>
      <c r="L140" s="168"/>
    </row>
    <row r="141" spans="1:33" ht="20.100000000000001" customHeight="1" x14ac:dyDescent="0.2">
      <c r="D141" s="168"/>
      <c r="E141" s="168"/>
      <c r="F141" s="168"/>
      <c r="G141" s="168"/>
      <c r="H141" s="168"/>
      <c r="I141" s="168"/>
      <c r="J141" s="168"/>
      <c r="K141" s="168"/>
      <c r="L141" s="168"/>
    </row>
    <row r="142" spans="1:33" ht="20.100000000000001" customHeight="1" x14ac:dyDescent="0.2">
      <c r="D142" t="s">
        <v>893</v>
      </c>
      <c r="E142" t="s">
        <v>126</v>
      </c>
      <c r="F142" t="s">
        <v>894</v>
      </c>
      <c r="G142" s="168"/>
      <c r="H142" s="168"/>
      <c r="I142" s="168"/>
      <c r="J142" s="168"/>
      <c r="K142" s="168"/>
      <c r="L142" s="168"/>
      <c r="M142" s="168"/>
      <c r="AG142" s="1"/>
    </row>
    <row r="143" spans="1:33" ht="20.100000000000001" customHeight="1" x14ac:dyDescent="0.2">
      <c r="D143" s="226" t="s">
        <v>834</v>
      </c>
      <c r="E143" t="s">
        <v>895</v>
      </c>
      <c r="F143" t="s">
        <v>896</v>
      </c>
      <c r="G143" s="168"/>
      <c r="H143" s="168"/>
      <c r="I143" s="168"/>
      <c r="J143" s="168"/>
      <c r="K143" s="168"/>
      <c r="L143" s="168"/>
      <c r="M143" s="168"/>
      <c r="AG143" s="1"/>
    </row>
    <row r="144" spans="1:33" ht="20.100000000000001" customHeight="1" x14ac:dyDescent="0.2">
      <c r="D144" s="226" t="s">
        <v>836</v>
      </c>
      <c r="E144" t="s">
        <v>895</v>
      </c>
      <c r="F144" t="s">
        <v>896</v>
      </c>
      <c r="G144" s="168"/>
      <c r="H144" s="168"/>
      <c r="I144" s="168"/>
      <c r="J144" s="168"/>
      <c r="K144" s="168"/>
      <c r="L144" s="168"/>
      <c r="M144" s="168"/>
      <c r="AG144" s="1"/>
    </row>
    <row r="145" spans="4:33" ht="20.100000000000001" customHeight="1" x14ac:dyDescent="0.2">
      <c r="D145" s="226" t="s">
        <v>897</v>
      </c>
      <c r="E145" t="s">
        <v>895</v>
      </c>
      <c r="F145" t="s">
        <v>896</v>
      </c>
      <c r="G145" s="168"/>
      <c r="H145" s="168"/>
      <c r="I145" s="168"/>
      <c r="J145" s="168"/>
      <c r="K145" s="168"/>
      <c r="L145" s="168"/>
      <c r="M145" s="168"/>
      <c r="AG145" s="1"/>
    </row>
    <row r="146" spans="4:33" ht="20.100000000000001" customHeight="1" x14ac:dyDescent="0.2">
      <c r="D146" s="226" t="s">
        <v>898</v>
      </c>
      <c r="E146" t="s">
        <v>895</v>
      </c>
      <c r="F146" t="s">
        <v>896</v>
      </c>
      <c r="G146" s="168"/>
      <c r="H146" s="168"/>
      <c r="I146" s="168"/>
      <c r="J146" s="168"/>
      <c r="K146" s="168"/>
      <c r="L146" s="168"/>
      <c r="M146" s="168"/>
      <c r="AG146" s="1"/>
    </row>
    <row r="147" spans="4:33" ht="20.100000000000001" customHeight="1" x14ac:dyDescent="0.2">
      <c r="D147" s="226" t="s">
        <v>899</v>
      </c>
      <c r="E147" t="s">
        <v>895</v>
      </c>
      <c r="F147" t="s">
        <v>896</v>
      </c>
      <c r="G147" s="168"/>
      <c r="H147" s="168"/>
      <c r="I147" s="168"/>
      <c r="J147" s="168"/>
      <c r="K147" s="168"/>
      <c r="L147" s="168"/>
      <c r="M147" s="168"/>
      <c r="AG147" s="1"/>
    </row>
    <row r="148" spans="4:33" ht="20.100000000000001" customHeight="1" x14ac:dyDescent="0.2">
      <c r="D148" s="226" t="s">
        <v>900</v>
      </c>
      <c r="E148" t="s">
        <v>895</v>
      </c>
      <c r="F148" t="s">
        <v>896</v>
      </c>
      <c r="G148" s="168"/>
      <c r="H148" s="168"/>
      <c r="I148" s="168"/>
      <c r="J148" s="168"/>
      <c r="K148" s="168"/>
      <c r="L148" s="168"/>
      <c r="M148" s="168"/>
      <c r="AG148" s="1"/>
    </row>
    <row r="149" spans="4:33" ht="20.100000000000001" customHeight="1" x14ac:dyDescent="0.2">
      <c r="D149" s="226" t="s">
        <v>901</v>
      </c>
      <c r="E149" t="s">
        <v>895</v>
      </c>
      <c r="F149" t="s">
        <v>896</v>
      </c>
      <c r="G149" s="168"/>
      <c r="H149" s="168"/>
      <c r="I149" s="168"/>
      <c r="J149" s="168"/>
      <c r="K149" s="168"/>
      <c r="L149" s="168"/>
      <c r="M149" s="168"/>
      <c r="AG149" s="1"/>
    </row>
    <row r="150" spans="4:33" ht="20.100000000000001" customHeight="1" x14ac:dyDescent="0.2">
      <c r="D150" s="226" t="s">
        <v>902</v>
      </c>
      <c r="E150" t="s">
        <v>895</v>
      </c>
      <c r="F150" t="s">
        <v>896</v>
      </c>
      <c r="G150" s="168"/>
      <c r="H150" s="168"/>
      <c r="I150" s="168"/>
      <c r="J150" s="168"/>
      <c r="K150" s="168"/>
      <c r="L150" s="168"/>
      <c r="M150" s="168"/>
      <c r="AG150" s="1"/>
    </row>
    <row r="151" spans="4:33" ht="20.100000000000001" customHeight="1" x14ac:dyDescent="0.2">
      <c r="D151" s="226" t="s">
        <v>903</v>
      </c>
      <c r="E151" t="s">
        <v>895</v>
      </c>
      <c r="F151" t="s">
        <v>896</v>
      </c>
      <c r="G151" s="168"/>
      <c r="H151" s="168"/>
      <c r="I151" s="168"/>
      <c r="J151" s="168"/>
      <c r="K151" s="168"/>
      <c r="L151" s="168"/>
      <c r="M151" s="168"/>
      <c r="AG151" s="1"/>
    </row>
    <row r="152" spans="4:33" ht="20.100000000000001" customHeight="1" x14ac:dyDescent="0.2">
      <c r="D152" s="228" t="s">
        <v>904</v>
      </c>
      <c r="E152" s="8" t="s">
        <v>895</v>
      </c>
      <c r="F152" t="s">
        <v>896</v>
      </c>
      <c r="G152" s="168"/>
      <c r="H152" s="168"/>
      <c r="I152" s="168"/>
      <c r="J152" s="168"/>
      <c r="K152" s="168"/>
      <c r="L152" s="168"/>
      <c r="M152" s="168"/>
      <c r="AG152" s="1"/>
    </row>
    <row r="153" spans="4:33" ht="20.100000000000001" customHeight="1" x14ac:dyDescent="0.2">
      <c r="D153" s="228" t="s">
        <v>905</v>
      </c>
      <c r="E153" s="8" t="s">
        <v>895</v>
      </c>
      <c r="F153" t="s">
        <v>896</v>
      </c>
      <c r="G153" s="168"/>
      <c r="H153" s="168"/>
      <c r="I153" s="168"/>
      <c r="J153" s="168"/>
      <c r="K153" s="168"/>
      <c r="L153" s="168"/>
      <c r="M153" s="168"/>
      <c r="AG153" s="1"/>
    </row>
    <row r="154" spans="4:33" ht="20.100000000000001" customHeight="1" x14ac:dyDescent="0.2">
      <c r="D154" s="228" t="s">
        <v>906</v>
      </c>
      <c r="E154" s="8" t="s">
        <v>895</v>
      </c>
      <c r="F154" t="s">
        <v>896</v>
      </c>
      <c r="G154" s="168"/>
      <c r="H154" s="168"/>
      <c r="I154" s="168"/>
      <c r="J154" s="168"/>
      <c r="K154" s="168"/>
      <c r="L154" s="168"/>
      <c r="M154" s="168"/>
      <c r="AG154" s="1"/>
    </row>
    <row r="155" spans="4:33" ht="20.100000000000001" customHeight="1" x14ac:dyDescent="0.2">
      <c r="D155" s="228" t="s">
        <v>907</v>
      </c>
      <c r="E155" s="8" t="s">
        <v>895</v>
      </c>
      <c r="F155" t="s">
        <v>896</v>
      </c>
      <c r="G155" s="168"/>
      <c r="H155" s="168"/>
      <c r="I155" s="168"/>
      <c r="J155" s="168"/>
      <c r="K155" s="168"/>
      <c r="L155" s="168"/>
      <c r="M155" s="168"/>
      <c r="AG155" s="1"/>
    </row>
    <row r="156" spans="4:33" ht="20.100000000000001" customHeight="1" x14ac:dyDescent="0.2">
      <c r="D156" s="228" t="s">
        <v>908</v>
      </c>
      <c r="E156" s="8" t="s">
        <v>895</v>
      </c>
      <c r="F156" t="s">
        <v>896</v>
      </c>
      <c r="G156" s="168"/>
      <c r="H156" s="168"/>
      <c r="I156" s="168"/>
      <c r="J156" s="168"/>
      <c r="K156" s="168"/>
      <c r="L156" s="168"/>
      <c r="M156" s="168"/>
      <c r="AG156" s="1"/>
    </row>
    <row r="157" spans="4:33" ht="20.100000000000001" customHeight="1" x14ac:dyDescent="0.2">
      <c r="D157" s="228" t="s">
        <v>909</v>
      </c>
      <c r="E157" s="8" t="s">
        <v>895</v>
      </c>
      <c r="F157" t="s">
        <v>896</v>
      </c>
      <c r="G157" s="168"/>
      <c r="H157" s="168"/>
      <c r="I157" s="168"/>
      <c r="J157" s="168"/>
      <c r="K157" s="168"/>
      <c r="L157" s="168"/>
      <c r="M157" s="168"/>
      <c r="AG157" s="1"/>
    </row>
    <row r="158" spans="4:33" ht="20.100000000000001" customHeight="1" x14ac:dyDescent="0.2">
      <c r="D158" s="228" t="s">
        <v>910</v>
      </c>
      <c r="E158" s="8" t="s">
        <v>895</v>
      </c>
      <c r="F158" t="s">
        <v>896</v>
      </c>
      <c r="G158" s="168"/>
      <c r="H158" s="168"/>
      <c r="I158" s="168"/>
      <c r="J158" s="168"/>
      <c r="K158" s="168"/>
      <c r="L158" s="168"/>
      <c r="M158" s="168"/>
      <c r="AG158" s="1"/>
    </row>
    <row r="159" spans="4:33" ht="20.100000000000001" customHeight="1" x14ac:dyDescent="0.2">
      <c r="D159" s="228" t="s">
        <v>911</v>
      </c>
      <c r="E159" s="8" t="s">
        <v>895</v>
      </c>
      <c r="F159" t="s">
        <v>896</v>
      </c>
      <c r="G159" s="168"/>
      <c r="H159" s="168"/>
      <c r="I159" s="168"/>
      <c r="J159" s="168"/>
      <c r="K159" s="168"/>
      <c r="L159" s="168"/>
      <c r="M159" s="168"/>
      <c r="AG159" s="1"/>
    </row>
    <row r="160" spans="4:33" ht="20.100000000000001" customHeight="1" x14ac:dyDescent="0.2">
      <c r="D160" s="228" t="s">
        <v>839</v>
      </c>
      <c r="E160" s="8" t="s">
        <v>895</v>
      </c>
      <c r="F160" t="s">
        <v>896</v>
      </c>
      <c r="G160" s="168"/>
      <c r="H160" s="168"/>
      <c r="I160" s="168"/>
      <c r="J160" s="168"/>
      <c r="K160" s="168"/>
      <c r="L160" s="168"/>
      <c r="M160" s="168"/>
      <c r="AG160" s="1"/>
    </row>
    <row r="161" spans="1:33" ht="20.100000000000001" customHeight="1" x14ac:dyDescent="0.2">
      <c r="A161" s="85" t="str">
        <f>HYPERLINK("#A1", "▲ Back to top")</f>
        <v>▲ Back to top</v>
      </c>
      <c r="D161" s="227" t="s">
        <v>912</v>
      </c>
      <c r="E161" s="168" t="s">
        <v>913</v>
      </c>
      <c r="F161" s="168" t="s">
        <v>913</v>
      </c>
      <c r="G161" s="168"/>
      <c r="H161" s="168"/>
      <c r="I161" s="168"/>
      <c r="J161" s="168"/>
      <c r="K161" s="168"/>
      <c r="L161" s="168"/>
      <c r="M161" s="168"/>
      <c r="AG161" s="1"/>
    </row>
    <row r="162" spans="1:33" ht="20.100000000000001" customHeight="1" x14ac:dyDescent="0.2">
      <c r="D162" s="168" t="s">
        <v>833</v>
      </c>
      <c r="E162" s="168" t="s">
        <v>913</v>
      </c>
      <c r="F162" s="168" t="s">
        <v>913</v>
      </c>
      <c r="G162" s="168"/>
      <c r="H162" s="168"/>
      <c r="I162" s="168"/>
      <c r="J162" s="168"/>
      <c r="K162" s="168"/>
      <c r="L162" s="168"/>
      <c r="M162" s="168"/>
      <c r="AG162" s="1"/>
    </row>
  </sheetData>
  <pageMargins left="0.7" right="0.7" top="0.75" bottom="0.75" header="0.3" footer="0.3"/>
  <tableParts count="7">
    <tablePart r:id="rId1"/>
    <tablePart r:id="rId2"/>
    <tablePart r:id="rId3"/>
    <tablePart r:id="rId4"/>
    <tablePart r:id="rId5"/>
    <tablePart r:id="rId6"/>
    <tablePart r:id="rId7"/>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F55F9-0CEE-4D74-9DF9-17D5D32F1C1A}">
  <sheetPr>
    <tabColor theme="2" tint="-0.499984740745262"/>
  </sheetPr>
  <dimension ref="A1:R247"/>
  <sheetViews>
    <sheetView showGridLines="0" topLeftCell="A15" zoomScaleNormal="100" workbookViewId="0">
      <pane xSplit="1" topLeftCell="B1" activePane="topRight" state="frozenSplit"/>
      <selection pane="topRight" activeCell="A46" sqref="A46"/>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s>
  <sheetData>
    <row r="1" spans="1:17" ht="30" customHeight="1" x14ac:dyDescent="0.35">
      <c r="A1" s="10" t="e" vm="1">
        <v>#VALUE!</v>
      </c>
      <c r="C1"/>
      <c r="D1"/>
      <c r="E1"/>
      <c r="F1"/>
      <c r="G1"/>
      <c r="H1"/>
      <c r="I1"/>
      <c r="J1"/>
      <c r="K1"/>
      <c r="L1"/>
      <c r="M1"/>
      <c r="N1"/>
      <c r="O1"/>
      <c r="P1"/>
      <c r="Q1"/>
    </row>
    <row r="2" spans="1:17" ht="20.100000000000001" customHeight="1" x14ac:dyDescent="0.2">
      <c r="C2"/>
      <c r="D2"/>
      <c r="E2"/>
      <c r="F2"/>
      <c r="G2"/>
      <c r="H2"/>
      <c r="I2"/>
      <c r="J2"/>
      <c r="K2"/>
      <c r="L2"/>
      <c r="M2"/>
      <c r="N2"/>
      <c r="O2"/>
      <c r="P2"/>
      <c r="Q2"/>
    </row>
    <row r="3" spans="1:17" ht="20.100000000000001" customHeight="1" x14ac:dyDescent="0.2">
      <c r="A3" s="5" t="str">
        <f>HYPERLINK("#'Home'!A1", "Home")</f>
        <v>Home</v>
      </c>
    </row>
    <row r="4" spans="1:17" ht="20.100000000000001" customHeight="1" x14ac:dyDescent="0.2">
      <c r="A4" s="5" t="str">
        <f>HYPERLINK("#'Results - Activity period'!A1", "Results - Activity period")</f>
        <v>Results - Activity period</v>
      </c>
    </row>
    <row r="5" spans="1:17" ht="20.100000000000001" customHeight="1" x14ac:dyDescent="0.2">
      <c r="A5" s="5" t="str">
        <f>HYPERLINK("#'Results - Product EI'!A1", "Results - Product Emissions Intensity")</f>
        <v>Results - Product Emissions Intensity</v>
      </c>
    </row>
    <row r="8" spans="1:17" ht="20.100000000000001" customHeight="1" x14ac:dyDescent="0.2">
      <c r="A8" s="7" t="s">
        <v>0</v>
      </c>
    </row>
    <row r="9" spans="1:17" ht="20.100000000000001" customHeight="1" x14ac:dyDescent="0.2">
      <c r="A9" s="5" t="str">
        <f>HYPERLINK("#'Input - Enterprise'!A1", "Enterprise")</f>
        <v>Enterprise</v>
      </c>
    </row>
    <row r="10" spans="1:17" ht="20.100000000000001" customHeight="1" x14ac:dyDescent="0.2">
      <c r="A10" s="5" t="str">
        <f>HYPERLINK("#'Input - Site'!A1", "Site")</f>
        <v>Site</v>
      </c>
    </row>
    <row r="11" spans="1:17" ht="20.100000000000001" customHeight="1" x14ac:dyDescent="0.2">
      <c r="A11" s="5" t="str">
        <f>HYPERLINK("#'Input - Pasture Beef'!A1", "Pasture Beef")</f>
        <v>Pasture Beef</v>
      </c>
    </row>
    <row r="12" spans="1:17" ht="20.100000000000001" customHeight="1" x14ac:dyDescent="0.2">
      <c r="A12" s="5" t="str">
        <f>HYPERLINK("#'Input - Livestock sales'!A1", "Livestock sales")</f>
        <v>Livestock sales</v>
      </c>
    </row>
    <row r="13" spans="1:17" ht="20.100000000000001" customHeight="1" x14ac:dyDescent="0.2">
      <c r="A13" s="5" t="str">
        <f>HYPERLINK("#'Input - Beef cattle purchases'!A1", "Beef cattle purchases")</f>
        <v>Beef cattle purchases</v>
      </c>
    </row>
    <row r="14" spans="1:17" ht="20.100000000000001" customHeight="1" x14ac:dyDescent="0.2">
      <c r="A14" s="5" t="str">
        <f>HYPERLINK("#'Input - Pasture'!A1", "Pasture")</f>
        <v>Pasture</v>
      </c>
    </row>
    <row r="15" spans="1:17" ht="20.100000000000001" customHeight="1" x14ac:dyDescent="0.2">
      <c r="A15" s="5" t="str">
        <f>HYPERLINK("#'Input - Fert Prod System'!A1", "Fert Prod System")</f>
        <v>Fert Prod System</v>
      </c>
    </row>
    <row r="16" spans="1:17" ht="20.100000000000001" customHeight="1" x14ac:dyDescent="0.2">
      <c r="A16" s="5" t="str">
        <f>HYPERLINK("#'Input - Fertiliser'!A1", "Fertiliser")</f>
        <v>Fertiliser</v>
      </c>
    </row>
    <row r="17" spans="1:12" ht="20.100000000000001" customHeight="1" x14ac:dyDescent="0.2">
      <c r="A17" s="5" t="str">
        <f>HYPERLINK("#'Input - Fuel'!A1", "Fuel")</f>
        <v>Fuel</v>
      </c>
    </row>
    <row r="18" spans="1:12" ht="20.100000000000001" customHeight="1" x14ac:dyDescent="0.2">
      <c r="A18" s="5" t="str">
        <f>HYPERLINK("#'Input - Electricity'!A1", "Electricity")</f>
        <v>Electricity</v>
      </c>
    </row>
    <row r="19" spans="1:12" ht="20.100000000000001" customHeight="1" x14ac:dyDescent="0.2">
      <c r="A19" s="5" t="str">
        <f>HYPERLINK("#'Input - Common farm inputs'!A1", "Common farm inputs")</f>
        <v>Common farm inputs</v>
      </c>
    </row>
    <row r="20" spans="1:12" ht="20.100000000000001" customHeight="1" x14ac:dyDescent="0.2">
      <c r="A20" s="5" t="str">
        <f>HYPERLINK("#'Input - Crop pasture farm input'!A1", "Crop pasture farm input")</f>
        <v>Crop pasture farm input</v>
      </c>
    </row>
    <row r="21" spans="1:12" ht="20.100000000000001" customHeight="1" x14ac:dyDescent="0.2">
      <c r="A21" s="5" t="str">
        <f>HYPERLINK("#'Input - Livestock farm Inputs'!A1", "Livestock farm Inputs")</f>
        <v>Livestock farm Inputs</v>
      </c>
    </row>
    <row r="22" spans="1:12" ht="20.100000000000001" customHeight="1" x14ac:dyDescent="0.2">
      <c r="A22" s="5" t="str">
        <f>HYPERLINK("#'Input - Freight'!A1", "Freight")</f>
        <v>Freight</v>
      </c>
    </row>
    <row r="23" spans="1:12" ht="20.100000000000001" customHeight="1" x14ac:dyDescent="0.2">
      <c r="A23" s="5" t="str">
        <f>HYPERLINK("#'Input - Solid waste'!A1", "Solid waste")</f>
        <v>Solid waste</v>
      </c>
    </row>
    <row r="24" spans="1:12" ht="20.100000000000001" customHeight="1" x14ac:dyDescent="0.2">
      <c r="A24" s="5" t="str">
        <f>HYPERLINK("#'Input - Manure sent off-site'!A1", "Manure sent off-site")</f>
        <v>Manure sent off-site</v>
      </c>
    </row>
    <row r="25" spans="1:12" ht="20.100000000000001" customHeight="1" x14ac:dyDescent="0.2">
      <c r="A25" s="5" t="str">
        <f>HYPERLINK("#'Input - Data quality'!A1", "Data quality")</f>
        <v>Data quality</v>
      </c>
    </row>
    <row r="28" spans="1:12" ht="20.100000000000001" customHeight="1" x14ac:dyDescent="0.2">
      <c r="A28" s="6" t="s">
        <v>2</v>
      </c>
    </row>
    <row r="29" spans="1:12" ht="20.100000000000001" customHeight="1" x14ac:dyDescent="0.2">
      <c r="A29" s="5" t="str">
        <f>HYPERLINK("#'3.2.1.1-2 Enteric Methane'!A1", "3.2.1.1-2 Enteric Methane")</f>
        <v>3.2.1.1-2 Enteric Methane</v>
      </c>
    </row>
    <row r="30" spans="1:12" ht="20.100000000000001" customHeight="1" x14ac:dyDescent="0.2">
      <c r="A30" s="5" t="str">
        <f>HYPERLINK("#'4.2.1.1-2 Methane'!A1", "4.2.1.1-2 Manure methane")</f>
        <v>4.2.1.1-2 Manure methane</v>
      </c>
    </row>
    <row r="31" spans="1:12" ht="20.100000000000001" customHeight="1" x14ac:dyDescent="0.2">
      <c r="A31" s="5" t="str">
        <f>HYPERLINK("#'4.2.1.3-4 Soil direct N20'!A1", "4.2.1.3-4 Soil direct N2O")</f>
        <v>4.2.1.3-4 Soil direct N2O</v>
      </c>
    </row>
    <row r="32" spans="1:12" ht="20.100000000000001" customHeight="1" x14ac:dyDescent="0.2">
      <c r="A32" s="5" t="str">
        <f>HYPERLINK("#'4.2.1.5-6 Soil Atmos Dep'!A1", "4.2.1.5-6 Soil atm. deposition")</f>
        <v>4.2.1.5-6 Soil atm. deposition</v>
      </c>
      <c r="D32" s="2" t="s">
        <v>1294</v>
      </c>
      <c r="L32" s="1" t="s">
        <v>518</v>
      </c>
    </row>
    <row r="33" spans="1:13" ht="20.100000000000001" customHeight="1" x14ac:dyDescent="0.2">
      <c r="A33" s="5" t="str">
        <f>HYPERLINK("#'4.2.1.7-8 Soil leach runoff'!A1", "4.2.1.7-8 Soil leach &amp; runoff")</f>
        <v>4.2.1.7-8 Soil leach &amp; runoff</v>
      </c>
      <c r="D33" s="20" t="s">
        <v>565</v>
      </c>
      <c r="E33" s="20" t="s">
        <v>144</v>
      </c>
      <c r="F33" s="20" t="s">
        <v>566</v>
      </c>
      <c r="G33" s="20" t="s">
        <v>567</v>
      </c>
      <c r="H33" s="20" t="s">
        <v>1295</v>
      </c>
      <c r="I33" s="20" t="s">
        <v>569</v>
      </c>
      <c r="J33" s="20" t="s">
        <v>744</v>
      </c>
      <c r="L33" s="20" t="s">
        <v>490</v>
      </c>
      <c r="M33" s="20" t="s">
        <v>519</v>
      </c>
    </row>
    <row r="34" spans="1:13" ht="20.100000000000001" customHeight="1" x14ac:dyDescent="0.2">
      <c r="A34" s="5" t="str">
        <f>HYPERLINK("#'5.1.1.1-2 Inorganic fert N2O'!A1", "5.1.1.1-2 Inorganic fert N2O")</f>
        <v>5.1.1.1-2 Inorganic fert N2O</v>
      </c>
      <c r="D34" s="20" t="s">
        <v>1168</v>
      </c>
      <c r="E34" s="20" t="s">
        <v>1054</v>
      </c>
      <c r="F34" s="20" t="s">
        <v>538</v>
      </c>
      <c r="G34" s="20" t="s">
        <v>1929</v>
      </c>
      <c r="H34" s="20">
        <v>11</v>
      </c>
      <c r="I34" s="20" t="s">
        <v>1930</v>
      </c>
      <c r="J34" s="20" t="s">
        <v>1296</v>
      </c>
      <c r="L34" s="20" t="s">
        <v>520</v>
      </c>
      <c r="M34" s="20" t="s">
        <v>521</v>
      </c>
    </row>
    <row r="35" spans="1:13" ht="20.100000000000001" customHeight="1" x14ac:dyDescent="0.2">
      <c r="A35" s="5" t="str">
        <f>HYPERLINK("#'5.1.1.3-4 Inorganic fert CO2'!A1", "5.1.1.3-4 Inorganic fert CO2")</f>
        <v>5.1.1.3-4 Inorganic fert CO2</v>
      </c>
      <c r="D35" s="20" t="s">
        <v>1168</v>
      </c>
      <c r="E35" s="20" t="s">
        <v>1054</v>
      </c>
      <c r="F35" s="20" t="s">
        <v>521</v>
      </c>
      <c r="G35" s="20" t="s">
        <v>1929</v>
      </c>
      <c r="H35" s="20">
        <v>8.2100000000000009</v>
      </c>
      <c r="I35" s="20" t="s">
        <v>1930</v>
      </c>
      <c r="J35" s="20" t="s">
        <v>1296</v>
      </c>
      <c r="L35" s="20" t="s">
        <v>521</v>
      </c>
      <c r="M35" s="20" t="s">
        <v>521</v>
      </c>
    </row>
    <row r="36" spans="1:13" ht="20.100000000000001" customHeight="1" x14ac:dyDescent="0.2">
      <c r="A36" s="5" t="str">
        <f>HYPERLINK("#'5.2.1.1-2 Organic Fert N2O'!A1", "5.2.1.1-2 Organic fert N2O")</f>
        <v>5.2.1.1-2 Organic fert N2O</v>
      </c>
      <c r="D36" s="20" t="s">
        <v>1168</v>
      </c>
      <c r="E36" s="20" t="s">
        <v>1054</v>
      </c>
      <c r="F36" s="20" t="s">
        <v>530</v>
      </c>
      <c r="G36" s="20" t="s">
        <v>1929</v>
      </c>
      <c r="H36" s="20">
        <v>12.2</v>
      </c>
      <c r="I36" s="20" t="s">
        <v>1930</v>
      </c>
      <c r="J36" s="20" t="s">
        <v>1296</v>
      </c>
      <c r="L36" s="20" t="s">
        <v>522</v>
      </c>
      <c r="M36" s="20" t="s">
        <v>522</v>
      </c>
    </row>
    <row r="37" spans="1:13" ht="20.100000000000001" customHeight="1" x14ac:dyDescent="0.2">
      <c r="A37" s="5" t="str">
        <f>HYPERLINK("#'5.3.1.1-2 Lime CO2'!A1", "5.3.1.1-2 Lime CO2")</f>
        <v>5.3.1.1-2 Lime CO2</v>
      </c>
      <c r="D37" s="20" t="s">
        <v>1168</v>
      </c>
      <c r="E37" s="20" t="s">
        <v>1054</v>
      </c>
      <c r="F37" s="20" t="s">
        <v>534</v>
      </c>
      <c r="G37" s="20" t="s">
        <v>1929</v>
      </c>
      <c r="H37" s="20">
        <v>10.9</v>
      </c>
      <c r="I37" s="20" t="s">
        <v>1930</v>
      </c>
      <c r="J37" s="20" t="s">
        <v>1296</v>
      </c>
      <c r="L37" s="20" t="s">
        <v>523</v>
      </c>
      <c r="M37" s="20" t="s">
        <v>523</v>
      </c>
    </row>
    <row r="38" spans="1:13" ht="20.100000000000001" customHeight="1" x14ac:dyDescent="0.2">
      <c r="A38" s="5" t="str">
        <f>HYPERLINK("#'5.4.1.1-4 Atmos deposition'!A1", "5.4.1.1-4 Atmos. deposition")</f>
        <v>5.4.1.1-4 Atmos. deposition</v>
      </c>
      <c r="D38" s="20" t="s">
        <v>1168</v>
      </c>
      <c r="E38" s="20" t="s">
        <v>1054</v>
      </c>
      <c r="F38" s="20" t="s">
        <v>522</v>
      </c>
      <c r="G38" s="20" t="s">
        <v>1929</v>
      </c>
      <c r="H38" s="20">
        <v>7.63</v>
      </c>
      <c r="I38" s="20" t="s">
        <v>1930</v>
      </c>
      <c r="J38" s="20" t="s">
        <v>1296</v>
      </c>
      <c r="L38" s="20" t="s">
        <v>524</v>
      </c>
      <c r="M38" s="20" t="s">
        <v>524</v>
      </c>
    </row>
    <row r="39" spans="1:13" ht="20.100000000000001" customHeight="1" x14ac:dyDescent="0.2">
      <c r="A39" s="5" t="str">
        <f>HYPERLINK("#'5.5.1.1-2 Leaching and runoff'!A1", "5.5.1.1-2 Leaching &amp; runoff")</f>
        <v>5.5.1.1-2 Leaching &amp; runoff</v>
      </c>
      <c r="D39" s="20" t="s">
        <v>1168</v>
      </c>
      <c r="E39" s="20" t="s">
        <v>1054</v>
      </c>
      <c r="F39" s="20" t="s">
        <v>523</v>
      </c>
      <c r="G39" s="20" t="s">
        <v>1929</v>
      </c>
      <c r="H39" s="20">
        <v>8.75</v>
      </c>
      <c r="I39" s="20" t="s">
        <v>1930</v>
      </c>
      <c r="J39" s="20" t="s">
        <v>1296</v>
      </c>
      <c r="L39" s="20" t="s">
        <v>525</v>
      </c>
      <c r="M39" s="20" t="s">
        <v>526</v>
      </c>
    </row>
    <row r="40" spans="1:13" ht="20.100000000000001" customHeight="1" x14ac:dyDescent="0.2">
      <c r="A40" s="5" t="str">
        <f>HYPERLINK("#'6.2.1.1-2 Pasture residue N2O'!A1", "6.2.1.1-2 Pasture residue N2O")</f>
        <v>6.2.1.1-2 Pasture residue N2O</v>
      </c>
      <c r="D40" s="20" t="s">
        <v>1168</v>
      </c>
      <c r="E40" s="20" t="s">
        <v>1054</v>
      </c>
      <c r="F40" s="20" t="s">
        <v>524</v>
      </c>
      <c r="G40" s="20" t="s">
        <v>1929</v>
      </c>
      <c r="H40" s="20">
        <v>8.17</v>
      </c>
      <c r="I40" s="20" t="s">
        <v>1930</v>
      </c>
      <c r="J40" s="20" t="s">
        <v>1296</v>
      </c>
      <c r="L40" s="20" t="s">
        <v>527</v>
      </c>
      <c r="M40" s="20" t="s">
        <v>526</v>
      </c>
    </row>
    <row r="41" spans="1:13" ht="20.100000000000001" customHeight="1" x14ac:dyDescent="0.2">
      <c r="A41" s="5" t="str">
        <f>HYPERLINK("#'6.3.1.1-2 Leach runoff pasture'!A1", "6.3.1.1-2 Leach &amp; runoff (pasture)")</f>
        <v>6.3.1.1-2 Leach &amp; runoff (pasture)</v>
      </c>
      <c r="D41" s="20" t="s">
        <v>1168</v>
      </c>
      <c r="E41" s="20" t="s">
        <v>1054</v>
      </c>
      <c r="F41" s="20" t="s">
        <v>526</v>
      </c>
      <c r="G41" s="20" t="s">
        <v>1929</v>
      </c>
      <c r="H41" s="20">
        <v>13.1</v>
      </c>
      <c r="I41" s="20" t="s">
        <v>1930</v>
      </c>
      <c r="J41" s="20" t="s">
        <v>1296</v>
      </c>
      <c r="L41" s="20" t="s">
        <v>528</v>
      </c>
      <c r="M41" s="20" t="s">
        <v>526</v>
      </c>
    </row>
    <row r="42" spans="1:13" ht="20.100000000000001" customHeight="1" x14ac:dyDescent="0.2">
      <c r="A42" s="5" t="str">
        <f>HYPERLINK("#'8.1.1.1-2 Transport fuel'!A1", "8.1.1.1-2 Transport fuel")</f>
        <v>8.1.1.1-2 Transport fuel</v>
      </c>
      <c r="D42" s="20" t="s">
        <v>1168</v>
      </c>
      <c r="E42" s="20" t="s">
        <v>1053</v>
      </c>
      <c r="F42" s="20" t="s">
        <v>538</v>
      </c>
      <c r="G42" s="20" t="s">
        <v>1929</v>
      </c>
      <c r="H42" s="20">
        <v>14.5</v>
      </c>
      <c r="I42" s="20" t="s">
        <v>1930</v>
      </c>
      <c r="J42" s="20" t="s">
        <v>1296</v>
      </c>
      <c r="L42" s="20" t="s">
        <v>529</v>
      </c>
      <c r="M42" s="20" t="s">
        <v>530</v>
      </c>
    </row>
    <row r="43" spans="1:13" ht="20.100000000000001" customHeight="1" x14ac:dyDescent="0.2">
      <c r="A43" s="5" t="str">
        <f>HYPERLINK("#'8.2.1.1-2 Stationary fuel'!A1", "8.2.1.1-2 Stationary fuel")</f>
        <v>8.2.1.1-2 Stationary fuel</v>
      </c>
      <c r="D43" s="20" t="s">
        <v>1168</v>
      </c>
      <c r="E43" s="20" t="s">
        <v>1053</v>
      </c>
      <c r="F43" s="20" t="s">
        <v>521</v>
      </c>
      <c r="G43" s="20" t="s">
        <v>1929</v>
      </c>
      <c r="H43" s="20">
        <v>11.3</v>
      </c>
      <c r="I43" s="20" t="s">
        <v>1930</v>
      </c>
      <c r="J43" s="20" t="s">
        <v>1296</v>
      </c>
      <c r="L43" s="20" t="s">
        <v>531</v>
      </c>
      <c r="M43" s="20" t="s">
        <v>530</v>
      </c>
    </row>
    <row r="44" spans="1:13" ht="20.100000000000001" customHeight="1" x14ac:dyDescent="0.2">
      <c r="A44" s="5" t="str">
        <f>HYPERLINK("#'10.1.1-2 Solid waste treatment'!A1", "10.1.1.1-2 Solid waste")</f>
        <v>10.1.1.1-2 Solid waste</v>
      </c>
      <c r="D44" s="20" t="s">
        <v>1168</v>
      </c>
      <c r="E44" s="20" t="s">
        <v>1053</v>
      </c>
      <c r="F44" s="20" t="s">
        <v>530</v>
      </c>
      <c r="G44" s="20" t="s">
        <v>1929</v>
      </c>
      <c r="H44" s="20">
        <v>18.899999999999999</v>
      </c>
      <c r="I44" s="20" t="s">
        <v>1930</v>
      </c>
      <c r="J44" s="20" t="s">
        <v>1296</v>
      </c>
      <c r="L44" s="20" t="s">
        <v>532</v>
      </c>
      <c r="M44" s="20" t="s">
        <v>530</v>
      </c>
    </row>
    <row r="45" spans="1:13" ht="20.100000000000001" customHeight="1" x14ac:dyDescent="0.2">
      <c r="A45" s="5" t="str">
        <f>HYPERLINK("#'14.1.1-2 Purchased electricity'!A1", "14.1.1-2 Purchased electricity")</f>
        <v>14.1.1-2 Purchased electricity</v>
      </c>
      <c r="D45" s="20" t="s">
        <v>1168</v>
      </c>
      <c r="E45" s="20" t="s">
        <v>1053</v>
      </c>
      <c r="F45" s="20" t="s">
        <v>534</v>
      </c>
      <c r="G45" s="20" t="s">
        <v>1929</v>
      </c>
      <c r="H45" s="20">
        <v>13.9</v>
      </c>
      <c r="I45" s="20" t="s">
        <v>1930</v>
      </c>
      <c r="J45" s="20" t="s">
        <v>1296</v>
      </c>
      <c r="L45" s="20" t="s">
        <v>533</v>
      </c>
      <c r="M45" s="20" t="s">
        <v>534</v>
      </c>
    </row>
    <row r="46" spans="1:13" ht="20.100000000000001" customHeight="1" x14ac:dyDescent="0.2">
      <c r="A46" s="5" t="str">
        <f>HYPERLINK("#'15 Scope 3'!A1", "15 Scope 3")</f>
        <v>15 Scope 3</v>
      </c>
      <c r="D46" s="20" t="s">
        <v>1168</v>
      </c>
      <c r="E46" s="20" t="s">
        <v>1053</v>
      </c>
      <c r="F46" s="20" t="s">
        <v>522</v>
      </c>
      <c r="G46" s="20" t="s">
        <v>1929</v>
      </c>
      <c r="H46" s="20">
        <v>12.3</v>
      </c>
      <c r="I46" s="20" t="s">
        <v>1930</v>
      </c>
      <c r="J46" s="20" t="s">
        <v>1296</v>
      </c>
      <c r="L46" s="20" t="s">
        <v>535</v>
      </c>
      <c r="M46" s="20" t="s">
        <v>534</v>
      </c>
    </row>
    <row r="47" spans="1:13" ht="20.100000000000001" customHeight="1" x14ac:dyDescent="0.2">
      <c r="A47" s="5" t="str">
        <f>HYPERLINK("#'Calcs - Manure sent off-site'!A1", "Calcs - Manure sent off-site")</f>
        <v>Calcs - Manure sent off-site</v>
      </c>
      <c r="D47" s="20" t="s">
        <v>1168</v>
      </c>
      <c r="E47" s="20" t="s">
        <v>1053</v>
      </c>
      <c r="F47" s="20" t="s">
        <v>523</v>
      </c>
      <c r="G47" s="20" t="s">
        <v>1929</v>
      </c>
      <c r="H47" s="20">
        <v>11.5</v>
      </c>
      <c r="I47" s="20" t="s">
        <v>1930</v>
      </c>
      <c r="J47" s="20" t="s">
        <v>1296</v>
      </c>
      <c r="L47" s="20" t="s">
        <v>536</v>
      </c>
      <c r="M47" s="20" t="s">
        <v>534</v>
      </c>
    </row>
    <row r="48" spans="1:13" ht="20.100000000000001" customHeight="1" x14ac:dyDescent="0.2">
      <c r="D48" s="20" t="s">
        <v>1168</v>
      </c>
      <c r="E48" s="20" t="s">
        <v>1053</v>
      </c>
      <c r="F48" s="20" t="s">
        <v>524</v>
      </c>
      <c r="G48" s="20" t="s">
        <v>1929</v>
      </c>
      <c r="H48" s="20">
        <v>11.5</v>
      </c>
      <c r="I48" s="20" t="s">
        <v>1930</v>
      </c>
      <c r="J48" s="20" t="s">
        <v>1296</v>
      </c>
      <c r="L48" s="20" t="s">
        <v>537</v>
      </c>
      <c r="M48" s="20" t="s">
        <v>534</v>
      </c>
    </row>
    <row r="49" spans="1:13" ht="20.100000000000001" customHeight="1" x14ac:dyDescent="0.2">
      <c r="D49" s="20" t="s">
        <v>1168</v>
      </c>
      <c r="E49" s="20" t="s">
        <v>1053</v>
      </c>
      <c r="F49" s="20" t="s">
        <v>526</v>
      </c>
      <c r="G49" s="20" t="s">
        <v>1929</v>
      </c>
      <c r="H49" s="20">
        <v>20.8</v>
      </c>
      <c r="I49" s="20" t="s">
        <v>1930</v>
      </c>
      <c r="J49" s="20" t="s">
        <v>1296</v>
      </c>
      <c r="L49" s="1" t="s">
        <v>538</v>
      </c>
      <c r="M49" s="1" t="s">
        <v>538</v>
      </c>
    </row>
    <row r="50" spans="1:13" ht="20.100000000000001" customHeight="1" x14ac:dyDescent="0.2">
      <c r="A50" s="86" t="s">
        <v>1</v>
      </c>
      <c r="D50" s="20" t="s">
        <v>1168</v>
      </c>
      <c r="E50" s="20" t="s">
        <v>1931</v>
      </c>
      <c r="F50" s="20" t="s">
        <v>538</v>
      </c>
      <c r="G50" s="20" t="s">
        <v>1929</v>
      </c>
      <c r="H50" s="20">
        <v>15.5</v>
      </c>
      <c r="I50" s="20" t="s">
        <v>1930</v>
      </c>
      <c r="J50" s="20" t="s">
        <v>1296</v>
      </c>
    </row>
    <row r="51" spans="1:13" ht="20.100000000000001" customHeight="1" x14ac:dyDescent="0.2">
      <c r="A51" s="5" t="str">
        <f>HYPERLINK("#'Constants - Pasture Beef'!A1", "Constants - Pasture Beef")</f>
        <v>Constants - Pasture Beef</v>
      </c>
      <c r="D51" s="20" t="s">
        <v>1168</v>
      </c>
      <c r="E51" s="20" t="s">
        <v>1931</v>
      </c>
      <c r="F51" s="20" t="s">
        <v>521</v>
      </c>
      <c r="G51" s="20" t="s">
        <v>1929</v>
      </c>
      <c r="H51" s="20">
        <v>12.7</v>
      </c>
      <c r="I51" s="20" t="s">
        <v>1930</v>
      </c>
      <c r="J51" s="20" t="s">
        <v>1296</v>
      </c>
    </row>
    <row r="52" spans="1:13" ht="20.100000000000001" customHeight="1" x14ac:dyDescent="0.2">
      <c r="A52" s="5" t="str">
        <f>HYPERLINK("#'Constants - Ag Residue'!A1", "Constants - Ag residue")</f>
        <v>Constants - Ag residue</v>
      </c>
      <c r="D52" s="20" t="s">
        <v>1168</v>
      </c>
      <c r="E52" s="20" t="s">
        <v>1931</v>
      </c>
      <c r="F52" s="20" t="s">
        <v>530</v>
      </c>
      <c r="G52" s="20" t="s">
        <v>1929</v>
      </c>
      <c r="H52" s="20">
        <v>19.100000000000001</v>
      </c>
      <c r="I52" s="20" t="s">
        <v>1930</v>
      </c>
      <c r="J52" s="20" t="s">
        <v>1296</v>
      </c>
    </row>
    <row r="53" spans="1:13" ht="20.100000000000001" customHeight="1" x14ac:dyDescent="0.2">
      <c r="A53" s="5" t="str">
        <f>HYPERLINK("#'Constants - Common Livestock'!A1", "Constants - Common Livestock")</f>
        <v>Constants - Common Livestock</v>
      </c>
      <c r="D53" s="20" t="s">
        <v>1168</v>
      </c>
      <c r="E53" s="20" t="s">
        <v>1931</v>
      </c>
      <c r="F53" s="20" t="s">
        <v>534</v>
      </c>
      <c r="G53" s="20" t="s">
        <v>1929</v>
      </c>
      <c r="H53" s="20">
        <v>20.5</v>
      </c>
      <c r="I53" s="20" t="s">
        <v>1930</v>
      </c>
      <c r="J53" s="20" t="s">
        <v>1296</v>
      </c>
    </row>
    <row r="54" spans="1:13" ht="20.100000000000001" customHeight="1" x14ac:dyDescent="0.2">
      <c r="A54" s="5" t="str">
        <f>HYPERLINK("#'Constants - Electricity'!A1", "Constants - Electricity")</f>
        <v>Constants - Electricity</v>
      </c>
      <c r="D54" s="20" t="s">
        <v>1168</v>
      </c>
      <c r="E54" s="20" t="s">
        <v>1931</v>
      </c>
      <c r="F54" s="20" t="s">
        <v>522</v>
      </c>
      <c r="G54" s="20" t="s">
        <v>1929</v>
      </c>
      <c r="H54" s="20">
        <v>10.8</v>
      </c>
      <c r="I54" s="20" t="s">
        <v>1930</v>
      </c>
      <c r="J54" s="20" t="s">
        <v>1296</v>
      </c>
    </row>
    <row r="55" spans="1:13" ht="20.100000000000001" customHeight="1" x14ac:dyDescent="0.2">
      <c r="A55" s="5" t="str">
        <f>HYPERLINK("#'Constants - Fertiliser'!A1", "Constants - Fertiliser")</f>
        <v>Constants - Fertiliser</v>
      </c>
      <c r="D55" s="20" t="s">
        <v>1168</v>
      </c>
      <c r="E55" s="20" t="s">
        <v>1931</v>
      </c>
      <c r="F55" s="20" t="s">
        <v>523</v>
      </c>
      <c r="G55" s="20" t="s">
        <v>1929</v>
      </c>
      <c r="H55" s="20">
        <v>13.4</v>
      </c>
      <c r="I55" s="20" t="s">
        <v>1930</v>
      </c>
      <c r="J55" s="20" t="s">
        <v>1296</v>
      </c>
    </row>
    <row r="56" spans="1:13" ht="20.100000000000001" customHeight="1" x14ac:dyDescent="0.2">
      <c r="A56" s="5" t="str">
        <f>HYPERLINK("#'Constants - Fuel'!A1", "Constants - Fuel")</f>
        <v>Constants - Fuel</v>
      </c>
      <c r="D56" s="20" t="s">
        <v>1168</v>
      </c>
      <c r="E56" s="20" t="s">
        <v>1931</v>
      </c>
      <c r="F56" s="20" t="s">
        <v>524</v>
      </c>
      <c r="G56" s="20" t="s">
        <v>1929</v>
      </c>
      <c r="H56" s="20">
        <v>12</v>
      </c>
      <c r="I56" s="20" t="s">
        <v>1930</v>
      </c>
      <c r="J56" s="20" t="s">
        <v>1296</v>
      </c>
    </row>
    <row r="57" spans="1:13" ht="20.100000000000001" customHeight="1" x14ac:dyDescent="0.2">
      <c r="A57" s="87" t="str">
        <f>HYPERLINK("#'Constants - Scope 3'!A1", "Constants - Scope 3")</f>
        <v>Constants - Scope 3</v>
      </c>
      <c r="D57" s="20" t="s">
        <v>1168</v>
      </c>
      <c r="E57" s="20" t="s">
        <v>1931</v>
      </c>
      <c r="F57" s="20" t="s">
        <v>526</v>
      </c>
      <c r="G57" s="20" t="s">
        <v>1929</v>
      </c>
      <c r="H57" s="20">
        <v>12.4</v>
      </c>
      <c r="I57" s="20" t="s">
        <v>1930</v>
      </c>
      <c r="J57" s="20" t="s">
        <v>1296</v>
      </c>
    </row>
    <row r="58" spans="1:13" ht="20.100000000000001" customHeight="1" x14ac:dyDescent="0.2">
      <c r="A58" s="5" t="str">
        <f>HYPERLINK("#'Constants - Solid Waste'!A1", "Constants - Solid Waste")</f>
        <v>Constants - Solid Waste</v>
      </c>
      <c r="D58" s="20" t="s">
        <v>1932</v>
      </c>
      <c r="E58" s="20" t="s">
        <v>1932</v>
      </c>
      <c r="F58" s="20" t="s">
        <v>538</v>
      </c>
      <c r="G58" s="20" t="s">
        <v>1929</v>
      </c>
      <c r="H58" s="20">
        <v>1.36</v>
      </c>
      <c r="I58" s="20" t="s">
        <v>1930</v>
      </c>
      <c r="J58" s="20" t="s">
        <v>1296</v>
      </c>
    </row>
    <row r="59" spans="1:13" ht="20.100000000000001" customHeight="1" x14ac:dyDescent="0.2">
      <c r="A59" s="5" t="str">
        <f>HYPERLINK("#'Constants - Common'!A1", "Constants - Common")</f>
        <v>Constants - Common</v>
      </c>
      <c r="D59" s="20" t="s">
        <v>1187</v>
      </c>
      <c r="E59" s="20" t="s">
        <v>1933</v>
      </c>
      <c r="F59" s="20" t="s">
        <v>524</v>
      </c>
      <c r="G59" s="20" t="s">
        <v>1929</v>
      </c>
      <c r="H59" s="20">
        <v>4.41</v>
      </c>
      <c r="I59" s="20" t="s">
        <v>1930</v>
      </c>
      <c r="J59" s="20" t="s">
        <v>1296</v>
      </c>
    </row>
    <row r="60" spans="1:13" ht="20.100000000000001" customHeight="1" x14ac:dyDescent="0.2">
      <c r="A60" s="5" t="str">
        <f>HYPERLINK("#'Acknowledgements'!A1", "Acknowledgements")</f>
        <v>Acknowledgements</v>
      </c>
      <c r="D60" s="20" t="s">
        <v>1191</v>
      </c>
      <c r="E60" s="20" t="s">
        <v>1191</v>
      </c>
      <c r="F60" s="20" t="s">
        <v>538</v>
      </c>
      <c r="G60" s="20" t="s">
        <v>1929</v>
      </c>
      <c r="H60" s="20">
        <v>3.38</v>
      </c>
      <c r="I60" s="20" t="s">
        <v>1930</v>
      </c>
      <c r="J60" s="20" t="s">
        <v>1296</v>
      </c>
    </row>
    <row r="61" spans="1:13" ht="20.100000000000001" customHeight="1" x14ac:dyDescent="0.2">
      <c r="D61" s="20" t="s">
        <v>1934</v>
      </c>
      <c r="E61" s="20" t="s">
        <v>1935</v>
      </c>
      <c r="F61" s="20" t="s">
        <v>538</v>
      </c>
      <c r="G61" s="20" t="s">
        <v>1929</v>
      </c>
      <c r="H61" s="20">
        <v>6.81</v>
      </c>
      <c r="I61" s="20" t="s">
        <v>1930</v>
      </c>
      <c r="J61" s="20" t="s">
        <v>1296</v>
      </c>
    </row>
    <row r="62" spans="1:13" ht="20.100000000000001" customHeight="1" x14ac:dyDescent="0.2">
      <c r="D62" s="20" t="s">
        <v>1934</v>
      </c>
      <c r="E62" s="20" t="s">
        <v>1935</v>
      </c>
      <c r="F62" s="20" t="s">
        <v>521</v>
      </c>
      <c r="G62" s="20" t="s">
        <v>1929</v>
      </c>
      <c r="H62" s="20">
        <v>2.2599999999999998</v>
      </c>
      <c r="I62" s="20" t="s">
        <v>1930</v>
      </c>
      <c r="J62" s="20" t="s">
        <v>1296</v>
      </c>
    </row>
    <row r="63" spans="1:13" ht="20.100000000000001" customHeight="1" x14ac:dyDescent="0.2">
      <c r="D63" s="20" t="s">
        <v>1934</v>
      </c>
      <c r="E63" s="20" t="s">
        <v>1935</v>
      </c>
      <c r="F63" s="20" t="s">
        <v>534</v>
      </c>
      <c r="G63" s="20" t="s">
        <v>1929</v>
      </c>
      <c r="H63" s="20">
        <v>6.33</v>
      </c>
      <c r="I63" s="20" t="s">
        <v>1930</v>
      </c>
      <c r="J63" s="20" t="s">
        <v>1296</v>
      </c>
    </row>
    <row r="64" spans="1:13" ht="20.100000000000001" customHeight="1" x14ac:dyDescent="0.2">
      <c r="D64" s="20" t="s">
        <v>1934</v>
      </c>
      <c r="E64" s="20" t="s">
        <v>1935</v>
      </c>
      <c r="F64" s="20" t="s">
        <v>522</v>
      </c>
      <c r="G64" s="20" t="s">
        <v>1929</v>
      </c>
      <c r="H64" s="20">
        <v>6.18</v>
      </c>
      <c r="I64" s="20" t="s">
        <v>1930</v>
      </c>
      <c r="J64" s="20" t="s">
        <v>1296</v>
      </c>
    </row>
    <row r="65" spans="1:10" ht="20.100000000000001" customHeight="1" x14ac:dyDescent="0.2">
      <c r="D65" s="20" t="s">
        <v>1934</v>
      </c>
      <c r="E65" s="20" t="s">
        <v>1935</v>
      </c>
      <c r="F65" s="20" t="s">
        <v>523</v>
      </c>
      <c r="G65" s="20" t="s">
        <v>1929</v>
      </c>
      <c r="H65" s="20">
        <v>7.5</v>
      </c>
      <c r="I65" s="20" t="s">
        <v>1930</v>
      </c>
      <c r="J65" s="20" t="s">
        <v>1296</v>
      </c>
    </row>
    <row r="66" spans="1:10" ht="20.100000000000001" customHeight="1" x14ac:dyDescent="0.2">
      <c r="D66" s="20" t="s">
        <v>1934</v>
      </c>
      <c r="E66" s="20" t="s">
        <v>1935</v>
      </c>
      <c r="F66" s="20" t="s">
        <v>524</v>
      </c>
      <c r="G66" s="20" t="s">
        <v>1929</v>
      </c>
      <c r="H66" s="20">
        <v>8.08</v>
      </c>
      <c r="I66" s="20" t="s">
        <v>1930</v>
      </c>
      <c r="J66" s="20" t="s">
        <v>1296</v>
      </c>
    </row>
    <row r="67" spans="1:10" ht="20.100000000000001" customHeight="1" x14ac:dyDescent="0.2">
      <c r="D67" s="20" t="s">
        <v>1934</v>
      </c>
      <c r="E67" s="20" t="s">
        <v>1935</v>
      </c>
      <c r="F67" s="20" t="s">
        <v>526</v>
      </c>
      <c r="G67" s="20" t="s">
        <v>1929</v>
      </c>
      <c r="H67" s="20">
        <v>5.45</v>
      </c>
      <c r="I67" s="20" t="s">
        <v>1930</v>
      </c>
      <c r="J67" s="20" t="s">
        <v>1296</v>
      </c>
    </row>
    <row r="68" spans="1:10" ht="20.100000000000001" customHeight="1" x14ac:dyDescent="0.2">
      <c r="D68" s="20" t="s">
        <v>1934</v>
      </c>
      <c r="E68" s="20" t="s">
        <v>1936</v>
      </c>
      <c r="F68" s="20" t="s">
        <v>538</v>
      </c>
      <c r="G68" s="20" t="s">
        <v>1929</v>
      </c>
      <c r="H68" s="20">
        <v>7.15</v>
      </c>
      <c r="I68" s="20" t="s">
        <v>1930</v>
      </c>
      <c r="J68" s="20" t="s">
        <v>1296</v>
      </c>
    </row>
    <row r="69" spans="1:10" ht="20.100000000000001" customHeight="1" x14ac:dyDescent="0.2">
      <c r="D69" s="20" t="s">
        <v>1934</v>
      </c>
      <c r="E69" s="20" t="s">
        <v>1936</v>
      </c>
      <c r="F69" s="20" t="s">
        <v>521</v>
      </c>
      <c r="G69" s="20" t="s">
        <v>1929</v>
      </c>
      <c r="H69" s="20">
        <v>8.2899999999999991</v>
      </c>
      <c r="I69" s="20" t="s">
        <v>1930</v>
      </c>
      <c r="J69" s="20" t="s">
        <v>1296</v>
      </c>
    </row>
    <row r="70" spans="1:10" ht="20.100000000000001" customHeight="1" x14ac:dyDescent="0.2">
      <c r="D70" s="20" t="s">
        <v>1934</v>
      </c>
      <c r="E70" s="20" t="s">
        <v>1936</v>
      </c>
      <c r="F70" s="20" t="s">
        <v>534</v>
      </c>
      <c r="G70" s="20" t="s">
        <v>1929</v>
      </c>
      <c r="H70" s="20">
        <v>6.39</v>
      </c>
      <c r="I70" s="20" t="s">
        <v>1930</v>
      </c>
      <c r="J70" s="20" t="s">
        <v>1296</v>
      </c>
    </row>
    <row r="71" spans="1:10" ht="20.100000000000001" customHeight="1" x14ac:dyDescent="0.2">
      <c r="A71" s="85" t="str">
        <f>HYPERLINK("#A1", "▲ Back to top")</f>
        <v>▲ Back to top</v>
      </c>
      <c r="D71" s="20" t="s">
        <v>1934</v>
      </c>
      <c r="E71" s="20" t="s">
        <v>1936</v>
      </c>
      <c r="F71" s="20" t="s">
        <v>522</v>
      </c>
      <c r="G71" s="20" t="s">
        <v>1929</v>
      </c>
      <c r="H71" s="20">
        <v>6.87</v>
      </c>
      <c r="I71" s="20" t="s">
        <v>1930</v>
      </c>
      <c r="J71" s="20" t="s">
        <v>1296</v>
      </c>
    </row>
    <row r="72" spans="1:10" ht="20.100000000000001" customHeight="1" x14ac:dyDescent="0.2">
      <c r="D72" s="20" t="s">
        <v>1934</v>
      </c>
      <c r="E72" s="20" t="s">
        <v>1936</v>
      </c>
      <c r="F72" s="20" t="s">
        <v>523</v>
      </c>
      <c r="G72" s="20" t="s">
        <v>1929</v>
      </c>
      <c r="H72" s="20">
        <v>8.66</v>
      </c>
      <c r="I72" s="20" t="s">
        <v>1930</v>
      </c>
      <c r="J72" s="20" t="s">
        <v>1296</v>
      </c>
    </row>
    <row r="73" spans="1:10" ht="20.100000000000001" customHeight="1" x14ac:dyDescent="0.2">
      <c r="D73" s="20" t="s">
        <v>1934</v>
      </c>
      <c r="E73" s="20" t="s">
        <v>1936</v>
      </c>
      <c r="F73" s="20" t="s">
        <v>524</v>
      </c>
      <c r="G73" s="20" t="s">
        <v>1929</v>
      </c>
      <c r="H73" s="20">
        <v>10</v>
      </c>
      <c r="I73" s="20" t="s">
        <v>1930</v>
      </c>
      <c r="J73" s="20" t="s">
        <v>1296</v>
      </c>
    </row>
    <row r="74" spans="1:10" ht="20.100000000000001" customHeight="1" x14ac:dyDescent="0.2">
      <c r="D74" s="20" t="s">
        <v>1934</v>
      </c>
      <c r="E74" s="20" t="s">
        <v>1936</v>
      </c>
      <c r="F74" s="20" t="s">
        <v>526</v>
      </c>
      <c r="G74" s="20" t="s">
        <v>1929</v>
      </c>
      <c r="H74" s="20">
        <v>5.67</v>
      </c>
      <c r="I74" s="20" t="s">
        <v>1930</v>
      </c>
      <c r="J74" s="20" t="s">
        <v>1296</v>
      </c>
    </row>
    <row r="76" spans="1:10" ht="20.100000000000001" customHeight="1" x14ac:dyDescent="0.2">
      <c r="D76" s="2" t="s">
        <v>1297</v>
      </c>
    </row>
    <row r="77" spans="1:10" ht="20.100000000000001" customHeight="1" x14ac:dyDescent="0.2">
      <c r="D77" s="20" t="s">
        <v>565</v>
      </c>
      <c r="E77" s="20" t="s">
        <v>144</v>
      </c>
      <c r="F77" s="20" t="s">
        <v>566</v>
      </c>
      <c r="G77" s="20" t="s">
        <v>567</v>
      </c>
      <c r="H77" s="20" t="s">
        <v>1295</v>
      </c>
      <c r="I77" s="20" t="s">
        <v>569</v>
      </c>
      <c r="J77" s="20" t="s">
        <v>744</v>
      </c>
    </row>
    <row r="78" spans="1:10" ht="20.100000000000001" customHeight="1" x14ac:dyDescent="0.2">
      <c r="D78" s="20" t="s">
        <v>1056</v>
      </c>
      <c r="E78" s="20" t="s">
        <v>1063</v>
      </c>
      <c r="F78" s="20" t="s">
        <v>2089</v>
      </c>
      <c r="G78" s="20" t="s">
        <v>653</v>
      </c>
      <c r="H78" s="20">
        <v>0.72199999999999998</v>
      </c>
      <c r="I78" s="20" t="s">
        <v>2356</v>
      </c>
      <c r="J78" s="20" t="s">
        <v>1296</v>
      </c>
    </row>
    <row r="79" spans="1:10" ht="20.100000000000001" customHeight="1" x14ac:dyDescent="0.2">
      <c r="D79" s="20" t="s">
        <v>1056</v>
      </c>
      <c r="E79" s="20" t="s">
        <v>1065</v>
      </c>
      <c r="F79" s="20" t="s">
        <v>2089</v>
      </c>
      <c r="G79" s="20" t="s">
        <v>653</v>
      </c>
      <c r="H79" s="20">
        <v>0.80400000000000005</v>
      </c>
      <c r="I79" s="20" t="s">
        <v>2356</v>
      </c>
      <c r="J79" s="20" t="s">
        <v>1296</v>
      </c>
    </row>
    <row r="80" spans="1:10" ht="20.100000000000001" customHeight="1" x14ac:dyDescent="0.2">
      <c r="D80" s="20" t="s">
        <v>1056</v>
      </c>
      <c r="E80" s="20" t="s">
        <v>1061</v>
      </c>
      <c r="F80" s="20" t="s">
        <v>2089</v>
      </c>
      <c r="G80" s="20" t="s">
        <v>653</v>
      </c>
      <c r="H80" s="20">
        <v>0.90700000000000003</v>
      </c>
      <c r="I80" s="20" t="s">
        <v>2356</v>
      </c>
      <c r="J80" s="20" t="s">
        <v>1296</v>
      </c>
    </row>
    <row r="82" spans="4:17" ht="20.100000000000001" customHeight="1" x14ac:dyDescent="0.2">
      <c r="D82" s="20" t="s">
        <v>565</v>
      </c>
      <c r="E82" s="20" t="s">
        <v>144</v>
      </c>
      <c r="F82" s="20" t="s">
        <v>566</v>
      </c>
      <c r="G82" s="20" t="s">
        <v>567</v>
      </c>
      <c r="H82" s="20" t="s">
        <v>1295</v>
      </c>
      <c r="I82" s="20" t="s">
        <v>569</v>
      </c>
      <c r="J82" s="20" t="s">
        <v>744</v>
      </c>
    </row>
    <row r="83" spans="4:17" ht="20.100000000000001" customHeight="1" x14ac:dyDescent="0.2">
      <c r="D83" s="20" t="s">
        <v>2357</v>
      </c>
      <c r="E83" s="20" t="s">
        <v>1135</v>
      </c>
      <c r="F83" s="20" t="s">
        <v>2089</v>
      </c>
      <c r="G83" s="20" t="s">
        <v>2358</v>
      </c>
      <c r="H83" s="20">
        <v>5.4699999999999999E-2</v>
      </c>
      <c r="I83" s="20" t="s">
        <v>2356</v>
      </c>
      <c r="J83" s="20" t="s">
        <v>1296</v>
      </c>
    </row>
    <row r="84" spans="4:17" ht="20.100000000000001" customHeight="1" x14ac:dyDescent="0.2">
      <c r="D84" s="20" t="s">
        <v>2357</v>
      </c>
      <c r="E84" s="20" t="s">
        <v>1137</v>
      </c>
      <c r="F84" s="20" t="s">
        <v>2089</v>
      </c>
      <c r="G84" s="20" t="s">
        <v>2358</v>
      </c>
      <c r="H84" s="20">
        <v>1.4200000000000001E-2</v>
      </c>
      <c r="I84" s="20" t="s">
        <v>2356</v>
      </c>
      <c r="J84" s="20" t="s">
        <v>1296</v>
      </c>
    </row>
    <row r="85" spans="4:17" ht="20.100000000000001" customHeight="1" x14ac:dyDescent="0.2">
      <c r="D85" s="20" t="s">
        <v>2357</v>
      </c>
      <c r="E85" s="20" t="s">
        <v>1139</v>
      </c>
      <c r="F85" s="20" t="s">
        <v>2089</v>
      </c>
      <c r="G85" s="20" t="s">
        <v>2358</v>
      </c>
      <c r="H85" s="20">
        <v>1.43E-2</v>
      </c>
      <c r="I85" s="20" t="s">
        <v>2356</v>
      </c>
      <c r="J85" s="20" t="s">
        <v>1296</v>
      </c>
    </row>
    <row r="86" spans="4:17" ht="20.100000000000001" customHeight="1" x14ac:dyDescent="0.2">
      <c r="D86" s="20" t="s">
        <v>2357</v>
      </c>
      <c r="E86" s="20" t="s">
        <v>1141</v>
      </c>
      <c r="F86" s="20" t="s">
        <v>2089</v>
      </c>
      <c r="G86" s="20" t="s">
        <v>2358</v>
      </c>
      <c r="H86" s="20">
        <v>4.2599999999999999E-3</v>
      </c>
      <c r="I86" s="20" t="s">
        <v>2356</v>
      </c>
      <c r="J86" s="20" t="s">
        <v>1296</v>
      </c>
    </row>
    <row r="88" spans="4:17" ht="20.100000000000001" customHeight="1" x14ac:dyDescent="0.2">
      <c r="D88" s="2" t="s">
        <v>1109</v>
      </c>
    </row>
    <row r="89" spans="4:17" ht="20.100000000000001" customHeight="1" x14ac:dyDescent="0.2">
      <c r="D89" s="20" t="s">
        <v>565</v>
      </c>
      <c r="E89" s="20" t="s">
        <v>144</v>
      </c>
      <c r="F89" s="20" t="s">
        <v>566</v>
      </c>
      <c r="G89" s="20" t="s">
        <v>567</v>
      </c>
      <c r="H89" s="20" t="s">
        <v>1295</v>
      </c>
      <c r="I89" s="20" t="s">
        <v>569</v>
      </c>
      <c r="J89" s="20" t="s">
        <v>744</v>
      </c>
      <c r="O89" s="20" t="s">
        <v>144</v>
      </c>
      <c r="P89" s="20" t="s">
        <v>490</v>
      </c>
      <c r="Q89" s="1" t="str">
        <f>"Table_ProductRegions_" &amp; SUBSTITUTE(SUBSTITUTE(SUBSTITUTE(SUBSTITUTE(O90, " ", ""), ",", ""), "(", ""), ")", "")</f>
        <v>Table_ProductRegions_Barleygrain</v>
      </c>
    </row>
    <row r="90" spans="4:17" ht="20.100000000000001" customHeight="1" x14ac:dyDescent="0.2">
      <c r="D90" s="20" t="s">
        <v>2359</v>
      </c>
      <c r="E90" s="20" t="s">
        <v>2360</v>
      </c>
      <c r="F90" s="20" t="s">
        <v>538</v>
      </c>
      <c r="G90" s="20" t="s">
        <v>653</v>
      </c>
      <c r="H90" s="20">
        <v>0.23899999999999999</v>
      </c>
      <c r="I90" s="20" t="s">
        <v>1930</v>
      </c>
      <c r="J90" s="20" t="s">
        <v>1296</v>
      </c>
      <c r="O90" s="20" t="str">
        <f>Table_SourceData_Scope3_Feed[[#This Row],[Product]]</f>
        <v>Barley grain</v>
      </c>
      <c r="P90" s="20" t="str">
        <f>Table_SourceData_Scope3_Feed[[#This Row],[Region of origin]]</f>
        <v>Australia</v>
      </c>
    </row>
    <row r="91" spans="4:17" ht="20.100000000000001" customHeight="1" x14ac:dyDescent="0.2">
      <c r="D91" s="20" t="s">
        <v>2359</v>
      </c>
      <c r="E91" s="20" t="s">
        <v>2360</v>
      </c>
      <c r="F91" s="20" t="s">
        <v>521</v>
      </c>
      <c r="G91" s="20" t="s">
        <v>653</v>
      </c>
      <c r="H91" s="20">
        <v>0.25600000000000001</v>
      </c>
      <c r="I91" s="20" t="s">
        <v>1930</v>
      </c>
      <c r="J91" s="20" t="s">
        <v>1296</v>
      </c>
      <c r="O91" s="20" t="str">
        <f>Table_SourceData_Scope3_Feed[[#This Row],[Product]]</f>
        <v>Barley grain</v>
      </c>
      <c r="P91" s="20" t="str">
        <f>Table_SourceData_Scope3_Feed[[#This Row],[Region of origin]]</f>
        <v>NSW</v>
      </c>
    </row>
    <row r="92" spans="4:17" ht="20.100000000000001" customHeight="1" x14ac:dyDescent="0.2">
      <c r="D92" s="20" t="s">
        <v>2359</v>
      </c>
      <c r="E92" s="20" t="s">
        <v>2360</v>
      </c>
      <c r="F92" s="20" t="s">
        <v>530</v>
      </c>
      <c r="G92" s="20" t="s">
        <v>653</v>
      </c>
      <c r="H92" s="20">
        <v>0.33200000000000002</v>
      </c>
      <c r="I92" s="20" t="s">
        <v>1930</v>
      </c>
      <c r="J92" s="20" t="s">
        <v>1296</v>
      </c>
      <c r="O92" s="20" t="str">
        <f>Table_SourceData_Scope3_Feed[[#This Row],[Product]]</f>
        <v>Barley grain</v>
      </c>
      <c r="P92" s="20" t="str">
        <f>Table_SourceData_Scope3_Feed[[#This Row],[Region of origin]]</f>
        <v>NT</v>
      </c>
    </row>
    <row r="93" spans="4:17" ht="20.100000000000001" customHeight="1" x14ac:dyDescent="0.2">
      <c r="D93" s="20" t="s">
        <v>2359</v>
      </c>
      <c r="E93" s="20" t="s">
        <v>2360</v>
      </c>
      <c r="F93" s="20" t="s">
        <v>534</v>
      </c>
      <c r="G93" s="20" t="s">
        <v>653</v>
      </c>
      <c r="H93" s="20">
        <v>0.26900000000000002</v>
      </c>
      <c r="I93" s="20" t="s">
        <v>1930</v>
      </c>
      <c r="J93" s="20" t="s">
        <v>1296</v>
      </c>
      <c r="O93" s="20" t="str">
        <f>Table_SourceData_Scope3_Feed[[#This Row],[Product]]</f>
        <v>Barley grain</v>
      </c>
      <c r="P93" s="20" t="str">
        <f>Table_SourceData_Scope3_Feed[[#This Row],[Region of origin]]</f>
        <v>QLD</v>
      </c>
    </row>
    <row r="94" spans="4:17" ht="20.100000000000001" customHeight="1" x14ac:dyDescent="0.2">
      <c r="D94" s="20" t="s">
        <v>2359</v>
      </c>
      <c r="E94" s="20" t="s">
        <v>2360</v>
      </c>
      <c r="F94" s="20" t="s">
        <v>522</v>
      </c>
      <c r="G94" s="20" t="s">
        <v>653</v>
      </c>
      <c r="H94" s="20">
        <v>0.223</v>
      </c>
      <c r="I94" s="20" t="s">
        <v>1930</v>
      </c>
      <c r="J94" s="20" t="s">
        <v>1296</v>
      </c>
      <c r="O94" s="20" t="str">
        <f>Table_SourceData_Scope3_Feed[[#This Row],[Product]]</f>
        <v>Barley grain</v>
      </c>
      <c r="P94" s="20" t="str">
        <f>Table_SourceData_Scope3_Feed[[#This Row],[Region of origin]]</f>
        <v>SA</v>
      </c>
    </row>
    <row r="95" spans="4:17" ht="20.100000000000001" customHeight="1" x14ac:dyDescent="0.2">
      <c r="D95" s="20" t="s">
        <v>2359</v>
      </c>
      <c r="E95" s="20" t="s">
        <v>2360</v>
      </c>
      <c r="F95" s="20" t="s">
        <v>523</v>
      </c>
      <c r="G95" s="20" t="s">
        <v>653</v>
      </c>
      <c r="H95" s="20">
        <v>0.307</v>
      </c>
      <c r="I95" s="20" t="s">
        <v>1930</v>
      </c>
      <c r="J95" s="20" t="s">
        <v>1296</v>
      </c>
      <c r="O95" s="20" t="str">
        <f>Table_SourceData_Scope3_Feed[[#This Row],[Product]]</f>
        <v>Barley grain</v>
      </c>
      <c r="P95" s="20" t="str">
        <f>Table_SourceData_Scope3_Feed[[#This Row],[Region of origin]]</f>
        <v>TAS</v>
      </c>
    </row>
    <row r="96" spans="4:17" ht="20.100000000000001" customHeight="1" x14ac:dyDescent="0.2">
      <c r="D96" s="20" t="s">
        <v>2359</v>
      </c>
      <c r="E96" s="20" t="s">
        <v>2360</v>
      </c>
      <c r="F96" s="20" t="s">
        <v>524</v>
      </c>
      <c r="G96" s="20" t="s">
        <v>653</v>
      </c>
      <c r="H96" s="20">
        <v>0.24099999999999999</v>
      </c>
      <c r="I96" s="20" t="s">
        <v>1930</v>
      </c>
      <c r="J96" s="20" t="s">
        <v>1296</v>
      </c>
      <c r="O96" s="20" t="str">
        <f>Table_SourceData_Scope3_Feed[[#This Row],[Product]]</f>
        <v>Barley grain</v>
      </c>
      <c r="P96" s="20" t="str">
        <f>Table_SourceData_Scope3_Feed[[#This Row],[Region of origin]]</f>
        <v>VIC</v>
      </c>
    </row>
    <row r="97" spans="1:17" ht="20.100000000000001" customHeight="1" x14ac:dyDescent="0.2">
      <c r="D97" s="20" t="s">
        <v>2359</v>
      </c>
      <c r="E97" s="20" t="s">
        <v>2360</v>
      </c>
      <c r="F97" s="20" t="s">
        <v>526</v>
      </c>
      <c r="G97" s="20" t="s">
        <v>653</v>
      </c>
      <c r="H97" s="20">
        <v>0.23599999999999999</v>
      </c>
      <c r="I97" s="20" t="s">
        <v>1930</v>
      </c>
      <c r="J97" s="20" t="s">
        <v>1296</v>
      </c>
      <c r="L97" s="20" t="s">
        <v>144</v>
      </c>
      <c r="M97" s="20" t="s">
        <v>490</v>
      </c>
      <c r="N97" s="1" t="str">
        <f>"Table_ProductRegions_" &amp; SUBSTITUTE(SUBSTITUTE(SUBSTITUTE(SUBSTITUTE(L98, " ", ""), ",", ""), "(", ""), ")", "")</f>
        <v>Table_ProductRegions_Maizegrain</v>
      </c>
      <c r="O97" s="20" t="str">
        <f>Table_SourceData_Scope3_Feed[[#This Row],[Product]]</f>
        <v>Barley grain</v>
      </c>
      <c r="P97" s="20" t="str">
        <f>Table_SourceData_Scope3_Feed[[#This Row],[Region of origin]]</f>
        <v>WA</v>
      </c>
    </row>
    <row r="98" spans="1:17" ht="20.100000000000001" customHeight="1" x14ac:dyDescent="0.2">
      <c r="D98" s="20" t="s">
        <v>2359</v>
      </c>
      <c r="E98" s="20" t="s">
        <v>2361</v>
      </c>
      <c r="F98" s="20" t="s">
        <v>538</v>
      </c>
      <c r="G98" s="20" t="s">
        <v>653</v>
      </c>
      <c r="H98" s="20">
        <v>0.18099999999999999</v>
      </c>
      <c r="I98" s="20" t="s">
        <v>1930</v>
      </c>
      <c r="J98" s="20" t="s">
        <v>1296</v>
      </c>
      <c r="L98" s="20" t="str">
        <f>Table_SourceData_Scope3_Feed[[#This Row],[Product]]</f>
        <v>Maize grain</v>
      </c>
      <c r="M98" s="20" t="str">
        <f>Table_SourceData_Scope3_Feed[[#This Row],[Region of origin]]</f>
        <v>Australia</v>
      </c>
    </row>
    <row r="99" spans="1:17" ht="20.100000000000001" customHeight="1" x14ac:dyDescent="0.2">
      <c r="D99" s="20" t="s">
        <v>2359</v>
      </c>
      <c r="E99" s="20" t="s">
        <v>2361</v>
      </c>
      <c r="F99" s="20" t="s">
        <v>521</v>
      </c>
      <c r="G99" s="20" t="s">
        <v>653</v>
      </c>
      <c r="H99" s="20">
        <v>0.16900000000000001</v>
      </c>
      <c r="I99" s="20" t="s">
        <v>1930</v>
      </c>
      <c r="J99" s="20" t="s">
        <v>1296</v>
      </c>
      <c r="L99" s="20" t="str">
        <f>Table_SourceData_Scope3_Feed[[#This Row],[Product]]</f>
        <v>Maize grain</v>
      </c>
      <c r="M99" s="20" t="str">
        <f>Table_SourceData_Scope3_Feed[[#This Row],[Region of origin]]</f>
        <v>NSW</v>
      </c>
    </row>
    <row r="100" spans="1:17" ht="20.100000000000001" customHeight="1" x14ac:dyDescent="0.2">
      <c r="D100" s="20" t="s">
        <v>2359</v>
      </c>
      <c r="E100" s="20" t="s">
        <v>2361</v>
      </c>
      <c r="F100" s="20" t="s">
        <v>530</v>
      </c>
      <c r="G100" s="20" t="s">
        <v>653</v>
      </c>
      <c r="H100" s="20">
        <v>0.25600000000000001</v>
      </c>
      <c r="I100" s="20" t="s">
        <v>1930</v>
      </c>
      <c r="J100" s="20" t="s">
        <v>1296</v>
      </c>
      <c r="L100" s="20" t="str">
        <f>Table_SourceData_Scope3_Feed[[#This Row],[Product]]</f>
        <v>Maize grain</v>
      </c>
      <c r="M100" s="20" t="str">
        <f>Table_SourceData_Scope3_Feed[[#This Row],[Region of origin]]</f>
        <v>NT</v>
      </c>
    </row>
    <row r="101" spans="1:17" ht="20.100000000000001" customHeight="1" x14ac:dyDescent="0.2">
      <c r="A101" s="85" t="str">
        <f>HYPERLINK("#A1", "▲ Back to top")</f>
        <v>▲ Back to top</v>
      </c>
      <c r="D101" s="20" t="s">
        <v>2359</v>
      </c>
      <c r="E101" s="20" t="s">
        <v>2361</v>
      </c>
      <c r="F101" s="20" t="s">
        <v>534</v>
      </c>
      <c r="G101" s="20" t="s">
        <v>653</v>
      </c>
      <c r="H101" s="20">
        <v>0.186</v>
      </c>
      <c r="I101" s="20" t="s">
        <v>1930</v>
      </c>
      <c r="J101" s="20" t="s">
        <v>1296</v>
      </c>
      <c r="L101" s="20" t="str">
        <f>Table_SourceData_Scope3_Feed[[#This Row],[Product]]</f>
        <v>Maize grain</v>
      </c>
      <c r="M101" s="20" t="str">
        <f>Table_SourceData_Scope3_Feed[[#This Row],[Region of origin]]</f>
        <v>QLD</v>
      </c>
    </row>
    <row r="102" spans="1:17" ht="20.100000000000001" customHeight="1" x14ac:dyDescent="0.2">
      <c r="D102" s="20" t="s">
        <v>2359</v>
      </c>
      <c r="E102" s="20" t="s">
        <v>2361</v>
      </c>
      <c r="F102" s="20" t="s">
        <v>522</v>
      </c>
      <c r="G102" s="20" t="s">
        <v>653</v>
      </c>
      <c r="H102" s="20">
        <v>0.17599999999999999</v>
      </c>
      <c r="I102" s="20" t="s">
        <v>1930</v>
      </c>
      <c r="J102" s="20" t="s">
        <v>1296</v>
      </c>
      <c r="L102" s="20" t="str">
        <f>Table_SourceData_Scope3_Feed[[#This Row],[Product]]</f>
        <v>Maize grain</v>
      </c>
      <c r="M102" s="20" t="str">
        <f>Table_SourceData_Scope3_Feed[[#This Row],[Region of origin]]</f>
        <v>SA</v>
      </c>
    </row>
    <row r="103" spans="1:17" ht="20.100000000000001" customHeight="1" x14ac:dyDescent="0.2">
      <c r="D103" s="20" t="s">
        <v>2359</v>
      </c>
      <c r="E103" s="20" t="s">
        <v>2361</v>
      </c>
      <c r="F103" s="20" t="s">
        <v>524</v>
      </c>
      <c r="G103" s="20" t="s">
        <v>653</v>
      </c>
      <c r="H103" s="20">
        <v>0.159</v>
      </c>
      <c r="I103" s="20" t="s">
        <v>1930</v>
      </c>
      <c r="J103" s="20" t="s">
        <v>1296</v>
      </c>
      <c r="L103" s="20" t="str">
        <f>Table_SourceData_Scope3_Feed[[#This Row],[Product]]</f>
        <v>Maize grain</v>
      </c>
      <c r="M103" s="20" t="str">
        <f>Table_SourceData_Scope3_Feed[[#This Row],[Region of origin]]</f>
        <v>VIC</v>
      </c>
    </row>
    <row r="104" spans="1:17" ht="20.100000000000001" customHeight="1" x14ac:dyDescent="0.2">
      <c r="D104" s="20" t="s">
        <v>2359</v>
      </c>
      <c r="E104" s="20" t="s">
        <v>2361</v>
      </c>
      <c r="F104" s="20" t="s">
        <v>526</v>
      </c>
      <c r="G104" s="20" t="s">
        <v>653</v>
      </c>
      <c r="H104" s="20">
        <v>0.28499999999999998</v>
      </c>
      <c r="I104" s="20" t="s">
        <v>1930</v>
      </c>
      <c r="J104" s="20" t="s">
        <v>1296</v>
      </c>
      <c r="L104" s="20" t="str">
        <f>Table_SourceData_Scope3_Feed[[#This Row],[Product]]</f>
        <v>Maize grain</v>
      </c>
      <c r="M104" s="20" t="str">
        <f>Table_SourceData_Scope3_Feed[[#This Row],[Region of origin]]</f>
        <v>WA</v>
      </c>
      <c r="O104" s="20" t="s">
        <v>144</v>
      </c>
      <c r="P104" s="20" t="s">
        <v>490</v>
      </c>
      <c r="Q104" s="1" t="str">
        <f>"Table_ProductRegions_" &amp; SUBSTITUTE(SUBSTITUTE(SUBSTITUTE(SUBSTITUTE(O105, " ", ""), ",", ""), "(", ""), ")", "")</f>
        <v>Table_ProductRegions_Sorghumgrain</v>
      </c>
    </row>
    <row r="105" spans="1:17" ht="20.100000000000001" customHeight="1" x14ac:dyDescent="0.2">
      <c r="D105" s="20" t="s">
        <v>2359</v>
      </c>
      <c r="E105" s="20" t="s">
        <v>2362</v>
      </c>
      <c r="F105" s="20" t="s">
        <v>538</v>
      </c>
      <c r="G105" s="20" t="s">
        <v>653</v>
      </c>
      <c r="H105" s="20">
        <v>0.23200000000000001</v>
      </c>
      <c r="I105" s="20" t="s">
        <v>1930</v>
      </c>
      <c r="J105" s="20" t="s">
        <v>1296</v>
      </c>
      <c r="O105" s="20" t="str">
        <f>Table_SourceData_Scope3_Feed[[#This Row],[Product]]</f>
        <v>Sorghum grain</v>
      </c>
      <c r="P105" s="20" t="str">
        <f>Table_SourceData_Scope3_Feed[[#This Row],[Region of origin]]</f>
        <v>Australia</v>
      </c>
    </row>
    <row r="106" spans="1:17" ht="20.100000000000001" customHeight="1" x14ac:dyDescent="0.2">
      <c r="D106" s="20" t="s">
        <v>2359</v>
      </c>
      <c r="E106" s="20" t="s">
        <v>2362</v>
      </c>
      <c r="F106" s="20" t="s">
        <v>521</v>
      </c>
      <c r="G106" s="20" t="s">
        <v>653</v>
      </c>
      <c r="H106" s="20">
        <v>0.23200000000000001</v>
      </c>
      <c r="I106" s="20" t="s">
        <v>1930</v>
      </c>
      <c r="J106" s="20" t="s">
        <v>1296</v>
      </c>
      <c r="O106" s="20" t="str">
        <f>Table_SourceData_Scope3_Feed[[#This Row],[Product]]</f>
        <v>Sorghum grain</v>
      </c>
      <c r="P106" s="20" t="str">
        <f>Table_SourceData_Scope3_Feed[[#This Row],[Region of origin]]</f>
        <v>NSW</v>
      </c>
    </row>
    <row r="107" spans="1:17" ht="20.100000000000001" customHeight="1" x14ac:dyDescent="0.2">
      <c r="D107" s="20" t="s">
        <v>2359</v>
      </c>
      <c r="E107" s="20" t="s">
        <v>2362</v>
      </c>
      <c r="F107" s="20" t="s">
        <v>534</v>
      </c>
      <c r="G107" s="20" t="s">
        <v>653</v>
      </c>
      <c r="H107" s="20">
        <v>0.23100000000000001</v>
      </c>
      <c r="I107" s="20" t="s">
        <v>1930</v>
      </c>
      <c r="J107" s="20" t="s">
        <v>1296</v>
      </c>
      <c r="O107" s="20" t="str">
        <f>Table_SourceData_Scope3_Feed[[#This Row],[Product]]</f>
        <v>Sorghum grain</v>
      </c>
      <c r="P107" s="20" t="str">
        <f>Table_SourceData_Scope3_Feed[[#This Row],[Region of origin]]</f>
        <v>QLD</v>
      </c>
    </row>
    <row r="108" spans="1:17" ht="20.100000000000001" customHeight="1" x14ac:dyDescent="0.2">
      <c r="D108" s="20" t="s">
        <v>2359</v>
      </c>
      <c r="E108" s="20" t="s">
        <v>2362</v>
      </c>
      <c r="F108" s="20" t="s">
        <v>522</v>
      </c>
      <c r="G108" s="20" t="s">
        <v>653</v>
      </c>
      <c r="H108" s="20">
        <v>0.218</v>
      </c>
      <c r="I108" s="20" t="s">
        <v>1930</v>
      </c>
      <c r="J108" s="20" t="s">
        <v>1296</v>
      </c>
      <c r="O108" s="20" t="str">
        <f>Table_SourceData_Scope3_Feed[[#This Row],[Product]]</f>
        <v>Sorghum grain</v>
      </c>
      <c r="P108" s="20" t="str">
        <f>Table_SourceData_Scope3_Feed[[#This Row],[Region of origin]]</f>
        <v>SA</v>
      </c>
    </row>
    <row r="109" spans="1:17" ht="20.100000000000001" customHeight="1" x14ac:dyDescent="0.2">
      <c r="D109" s="20" t="s">
        <v>2359</v>
      </c>
      <c r="E109" s="20" t="s">
        <v>2362</v>
      </c>
      <c r="F109" s="20" t="s">
        <v>524</v>
      </c>
      <c r="G109" s="20" t="s">
        <v>653</v>
      </c>
      <c r="H109" s="20">
        <v>0.246</v>
      </c>
      <c r="I109" s="20" t="s">
        <v>1930</v>
      </c>
      <c r="J109" s="20" t="s">
        <v>1296</v>
      </c>
      <c r="L109" s="20" t="s">
        <v>144</v>
      </c>
      <c r="M109" s="20" t="s">
        <v>490</v>
      </c>
      <c r="N109" s="1" t="str">
        <f>"Table_ProductRegions_" &amp; SUBSTITUTE(SUBSTITUTE(SUBSTITUTE(SUBSTITUTE(L110, " ", ""), ",", ""), "(", ""), ")", "")</f>
        <v>Table_ProductRegions_Wheatgrain</v>
      </c>
      <c r="O109" s="20" t="str">
        <f>Table_SourceData_Scope3_Feed[[#This Row],[Product]]</f>
        <v>Sorghum grain</v>
      </c>
      <c r="P109" s="20" t="str">
        <f>Table_SourceData_Scope3_Feed[[#This Row],[Region of origin]]</f>
        <v>VIC</v>
      </c>
    </row>
    <row r="110" spans="1:17" ht="20.100000000000001" customHeight="1" x14ac:dyDescent="0.2">
      <c r="D110" s="20" t="s">
        <v>2359</v>
      </c>
      <c r="E110" s="20" t="s">
        <v>1128</v>
      </c>
      <c r="F110" s="20" t="s">
        <v>538</v>
      </c>
      <c r="G110" s="20" t="s">
        <v>653</v>
      </c>
      <c r="H110" s="20">
        <v>0.26800000000000002</v>
      </c>
      <c r="I110" s="20" t="s">
        <v>1930</v>
      </c>
      <c r="J110" s="20" t="s">
        <v>1296</v>
      </c>
      <c r="L110" s="20" t="str">
        <f>Table_SourceData_Scope3_Feed[[#This Row],[Product]]</f>
        <v>Wheat grain</v>
      </c>
      <c r="M110" s="20" t="str">
        <f>Table_SourceData_Scope3_Feed[[#This Row],[Region of origin]]</f>
        <v>Australia</v>
      </c>
    </row>
    <row r="111" spans="1:17" ht="20.100000000000001" customHeight="1" x14ac:dyDescent="0.2">
      <c r="D111" s="20" t="s">
        <v>2359</v>
      </c>
      <c r="E111" s="20" t="s">
        <v>1128</v>
      </c>
      <c r="F111" s="20" t="s">
        <v>521</v>
      </c>
      <c r="G111" s="20" t="s">
        <v>653</v>
      </c>
      <c r="H111" s="20">
        <v>0.28199999999999997</v>
      </c>
      <c r="I111" s="20" t="s">
        <v>1930</v>
      </c>
      <c r="J111" s="20" t="s">
        <v>1296</v>
      </c>
      <c r="L111" s="20" t="str">
        <f>Table_SourceData_Scope3_Feed[[#This Row],[Product]]</f>
        <v>Wheat grain</v>
      </c>
      <c r="M111" s="20" t="str">
        <f>Table_SourceData_Scope3_Feed[[#This Row],[Region of origin]]</f>
        <v>NSW</v>
      </c>
    </row>
    <row r="112" spans="1:17" ht="20.100000000000001" customHeight="1" x14ac:dyDescent="0.2">
      <c r="D112" s="20" t="s">
        <v>2359</v>
      </c>
      <c r="E112" s="20" t="s">
        <v>1128</v>
      </c>
      <c r="F112" s="20" t="s">
        <v>530</v>
      </c>
      <c r="G112" s="20" t="s">
        <v>653</v>
      </c>
      <c r="H112" s="20">
        <v>0.38500000000000001</v>
      </c>
      <c r="I112" s="20" t="s">
        <v>1930</v>
      </c>
      <c r="J112" s="20" t="s">
        <v>1296</v>
      </c>
      <c r="L112" s="20" t="str">
        <f>Table_SourceData_Scope3_Feed[[#This Row],[Product]]</f>
        <v>Wheat grain</v>
      </c>
      <c r="M112" s="20" t="str">
        <f>Table_SourceData_Scope3_Feed[[#This Row],[Region of origin]]</f>
        <v>NT</v>
      </c>
    </row>
    <row r="113" spans="4:17" ht="20.100000000000001" customHeight="1" x14ac:dyDescent="0.2">
      <c r="D113" s="20" t="s">
        <v>2359</v>
      </c>
      <c r="E113" s="20" t="s">
        <v>1128</v>
      </c>
      <c r="F113" s="20" t="s">
        <v>534</v>
      </c>
      <c r="G113" s="20" t="s">
        <v>653</v>
      </c>
      <c r="H113" s="20">
        <v>0.29599999999999999</v>
      </c>
      <c r="I113" s="20" t="s">
        <v>1930</v>
      </c>
      <c r="J113" s="20" t="s">
        <v>1296</v>
      </c>
      <c r="L113" s="20" t="str">
        <f>Table_SourceData_Scope3_Feed[[#This Row],[Product]]</f>
        <v>Wheat grain</v>
      </c>
      <c r="M113" s="20" t="str">
        <f>Table_SourceData_Scope3_Feed[[#This Row],[Region of origin]]</f>
        <v>QLD</v>
      </c>
    </row>
    <row r="114" spans="4:17" ht="20.100000000000001" customHeight="1" x14ac:dyDescent="0.2">
      <c r="D114" s="20" t="s">
        <v>2359</v>
      </c>
      <c r="E114" s="20" t="s">
        <v>1128</v>
      </c>
      <c r="F114" s="20" t="s">
        <v>522</v>
      </c>
      <c r="G114" s="20" t="s">
        <v>653</v>
      </c>
      <c r="H114" s="20">
        <v>0.24099999999999999</v>
      </c>
      <c r="I114" s="20" t="s">
        <v>1930</v>
      </c>
      <c r="J114" s="20" t="s">
        <v>1296</v>
      </c>
      <c r="L114" s="20" t="str">
        <f>Table_SourceData_Scope3_Feed[[#This Row],[Product]]</f>
        <v>Wheat grain</v>
      </c>
      <c r="M114" s="20" t="str">
        <f>Table_SourceData_Scope3_Feed[[#This Row],[Region of origin]]</f>
        <v>SA</v>
      </c>
    </row>
    <row r="115" spans="4:17" ht="20.100000000000001" customHeight="1" x14ac:dyDescent="0.2">
      <c r="D115" s="20" t="s">
        <v>2359</v>
      </c>
      <c r="E115" s="20" t="s">
        <v>1128</v>
      </c>
      <c r="F115" s="20" t="s">
        <v>523</v>
      </c>
      <c r="G115" s="20" t="s">
        <v>653</v>
      </c>
      <c r="H115" s="20">
        <v>0.33800000000000002</v>
      </c>
      <c r="I115" s="20" t="s">
        <v>1930</v>
      </c>
      <c r="J115" s="20" t="s">
        <v>1296</v>
      </c>
      <c r="L115" s="20" t="str">
        <f>Table_SourceData_Scope3_Feed[[#This Row],[Product]]</f>
        <v>Wheat grain</v>
      </c>
      <c r="M115" s="20" t="str">
        <f>Table_SourceData_Scope3_Feed[[#This Row],[Region of origin]]</f>
        <v>TAS</v>
      </c>
    </row>
    <row r="116" spans="4:17" ht="20.100000000000001" customHeight="1" x14ac:dyDescent="0.2">
      <c r="D116" s="20" t="s">
        <v>2359</v>
      </c>
      <c r="E116" s="20" t="s">
        <v>1128</v>
      </c>
      <c r="F116" s="20" t="s">
        <v>524</v>
      </c>
      <c r="G116" s="20" t="s">
        <v>653</v>
      </c>
      <c r="H116" s="20">
        <v>0.26600000000000001</v>
      </c>
      <c r="I116" s="20" t="s">
        <v>1930</v>
      </c>
      <c r="J116" s="20" t="s">
        <v>1296</v>
      </c>
      <c r="L116" s="20" t="str">
        <f>Table_SourceData_Scope3_Feed[[#This Row],[Product]]</f>
        <v>Wheat grain</v>
      </c>
      <c r="M116" s="20" t="str">
        <f>Table_SourceData_Scope3_Feed[[#This Row],[Region of origin]]</f>
        <v>VIC</v>
      </c>
    </row>
    <row r="117" spans="4:17" ht="20.100000000000001" customHeight="1" x14ac:dyDescent="0.2">
      <c r="D117" s="20" t="s">
        <v>2359</v>
      </c>
      <c r="E117" s="20" t="s">
        <v>1128</v>
      </c>
      <c r="F117" s="20" t="s">
        <v>526</v>
      </c>
      <c r="G117" s="20" t="s">
        <v>653</v>
      </c>
      <c r="H117" s="20">
        <v>0.26100000000000001</v>
      </c>
      <c r="I117" s="20" t="s">
        <v>1930</v>
      </c>
      <c r="J117" s="20" t="s">
        <v>1296</v>
      </c>
      <c r="L117" s="20" t="str">
        <f>Table_SourceData_Scope3_Feed[[#This Row],[Product]]</f>
        <v>Wheat grain</v>
      </c>
      <c r="M117" s="20" t="str">
        <f>Table_SourceData_Scope3_Feed[[#This Row],[Region of origin]]</f>
        <v>WA</v>
      </c>
      <c r="O117" s="20" t="s">
        <v>144</v>
      </c>
      <c r="P117" s="20" t="s">
        <v>490</v>
      </c>
      <c r="Q117" s="1" t="str">
        <f>"Table_ProductRegions_" &amp; SUBSTITUTE(SUBSTITUTE(SUBSTITUTE(SUBSTITUTE(O118, " ", ""), ",", ""), "(", ""), ")", "")</f>
        <v>Table_ProductRegions_Cerealhay</v>
      </c>
    </row>
    <row r="118" spans="4:17" ht="20.100000000000001" customHeight="1" x14ac:dyDescent="0.2">
      <c r="D118" s="20" t="s">
        <v>2363</v>
      </c>
      <c r="E118" s="20" t="s">
        <v>1123</v>
      </c>
      <c r="F118" s="20" t="s">
        <v>538</v>
      </c>
      <c r="G118" s="20" t="s">
        <v>653</v>
      </c>
      <c r="H118" s="20">
        <v>0.11700000000000001</v>
      </c>
      <c r="I118" s="20" t="s">
        <v>1930</v>
      </c>
      <c r="J118" s="20" t="s">
        <v>1296</v>
      </c>
      <c r="O118" s="20" t="str">
        <f>Table_SourceData_Scope3_Feed[[#This Row],[Product]]</f>
        <v>Cereal hay</v>
      </c>
      <c r="P118" s="20" t="str">
        <f>Table_SourceData_Scope3_Feed[[#This Row],[Region of origin]]</f>
        <v>Australia</v>
      </c>
    </row>
    <row r="119" spans="4:17" ht="20.100000000000001" customHeight="1" x14ac:dyDescent="0.2">
      <c r="D119" s="20" t="s">
        <v>2363</v>
      </c>
      <c r="E119" s="20" t="s">
        <v>1123</v>
      </c>
      <c r="F119" s="20" t="s">
        <v>521</v>
      </c>
      <c r="G119" s="20" t="s">
        <v>653</v>
      </c>
      <c r="H119" s="20">
        <v>0.11600000000000001</v>
      </c>
      <c r="I119" s="20" t="s">
        <v>1930</v>
      </c>
      <c r="J119" s="20" t="s">
        <v>1296</v>
      </c>
      <c r="O119" s="20" t="str">
        <f>Table_SourceData_Scope3_Feed[[#This Row],[Product]]</f>
        <v>Cereal hay</v>
      </c>
      <c r="P119" s="20" t="str">
        <f>Table_SourceData_Scope3_Feed[[#This Row],[Region of origin]]</f>
        <v>NSW</v>
      </c>
    </row>
    <row r="120" spans="4:17" ht="20.100000000000001" customHeight="1" x14ac:dyDescent="0.2">
      <c r="D120" s="20" t="s">
        <v>2363</v>
      </c>
      <c r="E120" s="20" t="s">
        <v>1123</v>
      </c>
      <c r="F120" s="20" t="s">
        <v>534</v>
      </c>
      <c r="G120" s="20" t="s">
        <v>653</v>
      </c>
      <c r="H120" s="20">
        <v>0.11799999999999999</v>
      </c>
      <c r="I120" s="20" t="s">
        <v>1930</v>
      </c>
      <c r="J120" s="20" t="s">
        <v>1296</v>
      </c>
      <c r="O120" s="20" t="str">
        <f>Table_SourceData_Scope3_Feed[[#This Row],[Product]]</f>
        <v>Cereal hay</v>
      </c>
      <c r="P120" s="20" t="str">
        <f>Table_SourceData_Scope3_Feed[[#This Row],[Region of origin]]</f>
        <v>QLD</v>
      </c>
    </row>
    <row r="121" spans="4:17" ht="20.100000000000001" customHeight="1" x14ac:dyDescent="0.2">
      <c r="D121" s="20" t="s">
        <v>2363</v>
      </c>
      <c r="E121" s="20" t="s">
        <v>1123</v>
      </c>
      <c r="F121" s="20" t="s">
        <v>522</v>
      </c>
      <c r="G121" s="20" t="s">
        <v>653</v>
      </c>
      <c r="H121" s="20">
        <v>0.111</v>
      </c>
      <c r="I121" s="20" t="s">
        <v>1930</v>
      </c>
      <c r="J121" s="20" t="s">
        <v>1296</v>
      </c>
      <c r="O121" s="20" t="str">
        <f>Table_SourceData_Scope3_Feed[[#This Row],[Product]]</f>
        <v>Cereal hay</v>
      </c>
      <c r="P121" s="20" t="str">
        <f>Table_SourceData_Scope3_Feed[[#This Row],[Region of origin]]</f>
        <v>SA</v>
      </c>
    </row>
    <row r="122" spans="4:17" ht="20.100000000000001" customHeight="1" x14ac:dyDescent="0.2">
      <c r="D122" s="20" t="s">
        <v>2363</v>
      </c>
      <c r="E122" s="20" t="s">
        <v>1123</v>
      </c>
      <c r="F122" s="20" t="s">
        <v>523</v>
      </c>
      <c r="G122" s="20" t="s">
        <v>653</v>
      </c>
      <c r="H122" s="20">
        <v>0.13900000000000001</v>
      </c>
      <c r="I122" s="20" t="s">
        <v>1930</v>
      </c>
      <c r="J122" s="20" t="s">
        <v>1296</v>
      </c>
      <c r="O122" s="20" t="str">
        <f>Table_SourceData_Scope3_Feed[[#This Row],[Product]]</f>
        <v>Cereal hay</v>
      </c>
      <c r="P122" s="20" t="str">
        <f>Table_SourceData_Scope3_Feed[[#This Row],[Region of origin]]</f>
        <v>TAS</v>
      </c>
    </row>
    <row r="123" spans="4:17" ht="20.100000000000001" customHeight="1" x14ac:dyDescent="0.2">
      <c r="D123" s="20" t="s">
        <v>2363</v>
      </c>
      <c r="E123" s="20" t="s">
        <v>1123</v>
      </c>
      <c r="F123" s="20" t="s">
        <v>524</v>
      </c>
      <c r="G123" s="20" t="s">
        <v>653</v>
      </c>
      <c r="H123" s="20">
        <v>0.11600000000000001</v>
      </c>
      <c r="I123" s="20" t="s">
        <v>1930</v>
      </c>
      <c r="J123" s="20" t="s">
        <v>1296</v>
      </c>
      <c r="O123" s="20" t="str">
        <f>Table_SourceData_Scope3_Feed[[#This Row],[Product]]</f>
        <v>Cereal hay</v>
      </c>
      <c r="P123" s="20" t="str">
        <f>Table_SourceData_Scope3_Feed[[#This Row],[Region of origin]]</f>
        <v>VIC</v>
      </c>
    </row>
    <row r="124" spans="4:17" ht="20.100000000000001" customHeight="1" x14ac:dyDescent="0.2">
      <c r="D124" s="20" t="s">
        <v>2363</v>
      </c>
      <c r="E124" s="20" t="s">
        <v>1123</v>
      </c>
      <c r="F124" s="20" t="s">
        <v>526</v>
      </c>
      <c r="G124" s="20" t="s">
        <v>653</v>
      </c>
      <c r="H124" s="20">
        <v>0.122</v>
      </c>
      <c r="I124" s="20" t="s">
        <v>1930</v>
      </c>
      <c r="J124" s="20" t="s">
        <v>1296</v>
      </c>
      <c r="L124" s="20" t="s">
        <v>144</v>
      </c>
      <c r="M124" s="20" t="s">
        <v>490</v>
      </c>
      <c r="N124" s="1" t="str">
        <f>"Table_ProductRegions_" &amp; SUBSTITUTE(SUBSTITUTE(SUBSTITUTE(SUBSTITUTE(L125, " ", ""), ",", ""), "(", ""), ")", "")</f>
        <v>Table_ProductRegions_Cerealsilage</v>
      </c>
      <c r="O124" s="20" t="str">
        <f>Table_SourceData_Scope3_Feed[[#This Row],[Product]]</f>
        <v>Cereal hay</v>
      </c>
      <c r="P124" s="20" t="str">
        <f>Table_SourceData_Scope3_Feed[[#This Row],[Region of origin]]</f>
        <v>WA</v>
      </c>
    </row>
    <row r="125" spans="4:17" ht="20.100000000000001" customHeight="1" x14ac:dyDescent="0.2">
      <c r="D125" s="20" t="s">
        <v>2363</v>
      </c>
      <c r="E125" s="20" t="s">
        <v>1122</v>
      </c>
      <c r="F125" s="20" t="s">
        <v>538</v>
      </c>
      <c r="G125" s="20" t="s">
        <v>653</v>
      </c>
      <c r="H125" s="20">
        <v>7.4399999999999994E-2</v>
      </c>
      <c r="I125" s="20" t="s">
        <v>1930</v>
      </c>
      <c r="J125" s="20" t="s">
        <v>1296</v>
      </c>
      <c r="L125" s="20" t="str">
        <f>Table_SourceData_Scope3_Feed[[#This Row],[Product]]</f>
        <v>Cereal silage</v>
      </c>
      <c r="M125" s="20" t="str">
        <f>Table_SourceData_Scope3_Feed[[#This Row],[Region of origin]]</f>
        <v>Australia</v>
      </c>
    </row>
    <row r="126" spans="4:17" ht="20.100000000000001" customHeight="1" x14ac:dyDescent="0.2">
      <c r="D126" s="20" t="s">
        <v>2363</v>
      </c>
      <c r="E126" s="20" t="s">
        <v>1122</v>
      </c>
      <c r="F126" s="20" t="s">
        <v>521</v>
      </c>
      <c r="G126" s="20" t="s">
        <v>653</v>
      </c>
      <c r="H126" s="20">
        <v>7.3899999999999993E-2</v>
      </c>
      <c r="I126" s="20" t="s">
        <v>1930</v>
      </c>
      <c r="J126" s="20" t="s">
        <v>1296</v>
      </c>
      <c r="L126" s="20" t="str">
        <f>Table_SourceData_Scope3_Feed[[#This Row],[Product]]</f>
        <v>Cereal silage</v>
      </c>
      <c r="M126" s="20" t="str">
        <f>Table_SourceData_Scope3_Feed[[#This Row],[Region of origin]]</f>
        <v>NSW</v>
      </c>
    </row>
    <row r="127" spans="4:17" ht="20.100000000000001" customHeight="1" x14ac:dyDescent="0.2">
      <c r="D127" s="20" t="s">
        <v>2363</v>
      </c>
      <c r="E127" s="20" t="s">
        <v>1122</v>
      </c>
      <c r="F127" s="20" t="s">
        <v>534</v>
      </c>
      <c r="G127" s="20" t="s">
        <v>653</v>
      </c>
      <c r="H127" s="20">
        <v>7.9000000000000001E-2</v>
      </c>
      <c r="I127" s="20" t="s">
        <v>1930</v>
      </c>
      <c r="J127" s="20" t="s">
        <v>1296</v>
      </c>
      <c r="L127" s="20" t="str">
        <f>Table_SourceData_Scope3_Feed[[#This Row],[Product]]</f>
        <v>Cereal silage</v>
      </c>
      <c r="M127" s="20" t="str">
        <f>Table_SourceData_Scope3_Feed[[#This Row],[Region of origin]]</f>
        <v>QLD</v>
      </c>
    </row>
    <row r="128" spans="4:17" ht="20.100000000000001" customHeight="1" x14ac:dyDescent="0.2">
      <c r="D128" s="20" t="s">
        <v>2363</v>
      </c>
      <c r="E128" s="20" t="s">
        <v>1122</v>
      </c>
      <c r="F128" s="20" t="s">
        <v>522</v>
      </c>
      <c r="G128" s="20" t="s">
        <v>653</v>
      </c>
      <c r="H128" s="20">
        <v>7.0599999999999996E-2</v>
      </c>
      <c r="I128" s="20" t="s">
        <v>1930</v>
      </c>
      <c r="J128" s="20" t="s">
        <v>1296</v>
      </c>
      <c r="L128" s="20" t="str">
        <f>Table_SourceData_Scope3_Feed[[#This Row],[Product]]</f>
        <v>Cereal silage</v>
      </c>
      <c r="M128" s="20" t="str">
        <f>Table_SourceData_Scope3_Feed[[#This Row],[Region of origin]]</f>
        <v>SA</v>
      </c>
    </row>
    <row r="129" spans="1:17" ht="20.100000000000001" customHeight="1" x14ac:dyDescent="0.2">
      <c r="D129" s="20" t="s">
        <v>2363</v>
      </c>
      <c r="E129" s="20" t="s">
        <v>1122</v>
      </c>
      <c r="F129" s="20" t="s">
        <v>523</v>
      </c>
      <c r="G129" s="20" t="s">
        <v>653</v>
      </c>
      <c r="H129" s="20">
        <v>8.0799999999999997E-2</v>
      </c>
      <c r="I129" s="20" t="s">
        <v>1930</v>
      </c>
      <c r="J129" s="20" t="s">
        <v>1296</v>
      </c>
      <c r="L129" s="20" t="str">
        <f>Table_SourceData_Scope3_Feed[[#This Row],[Product]]</f>
        <v>Cereal silage</v>
      </c>
      <c r="M129" s="20" t="str">
        <f>Table_SourceData_Scope3_Feed[[#This Row],[Region of origin]]</f>
        <v>TAS</v>
      </c>
    </row>
    <row r="130" spans="1:17" ht="20.100000000000001" customHeight="1" x14ac:dyDescent="0.2">
      <c r="D130" s="20" t="s">
        <v>2363</v>
      </c>
      <c r="E130" s="20" t="s">
        <v>1122</v>
      </c>
      <c r="F130" s="20" t="s">
        <v>524</v>
      </c>
      <c r="G130" s="20" t="s">
        <v>653</v>
      </c>
      <c r="H130" s="20">
        <v>7.3599999999999999E-2</v>
      </c>
      <c r="I130" s="20" t="s">
        <v>1930</v>
      </c>
      <c r="J130" s="20" t="s">
        <v>1296</v>
      </c>
      <c r="L130" s="20" t="str">
        <f>Table_SourceData_Scope3_Feed[[#This Row],[Product]]</f>
        <v>Cereal silage</v>
      </c>
      <c r="M130" s="20" t="str">
        <f>Table_SourceData_Scope3_Feed[[#This Row],[Region of origin]]</f>
        <v>VIC</v>
      </c>
      <c r="O130" s="20" t="s">
        <v>144</v>
      </c>
      <c r="P130" s="20" t="s">
        <v>490</v>
      </c>
      <c r="Q130" s="1" t="str">
        <f>"Table_ProductRegions_" &amp; SUBSTITUTE(SUBSTITUTE(SUBSTITUTE(SUBSTITUTE(O131, " ", ""), ",", ""), "(", ""), ")", "")</f>
        <v>Table_ProductRegions_Lucernehay</v>
      </c>
    </row>
    <row r="131" spans="1:17" ht="20.100000000000001" customHeight="1" x14ac:dyDescent="0.2">
      <c r="A131" s="85" t="str">
        <f>HYPERLINK("#A1", "▲ Back to top")</f>
        <v>▲ Back to top</v>
      </c>
      <c r="D131" s="20" t="s">
        <v>2363</v>
      </c>
      <c r="E131" s="20" t="s">
        <v>1126</v>
      </c>
      <c r="F131" s="20" t="s">
        <v>538</v>
      </c>
      <c r="G131" s="20" t="s">
        <v>653</v>
      </c>
      <c r="H131" s="20">
        <v>0.11700000000000001</v>
      </c>
      <c r="I131" s="20" t="s">
        <v>1930</v>
      </c>
      <c r="J131" s="20" t="s">
        <v>1296</v>
      </c>
      <c r="O131" s="20" t="str">
        <f>Table_SourceData_Scope3_Feed[[#This Row],[Product]]</f>
        <v>Lucerne hay</v>
      </c>
      <c r="P131" s="20" t="str">
        <f>Table_SourceData_Scope3_Feed[[#This Row],[Region of origin]]</f>
        <v>Australia</v>
      </c>
    </row>
    <row r="132" spans="1:17" ht="20.100000000000001" customHeight="1" x14ac:dyDescent="0.2">
      <c r="D132" s="20" t="s">
        <v>2363</v>
      </c>
      <c r="E132" s="20" t="s">
        <v>1126</v>
      </c>
      <c r="F132" s="20" t="s">
        <v>521</v>
      </c>
      <c r="G132" s="20" t="s">
        <v>653</v>
      </c>
      <c r="H132" s="20">
        <v>0.113</v>
      </c>
      <c r="I132" s="20" t="s">
        <v>1930</v>
      </c>
      <c r="J132" s="20" t="s">
        <v>1296</v>
      </c>
      <c r="O132" s="20" t="str">
        <f>Table_SourceData_Scope3_Feed[[#This Row],[Product]]</f>
        <v>Lucerne hay</v>
      </c>
      <c r="P132" s="20" t="str">
        <f>Table_SourceData_Scope3_Feed[[#This Row],[Region of origin]]</f>
        <v>NSW</v>
      </c>
    </row>
    <row r="133" spans="1:17" ht="20.100000000000001" customHeight="1" x14ac:dyDescent="0.2">
      <c r="D133" s="20" t="s">
        <v>2363</v>
      </c>
      <c r="E133" s="20" t="s">
        <v>1126</v>
      </c>
      <c r="F133" s="20" t="s">
        <v>534</v>
      </c>
      <c r="G133" s="20" t="s">
        <v>653</v>
      </c>
      <c r="H133" s="20">
        <v>0.14299999999999999</v>
      </c>
      <c r="I133" s="20" t="s">
        <v>1930</v>
      </c>
      <c r="J133" s="20" t="s">
        <v>1296</v>
      </c>
      <c r="O133" s="20" t="str">
        <f>Table_SourceData_Scope3_Feed[[#This Row],[Product]]</f>
        <v>Lucerne hay</v>
      </c>
      <c r="P133" s="20" t="str">
        <f>Table_SourceData_Scope3_Feed[[#This Row],[Region of origin]]</f>
        <v>QLD</v>
      </c>
    </row>
    <row r="134" spans="1:17" ht="20.100000000000001" customHeight="1" x14ac:dyDescent="0.2">
      <c r="D134" s="20" t="s">
        <v>2363</v>
      </c>
      <c r="E134" s="20" t="s">
        <v>1126</v>
      </c>
      <c r="F134" s="20" t="s">
        <v>522</v>
      </c>
      <c r="G134" s="20" t="s">
        <v>653</v>
      </c>
      <c r="H134" s="20">
        <v>0.106</v>
      </c>
      <c r="I134" s="20" t="s">
        <v>1930</v>
      </c>
      <c r="J134" s="20" t="s">
        <v>1296</v>
      </c>
      <c r="O134" s="20" t="str">
        <f>Table_SourceData_Scope3_Feed[[#This Row],[Product]]</f>
        <v>Lucerne hay</v>
      </c>
      <c r="P134" s="20" t="str">
        <f>Table_SourceData_Scope3_Feed[[#This Row],[Region of origin]]</f>
        <v>SA</v>
      </c>
    </row>
    <row r="135" spans="1:17" ht="20.100000000000001" customHeight="1" x14ac:dyDescent="0.2">
      <c r="D135" s="20" t="s">
        <v>2363</v>
      </c>
      <c r="E135" s="20" t="s">
        <v>1126</v>
      </c>
      <c r="F135" s="20" t="s">
        <v>523</v>
      </c>
      <c r="G135" s="20" t="s">
        <v>653</v>
      </c>
      <c r="H135" s="20">
        <v>0.113</v>
      </c>
      <c r="I135" s="20" t="s">
        <v>1930</v>
      </c>
      <c r="J135" s="20" t="s">
        <v>1296</v>
      </c>
      <c r="O135" s="20" t="str">
        <f>Table_SourceData_Scope3_Feed[[#This Row],[Product]]</f>
        <v>Lucerne hay</v>
      </c>
      <c r="P135" s="20" t="str">
        <f>Table_SourceData_Scope3_Feed[[#This Row],[Region of origin]]</f>
        <v>TAS</v>
      </c>
    </row>
    <row r="136" spans="1:17" ht="20.100000000000001" customHeight="1" x14ac:dyDescent="0.2">
      <c r="D136" s="20" t="s">
        <v>2363</v>
      </c>
      <c r="E136" s="20" t="s">
        <v>1126</v>
      </c>
      <c r="F136" s="20" t="s">
        <v>524</v>
      </c>
      <c r="G136" s="20" t="s">
        <v>653</v>
      </c>
      <c r="H136" s="20">
        <v>0.106</v>
      </c>
      <c r="I136" s="20" t="s">
        <v>1930</v>
      </c>
      <c r="J136" s="20" t="s">
        <v>1296</v>
      </c>
      <c r="O136" s="20" t="str">
        <f>Table_SourceData_Scope3_Feed[[#This Row],[Product]]</f>
        <v>Lucerne hay</v>
      </c>
      <c r="P136" s="20" t="str">
        <f>Table_SourceData_Scope3_Feed[[#This Row],[Region of origin]]</f>
        <v>VIC</v>
      </c>
    </row>
    <row r="137" spans="1:17" ht="20.100000000000001" customHeight="1" x14ac:dyDescent="0.2">
      <c r="D137" s="20" t="s">
        <v>2363</v>
      </c>
      <c r="E137" s="20" t="s">
        <v>2364</v>
      </c>
      <c r="F137" s="20" t="s">
        <v>524</v>
      </c>
      <c r="G137" s="20" t="s">
        <v>653</v>
      </c>
      <c r="H137" s="20">
        <v>0.16300000000000001</v>
      </c>
      <c r="I137" s="20" t="s">
        <v>1930</v>
      </c>
      <c r="J137" s="20" t="s">
        <v>1296</v>
      </c>
      <c r="L137" s="20" t="s">
        <v>144</v>
      </c>
      <c r="M137" s="20" t="s">
        <v>490</v>
      </c>
      <c r="N137" s="1" t="str">
        <f>"Table_ProductRegions_" &amp; SUBSTITUTE(SUBSTITUTE(SUBSTITUTE(SUBSTITUTE(L138, " ", ""), ",", ""), "(", ""), ")", "")</f>
        <v>Table_ProductRegions_Oatenhay</v>
      </c>
      <c r="O137" s="20" t="str">
        <f>Table_SourceData_Scope3_Feed[[#This Row],[Product]]</f>
        <v>Maize silage</v>
      </c>
      <c r="P137" s="20" t="str">
        <f>Table_SourceData_Scope3_Feed[[#This Row],[Region of origin]]</f>
        <v>VIC</v>
      </c>
    </row>
    <row r="138" spans="1:17" ht="20.100000000000001" customHeight="1" x14ac:dyDescent="0.2">
      <c r="D138" s="20" t="s">
        <v>2363</v>
      </c>
      <c r="E138" s="20" t="s">
        <v>2365</v>
      </c>
      <c r="F138" s="20" t="s">
        <v>538</v>
      </c>
      <c r="G138" s="20" t="s">
        <v>653</v>
      </c>
      <c r="H138" s="20">
        <v>0.12</v>
      </c>
      <c r="I138" s="20" t="s">
        <v>1930</v>
      </c>
      <c r="J138" s="20" t="s">
        <v>1296</v>
      </c>
      <c r="L138" s="20" t="str">
        <f>Table_SourceData_Scope3_Feed[[#This Row],[Product]]</f>
        <v>Oaten hay</v>
      </c>
      <c r="M138" s="20" t="str">
        <f>Table_SourceData_Scope3_Feed[[#This Row],[Region of origin]]</f>
        <v>Australia</v>
      </c>
    </row>
    <row r="139" spans="1:17" ht="20.100000000000001" customHeight="1" x14ac:dyDescent="0.2">
      <c r="D139" s="20" t="s">
        <v>2363</v>
      </c>
      <c r="E139" s="20" t="s">
        <v>2365</v>
      </c>
      <c r="F139" s="20" t="s">
        <v>521</v>
      </c>
      <c r="G139" s="20" t="s">
        <v>653</v>
      </c>
      <c r="H139" s="20">
        <v>0.11899999999999999</v>
      </c>
      <c r="I139" s="20" t="s">
        <v>1930</v>
      </c>
      <c r="J139" s="20" t="s">
        <v>1296</v>
      </c>
      <c r="L139" s="20" t="str">
        <f>Table_SourceData_Scope3_Feed[[#This Row],[Product]]</f>
        <v>Oaten hay</v>
      </c>
      <c r="M139" s="20" t="str">
        <f>Table_SourceData_Scope3_Feed[[#This Row],[Region of origin]]</f>
        <v>NSW</v>
      </c>
    </row>
    <row r="140" spans="1:17" ht="20.100000000000001" customHeight="1" x14ac:dyDescent="0.2">
      <c r="D140" s="20" t="s">
        <v>2363</v>
      </c>
      <c r="E140" s="20" t="s">
        <v>2365</v>
      </c>
      <c r="F140" s="20" t="s">
        <v>534</v>
      </c>
      <c r="G140" s="20" t="s">
        <v>653</v>
      </c>
      <c r="H140" s="20">
        <v>0.11700000000000001</v>
      </c>
      <c r="I140" s="20" t="s">
        <v>1930</v>
      </c>
      <c r="J140" s="20" t="s">
        <v>1296</v>
      </c>
      <c r="L140" s="20" t="str">
        <f>Table_SourceData_Scope3_Feed[[#This Row],[Product]]</f>
        <v>Oaten hay</v>
      </c>
      <c r="M140" s="20" t="str">
        <f>Table_SourceData_Scope3_Feed[[#This Row],[Region of origin]]</f>
        <v>QLD</v>
      </c>
    </row>
    <row r="141" spans="1:17" ht="20.100000000000001" customHeight="1" x14ac:dyDescent="0.2">
      <c r="D141" s="20" t="s">
        <v>2363</v>
      </c>
      <c r="E141" s="20" t="s">
        <v>2365</v>
      </c>
      <c r="F141" s="20" t="s">
        <v>522</v>
      </c>
      <c r="G141" s="20" t="s">
        <v>653</v>
      </c>
      <c r="H141" s="20">
        <v>0.114</v>
      </c>
      <c r="I141" s="20" t="s">
        <v>1930</v>
      </c>
      <c r="J141" s="20" t="s">
        <v>1296</v>
      </c>
      <c r="L141" s="20" t="str">
        <f>Table_SourceData_Scope3_Feed[[#This Row],[Product]]</f>
        <v>Oaten hay</v>
      </c>
      <c r="M141" s="20" t="str">
        <f>Table_SourceData_Scope3_Feed[[#This Row],[Region of origin]]</f>
        <v>SA</v>
      </c>
    </row>
    <row r="142" spans="1:17" ht="20.100000000000001" customHeight="1" x14ac:dyDescent="0.2">
      <c r="D142" s="20" t="s">
        <v>2363</v>
      </c>
      <c r="E142" s="20" t="s">
        <v>2365</v>
      </c>
      <c r="F142" s="20" t="s">
        <v>524</v>
      </c>
      <c r="G142" s="20" t="s">
        <v>653</v>
      </c>
      <c r="H142" s="20">
        <v>0.11799999999999999</v>
      </c>
      <c r="I142" s="20" t="s">
        <v>1930</v>
      </c>
      <c r="J142" s="20" t="s">
        <v>1296</v>
      </c>
      <c r="L142" s="20" t="str">
        <f>Table_SourceData_Scope3_Feed[[#This Row],[Product]]</f>
        <v>Oaten hay</v>
      </c>
      <c r="M142" s="20" t="str">
        <f>Table_SourceData_Scope3_Feed[[#This Row],[Region of origin]]</f>
        <v>VIC</v>
      </c>
    </row>
    <row r="143" spans="1:17" ht="20.100000000000001" customHeight="1" x14ac:dyDescent="0.2">
      <c r="D143" s="20" t="s">
        <v>2363</v>
      </c>
      <c r="E143" s="20" t="s">
        <v>2365</v>
      </c>
      <c r="F143" s="20" t="s">
        <v>526</v>
      </c>
      <c r="G143" s="20" t="s">
        <v>653</v>
      </c>
      <c r="H143" s="20">
        <v>0.124</v>
      </c>
      <c r="I143" s="20" t="s">
        <v>1930</v>
      </c>
      <c r="J143" s="20" t="s">
        <v>1296</v>
      </c>
      <c r="L143" s="20" t="str">
        <f>Table_SourceData_Scope3_Feed[[#This Row],[Product]]</f>
        <v>Oaten hay</v>
      </c>
      <c r="M143" s="20" t="str">
        <f>Table_SourceData_Scope3_Feed[[#This Row],[Region of origin]]</f>
        <v>WA</v>
      </c>
      <c r="O143" s="20" t="s">
        <v>144</v>
      </c>
      <c r="P143" s="20" t="s">
        <v>490</v>
      </c>
      <c r="Q143" s="1" t="str">
        <f>"Table_ProductRegions_" &amp; SUBSTITUTE(SUBSTITUTE(SUBSTITUTE(SUBSTITUTE(O144, " ", ""), ",", ""), "(", ""), ")", "")</f>
        <v>Table_ProductRegions_Pasturehay</v>
      </c>
    </row>
    <row r="144" spans="1:17" ht="20.100000000000001" customHeight="1" x14ac:dyDescent="0.2">
      <c r="D144" s="20" t="s">
        <v>2363</v>
      </c>
      <c r="E144" s="20" t="s">
        <v>1131</v>
      </c>
      <c r="F144" s="20" t="s">
        <v>538</v>
      </c>
      <c r="G144" s="20" t="s">
        <v>653</v>
      </c>
      <c r="H144" s="20">
        <v>0.33900000000000002</v>
      </c>
      <c r="I144" s="20" t="s">
        <v>1930</v>
      </c>
      <c r="J144" s="20" t="s">
        <v>1296</v>
      </c>
      <c r="O144" s="20" t="str">
        <f>Table_SourceData_Scope3_Feed[[#This Row],[Product]]</f>
        <v>Pasture hay</v>
      </c>
      <c r="P144" s="20" t="str">
        <f>Table_SourceData_Scope3_Feed[[#This Row],[Region of origin]]</f>
        <v>Australia</v>
      </c>
    </row>
    <row r="145" spans="4:17" ht="20.100000000000001" customHeight="1" x14ac:dyDescent="0.2">
      <c r="D145" s="20" t="s">
        <v>2363</v>
      </c>
      <c r="E145" s="20" t="s">
        <v>1131</v>
      </c>
      <c r="F145" s="20" t="s">
        <v>521</v>
      </c>
      <c r="G145" s="20" t="s">
        <v>653</v>
      </c>
      <c r="H145" s="20">
        <v>0.311</v>
      </c>
      <c r="I145" s="20" t="s">
        <v>1930</v>
      </c>
      <c r="J145" s="20" t="s">
        <v>1296</v>
      </c>
      <c r="O145" s="20" t="str">
        <f>Table_SourceData_Scope3_Feed[[#This Row],[Product]]</f>
        <v>Pasture hay</v>
      </c>
      <c r="P145" s="20" t="str">
        <f>Table_SourceData_Scope3_Feed[[#This Row],[Region of origin]]</f>
        <v>NSW</v>
      </c>
    </row>
    <row r="146" spans="4:17" ht="20.100000000000001" customHeight="1" x14ac:dyDescent="0.2">
      <c r="D146" s="20" t="s">
        <v>2363</v>
      </c>
      <c r="E146" s="20" t="s">
        <v>1131</v>
      </c>
      <c r="F146" s="20" t="s">
        <v>534</v>
      </c>
      <c r="G146" s="20" t="s">
        <v>653</v>
      </c>
      <c r="H146" s="20">
        <v>0.254</v>
      </c>
      <c r="I146" s="20" t="s">
        <v>1930</v>
      </c>
      <c r="J146" s="20" t="s">
        <v>1296</v>
      </c>
      <c r="O146" s="20" t="str">
        <f>Table_SourceData_Scope3_Feed[[#This Row],[Product]]</f>
        <v>Pasture hay</v>
      </c>
      <c r="P146" s="20" t="str">
        <f>Table_SourceData_Scope3_Feed[[#This Row],[Region of origin]]</f>
        <v>QLD</v>
      </c>
    </row>
    <row r="147" spans="4:17" ht="20.100000000000001" customHeight="1" x14ac:dyDescent="0.2">
      <c r="D147" s="20" t="s">
        <v>2363</v>
      </c>
      <c r="E147" s="20" t="s">
        <v>1131</v>
      </c>
      <c r="F147" s="20" t="s">
        <v>522</v>
      </c>
      <c r="G147" s="20" t="s">
        <v>653</v>
      </c>
      <c r="H147" s="20">
        <v>0.313</v>
      </c>
      <c r="I147" s="20" t="s">
        <v>1930</v>
      </c>
      <c r="J147" s="20" t="s">
        <v>1296</v>
      </c>
      <c r="O147" s="20" t="str">
        <f>Table_SourceData_Scope3_Feed[[#This Row],[Product]]</f>
        <v>Pasture hay</v>
      </c>
      <c r="P147" s="20" t="str">
        <f>Table_SourceData_Scope3_Feed[[#This Row],[Region of origin]]</f>
        <v>SA</v>
      </c>
    </row>
    <row r="148" spans="4:17" ht="20.100000000000001" customHeight="1" x14ac:dyDescent="0.2">
      <c r="D148" s="20" t="s">
        <v>2363</v>
      </c>
      <c r="E148" s="20" t="s">
        <v>1131</v>
      </c>
      <c r="F148" s="20" t="s">
        <v>523</v>
      </c>
      <c r="G148" s="20" t="s">
        <v>653</v>
      </c>
      <c r="H148" s="20">
        <v>0.39800000000000002</v>
      </c>
      <c r="I148" s="20" t="s">
        <v>1930</v>
      </c>
      <c r="J148" s="20" t="s">
        <v>1296</v>
      </c>
      <c r="O148" s="20" t="str">
        <f>Table_SourceData_Scope3_Feed[[#This Row],[Product]]</f>
        <v>Pasture hay</v>
      </c>
      <c r="P148" s="20" t="str">
        <f>Table_SourceData_Scope3_Feed[[#This Row],[Region of origin]]</f>
        <v>TAS</v>
      </c>
    </row>
    <row r="149" spans="4:17" ht="20.100000000000001" customHeight="1" x14ac:dyDescent="0.2">
      <c r="D149" s="20" t="s">
        <v>2363</v>
      </c>
      <c r="E149" s="20" t="s">
        <v>1131</v>
      </c>
      <c r="F149" s="20" t="s">
        <v>524</v>
      </c>
      <c r="G149" s="20" t="s">
        <v>653</v>
      </c>
      <c r="H149" s="20">
        <v>0.34499999999999997</v>
      </c>
      <c r="I149" s="20" t="s">
        <v>1930</v>
      </c>
      <c r="J149" s="20" t="s">
        <v>1296</v>
      </c>
      <c r="O149" s="20" t="str">
        <f>Table_SourceData_Scope3_Feed[[#This Row],[Product]]</f>
        <v>Pasture hay</v>
      </c>
      <c r="P149" s="20" t="str">
        <f>Table_SourceData_Scope3_Feed[[#This Row],[Region of origin]]</f>
        <v>VIC</v>
      </c>
    </row>
    <row r="150" spans="4:17" ht="20.100000000000001" customHeight="1" x14ac:dyDescent="0.2">
      <c r="D150" s="20" t="s">
        <v>2363</v>
      </c>
      <c r="E150" s="20" t="s">
        <v>1131</v>
      </c>
      <c r="F150" s="20" t="s">
        <v>526</v>
      </c>
      <c r="G150" s="20" t="s">
        <v>653</v>
      </c>
      <c r="H150" s="20">
        <v>0.36799999999999999</v>
      </c>
      <c r="I150" s="20" t="s">
        <v>1930</v>
      </c>
      <c r="J150" s="20" t="s">
        <v>1296</v>
      </c>
      <c r="L150" s="229" t="s">
        <v>144</v>
      </c>
      <c r="M150" s="229" t="s">
        <v>490</v>
      </c>
      <c r="N150" s="1" t="str">
        <f>"Table_ProductRegions_" &amp; SUBSTITUTE(SUBSTITUTE(SUBSTITUTE(SUBSTITUTE(L151, " ", ""), ",", ""), "(", ""), ")", "")</f>
        <v>Table_ProductRegions_Canolameal</v>
      </c>
      <c r="O150" s="20" t="str">
        <f>Table_SourceData_Scope3_Feed[[#This Row],[Product]]</f>
        <v>Pasture hay</v>
      </c>
      <c r="P150" s="20" t="str">
        <f>Table_SourceData_Scope3_Feed[[#This Row],[Region of origin]]</f>
        <v>WA</v>
      </c>
    </row>
    <row r="151" spans="4:17" ht="20.100000000000001" customHeight="1" x14ac:dyDescent="0.2">
      <c r="D151" s="20" t="s">
        <v>2366</v>
      </c>
      <c r="E151" s="20" t="s">
        <v>2367</v>
      </c>
      <c r="F151" s="20" t="s">
        <v>538</v>
      </c>
      <c r="G151" s="20" t="s">
        <v>653</v>
      </c>
      <c r="H151" s="20">
        <v>0.24399999999999999</v>
      </c>
      <c r="I151" s="20" t="s">
        <v>1930</v>
      </c>
      <c r="J151" s="20" t="s">
        <v>1296</v>
      </c>
      <c r="L151" s="1" t="str">
        <f>Table_SourceData_Scope3_Feed[[#This Row],[Product]]</f>
        <v>Canola meal</v>
      </c>
      <c r="M151" s="1" t="str">
        <f>Table_SourceData_Scope3_Feed[[#This Row],[Region of origin]]</f>
        <v>Australia</v>
      </c>
      <c r="O151" s="20" t="s">
        <v>144</v>
      </c>
      <c r="P151" s="20" t="s">
        <v>490</v>
      </c>
      <c r="Q151" s="1" t="str">
        <f>"Table_ProductRegions_" &amp; SUBSTITUTE(SUBSTITUTE(SUBSTITUTE(SUBSTITUTE(O152, " ", ""), ",", ""), "(", ""), ")", "")</f>
        <v>Table_ProductRegions_Meatmeal</v>
      </c>
    </row>
    <row r="152" spans="4:17" ht="20.100000000000001" customHeight="1" x14ac:dyDescent="0.2">
      <c r="D152" s="20" t="s">
        <v>2366</v>
      </c>
      <c r="E152" s="20" t="s">
        <v>2368</v>
      </c>
      <c r="F152" s="20" t="s">
        <v>538</v>
      </c>
      <c r="G152" s="20" t="s">
        <v>653</v>
      </c>
      <c r="H152" s="20">
        <v>0.40799999999999997</v>
      </c>
      <c r="I152" s="20" t="s">
        <v>1930</v>
      </c>
      <c r="J152" s="20" t="s">
        <v>1296</v>
      </c>
      <c r="L152" s="20" t="s">
        <v>144</v>
      </c>
      <c r="M152" s="20" t="s">
        <v>490</v>
      </c>
      <c r="N152" s="1" t="str">
        <f>"Table_ProductRegions_" &amp; SUBSTITUTE(SUBSTITUTE(SUBSTITUTE(SUBSTITUTE(L153, " ", ""), ",", ""), "(", ""), ")", "")</f>
        <v>Table_ProductRegions_Soybeanmeal</v>
      </c>
      <c r="O152" s="20" t="str">
        <f>Table_SourceData_Scope3_Feed[[#This Row],[Product]]</f>
        <v>Meat meal</v>
      </c>
      <c r="P152" s="20" t="str">
        <f>Table_SourceData_Scope3_Feed[[#This Row],[Region of origin]]</f>
        <v>Australia</v>
      </c>
    </row>
    <row r="153" spans="4:17" ht="20.100000000000001" customHeight="1" x14ac:dyDescent="0.2">
      <c r="D153" s="20" t="s">
        <v>2366</v>
      </c>
      <c r="E153" s="20" t="s">
        <v>1129</v>
      </c>
      <c r="F153" s="20" t="s">
        <v>1130</v>
      </c>
      <c r="G153" s="20" t="s">
        <v>653</v>
      </c>
      <c r="H153" s="20">
        <v>0.42599999999999999</v>
      </c>
      <c r="I153" s="20" t="s">
        <v>1930</v>
      </c>
      <c r="J153" s="20" t="s">
        <v>1296</v>
      </c>
      <c r="L153" s="20" t="str">
        <f>Table_SourceData_Scope3_Feed[[#This Row],[Product]]</f>
        <v>Soybean meal</v>
      </c>
      <c r="M153" s="20" t="str">
        <f>Table_SourceData_Scope3_Feed[[#This Row],[Region of origin]]</f>
        <v>Brazil</v>
      </c>
      <c r="O153" s="20" t="s">
        <v>144</v>
      </c>
      <c r="P153" s="20" t="s">
        <v>490</v>
      </c>
      <c r="Q153" s="1" t="str">
        <f>"Table_ProductRegions_" &amp; SUBSTITUTE(SUBSTITUTE(SUBSTITUTE(SUBSTITUTE(O154, " ", ""), ",", ""), "(", ""), ")", "")</f>
        <v>Table_ProductRegions_Wheatbran</v>
      </c>
    </row>
    <row r="154" spans="4:17" ht="20.100000000000001" customHeight="1" x14ac:dyDescent="0.2">
      <c r="D154" s="20" t="s">
        <v>2366</v>
      </c>
      <c r="E154" s="20" t="s">
        <v>2369</v>
      </c>
      <c r="F154" s="20" t="s">
        <v>538</v>
      </c>
      <c r="G154" s="20" t="s">
        <v>653</v>
      </c>
      <c r="H154" s="20">
        <v>0.19600000000000001</v>
      </c>
      <c r="I154" s="20" t="s">
        <v>1930</v>
      </c>
      <c r="J154" s="20" t="s">
        <v>1296</v>
      </c>
      <c r="L154" s="20" t="s">
        <v>144</v>
      </c>
      <c r="M154" s="20" t="s">
        <v>490</v>
      </c>
      <c r="N154" s="1" t="str">
        <f>"Table_ProductRegions_" &amp; SUBSTITUTE(SUBSTITUTE(SUBSTITUTE(SUBSTITUTE(L155, " ", ""), ",", ""), "(", ""), ")", "")</f>
        <v>Table_ProductRegions_Bentonite</v>
      </c>
      <c r="O154" s="20" t="str">
        <f>Table_SourceData_Scope3_Feed[[#This Row],[Product]]</f>
        <v>Wheat bran</v>
      </c>
      <c r="P154" s="20" t="str">
        <f>Table_SourceData_Scope3_Feed[[#This Row],[Region of origin]]</f>
        <v>Australia</v>
      </c>
    </row>
    <row r="155" spans="4:17" ht="20.100000000000001" customHeight="1" x14ac:dyDescent="0.2">
      <c r="D155" s="1" t="s">
        <v>2370</v>
      </c>
      <c r="E155" s="1" t="s">
        <v>2371</v>
      </c>
      <c r="F155" s="1" t="s">
        <v>538</v>
      </c>
      <c r="G155" s="1" t="s">
        <v>653</v>
      </c>
      <c r="H155" s="1">
        <v>6.5199999999999994E-2</v>
      </c>
      <c r="I155" s="1" t="s">
        <v>1930</v>
      </c>
      <c r="J155" s="20" t="s">
        <v>1296</v>
      </c>
      <c r="L155" s="20" t="str">
        <f>Table_SourceData_Scope3_Feed[[#This Row],[Product]]</f>
        <v>Bentonite</v>
      </c>
      <c r="M155" s="20" t="str">
        <f>Table_SourceData_Scope3_Feed[[#This Row],[Region of origin]]</f>
        <v>Australia</v>
      </c>
      <c r="O155" s="20" t="s">
        <v>144</v>
      </c>
      <c r="P155" s="20" t="s">
        <v>490</v>
      </c>
      <c r="Q155" s="1" t="str">
        <f>"Table_ProductRegions_" &amp; SUBSTITUTE(SUBSTITUTE(SUBSTITUTE(SUBSTITUTE(O156, " ", ""), ",", ""), "(", ""), ")", "")</f>
        <v>Table_ProductRegions_Canolaoil</v>
      </c>
    </row>
    <row r="156" spans="4:17" ht="20.100000000000001" customHeight="1" x14ac:dyDescent="0.2">
      <c r="D156" s="1" t="s">
        <v>2370</v>
      </c>
      <c r="E156" s="1" t="s">
        <v>1124</v>
      </c>
      <c r="F156" s="1" t="s">
        <v>538</v>
      </c>
      <c r="G156" s="1" t="s">
        <v>653</v>
      </c>
      <c r="H156" s="1">
        <v>0.87</v>
      </c>
      <c r="I156" s="1" t="s">
        <v>1930</v>
      </c>
      <c r="J156" s="20" t="s">
        <v>1296</v>
      </c>
      <c r="L156" s="20" t="s">
        <v>144</v>
      </c>
      <c r="M156" s="20" t="s">
        <v>490</v>
      </c>
      <c r="N156" s="1" t="str">
        <f>"Table_ProductRegions_" &amp; SUBSTITUTE(SUBSTITUTE(SUBSTITUTE(SUBSTITUTE(L157, " ", ""), ",", ""), "(", ""), ")", "")</f>
        <v>Table_ProductRegions_Cottonseed</v>
      </c>
      <c r="O156" s="20" t="str">
        <f>Table_SourceData_Scope3_Feed[[#This Row],[Product]]</f>
        <v>Canola oil</v>
      </c>
      <c r="P156" s="20" t="str">
        <f>Table_SourceData_Scope3_Feed[[#This Row],[Region of origin]]</f>
        <v>Australia</v>
      </c>
    </row>
    <row r="157" spans="4:17" ht="20.100000000000001" customHeight="1" x14ac:dyDescent="0.2">
      <c r="D157" s="1" t="s">
        <v>2370</v>
      </c>
      <c r="E157" s="1" t="s">
        <v>2372</v>
      </c>
      <c r="F157" s="1" t="s">
        <v>538</v>
      </c>
      <c r="G157" s="1" t="s">
        <v>653</v>
      </c>
      <c r="H157" s="1">
        <v>0.19700000000000001</v>
      </c>
      <c r="I157" s="1" t="s">
        <v>1930</v>
      </c>
      <c r="J157" s="20" t="s">
        <v>1296</v>
      </c>
      <c r="L157" s="20" t="str">
        <f>Table_SourceData_Scope3_Feed[[#This Row],[Product]]</f>
        <v>Cotton seed</v>
      </c>
      <c r="M157" s="20" t="str">
        <f>Table_SourceData_Scope3_Feed[[#This Row],[Region of origin]]</f>
        <v>Australia</v>
      </c>
      <c r="O157" s="20" t="s">
        <v>144</v>
      </c>
      <c r="P157" s="20" t="s">
        <v>490</v>
      </c>
      <c r="Q157" s="1" t="str">
        <f>"Table_ProductRegions_" &amp; SUBSTITUTE(SUBSTITUTE(SUBSTITUTE(SUBSTITUTE(O158, " ", ""), ",", ""), "(", ""), ")", "")</f>
        <v>Table_ProductRegions_Molasses</v>
      </c>
    </row>
    <row r="158" spans="4:17" ht="20.100000000000001" customHeight="1" x14ac:dyDescent="0.2">
      <c r="D158" s="20" t="s">
        <v>2370</v>
      </c>
      <c r="E158" s="20" t="s">
        <v>1125</v>
      </c>
      <c r="F158" s="20" t="s">
        <v>534</v>
      </c>
      <c r="G158" s="20" t="s">
        <v>653</v>
      </c>
      <c r="H158" s="20">
        <v>0.184</v>
      </c>
      <c r="I158" s="20" t="s">
        <v>1930</v>
      </c>
      <c r="J158" s="20"/>
      <c r="O158" s="20" t="str">
        <f>Table_SourceData_Scope3_Feed[[#This Row],[Product]]</f>
        <v>Molasses</v>
      </c>
      <c r="P158" s="20" t="str">
        <f>Table_SourceData_Scope3_Feed[[#This Row],[Region of origin]]</f>
        <v>QLD</v>
      </c>
    </row>
    <row r="161" spans="1:14" ht="20.100000000000001" customHeight="1" x14ac:dyDescent="0.2">
      <c r="A161" s="85" t="str">
        <f>HYPERLINK("#A1", "▲ Back to top")</f>
        <v>▲ Back to top</v>
      </c>
      <c r="D161" s="20" t="s">
        <v>565</v>
      </c>
      <c r="E161" s="20" t="s">
        <v>144</v>
      </c>
      <c r="F161" s="20" t="s">
        <v>566</v>
      </c>
      <c r="G161" s="20" t="s">
        <v>567</v>
      </c>
      <c r="H161" s="20" t="s">
        <v>1295</v>
      </c>
      <c r="I161" s="20" t="s">
        <v>569</v>
      </c>
      <c r="J161" s="20" t="s">
        <v>744</v>
      </c>
    </row>
    <row r="162" spans="1:14" ht="20.100000000000001" customHeight="1" x14ac:dyDescent="0.2">
      <c r="D162" s="20" t="s">
        <v>2373</v>
      </c>
      <c r="E162" s="20" t="s">
        <v>2374</v>
      </c>
      <c r="F162" s="20" t="s">
        <v>538</v>
      </c>
      <c r="G162" s="20" t="s">
        <v>653</v>
      </c>
      <c r="H162" s="20">
        <v>0.59399999999999997</v>
      </c>
      <c r="I162" s="20" t="s">
        <v>1930</v>
      </c>
      <c r="J162" s="20" t="s">
        <v>1296</v>
      </c>
    </row>
    <row r="163" spans="1:14" ht="20.100000000000001" customHeight="1" x14ac:dyDescent="0.2">
      <c r="D163" s="20" t="s">
        <v>2373</v>
      </c>
      <c r="E163" s="20" t="s">
        <v>2375</v>
      </c>
      <c r="F163" s="20" t="s">
        <v>538</v>
      </c>
      <c r="G163" s="20" t="s">
        <v>653</v>
      </c>
      <c r="H163" s="20">
        <v>0.41899999999999998</v>
      </c>
      <c r="I163" s="20" t="s">
        <v>1930</v>
      </c>
      <c r="J163" s="20" t="s">
        <v>1296</v>
      </c>
    </row>
    <row r="164" spans="1:14" ht="20.100000000000001" customHeight="1" x14ac:dyDescent="0.2">
      <c r="D164" s="20" t="s">
        <v>2373</v>
      </c>
      <c r="E164" s="20" t="s">
        <v>2376</v>
      </c>
      <c r="F164" s="20" t="s">
        <v>538</v>
      </c>
      <c r="G164" s="20" t="s">
        <v>653</v>
      </c>
      <c r="H164" s="20">
        <v>0.33300000000000002</v>
      </c>
      <c r="I164" s="20" t="s">
        <v>1930</v>
      </c>
      <c r="J164" s="20" t="s">
        <v>1296</v>
      </c>
    </row>
    <row r="165" spans="1:14" ht="20.100000000000001" customHeight="1" x14ac:dyDescent="0.2">
      <c r="D165" s="20" t="s">
        <v>2373</v>
      </c>
      <c r="E165" s="20" t="s">
        <v>2377</v>
      </c>
      <c r="F165" s="20" t="s">
        <v>538</v>
      </c>
      <c r="G165" s="20" t="s">
        <v>653</v>
      </c>
      <c r="H165" s="20">
        <v>0.40300000000000002</v>
      </c>
      <c r="I165" s="20" t="s">
        <v>1930</v>
      </c>
      <c r="J165" s="20" t="s">
        <v>1296</v>
      </c>
    </row>
    <row r="167" spans="1:14" ht="20.100000000000001" customHeight="1" x14ac:dyDescent="0.2">
      <c r="D167" s="20" t="s">
        <v>565</v>
      </c>
      <c r="E167" s="20" t="s">
        <v>144</v>
      </c>
      <c r="F167" s="20" t="s">
        <v>566</v>
      </c>
      <c r="G167" s="20" t="s">
        <v>567</v>
      </c>
      <c r="H167" s="20" t="s">
        <v>1295</v>
      </c>
      <c r="I167" s="20" t="s">
        <v>569</v>
      </c>
      <c r="J167" s="20" t="s">
        <v>744</v>
      </c>
    </row>
    <row r="168" spans="1:14" ht="20.100000000000001" customHeight="1" x14ac:dyDescent="0.2">
      <c r="D168" s="20" t="s">
        <v>2370</v>
      </c>
      <c r="E168" s="20" t="s">
        <v>2378</v>
      </c>
      <c r="F168" s="20" t="s">
        <v>538</v>
      </c>
      <c r="G168" s="20" t="s">
        <v>653</v>
      </c>
      <c r="H168" s="20">
        <v>0.88100000000000001</v>
      </c>
      <c r="I168" s="20" t="s">
        <v>1930</v>
      </c>
      <c r="J168" s="20" t="s">
        <v>1296</v>
      </c>
    </row>
    <row r="169" spans="1:14" ht="20.100000000000001" customHeight="1" x14ac:dyDescent="0.2">
      <c r="D169" s="20" t="s">
        <v>2370</v>
      </c>
      <c r="E169" s="20" t="s">
        <v>2379</v>
      </c>
      <c r="F169" s="20" t="s">
        <v>538</v>
      </c>
      <c r="G169" s="20" t="s">
        <v>653</v>
      </c>
      <c r="H169" s="20">
        <v>0.67700000000000005</v>
      </c>
      <c r="I169" s="20" t="s">
        <v>1930</v>
      </c>
      <c r="J169" s="20" t="s">
        <v>1296</v>
      </c>
    </row>
    <row r="170" spans="1:14" ht="20.100000000000001" customHeight="1" x14ac:dyDescent="0.2">
      <c r="D170" s="20" t="s">
        <v>2370</v>
      </c>
      <c r="E170" s="20" t="s">
        <v>2380</v>
      </c>
      <c r="F170" s="20" t="s">
        <v>538</v>
      </c>
      <c r="G170" s="20" t="s">
        <v>653</v>
      </c>
      <c r="H170" s="20">
        <v>0.23100000000000001</v>
      </c>
      <c r="I170" s="20" t="s">
        <v>1930</v>
      </c>
      <c r="J170" s="20" t="s">
        <v>1296</v>
      </c>
    </row>
    <row r="172" spans="1:14" ht="20.100000000000001" customHeight="1" x14ac:dyDescent="0.2">
      <c r="D172" s="2" t="s">
        <v>1298</v>
      </c>
    </row>
    <row r="173" spans="1:14" ht="20.100000000000001" customHeight="1" x14ac:dyDescent="0.2">
      <c r="D173" s="20" t="s">
        <v>565</v>
      </c>
      <c r="E173" s="20" t="s">
        <v>144</v>
      </c>
      <c r="F173" s="20" t="s">
        <v>566</v>
      </c>
      <c r="G173" s="20" t="s">
        <v>714</v>
      </c>
      <c r="H173" s="20" t="s">
        <v>605</v>
      </c>
      <c r="I173" s="20" t="s">
        <v>606</v>
      </c>
      <c r="J173" s="20" t="s">
        <v>1299</v>
      </c>
      <c r="K173" s="20" t="s">
        <v>567</v>
      </c>
      <c r="L173" s="20" t="s">
        <v>1295</v>
      </c>
      <c r="M173" s="20" t="s">
        <v>569</v>
      </c>
      <c r="N173" s="20" t="s">
        <v>744</v>
      </c>
    </row>
    <row r="174" spans="1:14" ht="20.100000000000001" customHeight="1" x14ac:dyDescent="0.2">
      <c r="D174" s="20" t="s">
        <v>1298</v>
      </c>
      <c r="E174" s="20" t="s">
        <v>2381</v>
      </c>
      <c r="F174" s="20" t="s">
        <v>2089</v>
      </c>
      <c r="G174" s="20" t="str">
        <f>'Constants - Fertiliser'!$D$37</f>
        <v>Ammonia</v>
      </c>
      <c r="H174" s="20"/>
      <c r="I174" s="20" t="str">
        <f>'Constants - Fertiliser'!$V$20</f>
        <v>Global</v>
      </c>
      <c r="J174" s="20"/>
      <c r="K174" s="20" t="s">
        <v>653</v>
      </c>
      <c r="L174" s="20">
        <v>2.3199999999999998</v>
      </c>
      <c r="M174" s="20" t="s">
        <v>1930</v>
      </c>
      <c r="N174" s="20" t="s">
        <v>1296</v>
      </c>
    </row>
    <row r="175" spans="1:14" ht="20.100000000000001" customHeight="1" x14ac:dyDescent="0.2">
      <c r="D175" s="20" t="s">
        <v>1298</v>
      </c>
      <c r="E175" s="20" t="s">
        <v>2382</v>
      </c>
      <c r="F175" s="20" t="s">
        <v>2090</v>
      </c>
      <c r="G175" s="20" t="str">
        <f>'Constants - Fertiliser'!$D$37</f>
        <v>Ammonia</v>
      </c>
      <c r="H175" s="20"/>
      <c r="I175" s="20" t="str">
        <f>'Constants - Fertiliser'!$V$21</f>
        <v>Canada</v>
      </c>
      <c r="J175" s="20"/>
      <c r="K175" s="20" t="s">
        <v>653</v>
      </c>
      <c r="L175" s="20">
        <v>2.12</v>
      </c>
      <c r="M175" s="20" t="s">
        <v>1930</v>
      </c>
      <c r="N175" s="20" t="s">
        <v>1296</v>
      </c>
    </row>
    <row r="176" spans="1:14" ht="20.100000000000001" customHeight="1" x14ac:dyDescent="0.2">
      <c r="D176" s="20" t="s">
        <v>1298</v>
      </c>
      <c r="E176" s="20" t="s">
        <v>2383</v>
      </c>
      <c r="F176" s="20" t="s">
        <v>2091</v>
      </c>
      <c r="G176" s="20" t="str">
        <f>'Constants - Fertiliser'!$D$37</f>
        <v>Ammonia</v>
      </c>
      <c r="H176" s="20"/>
      <c r="I176" s="20" t="str">
        <f>'Constants - Fertiliser'!$V$22</f>
        <v>China</v>
      </c>
      <c r="J176" s="20"/>
      <c r="K176" s="20" t="s">
        <v>653</v>
      </c>
      <c r="L176" s="20">
        <v>4.17</v>
      </c>
      <c r="M176" s="20" t="s">
        <v>1930</v>
      </c>
      <c r="N176" s="20" t="s">
        <v>1296</v>
      </c>
    </row>
    <row r="177" spans="1:14" ht="20.100000000000001" customHeight="1" x14ac:dyDescent="0.2">
      <c r="D177" s="20" t="s">
        <v>1298</v>
      </c>
      <c r="E177" s="20" t="s">
        <v>2384</v>
      </c>
      <c r="F177" s="20" t="s">
        <v>2092</v>
      </c>
      <c r="G177" s="20" t="str">
        <f>'Constants - Fertiliser'!$D$37</f>
        <v>Ammonia</v>
      </c>
      <c r="H177" s="20"/>
      <c r="I177" s="20" t="str">
        <f>'Constants - Fertiliser'!$V$23</f>
        <v>Yemen</v>
      </c>
      <c r="J177" s="20"/>
      <c r="K177" s="20" t="s">
        <v>653</v>
      </c>
      <c r="L177" s="20">
        <v>2.2599999999999998</v>
      </c>
      <c r="M177" s="20" t="s">
        <v>1930</v>
      </c>
      <c r="N177" s="20" t="s">
        <v>1296</v>
      </c>
    </row>
    <row r="178" spans="1:14" ht="20.100000000000001" customHeight="1" x14ac:dyDescent="0.2">
      <c r="D178" s="20" t="s">
        <v>1298</v>
      </c>
      <c r="E178" s="20" t="s">
        <v>2385</v>
      </c>
      <c r="F178" s="20" t="s">
        <v>2089</v>
      </c>
      <c r="G178" s="20" t="str">
        <f>'Constants - Fertiliser'!$D$25</f>
        <v>Ammonium nitrate (AN)</v>
      </c>
      <c r="H178" s="20"/>
      <c r="I178" s="20"/>
      <c r="J178" s="20"/>
      <c r="K178" s="20" t="s">
        <v>653</v>
      </c>
      <c r="L178" s="20">
        <v>2.21</v>
      </c>
      <c r="M178" s="20" t="s">
        <v>1930</v>
      </c>
      <c r="N178" s="20" t="s">
        <v>1296</v>
      </c>
    </row>
    <row r="179" spans="1:14" ht="20.100000000000001" customHeight="1" x14ac:dyDescent="0.2">
      <c r="D179" s="20" t="s">
        <v>1298</v>
      </c>
      <c r="E179" s="20" t="s">
        <v>2386</v>
      </c>
      <c r="F179" s="20" t="s">
        <v>2089</v>
      </c>
      <c r="G179" s="20" t="str">
        <f>'Constants - Fertiliser'!$D$26</f>
        <v>Calcium ammonium nitrate (CAN)</v>
      </c>
      <c r="H179" s="20"/>
      <c r="I179" s="20"/>
      <c r="J179" s="20"/>
      <c r="K179" s="20" t="s">
        <v>653</v>
      </c>
      <c r="L179" s="20">
        <v>1.1499999999999999</v>
      </c>
      <c r="M179" s="20" t="s">
        <v>1930</v>
      </c>
      <c r="N179" s="20" t="s">
        <v>1296</v>
      </c>
    </row>
    <row r="180" spans="1:14" ht="20.100000000000001" customHeight="1" x14ac:dyDescent="0.2">
      <c r="D180" s="20" t="s">
        <v>1298</v>
      </c>
      <c r="E180" s="20" t="s">
        <v>617</v>
      </c>
      <c r="F180" s="20" t="s">
        <v>2089</v>
      </c>
      <c r="G180" s="20" t="str">
        <f>'Constants - Fertiliser'!$D$38</f>
        <v>Calcium nitrate</v>
      </c>
      <c r="H180" s="20"/>
      <c r="I180" s="20"/>
      <c r="J180" s="20"/>
      <c r="K180" s="20" t="s">
        <v>653</v>
      </c>
      <c r="L180" s="20">
        <v>0.75</v>
      </c>
      <c r="M180" s="20" t="s">
        <v>1930</v>
      </c>
      <c r="N180" s="20" t="s">
        <v>1296</v>
      </c>
    </row>
    <row r="181" spans="1:14" ht="20.100000000000001" customHeight="1" x14ac:dyDescent="0.2">
      <c r="D181" s="20" t="s">
        <v>1298</v>
      </c>
      <c r="E181" s="20" t="s">
        <v>2387</v>
      </c>
      <c r="F181" s="20" t="s">
        <v>2089</v>
      </c>
      <c r="G181" s="20" t="str">
        <f>'Constants - Fertiliser'!$D$21</f>
        <v>Diammonium phosphate (DAP)</v>
      </c>
      <c r="H181" s="20"/>
      <c r="I181" s="20"/>
      <c r="J181" s="20"/>
      <c r="K181" s="20" t="s">
        <v>653</v>
      </c>
      <c r="L181" s="20">
        <v>1.34</v>
      </c>
      <c r="M181" s="20" t="s">
        <v>1930</v>
      </c>
      <c r="N181" s="20" t="s">
        <v>1296</v>
      </c>
    </row>
    <row r="182" spans="1:14" ht="20.100000000000001" customHeight="1" x14ac:dyDescent="0.2">
      <c r="D182" s="20" t="s">
        <v>1298</v>
      </c>
      <c r="E182" s="20" t="s">
        <v>2388</v>
      </c>
      <c r="F182" s="20" t="s">
        <v>2089</v>
      </c>
      <c r="G182" s="20" t="str">
        <f>'Constants - Fertiliser'!$D$35</f>
        <v>Double superphosphate</v>
      </c>
      <c r="H182" s="20"/>
      <c r="I182" s="20"/>
      <c r="J182" s="20"/>
      <c r="K182" s="20" t="s">
        <v>653</v>
      </c>
      <c r="L182" s="20">
        <v>0.39200000000000002</v>
      </c>
      <c r="M182" s="20" t="s">
        <v>1930</v>
      </c>
      <c r="N182" s="20" t="s">
        <v>1296</v>
      </c>
    </row>
    <row r="183" spans="1:14" ht="20.100000000000001" customHeight="1" x14ac:dyDescent="0.2">
      <c r="D183" s="20" t="s">
        <v>1298</v>
      </c>
      <c r="E183" s="20" t="s">
        <v>2389</v>
      </c>
      <c r="F183" s="20" t="s">
        <v>2089</v>
      </c>
      <c r="G183" s="20" t="str">
        <f>'Constants - Fertiliser'!$D$20</f>
        <v>Monoammonium phosphate (MAP)</v>
      </c>
      <c r="H183" s="20"/>
      <c r="I183" s="20"/>
      <c r="J183" s="20"/>
      <c r="K183" s="20" t="s">
        <v>653</v>
      </c>
      <c r="L183" s="20">
        <v>0.82699999999999996</v>
      </c>
      <c r="M183" s="20" t="s">
        <v>1930</v>
      </c>
      <c r="N183" s="20" t="s">
        <v>1296</v>
      </c>
    </row>
    <row r="184" spans="1:14" ht="20.100000000000001" customHeight="1" x14ac:dyDescent="0.2">
      <c r="D184" s="20" t="s">
        <v>1298</v>
      </c>
      <c r="E184" s="20" t="s">
        <v>2390</v>
      </c>
      <c r="F184" s="20" t="s">
        <v>2089</v>
      </c>
      <c r="G184" s="20" t="str">
        <f>'Constants - Fertiliser'!$D$34</f>
        <v>Muriate of potash (MOP)</v>
      </c>
      <c r="H184" s="20"/>
      <c r="I184" s="20"/>
      <c r="J184" s="20"/>
      <c r="K184" s="20" t="s">
        <v>653</v>
      </c>
      <c r="L184" s="20">
        <v>0.54900000000000004</v>
      </c>
      <c r="M184" s="20" t="s">
        <v>1930</v>
      </c>
      <c r="N184" s="20" t="s">
        <v>1296</v>
      </c>
    </row>
    <row r="185" spans="1:14" ht="20.100000000000001" customHeight="1" x14ac:dyDescent="0.2">
      <c r="D185" s="20" t="s">
        <v>1298</v>
      </c>
      <c r="E185" s="20" t="s">
        <v>2391</v>
      </c>
      <c r="F185" s="20" t="s">
        <v>2089</v>
      </c>
      <c r="G185" s="20" t="str">
        <f>'Constants - Fertiliser'!$D$27</f>
        <v>Nitrogen - Ammoniacal</v>
      </c>
      <c r="H185" s="20"/>
      <c r="I185" s="20"/>
      <c r="J185" s="20"/>
      <c r="K185" s="20" t="s">
        <v>1162</v>
      </c>
      <c r="L185" s="20">
        <v>2.83</v>
      </c>
      <c r="M185" s="20" t="s">
        <v>1930</v>
      </c>
      <c r="N185" s="20" t="s">
        <v>1296</v>
      </c>
    </row>
    <row r="186" spans="1:14" ht="20.100000000000001" customHeight="1" x14ac:dyDescent="0.2">
      <c r="D186" s="20" t="s">
        <v>1298</v>
      </c>
      <c r="E186" s="20" t="s">
        <v>2392</v>
      </c>
      <c r="F186" s="20" t="s">
        <v>2089</v>
      </c>
      <c r="G186" s="20" t="str">
        <f>'Constants - Fertiliser'!$D$29</f>
        <v>Nitrogen - Generic</v>
      </c>
      <c r="H186" s="20"/>
      <c r="I186" s="20"/>
      <c r="J186" s="20"/>
      <c r="K186" s="20" t="s">
        <v>1162</v>
      </c>
      <c r="L186" s="20">
        <v>4.2</v>
      </c>
      <c r="M186" s="20" t="s">
        <v>1930</v>
      </c>
      <c r="N186" s="20" t="s">
        <v>1296</v>
      </c>
    </row>
    <row r="187" spans="1:14" ht="20.100000000000001" customHeight="1" x14ac:dyDescent="0.2">
      <c r="D187" s="20" t="s">
        <v>1298</v>
      </c>
      <c r="E187" s="20" t="s">
        <v>2393</v>
      </c>
      <c r="F187" s="20" t="s">
        <v>2089</v>
      </c>
      <c r="G187" s="20" t="str">
        <f>'Constants - Fertiliser'!$D$28</f>
        <v>Nitrogen - Nitrate</v>
      </c>
      <c r="H187" s="20"/>
      <c r="I187" s="20"/>
      <c r="J187" s="20"/>
      <c r="K187" s="20" t="s">
        <v>1162</v>
      </c>
      <c r="L187" s="20">
        <v>5.47</v>
      </c>
      <c r="M187" s="20" t="s">
        <v>1930</v>
      </c>
      <c r="N187" s="20" t="s">
        <v>1296</v>
      </c>
    </row>
    <row r="188" spans="1:14" ht="20.100000000000001" customHeight="1" x14ac:dyDescent="0.2">
      <c r="D188" s="20" t="s">
        <v>1298</v>
      </c>
      <c r="E188" s="20" t="s">
        <v>2394</v>
      </c>
      <c r="F188" s="20" t="s">
        <v>2089</v>
      </c>
      <c r="G188" s="20" t="str">
        <f>'Constants - Fertiliser'!$D$30</f>
        <v>Phosphorus - Generic</v>
      </c>
      <c r="H188" s="20"/>
      <c r="I188" s="20"/>
      <c r="J188" s="20"/>
      <c r="K188" s="20" t="s">
        <v>2400</v>
      </c>
      <c r="L188" s="20">
        <v>3.96</v>
      </c>
      <c r="M188" s="20" t="s">
        <v>1930</v>
      </c>
      <c r="N188" s="20" t="s">
        <v>1296</v>
      </c>
    </row>
    <row r="189" spans="1:14" ht="20.100000000000001" customHeight="1" x14ac:dyDescent="0.2">
      <c r="D189" s="20" t="s">
        <v>1298</v>
      </c>
      <c r="E189" s="20" t="s">
        <v>2395</v>
      </c>
      <c r="F189" s="20" t="s">
        <v>2089</v>
      </c>
      <c r="G189" s="20" t="str">
        <f>'Constants - Fertiliser'!$D$31</f>
        <v>Potassium - Generic</v>
      </c>
      <c r="H189" s="20"/>
      <c r="I189" s="20"/>
      <c r="J189" s="20"/>
      <c r="K189" s="20" t="s">
        <v>2401</v>
      </c>
      <c r="L189" s="20">
        <v>0.90900000000000003</v>
      </c>
      <c r="M189" s="20" t="s">
        <v>1930</v>
      </c>
      <c r="N189" s="20" t="s">
        <v>1296</v>
      </c>
    </row>
    <row r="190" spans="1:14" ht="20.100000000000001" customHeight="1" x14ac:dyDescent="0.2">
      <c r="D190" s="20" t="s">
        <v>1298</v>
      </c>
      <c r="E190" s="20" t="s">
        <v>2396</v>
      </c>
      <c r="F190" s="20" t="s">
        <v>2089</v>
      </c>
      <c r="G190" s="20" t="str">
        <f>'Constants - Fertiliser'!$D$36</f>
        <v>Single superphosphate (SSP)</v>
      </c>
      <c r="H190" s="20"/>
      <c r="I190" s="20"/>
      <c r="J190" s="20"/>
      <c r="K190" s="20" t="s">
        <v>653</v>
      </c>
      <c r="L190" s="20">
        <v>0.22700000000000001</v>
      </c>
      <c r="M190" s="20" t="s">
        <v>1930</v>
      </c>
      <c r="N190" s="20" t="s">
        <v>1296</v>
      </c>
    </row>
    <row r="191" spans="1:14" ht="20.100000000000001" customHeight="1" x14ac:dyDescent="0.2">
      <c r="A191" s="85" t="str">
        <f>HYPERLINK("#A1", "▲ Back to top")</f>
        <v>▲ Back to top</v>
      </c>
      <c r="D191" s="20" t="s">
        <v>1298</v>
      </c>
      <c r="E191" s="20" t="s">
        <v>2397</v>
      </c>
      <c r="F191" s="20" t="s">
        <v>2089</v>
      </c>
      <c r="G191" s="20" t="str">
        <f>'Constants - Fertiliser'!$D$32</f>
        <v>Sulfur - Generic</v>
      </c>
      <c r="H191" s="20"/>
      <c r="I191" s="20"/>
      <c r="J191" s="20"/>
      <c r="K191" s="20" t="s">
        <v>2402</v>
      </c>
      <c r="L191" s="20">
        <v>2.5</v>
      </c>
      <c r="M191" s="20" t="s">
        <v>1930</v>
      </c>
      <c r="N191" s="20" t="s">
        <v>1296</v>
      </c>
    </row>
    <row r="192" spans="1:14" ht="20.100000000000001" customHeight="1" x14ac:dyDescent="0.2">
      <c r="D192" s="20" t="s">
        <v>1298</v>
      </c>
      <c r="E192" s="20" t="s">
        <v>2398</v>
      </c>
      <c r="F192" s="20" t="s">
        <v>2089</v>
      </c>
      <c r="G192" s="20" t="str">
        <f>'Constants - Fertiliser'!$D$23</f>
        <v>Sulphate of ammonia (SOA)</v>
      </c>
      <c r="H192" s="20"/>
      <c r="I192" s="20"/>
      <c r="J192" s="20"/>
      <c r="K192" s="20" t="s">
        <v>653</v>
      </c>
      <c r="L192" s="20">
        <v>0.86499999999999999</v>
      </c>
      <c r="M192" s="20" t="s">
        <v>1930</v>
      </c>
      <c r="N192" s="20" t="s">
        <v>1296</v>
      </c>
    </row>
    <row r="193" spans="4:14" ht="20.100000000000001" customHeight="1" x14ac:dyDescent="0.2">
      <c r="D193" s="20" t="s">
        <v>1298</v>
      </c>
      <c r="E193" s="20" t="s">
        <v>2399</v>
      </c>
      <c r="F193" s="20" t="s">
        <v>2089</v>
      </c>
      <c r="G193" s="20" t="str">
        <f>'Constants - Fertiliser'!$D$24</f>
        <v>Urea-ammonium nitrate (UAN)</v>
      </c>
      <c r="H193" s="20"/>
      <c r="I193" s="20"/>
      <c r="J193" s="20"/>
      <c r="K193" s="20" t="s">
        <v>653</v>
      </c>
      <c r="L193" s="20">
        <v>1.75</v>
      </c>
      <c r="M193" s="20" t="s">
        <v>1930</v>
      </c>
      <c r="N193" s="20" t="s">
        <v>1296</v>
      </c>
    </row>
    <row r="194" spans="4:14" ht="20.100000000000001" customHeight="1" x14ac:dyDescent="0.2">
      <c r="D194" s="20" t="s">
        <v>1298</v>
      </c>
      <c r="E194" s="20" t="s">
        <v>2404</v>
      </c>
      <c r="F194" s="20" t="s">
        <v>2089</v>
      </c>
      <c r="G194" s="20" t="str">
        <f>'Constants - Fertiliser'!$D$22</f>
        <v>Urea</v>
      </c>
      <c r="H194" s="20" t="str">
        <f>'Constants - Fertiliser'!$V$20</f>
        <v>Global</v>
      </c>
      <c r="I194" s="20"/>
      <c r="J194" s="20"/>
      <c r="K194" s="20" t="s">
        <v>653</v>
      </c>
      <c r="L194" s="20">
        <v>0.96799999999999997</v>
      </c>
      <c r="M194" s="20" t="s">
        <v>1930</v>
      </c>
      <c r="N194" s="20" t="s">
        <v>1296</v>
      </c>
    </row>
    <row r="195" spans="4:14" ht="20.100000000000001" customHeight="1" x14ac:dyDescent="0.2">
      <c r="D195" s="20" t="s">
        <v>1298</v>
      </c>
      <c r="E195" s="20" t="s">
        <v>2405</v>
      </c>
      <c r="F195" s="20" t="s">
        <v>2090</v>
      </c>
      <c r="G195" s="20" t="str">
        <f>'Constants - Fertiliser'!$D$22</f>
        <v>Urea</v>
      </c>
      <c r="H195" s="20" t="str">
        <f>'Constants - Fertiliser'!$V$21</f>
        <v>Canada</v>
      </c>
      <c r="I195" s="20"/>
      <c r="J195" s="20"/>
      <c r="K195" s="20" t="s">
        <v>653</v>
      </c>
      <c r="L195" s="20">
        <v>0.82299999999999995</v>
      </c>
      <c r="M195" s="20" t="s">
        <v>1930</v>
      </c>
      <c r="N195" s="20" t="s">
        <v>1296</v>
      </c>
    </row>
    <row r="196" spans="4:14" ht="20.100000000000001" customHeight="1" x14ac:dyDescent="0.2">
      <c r="D196" s="20" t="s">
        <v>1298</v>
      </c>
      <c r="E196" s="20" t="s">
        <v>2406</v>
      </c>
      <c r="F196" s="20" t="s">
        <v>2091</v>
      </c>
      <c r="G196" s="20" t="str">
        <f>'Constants - Fertiliser'!$D$22</f>
        <v>Urea</v>
      </c>
      <c r="H196" s="20" t="str">
        <f>'Constants - Fertiliser'!$V$22</f>
        <v>China</v>
      </c>
      <c r="I196" s="20"/>
      <c r="J196" s="20"/>
      <c r="K196" s="20" t="s">
        <v>653</v>
      </c>
      <c r="L196" s="20">
        <v>2.09</v>
      </c>
      <c r="M196" s="20" t="s">
        <v>1930</v>
      </c>
      <c r="N196" s="20" t="s">
        <v>1296</v>
      </c>
    </row>
    <row r="197" spans="4:14" ht="20.100000000000001" customHeight="1" x14ac:dyDescent="0.2">
      <c r="D197" s="20" t="s">
        <v>1298</v>
      </c>
      <c r="E197" s="20" t="s">
        <v>2407</v>
      </c>
      <c r="F197" s="20" t="s">
        <v>2092</v>
      </c>
      <c r="G197" s="20" t="str">
        <f>'Constants - Fertiliser'!$D$22</f>
        <v>Urea</v>
      </c>
      <c r="H197" s="20" t="str">
        <f>'Constants - Fertiliser'!$V$23</f>
        <v>Yemen</v>
      </c>
      <c r="I197" s="20"/>
      <c r="J197" s="20"/>
      <c r="K197" s="20" t="s">
        <v>653</v>
      </c>
      <c r="L197" s="20">
        <v>0.96299999999999997</v>
      </c>
      <c r="M197" s="20" t="s">
        <v>1930</v>
      </c>
      <c r="N197" s="20" t="s">
        <v>1296</v>
      </c>
    </row>
    <row r="198" spans="4:14" ht="20.100000000000001" customHeight="1" x14ac:dyDescent="0.2">
      <c r="D198" s="20" t="s">
        <v>1298</v>
      </c>
      <c r="E198" s="20" t="s">
        <v>2408</v>
      </c>
      <c r="F198" s="20" t="s">
        <v>2089</v>
      </c>
      <c r="G198" s="20" t="str">
        <f>'Constants - Fertiliser'!$D$33</f>
        <v>Zinc - Generic</v>
      </c>
      <c r="H198" s="20"/>
      <c r="I198" s="20"/>
      <c r="J198" s="20"/>
      <c r="K198" s="20" t="s">
        <v>2403</v>
      </c>
      <c r="L198" s="20">
        <v>4.82</v>
      </c>
      <c r="M198" s="20" t="s">
        <v>1930</v>
      </c>
      <c r="N198" s="20" t="s">
        <v>1296</v>
      </c>
    </row>
    <row r="200" spans="4:14" ht="20.100000000000001" customHeight="1" x14ac:dyDescent="0.2">
      <c r="D200" s="2" t="s">
        <v>1300</v>
      </c>
    </row>
    <row r="201" spans="4:14" ht="20.100000000000001" customHeight="1" x14ac:dyDescent="0.2">
      <c r="D201" s="20" t="s">
        <v>565</v>
      </c>
      <c r="E201" s="20" t="s">
        <v>144</v>
      </c>
      <c r="F201" s="20" t="s">
        <v>566</v>
      </c>
      <c r="G201" s="20" t="s">
        <v>567</v>
      </c>
      <c r="H201" s="20" t="s">
        <v>1295</v>
      </c>
      <c r="I201" s="20" t="s">
        <v>569</v>
      </c>
      <c r="J201" s="20" t="s">
        <v>744</v>
      </c>
    </row>
    <row r="202" spans="4:14" ht="20.100000000000001" customHeight="1" x14ac:dyDescent="0.2">
      <c r="D202" s="20" t="s">
        <v>2370</v>
      </c>
      <c r="E202" s="20" t="s">
        <v>2409</v>
      </c>
      <c r="F202" s="20" t="s">
        <v>538</v>
      </c>
      <c r="G202" s="20" t="s">
        <v>1623</v>
      </c>
      <c r="H202" s="20">
        <v>4.24E-2</v>
      </c>
      <c r="I202" s="20" t="s">
        <v>1930</v>
      </c>
      <c r="J202" s="20" t="s">
        <v>1296</v>
      </c>
    </row>
    <row r="203" spans="4:14" ht="20.100000000000001" customHeight="1" x14ac:dyDescent="0.2">
      <c r="D203" s="20" t="s">
        <v>2370</v>
      </c>
      <c r="E203" s="20" t="s">
        <v>2410</v>
      </c>
      <c r="F203" s="20" t="s">
        <v>538</v>
      </c>
      <c r="G203" s="20" t="s">
        <v>1623</v>
      </c>
      <c r="H203" s="20">
        <v>2.93E-2</v>
      </c>
      <c r="I203" s="20" t="s">
        <v>1930</v>
      </c>
      <c r="J203" s="20" t="s">
        <v>1296</v>
      </c>
    </row>
    <row r="204" spans="4:14" ht="20.100000000000001" customHeight="1" x14ac:dyDescent="0.2">
      <c r="D204" s="20" t="s">
        <v>2370</v>
      </c>
      <c r="E204" s="20" t="s">
        <v>2411</v>
      </c>
      <c r="F204" s="20" t="s">
        <v>538</v>
      </c>
      <c r="G204" s="20" t="s">
        <v>653</v>
      </c>
      <c r="H204" s="20">
        <v>0.23899999999999999</v>
      </c>
      <c r="I204" s="20" t="s">
        <v>1930</v>
      </c>
      <c r="J204" s="20" t="s">
        <v>1296</v>
      </c>
    </row>
    <row r="205" spans="4:14" ht="20.100000000000001" customHeight="1" x14ac:dyDescent="0.2">
      <c r="D205" s="20" t="s">
        <v>2370</v>
      </c>
      <c r="E205" s="20" t="s">
        <v>2412</v>
      </c>
      <c r="F205" s="20" t="s">
        <v>538</v>
      </c>
      <c r="G205" s="20" t="s">
        <v>653</v>
      </c>
      <c r="H205" s="20">
        <v>0.18099999999999999</v>
      </c>
      <c r="I205" s="20" t="s">
        <v>1930</v>
      </c>
      <c r="J205" s="20" t="s">
        <v>1296</v>
      </c>
    </row>
    <row r="206" spans="4:14" ht="20.100000000000001" customHeight="1" x14ac:dyDescent="0.2">
      <c r="D206" s="20" t="s">
        <v>2370</v>
      </c>
      <c r="E206" s="20" t="s">
        <v>2413</v>
      </c>
      <c r="F206" s="20" t="s">
        <v>2089</v>
      </c>
      <c r="G206" s="20" t="s">
        <v>653</v>
      </c>
      <c r="H206" s="20">
        <v>9.81</v>
      </c>
      <c r="I206" s="20" t="s">
        <v>1930</v>
      </c>
      <c r="J206" s="20" t="s">
        <v>1296</v>
      </c>
    </row>
    <row r="207" spans="4:14" ht="20.100000000000001" customHeight="1" x14ac:dyDescent="0.2">
      <c r="D207" s="20" t="s">
        <v>2370</v>
      </c>
      <c r="E207" s="20" t="s">
        <v>2414</v>
      </c>
      <c r="F207" s="20" t="s">
        <v>538</v>
      </c>
      <c r="G207" s="20" t="s">
        <v>653</v>
      </c>
      <c r="H207" s="20">
        <v>0.27</v>
      </c>
      <c r="I207" s="20" t="s">
        <v>1930</v>
      </c>
      <c r="J207" s="20" t="s">
        <v>1296</v>
      </c>
    </row>
    <row r="208" spans="4:14" ht="20.100000000000001" customHeight="1" x14ac:dyDescent="0.2">
      <c r="D208" s="20" t="s">
        <v>2370</v>
      </c>
      <c r="E208" s="20" t="s">
        <v>2415</v>
      </c>
      <c r="F208" s="20" t="s">
        <v>538</v>
      </c>
      <c r="G208" s="20" t="s">
        <v>653</v>
      </c>
      <c r="H208" s="20">
        <v>0.23200000000000001</v>
      </c>
      <c r="I208" s="20" t="s">
        <v>1930</v>
      </c>
      <c r="J208" s="20" t="s">
        <v>1296</v>
      </c>
    </row>
    <row r="209" spans="1:10" ht="20.100000000000001" customHeight="1" x14ac:dyDescent="0.2">
      <c r="D209" s="20" t="s">
        <v>2370</v>
      </c>
      <c r="E209" s="20" t="s">
        <v>2416</v>
      </c>
      <c r="F209" s="20" t="s">
        <v>538</v>
      </c>
      <c r="G209" s="20" t="s">
        <v>653</v>
      </c>
      <c r="H209" s="20">
        <v>0.26800000000000002</v>
      </c>
      <c r="I209" s="20" t="s">
        <v>1930</v>
      </c>
      <c r="J209" s="20" t="s">
        <v>1296</v>
      </c>
    </row>
    <row r="211" spans="1:10" ht="20.100000000000001" customHeight="1" x14ac:dyDescent="0.2">
      <c r="D211" s="2" t="s">
        <v>1301</v>
      </c>
    </row>
    <row r="212" spans="1:10" ht="20.100000000000001" customHeight="1" x14ac:dyDescent="0.2">
      <c r="D212" s="20" t="s">
        <v>565</v>
      </c>
      <c r="E212" s="20" t="s">
        <v>144</v>
      </c>
      <c r="F212" s="20" t="s">
        <v>566</v>
      </c>
      <c r="G212" s="20" t="s">
        <v>567</v>
      </c>
      <c r="H212" s="20" t="s">
        <v>1295</v>
      </c>
      <c r="I212" s="20" t="s">
        <v>569</v>
      </c>
      <c r="J212" s="20" t="s">
        <v>744</v>
      </c>
    </row>
    <row r="213" spans="1:10" ht="20.100000000000001" customHeight="1" x14ac:dyDescent="0.2">
      <c r="D213" s="20" t="s">
        <v>1301</v>
      </c>
      <c r="E213" s="20" t="s">
        <v>2417</v>
      </c>
      <c r="F213" s="20" t="s">
        <v>2089</v>
      </c>
      <c r="G213" s="20" t="s">
        <v>653</v>
      </c>
      <c r="H213" s="20">
        <v>1.05</v>
      </c>
      <c r="I213" s="20" t="s">
        <v>2356</v>
      </c>
      <c r="J213" s="20" t="s">
        <v>1296</v>
      </c>
    </row>
    <row r="214" spans="1:10" ht="20.100000000000001" customHeight="1" x14ac:dyDescent="0.2">
      <c r="D214" s="20" t="s">
        <v>1301</v>
      </c>
      <c r="E214" s="20" t="s">
        <v>2418</v>
      </c>
      <c r="F214" s="20" t="s">
        <v>2089</v>
      </c>
      <c r="G214" s="20" t="s">
        <v>1623</v>
      </c>
      <c r="H214" s="20">
        <v>3.99</v>
      </c>
      <c r="I214" s="20" t="s">
        <v>2356</v>
      </c>
      <c r="J214" s="20" t="s">
        <v>1296</v>
      </c>
    </row>
    <row r="215" spans="1:10" ht="20.100000000000001" customHeight="1" x14ac:dyDescent="0.2">
      <c r="D215" s="20" t="s">
        <v>1301</v>
      </c>
      <c r="E215" s="20" t="s">
        <v>2419</v>
      </c>
      <c r="F215" s="20" t="s">
        <v>2089</v>
      </c>
      <c r="G215" s="20" t="s">
        <v>653</v>
      </c>
      <c r="H215" s="20">
        <v>3.44</v>
      </c>
      <c r="I215" s="20" t="s">
        <v>2356</v>
      </c>
      <c r="J215" s="20" t="s">
        <v>1296</v>
      </c>
    </row>
    <row r="216" spans="1:10" ht="20.100000000000001" customHeight="1" x14ac:dyDescent="0.2">
      <c r="D216" s="20" t="s">
        <v>1301</v>
      </c>
      <c r="E216" s="20" t="s">
        <v>2420</v>
      </c>
      <c r="F216" s="20" t="s">
        <v>2089</v>
      </c>
      <c r="G216" s="20" t="s">
        <v>653</v>
      </c>
      <c r="H216" s="20">
        <v>3.72</v>
      </c>
      <c r="I216" s="20" t="s">
        <v>2356</v>
      </c>
      <c r="J216" s="20" t="s">
        <v>1296</v>
      </c>
    </row>
    <row r="218" spans="1:10" ht="20.100000000000001" customHeight="1" x14ac:dyDescent="0.2">
      <c r="D218" s="2" t="s">
        <v>1080</v>
      </c>
    </row>
    <row r="219" spans="1:10" ht="20.100000000000001" customHeight="1" x14ac:dyDescent="0.2">
      <c r="D219" s="20" t="s">
        <v>565</v>
      </c>
      <c r="E219" s="20" t="s">
        <v>144</v>
      </c>
      <c r="F219" s="20" t="s">
        <v>566</v>
      </c>
      <c r="G219" s="20" t="s">
        <v>567</v>
      </c>
      <c r="H219" s="20" t="s">
        <v>1295</v>
      </c>
      <c r="I219" s="20" t="s">
        <v>569</v>
      </c>
      <c r="J219" s="20" t="s">
        <v>744</v>
      </c>
    </row>
    <row r="220" spans="1:10" ht="20.100000000000001" customHeight="1" x14ac:dyDescent="0.2">
      <c r="D220" s="20" t="s">
        <v>1080</v>
      </c>
      <c r="E220" s="20" t="s">
        <v>1102</v>
      </c>
      <c r="F220" s="20" t="s">
        <v>2089</v>
      </c>
      <c r="G220" s="20" t="s">
        <v>2421</v>
      </c>
      <c r="H220" s="20">
        <v>5.2</v>
      </c>
      <c r="I220" s="20" t="s">
        <v>1930</v>
      </c>
      <c r="J220" s="20" t="s">
        <v>1296</v>
      </c>
    </row>
    <row r="221" spans="1:10" ht="20.100000000000001" customHeight="1" x14ac:dyDescent="0.2">
      <c r="A221" s="85" t="str">
        <f>HYPERLINK("#A1", "▲ Back to top")</f>
        <v>▲ Back to top</v>
      </c>
      <c r="D221" s="20" t="s">
        <v>1080</v>
      </c>
      <c r="E221" s="20" t="s">
        <v>2422</v>
      </c>
      <c r="F221" s="20" t="s">
        <v>2089</v>
      </c>
      <c r="G221" s="20" t="s">
        <v>2421</v>
      </c>
      <c r="H221" s="20">
        <v>8.3800000000000008</v>
      </c>
      <c r="I221" s="20" t="s">
        <v>1930</v>
      </c>
      <c r="J221" s="20" t="s">
        <v>1296</v>
      </c>
    </row>
    <row r="222" spans="1:10" ht="20.100000000000001" customHeight="1" x14ac:dyDescent="0.2">
      <c r="D222" s="20" t="s">
        <v>1080</v>
      </c>
      <c r="E222" s="20" t="s">
        <v>2423</v>
      </c>
      <c r="F222" s="20" t="s">
        <v>2089</v>
      </c>
      <c r="G222" s="20" t="s">
        <v>2421</v>
      </c>
      <c r="H222" s="20">
        <v>8.8000000000000007</v>
      </c>
      <c r="I222" s="20" t="s">
        <v>1930</v>
      </c>
      <c r="J222" s="20" t="s">
        <v>1296</v>
      </c>
    </row>
    <row r="223" spans="1:10" ht="20.100000000000001" customHeight="1" x14ac:dyDescent="0.2">
      <c r="D223" s="20" t="s">
        <v>1080</v>
      </c>
      <c r="E223" s="20" t="s">
        <v>1099</v>
      </c>
      <c r="F223" s="20" t="s">
        <v>2089</v>
      </c>
      <c r="G223" s="20" t="s">
        <v>2421</v>
      </c>
      <c r="H223" s="20">
        <v>10.3</v>
      </c>
      <c r="I223" s="20" t="s">
        <v>1930</v>
      </c>
      <c r="J223" s="20" t="s">
        <v>1296</v>
      </c>
    </row>
    <row r="224" spans="1:10" ht="20.100000000000001" customHeight="1" x14ac:dyDescent="0.2">
      <c r="D224" s="20" t="s">
        <v>1080</v>
      </c>
      <c r="E224" s="20" t="s">
        <v>2424</v>
      </c>
      <c r="F224" s="20" t="s">
        <v>2089</v>
      </c>
      <c r="G224" s="20" t="s">
        <v>2421</v>
      </c>
      <c r="H224" s="20">
        <v>4.55</v>
      </c>
      <c r="I224" s="20" t="s">
        <v>1930</v>
      </c>
      <c r="J224" s="20" t="s">
        <v>1296</v>
      </c>
    </row>
    <row r="225" spans="4:10" ht="20.100000000000001" customHeight="1" x14ac:dyDescent="0.2">
      <c r="D225" s="20" t="s">
        <v>1080</v>
      </c>
      <c r="E225" s="20" t="s">
        <v>2425</v>
      </c>
      <c r="F225" s="20" t="s">
        <v>2089</v>
      </c>
      <c r="G225" s="20" t="s">
        <v>2421</v>
      </c>
      <c r="H225" s="20">
        <v>5.6</v>
      </c>
      <c r="I225" s="20" t="s">
        <v>1930</v>
      </c>
      <c r="J225" s="20" t="s">
        <v>1296</v>
      </c>
    </row>
    <row r="226" spans="4:10" ht="20.100000000000001" customHeight="1" x14ac:dyDescent="0.2">
      <c r="D226" s="20" t="s">
        <v>1080</v>
      </c>
      <c r="E226" s="20" t="s">
        <v>1105</v>
      </c>
      <c r="F226" s="20" t="s">
        <v>2089</v>
      </c>
      <c r="G226" s="20" t="s">
        <v>2421</v>
      </c>
      <c r="H226" s="20">
        <v>8.06</v>
      </c>
      <c r="I226" s="20" t="s">
        <v>1930</v>
      </c>
      <c r="J226" s="20" t="s">
        <v>1296</v>
      </c>
    </row>
    <row r="227" spans="4:10" ht="20.100000000000001" customHeight="1" x14ac:dyDescent="0.2">
      <c r="D227" s="20" t="s">
        <v>1080</v>
      </c>
      <c r="E227" s="20" t="s">
        <v>2426</v>
      </c>
      <c r="F227" s="20" t="s">
        <v>2089</v>
      </c>
      <c r="G227" s="20" t="s">
        <v>2421</v>
      </c>
      <c r="H227" s="20">
        <v>8.8000000000000007</v>
      </c>
      <c r="I227" s="20" t="s">
        <v>1930</v>
      </c>
      <c r="J227" s="20" t="s">
        <v>1296</v>
      </c>
    </row>
    <row r="228" spans="4:10" ht="20.100000000000001" customHeight="1" x14ac:dyDescent="0.2">
      <c r="D228" s="20" t="s">
        <v>1080</v>
      </c>
      <c r="E228" s="20" t="s">
        <v>1098</v>
      </c>
      <c r="F228" s="20" t="s">
        <v>2089</v>
      </c>
      <c r="G228" s="20" t="s">
        <v>2421</v>
      </c>
      <c r="H228" s="20">
        <v>9.16</v>
      </c>
      <c r="I228" s="20" t="s">
        <v>1930</v>
      </c>
      <c r="J228" s="20" t="s">
        <v>1296</v>
      </c>
    </row>
    <row r="229" spans="4:10" ht="20.100000000000001" customHeight="1" x14ac:dyDescent="0.2">
      <c r="D229" s="20" t="s">
        <v>1080</v>
      </c>
      <c r="E229" s="20" t="s">
        <v>2427</v>
      </c>
      <c r="F229" s="20" t="s">
        <v>2089</v>
      </c>
      <c r="G229" s="20" t="s">
        <v>2421</v>
      </c>
      <c r="H229" s="20">
        <v>8.57</v>
      </c>
      <c r="I229" s="20" t="s">
        <v>1930</v>
      </c>
      <c r="J229" s="20" t="s">
        <v>1296</v>
      </c>
    </row>
    <row r="230" spans="4:10" ht="20.100000000000001" customHeight="1" x14ac:dyDescent="0.2">
      <c r="D230" s="20" t="s">
        <v>1080</v>
      </c>
      <c r="E230" s="20" t="s">
        <v>1103</v>
      </c>
      <c r="F230" s="20" t="s">
        <v>2089</v>
      </c>
      <c r="G230" s="20" t="s">
        <v>2421</v>
      </c>
      <c r="H230" s="20">
        <v>8.8000000000000007</v>
      </c>
      <c r="I230" s="20" t="s">
        <v>1930</v>
      </c>
      <c r="J230" s="20" t="s">
        <v>1296</v>
      </c>
    </row>
    <row r="231" spans="4:10" ht="20.100000000000001" customHeight="1" x14ac:dyDescent="0.2">
      <c r="D231" s="20" t="s">
        <v>1080</v>
      </c>
      <c r="E231" s="20" t="s">
        <v>1106</v>
      </c>
      <c r="F231" s="20" t="s">
        <v>2089</v>
      </c>
      <c r="G231" s="20" t="s">
        <v>2421</v>
      </c>
      <c r="H231" s="20">
        <v>6.16</v>
      </c>
      <c r="I231" s="20" t="s">
        <v>1930</v>
      </c>
      <c r="J231" s="20" t="s">
        <v>1296</v>
      </c>
    </row>
    <row r="233" spans="4:10" ht="20.100000000000001" customHeight="1" x14ac:dyDescent="0.2">
      <c r="D233" s="2" t="s">
        <v>1302</v>
      </c>
    </row>
    <row r="234" spans="4:10" ht="20.100000000000001" customHeight="1" x14ac:dyDescent="0.2">
      <c r="D234" s="20" t="s">
        <v>565</v>
      </c>
      <c r="E234" s="20" t="s">
        <v>144</v>
      </c>
      <c r="F234" s="20" t="s">
        <v>566</v>
      </c>
      <c r="G234" s="20" t="s">
        <v>567</v>
      </c>
      <c r="H234" s="20" t="s">
        <v>1295</v>
      </c>
      <c r="I234" s="20" t="s">
        <v>569</v>
      </c>
      <c r="J234" s="20" t="s">
        <v>744</v>
      </c>
    </row>
    <row r="235" spans="4:10" ht="20.100000000000001" customHeight="1" x14ac:dyDescent="0.2">
      <c r="D235" s="20" t="s">
        <v>1302</v>
      </c>
      <c r="E235" s="20" t="s">
        <v>2428</v>
      </c>
      <c r="F235" s="20" t="s">
        <v>538</v>
      </c>
      <c r="G235" s="20" t="s">
        <v>653</v>
      </c>
      <c r="H235" s="20">
        <v>6.5199999999999994E-2</v>
      </c>
      <c r="I235" s="20" t="s">
        <v>1930</v>
      </c>
      <c r="J235" s="20" t="s">
        <v>1296</v>
      </c>
    </row>
    <row r="236" spans="4:10" ht="20.100000000000001" customHeight="1" x14ac:dyDescent="0.2">
      <c r="D236" s="20" t="s">
        <v>1302</v>
      </c>
      <c r="E236" s="20" t="s">
        <v>2102</v>
      </c>
      <c r="F236" s="20" t="s">
        <v>538</v>
      </c>
      <c r="G236" s="20" t="s">
        <v>653</v>
      </c>
      <c r="H236" s="20">
        <v>6.5199999999999994E-2</v>
      </c>
      <c r="I236" s="20" t="s">
        <v>1930</v>
      </c>
      <c r="J236" s="20" t="s">
        <v>1296</v>
      </c>
    </row>
    <row r="237" spans="4:10" ht="20.100000000000001" customHeight="1" x14ac:dyDescent="0.2">
      <c r="D237" s="20" t="s">
        <v>1302</v>
      </c>
      <c r="E237" s="20" t="s">
        <v>2429</v>
      </c>
      <c r="F237" s="20" t="s">
        <v>538</v>
      </c>
      <c r="G237" s="20" t="s">
        <v>653</v>
      </c>
      <c r="H237" s="20">
        <v>4.8500000000000001E-2</v>
      </c>
      <c r="I237" s="20" t="s">
        <v>1930</v>
      </c>
      <c r="J237" s="20" t="s">
        <v>1296</v>
      </c>
    </row>
    <row r="240" spans="4:10" ht="20.100000000000001" customHeight="1" x14ac:dyDescent="0.2">
      <c r="D240" s="2" t="s">
        <v>1303</v>
      </c>
    </row>
    <row r="241" spans="4:18" ht="20.100000000000001" customHeight="1" x14ac:dyDescent="0.2">
      <c r="D241" s="20" t="s">
        <v>565</v>
      </c>
      <c r="E241" s="20" t="s">
        <v>144</v>
      </c>
      <c r="F241" s="20" t="s">
        <v>566</v>
      </c>
      <c r="G241" s="20" t="s">
        <v>567</v>
      </c>
      <c r="H241" s="20" t="s">
        <v>1295</v>
      </c>
      <c r="I241" s="20" t="s">
        <v>569</v>
      </c>
      <c r="J241" s="20" t="s">
        <v>744</v>
      </c>
      <c r="L241" s="20" t="s">
        <v>144</v>
      </c>
      <c r="M241" s="20" t="s">
        <v>490</v>
      </c>
      <c r="N241" s="1" t="str">
        <f>"Table_ProductRegions_" &amp; SUBSTITUTE(SUBSTITUTE(SUBSTITUTE(SUBSTITUTE(L242, " ", ""), ",", ""), "(", ""), ")", "")</f>
        <v>Table_ProductRegions_Sardineswhole</v>
      </c>
      <c r="R241" s="1"/>
    </row>
    <row r="242" spans="4:18" ht="20.100000000000001" customHeight="1" x14ac:dyDescent="0.2">
      <c r="D242" s="20" t="s">
        <v>2430</v>
      </c>
      <c r="E242" s="20" t="s">
        <v>2431</v>
      </c>
      <c r="F242" s="20" t="s">
        <v>522</v>
      </c>
      <c r="G242" s="20" t="s">
        <v>653</v>
      </c>
      <c r="H242" s="20">
        <v>0.376</v>
      </c>
      <c r="I242" s="20" t="s">
        <v>1930</v>
      </c>
      <c r="J242" s="20" t="s">
        <v>1296</v>
      </c>
      <c r="L242" s="20" t="str">
        <f>Table_SourceData_Scope3_FishFeedAndBait[[#This Row],[Product]]</f>
        <v>Sardines (whole)</v>
      </c>
      <c r="M242" s="20" t="str">
        <f>Table_SourceData_Scope3_FishFeedAndBait[[#This Row],[Region of origin]]</f>
        <v>SA</v>
      </c>
      <c r="R242" s="1"/>
    </row>
    <row r="243" spans="4:18" ht="20.100000000000001" customHeight="1" x14ac:dyDescent="0.2">
      <c r="D243" s="20" t="s">
        <v>1303</v>
      </c>
      <c r="E243" s="20" t="s">
        <v>2431</v>
      </c>
      <c r="F243" s="20" t="s">
        <v>538</v>
      </c>
      <c r="G243" s="20" t="s">
        <v>653</v>
      </c>
      <c r="H243" s="20">
        <v>0.3</v>
      </c>
      <c r="I243" s="20" t="s">
        <v>2432</v>
      </c>
      <c r="J243" s="20" t="s">
        <v>1304</v>
      </c>
      <c r="L243" s="1" t="str">
        <f>Table_SourceData_Scope3_FishFeedAndBait[[#This Row],[Product]]</f>
        <v>Sardines (whole)</v>
      </c>
      <c r="M243" s="1" t="str">
        <f>Table_SourceData_Scope3_FishFeedAndBait[[#This Row],[Region of origin]]</f>
        <v>Australia</v>
      </c>
      <c r="R243" s="1"/>
    </row>
    <row r="244" spans="4:18" ht="20.100000000000001" customHeight="1" x14ac:dyDescent="0.2">
      <c r="D244" s="20" t="s">
        <v>1303</v>
      </c>
      <c r="E244" s="20" t="s">
        <v>2433</v>
      </c>
      <c r="F244" s="20" t="s">
        <v>538</v>
      </c>
      <c r="G244" s="20" t="s">
        <v>653</v>
      </c>
      <c r="H244" s="20">
        <v>2.2000000000000002</v>
      </c>
      <c r="I244" s="20" t="s">
        <v>2432</v>
      </c>
      <c r="J244" s="20" t="s">
        <v>1304</v>
      </c>
      <c r="R244" s="1"/>
    </row>
    <row r="245" spans="4:18" ht="20.100000000000001" customHeight="1" x14ac:dyDescent="0.2">
      <c r="D245" s="20" t="s">
        <v>1303</v>
      </c>
      <c r="E245" s="20" t="s">
        <v>2434</v>
      </c>
      <c r="F245" s="20" t="s">
        <v>538</v>
      </c>
      <c r="G245" s="20" t="s">
        <v>653</v>
      </c>
      <c r="H245" s="20">
        <v>0.3</v>
      </c>
      <c r="I245" s="20" t="s">
        <v>2432</v>
      </c>
      <c r="J245" s="20" t="s">
        <v>1304</v>
      </c>
      <c r="R245" s="1"/>
    </row>
    <row r="246" spans="4:18" ht="20.100000000000001" customHeight="1" x14ac:dyDescent="0.2">
      <c r="D246" s="20" t="s">
        <v>1303</v>
      </c>
      <c r="E246" s="20" t="s">
        <v>2435</v>
      </c>
      <c r="F246" s="20" t="s">
        <v>538</v>
      </c>
      <c r="G246" s="20" t="s">
        <v>653</v>
      </c>
      <c r="H246" s="20">
        <v>0.3</v>
      </c>
      <c r="I246" s="20" t="s">
        <v>2432</v>
      </c>
      <c r="J246" s="20" t="s">
        <v>1304</v>
      </c>
      <c r="R246" s="1"/>
    </row>
    <row r="247" spans="4:18" ht="20.100000000000001" customHeight="1" x14ac:dyDescent="0.2">
      <c r="D247" s="20" t="s">
        <v>1303</v>
      </c>
      <c r="E247" s="20" t="s">
        <v>2436</v>
      </c>
      <c r="F247" s="20" t="s">
        <v>538</v>
      </c>
      <c r="G247" s="20" t="s">
        <v>653</v>
      </c>
      <c r="H247" s="20">
        <v>0.08</v>
      </c>
      <c r="I247" s="20" t="s">
        <v>2432</v>
      </c>
      <c r="J247" s="20" t="s">
        <v>1304</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9D282-EDDC-4840-B77A-01C1A36FC07A}">
  <sheetPr>
    <tabColor theme="2" tint="-0.499984740745262"/>
  </sheetPr>
  <dimension ref="A1:AI68"/>
  <sheetViews>
    <sheetView showGridLines="0" zoomScaleNormal="100" workbookViewId="0">
      <pane xSplit="1" topLeftCell="B1" activePane="topRight" state="frozenSplit"/>
      <selection pane="topRight" activeCell="A59" sqref="A59"/>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972</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Emissions Intensity")</f>
        <v>Results - Product Emissions Intensity</v>
      </c>
      <c r="D5" s="2" t="s">
        <v>2437</v>
      </c>
    </row>
    <row r="6" spans="1:35" ht="20.100000000000001" customHeight="1" x14ac:dyDescent="0.2">
      <c r="D6" s="17" t="s">
        <v>2438</v>
      </c>
    </row>
    <row r="7" spans="1:35" ht="20.100000000000001" customHeight="1" x14ac:dyDescent="0.2">
      <c r="D7" s="26" t="s">
        <v>2439</v>
      </c>
    </row>
    <row r="8" spans="1:35" ht="20.100000000000001" customHeight="1" x14ac:dyDescent="0.2">
      <c r="A8" s="7" t="s">
        <v>0</v>
      </c>
      <c r="D8" s="26" t="s">
        <v>2440</v>
      </c>
    </row>
    <row r="9" spans="1:35" ht="20.100000000000001" customHeight="1" x14ac:dyDescent="0.2">
      <c r="A9" s="5" t="str">
        <f>HYPERLINK("#'Input - Enterprise'!A1", "Enterprise")</f>
        <v>Enterprise</v>
      </c>
      <c r="D9" s="26" t="s">
        <v>2441</v>
      </c>
    </row>
    <row r="10" spans="1:35" ht="20.100000000000001" customHeight="1" x14ac:dyDescent="0.2">
      <c r="A10" s="5" t="str">
        <f>HYPERLINK("#'Input - Site'!A1", "Site")</f>
        <v>Site</v>
      </c>
      <c r="D10" s="26" t="s">
        <v>2442</v>
      </c>
    </row>
    <row r="11" spans="1:35" ht="20.100000000000001" customHeight="1" x14ac:dyDescent="0.2">
      <c r="A11" s="5" t="str">
        <f>HYPERLINK("#'Input - Pasture Beef'!A1", "Pasture Beef")</f>
        <v>Pasture Beef</v>
      </c>
      <c r="D11" s="26" t="s">
        <v>2443</v>
      </c>
    </row>
    <row r="12" spans="1:35" ht="20.100000000000001" customHeight="1" x14ac:dyDescent="0.2">
      <c r="A12" s="5" t="str">
        <f>HYPERLINK("#'Input - Livestock sales'!A1", "Livestock sales")</f>
        <v>Livestock sales</v>
      </c>
      <c r="D12" s="26" t="s">
        <v>2444</v>
      </c>
    </row>
    <row r="13" spans="1:35" ht="20.100000000000001" customHeight="1" x14ac:dyDescent="0.2">
      <c r="A13" s="5" t="str">
        <f>HYPERLINK("#'Input - Beef cattle purchases'!A1", "Beef cattle purchases")</f>
        <v>Beef cattle purchases</v>
      </c>
      <c r="D13" s="26" t="s">
        <v>2445</v>
      </c>
    </row>
    <row r="14" spans="1:35" ht="20.100000000000001" customHeight="1" x14ac:dyDescent="0.2">
      <c r="A14" s="5" t="str">
        <f>HYPERLINK("#'Input - Pasture'!A1", "Pasture")</f>
        <v>Pasture</v>
      </c>
      <c r="D14" s="1" t="s">
        <v>979</v>
      </c>
    </row>
    <row r="15" spans="1:35" ht="20.100000000000001" customHeight="1" x14ac:dyDescent="0.2">
      <c r="A15" s="5" t="str">
        <f>HYPERLINK("#'Input - Fert Prod System'!A1", "Fert Prod System")</f>
        <v>Fert Prod System</v>
      </c>
      <c r="D15" s="9" t="s">
        <v>2446</v>
      </c>
      <c r="I15" s="1" t="s">
        <v>973</v>
      </c>
      <c r="K15" s="1" t="s">
        <v>974</v>
      </c>
      <c r="M15" s="1" t="s">
        <v>975</v>
      </c>
      <c r="O15" s="1" t="s">
        <v>976</v>
      </c>
    </row>
    <row r="16" spans="1:35" ht="20.100000000000001" customHeight="1" x14ac:dyDescent="0.2">
      <c r="A16" s="5" t="str">
        <f>HYPERLINK("#'Input - Fertiliser'!A1", "Fertiliser")</f>
        <v>Fertiliser</v>
      </c>
      <c r="D16" s="20" t="s">
        <v>977</v>
      </c>
      <c r="E16" s="20" t="s">
        <v>978</v>
      </c>
      <c r="F16" s="20" t="s">
        <v>979</v>
      </c>
      <c r="G16" s="20" t="s">
        <v>980</v>
      </c>
      <c r="I16" s="20" t="s">
        <v>978</v>
      </c>
      <c r="K16" s="229" t="s">
        <v>978</v>
      </c>
      <c r="M16" s="229" t="s">
        <v>978</v>
      </c>
      <c r="O16" s="229" t="s">
        <v>978</v>
      </c>
    </row>
    <row r="17" spans="1:15" ht="20.100000000000001" customHeight="1" x14ac:dyDescent="0.2">
      <c r="A17" s="5" t="str">
        <f>HYPERLINK("#'Input - Fuel'!A1", "Fuel")</f>
        <v>Fuel</v>
      </c>
      <c r="D17" s="20" t="s">
        <v>932</v>
      </c>
      <c r="E17" s="20" t="s">
        <v>929</v>
      </c>
      <c r="F17" s="20">
        <v>2.1</v>
      </c>
      <c r="G17" s="20" t="s">
        <v>2447</v>
      </c>
      <c r="I17" s="20"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
      <c r="A18" s="5" t="str">
        <f>HYPERLINK("#'Input - Electricity'!A1", "Electricity")</f>
        <v>Electricity</v>
      </c>
      <c r="D18" s="1" t="s">
        <v>932</v>
      </c>
      <c r="E18" s="20" t="s">
        <v>923</v>
      </c>
      <c r="F18" s="20">
        <v>3.3</v>
      </c>
      <c r="G18" s="20" t="s">
        <v>2447</v>
      </c>
      <c r="I18" s="20"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
      <c r="A19" s="5" t="str">
        <f>HYPERLINK("#'Input - Common farm inputs'!A1", "Common farm inputs")</f>
        <v>Common farm inputs</v>
      </c>
      <c r="D19" s="1" t="s">
        <v>932</v>
      </c>
      <c r="E19" s="20" t="s">
        <v>941</v>
      </c>
      <c r="F19" s="20">
        <v>1.6</v>
      </c>
      <c r="G19" s="20" t="s">
        <v>2447</v>
      </c>
      <c r="I19" s="20"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
      <c r="A20" s="5" t="str">
        <f>HYPERLINK("#'Input - Crop pasture farm input'!A1", "Crop pasture farm input")</f>
        <v>Crop pasture farm input</v>
      </c>
      <c r="D20" s="1" t="s">
        <v>932</v>
      </c>
      <c r="E20" s="20" t="s">
        <v>2448</v>
      </c>
      <c r="F20" s="20">
        <v>0.7</v>
      </c>
      <c r="G20" s="20" t="s">
        <v>2447</v>
      </c>
      <c r="I20" s="20" t="str">
        <f>Table_SourceData_WasteSolid_WasteTreatmentEFs[[#This Row],[Waste type w]]</f>
        <v>Wood</v>
      </c>
      <c r="K20" s="1" t="str">
        <f t="shared" si="0"/>
        <v>Sludge</v>
      </c>
      <c r="M20" s="1" t="str">
        <f>E43</f>
        <v>Sludge</v>
      </c>
      <c r="O20" s="1" t="str">
        <f>E49</f>
        <v>Sludge</v>
      </c>
    </row>
    <row r="21" spans="1:15" ht="20.100000000000001" customHeight="1" x14ac:dyDescent="0.2">
      <c r="A21" s="5" t="str">
        <f>HYPERLINK("#'Input - Livestock farm Inputs'!A1", "Livestock farm Inputs")</f>
        <v>Livestock farm Inputs</v>
      </c>
      <c r="D21" s="1" t="s">
        <v>932</v>
      </c>
      <c r="E21" s="20" t="s">
        <v>2449</v>
      </c>
      <c r="F21" s="20">
        <v>2</v>
      </c>
      <c r="G21" s="20" t="s">
        <v>2447</v>
      </c>
      <c r="I21" s="20"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
      <c r="A22" s="5" t="str">
        <f>HYPERLINK("#'Input - Freight'!A1", "Freight")</f>
        <v>Freight</v>
      </c>
      <c r="D22" s="1" t="s">
        <v>932</v>
      </c>
      <c r="E22" s="20" t="s">
        <v>2450</v>
      </c>
      <c r="F22" s="20">
        <v>0.4</v>
      </c>
      <c r="G22" s="20" t="s">
        <v>2447</v>
      </c>
      <c r="I22" s="20" t="str">
        <f>Table_SourceData_WasteSolid_WasteTreatmentEFs[[#This Row],[Waste type w]]</f>
        <v>Sludge</v>
      </c>
      <c r="K22" s="1" t="str">
        <f t="shared" si="0"/>
        <v>Textiles</v>
      </c>
    </row>
    <row r="23" spans="1:15" ht="20.100000000000001" customHeight="1" x14ac:dyDescent="0.2">
      <c r="A23" s="5" t="str">
        <f>HYPERLINK("#'Input - Solid waste'!A1", "Solid waste")</f>
        <v>Solid waste</v>
      </c>
      <c r="D23" s="1" t="s">
        <v>932</v>
      </c>
      <c r="E23" s="20" t="s">
        <v>2451</v>
      </c>
      <c r="F23" s="20">
        <v>3.3</v>
      </c>
      <c r="G23" s="20" t="s">
        <v>2447</v>
      </c>
      <c r="I23" s="20" t="str">
        <f>Table_SourceData_WasteSolid_WasteTreatmentEFs[[#This Row],[Waste type w]]</f>
        <v>Rubber and leather</v>
      </c>
      <c r="K23" s="1" t="str">
        <f t="shared" si="0"/>
        <v>Rubber and leather</v>
      </c>
    </row>
    <row r="24" spans="1:15" ht="20.100000000000001" customHeight="1" x14ac:dyDescent="0.2">
      <c r="A24" s="5" t="str">
        <f>HYPERLINK("#'Input - Manure sent off-site'!A1", "Manure sent off-site")</f>
        <v>Manure sent off-site</v>
      </c>
      <c r="D24" s="1" t="s">
        <v>932</v>
      </c>
      <c r="E24" s="20" t="s">
        <v>2452</v>
      </c>
      <c r="F24" s="20">
        <v>0</v>
      </c>
      <c r="G24" s="20" t="s">
        <v>2447</v>
      </c>
      <c r="I24" s="20"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
      <c r="A25" s="5" t="str">
        <f>HYPERLINK("#'Input - Data quality'!A1", "Data quality")</f>
        <v>Data quality</v>
      </c>
      <c r="D25" s="1" t="s">
        <v>932</v>
      </c>
      <c r="E25" s="20" t="s">
        <v>2453</v>
      </c>
      <c r="F25" s="20">
        <v>1.6</v>
      </c>
      <c r="G25" s="20" t="s">
        <v>2447</v>
      </c>
      <c r="I25" s="20" t="str">
        <f>Table_SourceData_WasteSolid_WasteTreatmentEFs[[#This Row],[Waste type w]]</f>
        <v>Municipal solid waste</v>
      </c>
      <c r="K25" s="1" t="str">
        <f t="shared" si="0"/>
        <v>Municipal solid waste</v>
      </c>
    </row>
    <row r="26" spans="1:15" ht="20.100000000000001" customHeight="1" x14ac:dyDescent="0.2">
      <c r="D26" s="1" t="s">
        <v>932</v>
      </c>
      <c r="E26" s="20" t="s">
        <v>2454</v>
      </c>
      <c r="F26" s="20">
        <v>1.3</v>
      </c>
      <c r="G26" s="20" t="s">
        <v>2447</v>
      </c>
      <c r="I26" s="20" t="str">
        <f>Table_SourceData_WasteSolid_WasteTreatmentEFs[[#This Row],[Waste type w]]</f>
        <v>Commercial and industrial waste</v>
      </c>
      <c r="K26" s="1" t="str">
        <f t="shared" si="0"/>
        <v>Commercial and industrial waste</v>
      </c>
    </row>
    <row r="27" spans="1:15" ht="20.100000000000001" customHeight="1" x14ac:dyDescent="0.2">
      <c r="D27" s="1" t="s">
        <v>932</v>
      </c>
      <c r="E27" s="20" t="s">
        <v>2455</v>
      </c>
      <c r="F27" s="20">
        <v>0.2</v>
      </c>
      <c r="G27" s="20" t="s">
        <v>2447</v>
      </c>
      <c r="I27" s="20" t="str">
        <f>Table_SourceData_WasteSolid_WasteTreatmentEFs[[#This Row],[Waste type w]]</f>
        <v>Construction and demolition waste</v>
      </c>
    </row>
    <row r="28" spans="1:15" ht="20.100000000000001" customHeight="1" x14ac:dyDescent="0.2">
      <c r="A28" s="6" t="s">
        <v>2</v>
      </c>
      <c r="D28" s="1" t="s">
        <v>946</v>
      </c>
      <c r="E28" s="20" t="s">
        <v>2456</v>
      </c>
      <c r="F28" s="20">
        <v>0</v>
      </c>
      <c r="G28" s="20"/>
    </row>
    <row r="29" spans="1:15" ht="20.100000000000001" customHeight="1" x14ac:dyDescent="0.2">
      <c r="A29" s="5" t="str">
        <f>HYPERLINK("#'3.2.1.1-2 Enteric Methane'!A1", "3.2.1.1-2 Enteric Methane")</f>
        <v>3.2.1.1-2 Enteric Methane</v>
      </c>
      <c r="D29" s="1" t="s">
        <v>946</v>
      </c>
      <c r="E29" s="20" t="s">
        <v>929</v>
      </c>
      <c r="F29" s="20">
        <v>0</v>
      </c>
      <c r="G29" s="20"/>
    </row>
    <row r="30" spans="1:15" ht="20.100000000000001" customHeight="1" x14ac:dyDescent="0.2">
      <c r="A30" s="5" t="str">
        <f>HYPERLINK("#'4.2.1.1-2 Methane'!A1", "4.2.1.1-2 Manure methane")</f>
        <v>4.2.1.1-2 Manure methane</v>
      </c>
      <c r="D30" s="1" t="s">
        <v>946</v>
      </c>
      <c r="E30" s="20" t="s">
        <v>941</v>
      </c>
      <c r="F30" s="20">
        <v>0</v>
      </c>
      <c r="G30" s="20"/>
    </row>
    <row r="31" spans="1:15" ht="20.100000000000001" customHeight="1" x14ac:dyDescent="0.2">
      <c r="A31" s="5" t="str">
        <f>HYPERLINK("#'4.2.1.3-4 Soil direct N20'!A1", "4.2.1.3-4 Soil direct N2O")</f>
        <v>4.2.1.3-4 Soil direct N2O</v>
      </c>
      <c r="D31" s="1" t="s">
        <v>946</v>
      </c>
      <c r="E31" s="20" t="s">
        <v>2448</v>
      </c>
      <c r="F31" s="20">
        <v>0</v>
      </c>
      <c r="G31" s="20"/>
    </row>
    <row r="32" spans="1:15" ht="20.100000000000001" customHeight="1" x14ac:dyDescent="0.2">
      <c r="A32" s="5" t="str">
        <f>HYPERLINK("#'4.2.1.5-6 Soil Atmos Dep'!A1", "4.2.1.5-6 Soil atm. deposition")</f>
        <v>4.2.1.5-6 Soil atm. deposition</v>
      </c>
      <c r="D32" s="1" t="s">
        <v>946</v>
      </c>
      <c r="E32" s="20" t="s">
        <v>2450</v>
      </c>
      <c r="F32" s="20">
        <v>0</v>
      </c>
      <c r="G32" s="20"/>
    </row>
    <row r="33" spans="1:7" ht="20.100000000000001" customHeight="1" x14ac:dyDescent="0.2">
      <c r="A33" s="5" t="str">
        <f>HYPERLINK("#'4.2.1.7-8 Soil leach runoff'!A1", "4.2.1.7-8 Soil leach &amp; runoff")</f>
        <v>4.2.1.7-8 Soil leach &amp; runoff</v>
      </c>
      <c r="D33" s="1" t="s">
        <v>946</v>
      </c>
      <c r="E33" s="20" t="s">
        <v>923</v>
      </c>
      <c r="F33" s="20">
        <v>1.6899999999999998E-2</v>
      </c>
      <c r="G33" s="20"/>
    </row>
    <row r="34" spans="1:7" ht="20.100000000000001" customHeight="1" x14ac:dyDescent="0.2">
      <c r="A34" s="5" t="str">
        <f>HYPERLINK("#'5.1.1.1-2 Inorganic fert N2O'!A1", "5.1.1.1-2 Inorganic fert N2O")</f>
        <v>5.1.1.1-2 Inorganic fert N2O</v>
      </c>
      <c r="D34" s="1" t="s">
        <v>946</v>
      </c>
      <c r="E34" s="20" t="s">
        <v>2449</v>
      </c>
      <c r="F34" s="20">
        <v>0.36670000000000003</v>
      </c>
      <c r="G34" s="20"/>
    </row>
    <row r="35" spans="1:7" ht="20.100000000000001" customHeight="1" x14ac:dyDescent="0.2">
      <c r="A35" s="5" t="str">
        <f>HYPERLINK("#'5.1.1.3-4 Inorganic fert CO2'!A1", "5.1.1.3-4 Inorganic fert CO2")</f>
        <v>5.1.1.3-4 Inorganic fert CO2</v>
      </c>
      <c r="D35" s="1" t="s">
        <v>946</v>
      </c>
      <c r="E35" s="20" t="s">
        <v>2451</v>
      </c>
      <c r="F35" s="20">
        <v>0.4919</v>
      </c>
      <c r="G35" s="20"/>
    </row>
    <row r="36" spans="1:7" ht="20.100000000000001" customHeight="1" x14ac:dyDescent="0.2">
      <c r="A36" s="5" t="str">
        <f>HYPERLINK("#'5.2.1.1-2 Organic Fert N2O'!A1", "5.2.1.1-2 Organic fert N2O")</f>
        <v>5.2.1.1-2 Organic fert N2O</v>
      </c>
      <c r="D36" s="1" t="s">
        <v>946</v>
      </c>
      <c r="E36" s="20" t="s">
        <v>2452</v>
      </c>
      <c r="F36" s="20">
        <v>0.11</v>
      </c>
      <c r="G36" s="20"/>
    </row>
    <row r="37" spans="1:7" ht="20.100000000000001" customHeight="1" x14ac:dyDescent="0.2">
      <c r="A37" s="5" t="str">
        <f>HYPERLINK("#'5.3.1.1-2 Lime CO2'!A1", "5.3.1.1-2 Lime CO2")</f>
        <v>5.3.1.1-2 Lime CO2</v>
      </c>
      <c r="D37" s="1" t="s">
        <v>946</v>
      </c>
      <c r="E37" s="20" t="s">
        <v>2453</v>
      </c>
      <c r="F37" s="20">
        <v>5.3699999999999998E-2</v>
      </c>
      <c r="G37" s="230" t="s">
        <v>2457</v>
      </c>
    </row>
    <row r="38" spans="1:7" ht="20.100000000000001" customHeight="1" x14ac:dyDescent="0.2">
      <c r="A38" s="5" t="str">
        <f>HYPERLINK("#'5.4.1.1-4 Atmos deposition'!A1", "5.4.1.1-4 Atmos. deposition")</f>
        <v>5.4.1.1-4 Atmos. deposition</v>
      </c>
      <c r="D38" s="1" t="s">
        <v>946</v>
      </c>
      <c r="E38" s="20" t="s">
        <v>2454</v>
      </c>
      <c r="F38" s="20">
        <v>1.649</v>
      </c>
      <c r="G38" s="230" t="s">
        <v>2457</v>
      </c>
    </row>
    <row r="39" spans="1:7" ht="20.100000000000001" customHeight="1" x14ac:dyDescent="0.2">
      <c r="A39" s="5" t="str">
        <f>HYPERLINK("#'5.5.1.1-2 Leaching and runoff'!A1", "5.5.1.1-2 Leaching &amp; runoff")</f>
        <v>5.5.1.1-2 Leaching &amp; runoff</v>
      </c>
      <c r="D39" s="1" t="s">
        <v>922</v>
      </c>
      <c r="E39" s="20" t="s">
        <v>2458</v>
      </c>
      <c r="F39" s="20">
        <v>4.5999999999999999E-2</v>
      </c>
      <c r="G39" s="230" t="s">
        <v>2459</v>
      </c>
    </row>
    <row r="40" spans="1:7" ht="20.100000000000001" customHeight="1" x14ac:dyDescent="0.2">
      <c r="A40" s="5" t="str">
        <f>HYPERLINK("#'6.2.1.1-2 Pasture residue N2O'!A1", "6.2.1.1-2 Pasture residue N2O")</f>
        <v>6.2.1.1-2 Pasture residue N2O</v>
      </c>
      <c r="D40" s="1" t="s">
        <v>922</v>
      </c>
      <c r="E40" s="20" t="s">
        <v>929</v>
      </c>
      <c r="F40" s="20">
        <v>4.5999999999999999E-2</v>
      </c>
      <c r="G40" s="230"/>
    </row>
    <row r="41" spans="1:7" ht="20.100000000000001" customHeight="1" x14ac:dyDescent="0.2">
      <c r="A41" s="5" t="str">
        <f>HYPERLINK("#'6.3.1.1-2 Leach runoff pasture'!A1", "6.3.1.1-2 Leach &amp; runoff (pasture)")</f>
        <v>6.3.1.1-2 Leach &amp; runoff (pasture)</v>
      </c>
      <c r="D41" s="1" t="s">
        <v>922</v>
      </c>
      <c r="E41" s="20" t="s">
        <v>941</v>
      </c>
      <c r="F41" s="20">
        <v>4.5999999999999999E-2</v>
      </c>
      <c r="G41" s="230"/>
    </row>
    <row r="42" spans="1:7" ht="20.100000000000001" customHeight="1" x14ac:dyDescent="0.2">
      <c r="A42" s="5" t="str">
        <f>HYPERLINK("#'8.1.1.1-2 Transport fuel'!A1", "8.1.1.1-2 Transport fuel")</f>
        <v>8.1.1.1-2 Transport fuel</v>
      </c>
      <c r="D42" s="1" t="s">
        <v>922</v>
      </c>
      <c r="E42" s="20" t="s">
        <v>2448</v>
      </c>
      <c r="F42" s="20">
        <v>4.5999999999999999E-2</v>
      </c>
      <c r="G42" s="230"/>
    </row>
    <row r="43" spans="1:7" ht="20.100000000000001" customHeight="1" x14ac:dyDescent="0.2">
      <c r="A43" s="5" t="str">
        <f>HYPERLINK("#'8.2.1.1-2 Stationary fuel'!A1", "8.2.1.1-2 Stationary fuel")</f>
        <v>8.2.1.1-2 Stationary fuel</v>
      </c>
      <c r="D43" s="1" t="s">
        <v>922</v>
      </c>
      <c r="E43" s="20" t="s">
        <v>2450</v>
      </c>
      <c r="F43" s="20">
        <v>4.5999999999999999E-2</v>
      </c>
      <c r="G43" s="230"/>
    </row>
    <row r="44" spans="1:7" ht="20.100000000000001" customHeight="1" x14ac:dyDescent="0.2">
      <c r="A44" s="5" t="str">
        <f>HYPERLINK("#'10.1.1-2 Solid waste treatment'!A1", "10.1.1.1-2 Solid waste")</f>
        <v>10.1.1.1-2 Solid waste</v>
      </c>
      <c r="D44" s="1" t="s">
        <v>922</v>
      </c>
      <c r="E44" s="20" t="s">
        <v>923</v>
      </c>
      <c r="F44" s="20">
        <v>4.5999999999999999E-2</v>
      </c>
      <c r="G44" s="230"/>
    </row>
    <row r="45" spans="1:7" ht="20.100000000000001" customHeight="1" x14ac:dyDescent="0.2">
      <c r="A45" s="5" t="str">
        <f>HYPERLINK("#'14.1.1-2 Purchased electricity'!A1", "14.1.1-2 Purchased electricity")</f>
        <v>14.1.1-2 Purchased electricity</v>
      </c>
      <c r="D45" s="1" t="s">
        <v>2460</v>
      </c>
      <c r="E45" s="20" t="s">
        <v>2458</v>
      </c>
      <c r="F45" s="20">
        <v>2.8000000000000001E-2</v>
      </c>
      <c r="G45" s="230" t="s">
        <v>2459</v>
      </c>
    </row>
    <row r="46" spans="1:7" ht="20.100000000000001" customHeight="1" x14ac:dyDescent="0.2">
      <c r="A46" s="5" t="str">
        <f>HYPERLINK("#'15 Scope 3'!A1", "15 Scope 3")</f>
        <v>15 Scope 3</v>
      </c>
      <c r="D46" s="1" t="s">
        <v>2460</v>
      </c>
      <c r="E46" s="20" t="s">
        <v>929</v>
      </c>
      <c r="F46" s="20">
        <v>2.8000000000000001E-2</v>
      </c>
      <c r="G46" s="230"/>
    </row>
    <row r="47" spans="1:7" ht="20.100000000000001" customHeight="1" x14ac:dyDescent="0.2">
      <c r="A47" s="5" t="str">
        <f>HYPERLINK("#'Calcs - Manure sent off-site'!A1", "Calcs - Manure sent off-site")</f>
        <v>Calcs - Manure sent off-site</v>
      </c>
      <c r="D47" s="1" t="s">
        <v>2460</v>
      </c>
      <c r="E47" s="20" t="s">
        <v>941</v>
      </c>
      <c r="F47" s="20">
        <v>2.8000000000000001E-2</v>
      </c>
      <c r="G47" s="230"/>
    </row>
    <row r="48" spans="1:7" ht="20.100000000000001" customHeight="1" x14ac:dyDescent="0.2">
      <c r="D48" s="1" t="s">
        <v>2460</v>
      </c>
      <c r="E48" s="20" t="s">
        <v>2448</v>
      </c>
      <c r="F48" s="20">
        <v>2.8000000000000001E-2</v>
      </c>
      <c r="G48" s="230"/>
    </row>
    <row r="49" spans="1:7" ht="20.100000000000001" customHeight="1" x14ac:dyDescent="0.2">
      <c r="D49" s="1" t="s">
        <v>2460</v>
      </c>
      <c r="E49" s="20" t="s">
        <v>2450</v>
      </c>
      <c r="F49" s="20">
        <v>2.8000000000000001E-2</v>
      </c>
      <c r="G49" s="230"/>
    </row>
    <row r="50" spans="1:7" ht="20.100000000000001" customHeight="1" x14ac:dyDescent="0.2">
      <c r="A50" s="86" t="s">
        <v>1</v>
      </c>
      <c r="D50" s="1" t="s">
        <v>2460</v>
      </c>
      <c r="E50" s="20" t="s">
        <v>923</v>
      </c>
      <c r="F50" s="20">
        <v>2.8000000000000001E-2</v>
      </c>
      <c r="G50" s="230"/>
    </row>
    <row r="51" spans="1:7" ht="20.100000000000001" customHeight="1" x14ac:dyDescent="0.2">
      <c r="A51" s="5" t="str">
        <f>HYPERLINK("#'Constants - Pasture Beef'!A1", "Constants - Pasture Beef")</f>
        <v>Constants - Pasture Beef</v>
      </c>
    </row>
    <row r="52" spans="1:7" ht="20.100000000000001" customHeight="1" x14ac:dyDescent="0.2">
      <c r="A52" s="5" t="str">
        <f>HYPERLINK("#'Constants - Ag Residue'!A1", "Constants - Ag residue")</f>
        <v>Constants - Ag residue</v>
      </c>
      <c r="D52" s="2" t="s">
        <v>2461</v>
      </c>
    </row>
    <row r="53" spans="1:7" ht="20.100000000000001" customHeight="1" x14ac:dyDescent="0.2">
      <c r="A53" s="5" t="str">
        <f>HYPERLINK("#'Constants - Common Livestock'!A1", "Constants - Common Livestock")</f>
        <v>Constants - Common Livestock</v>
      </c>
      <c r="D53" s="17" t="s">
        <v>2462</v>
      </c>
    </row>
    <row r="54" spans="1:7" ht="20.100000000000001" customHeight="1" x14ac:dyDescent="0.2">
      <c r="A54" s="5" t="str">
        <f>HYPERLINK("#'Constants - Electricity'!A1", "Constants - Electricity")</f>
        <v>Constants - Electricity</v>
      </c>
      <c r="D54" s="26" t="s">
        <v>2463</v>
      </c>
    </row>
    <row r="55" spans="1:7" ht="20.100000000000001" customHeight="1" x14ac:dyDescent="0.2">
      <c r="A55" s="5" t="str">
        <f>HYPERLINK("#'Constants - Fertiliser'!A1", "Constants - Fertiliser")</f>
        <v>Constants - Fertiliser</v>
      </c>
      <c r="D55" s="1" t="s">
        <v>981</v>
      </c>
    </row>
    <row r="56" spans="1:7" ht="20.100000000000001" customHeight="1" x14ac:dyDescent="0.2">
      <c r="A56" s="5" t="str">
        <f>HYPERLINK("#'Constants - Fuel'!A1", "Constants - Fuel")</f>
        <v>Constants - Fuel</v>
      </c>
      <c r="D56" s="9" t="s">
        <v>1709</v>
      </c>
    </row>
    <row r="57" spans="1:7" ht="20.100000000000001" customHeight="1" x14ac:dyDescent="0.2">
      <c r="A57" s="5" t="str">
        <f>HYPERLINK("#'Constants - Scope 3'!A1", "Constants - Scope 3")</f>
        <v>Constants - Scope 3</v>
      </c>
      <c r="D57" s="20" t="s">
        <v>978</v>
      </c>
      <c r="E57" s="20" t="s">
        <v>981</v>
      </c>
    </row>
    <row r="58" spans="1:7" ht="20.100000000000001" customHeight="1" x14ac:dyDescent="0.2">
      <c r="A58" s="87" t="str">
        <f>HYPERLINK("#'Constants - Solid Waste'!A1", "Constants - Solid Waste")</f>
        <v>Constants - Solid Waste</v>
      </c>
      <c r="D58" s="20" t="s">
        <v>929</v>
      </c>
      <c r="E58" s="20">
        <v>0.5</v>
      </c>
    </row>
    <row r="59" spans="1:7" ht="20.100000000000001" customHeight="1" x14ac:dyDescent="0.2">
      <c r="A59" s="5" t="str">
        <f>HYPERLINK("#'Constants - Common'!A1", "Constants - Common")</f>
        <v>Constants - Common</v>
      </c>
      <c r="D59" s="1" t="s">
        <v>923</v>
      </c>
      <c r="E59" s="20">
        <v>0.09</v>
      </c>
    </row>
    <row r="60" spans="1:7" ht="20.100000000000001" customHeight="1" x14ac:dyDescent="0.2">
      <c r="A60" s="5" t="str">
        <f>HYPERLINK("#'Acknowledgements'!A1", "Acknowledgements")</f>
        <v>Acknowledgements</v>
      </c>
      <c r="D60" s="1" t="s">
        <v>941</v>
      </c>
      <c r="E60" s="20">
        <v>0.24</v>
      </c>
    </row>
    <row r="61" spans="1:7" ht="20.100000000000001" customHeight="1" x14ac:dyDescent="0.2">
      <c r="D61" s="1" t="s">
        <v>2448</v>
      </c>
      <c r="E61" s="20">
        <v>0.15</v>
      </c>
    </row>
    <row r="62" spans="1:7" ht="20.100000000000001" customHeight="1" x14ac:dyDescent="0.2">
      <c r="D62" s="1" t="s">
        <v>2449</v>
      </c>
      <c r="E62" s="20">
        <v>0.14000000000000001</v>
      </c>
    </row>
    <row r="63" spans="1:7" ht="20.100000000000001" customHeight="1" x14ac:dyDescent="0.2">
      <c r="D63" s="1" t="s">
        <v>2450</v>
      </c>
      <c r="E63" s="20">
        <v>0.72</v>
      </c>
    </row>
    <row r="64" spans="1:7" ht="20.100000000000001" customHeight="1" x14ac:dyDescent="0.2">
      <c r="D64" s="1" t="s">
        <v>2451</v>
      </c>
      <c r="E64" s="20">
        <v>0.14000000000000001</v>
      </c>
    </row>
    <row r="65" spans="4:5" ht="20.100000000000001" customHeight="1" x14ac:dyDescent="0.2">
      <c r="D65" s="1" t="s">
        <v>2452</v>
      </c>
      <c r="E65" s="20">
        <v>0.42</v>
      </c>
    </row>
    <row r="66" spans="4:5" ht="20.100000000000001" customHeight="1" x14ac:dyDescent="0.2">
      <c r="D66" s="1" t="s">
        <v>2453</v>
      </c>
      <c r="E66" s="20">
        <v>0.36</v>
      </c>
    </row>
    <row r="67" spans="4:5" ht="20.100000000000001" customHeight="1" x14ac:dyDescent="0.2">
      <c r="D67" s="1" t="s">
        <v>2454</v>
      </c>
      <c r="E67" s="20">
        <v>0.33</v>
      </c>
    </row>
    <row r="68" spans="4:5" ht="20.100000000000001" customHeight="1" x14ac:dyDescent="0.2">
      <c r="D68" s="1" t="s">
        <v>2455</v>
      </c>
      <c r="E68" s="20">
        <v>0.39</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7E50F-045B-4C69-94CD-4E9D79138947}">
  <sheetPr>
    <tabColor theme="2" tint="-0.499984740745262"/>
  </sheetPr>
  <dimension ref="A1:BY332"/>
  <sheetViews>
    <sheetView showGridLines="0" zoomScaleNormal="100" workbookViewId="0">
      <pane xSplit="1" topLeftCell="B1" activePane="topRight" state="frozenSplit"/>
      <selection pane="topRight" activeCell="A59" sqref="A59"/>
    </sheetView>
  </sheetViews>
  <sheetFormatPr defaultColWidth="9.140625" defaultRowHeight="20.100000000000001" customHeight="1" x14ac:dyDescent="0.2"/>
  <cols>
    <col min="1" max="1" width="36.7109375" style="22" customWidth="1"/>
    <col min="2" max="2" width="2.7109375" style="2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2" customWidth="1"/>
    <col min="34" max="39" width="21.85546875" style="22" customWidth="1"/>
    <col min="40" max="44" width="20.7109375" style="22" customWidth="1"/>
    <col min="45" max="65" width="9.140625" style="22"/>
    <col min="66" max="16384" width="9.140625" style="25"/>
  </cols>
  <sheetData>
    <row r="1" spans="1:65" s="21" customFormat="1" ht="30" customHeight="1" x14ac:dyDescent="0.35">
      <c r="A1" s="10" t="e" vm="1">
        <v>#VALUE!</v>
      </c>
      <c r="C1" s="21" t="s">
        <v>29</v>
      </c>
    </row>
    <row r="2" spans="1:65" s="3" customFormat="1" ht="20.100000000000001" customHeight="1" x14ac:dyDescent="0.2">
      <c r="A2"/>
    </row>
    <row r="3" spans="1:6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4"/>
      <c r="W3" s="24"/>
    </row>
    <row r="4" spans="1:65" ht="20.100000000000001" customHeight="1" x14ac:dyDescent="0.2">
      <c r="A4" s="5" t="str">
        <f>HYPERLINK("#'Results - Activity period'!A1", "Results - Activity period")</f>
        <v>Results - Activity period</v>
      </c>
      <c r="BM4" s="25"/>
    </row>
    <row r="5" spans="1:65" ht="20.100000000000001" customHeight="1" x14ac:dyDescent="0.2">
      <c r="A5" s="5" t="str">
        <f>HYPERLINK("#'Results - Product EI'!A1", "Results - Product Emissions Intensity")</f>
        <v>Results - Product Emissions Intensity</v>
      </c>
      <c r="D5" s="2" t="s">
        <v>2464</v>
      </c>
      <c r="BM5" s="25"/>
    </row>
    <row r="6" spans="1:65" ht="20.100000000000001" customHeight="1" x14ac:dyDescent="0.2">
      <c r="A6"/>
      <c r="D6" s="20" t="s">
        <v>30</v>
      </c>
      <c r="E6" s="20" t="s">
        <v>31</v>
      </c>
      <c r="F6" s="20" t="s">
        <v>32</v>
      </c>
    </row>
    <row r="7" spans="1:65" ht="20.100000000000001" customHeight="1" x14ac:dyDescent="0.2">
      <c r="A7"/>
      <c r="D7" s="20" t="s">
        <v>2037</v>
      </c>
      <c r="E7" s="20" t="s">
        <v>2037</v>
      </c>
      <c r="F7" s="20" t="s">
        <v>521</v>
      </c>
    </row>
    <row r="8" spans="1:65" ht="20.100000000000001" customHeight="1" x14ac:dyDescent="0.2">
      <c r="A8" s="7" t="s">
        <v>0</v>
      </c>
      <c r="D8" s="20" t="s">
        <v>2465</v>
      </c>
      <c r="E8" s="20" t="s">
        <v>520</v>
      </c>
      <c r="F8" s="20" t="s">
        <v>520</v>
      </c>
    </row>
    <row r="9" spans="1:65" ht="20.100000000000001" customHeight="1" x14ac:dyDescent="0.2">
      <c r="A9" s="5" t="str">
        <f>HYPERLINK("#'Input - Enterprise'!A1", "Enterprise")</f>
        <v>Enterprise</v>
      </c>
      <c r="D9" s="20" t="s">
        <v>1889</v>
      </c>
      <c r="E9" s="20" t="s">
        <v>1889</v>
      </c>
      <c r="F9" s="20" t="s">
        <v>524</v>
      </c>
    </row>
    <row r="10" spans="1:65" ht="20.100000000000001" customHeight="1" x14ac:dyDescent="0.2">
      <c r="A10" s="5" t="str">
        <f>HYPERLINK("#'Input - Site'!A1", "Site")</f>
        <v>Site</v>
      </c>
      <c r="D10" s="20" t="s">
        <v>1894</v>
      </c>
      <c r="E10" s="20" t="s">
        <v>1894</v>
      </c>
      <c r="F10" s="20" t="s">
        <v>534</v>
      </c>
    </row>
    <row r="11" spans="1:65" ht="20.100000000000001" customHeight="1" x14ac:dyDescent="0.2">
      <c r="A11" s="5" t="str">
        <f>HYPERLINK("#'Input - Pasture Beef'!A1", "Pasture Beef")</f>
        <v>Pasture Beef</v>
      </c>
      <c r="D11" s="20" t="s">
        <v>1887</v>
      </c>
      <c r="E11" s="20" t="s">
        <v>1887</v>
      </c>
      <c r="F11" s="20" t="s">
        <v>522</v>
      </c>
      <c r="BM11" s="25"/>
    </row>
    <row r="12" spans="1:65" ht="20.100000000000001" customHeight="1" x14ac:dyDescent="0.2">
      <c r="A12" s="5" t="str">
        <f>HYPERLINK("#'Input - Livestock sales'!A1", "Livestock sales")</f>
        <v>Livestock sales</v>
      </c>
      <c r="D12" s="20" t="s">
        <v>108</v>
      </c>
      <c r="E12" s="20" t="s">
        <v>108</v>
      </c>
      <c r="F12" s="20" t="s">
        <v>526</v>
      </c>
      <c r="BM12" s="25"/>
    </row>
    <row r="13" spans="1:65" ht="20.100000000000001" customHeight="1" x14ac:dyDescent="0.2">
      <c r="A13" s="5" t="str">
        <f>HYPERLINK("#'Input - Beef cattle purchases'!A1", "Beef cattle purchases")</f>
        <v>Beef cattle purchases</v>
      </c>
      <c r="D13" s="20" t="s">
        <v>1888</v>
      </c>
      <c r="E13" s="20" t="s">
        <v>1888</v>
      </c>
      <c r="F13" s="20" t="s">
        <v>523</v>
      </c>
    </row>
    <row r="14" spans="1:65" ht="20.100000000000001" customHeight="1" x14ac:dyDescent="0.2">
      <c r="A14" s="5" t="str">
        <f>HYPERLINK("#'Input - Pasture'!A1", "Pasture")</f>
        <v>Pasture</v>
      </c>
      <c r="D14" s="20" t="s">
        <v>1892</v>
      </c>
      <c r="E14" s="20" t="s">
        <v>1892</v>
      </c>
      <c r="F14" s="20" t="s">
        <v>530</v>
      </c>
    </row>
    <row r="15" spans="1:65" ht="20.100000000000001" customHeight="1" x14ac:dyDescent="0.2">
      <c r="A15" s="5" t="str">
        <f>HYPERLINK("#'Input - Fert Prod System'!A1", "Fert Prod System")</f>
        <v>Fert Prod System</v>
      </c>
    </row>
    <row r="16" spans="1:65" ht="20.100000000000001" customHeight="1" x14ac:dyDescent="0.2">
      <c r="A16" s="5" t="str">
        <f>HYPERLINK("#'Input - Fertiliser'!A1", "Fertiliser")</f>
        <v>Fertiliser</v>
      </c>
    </row>
    <row r="17" spans="1:4" ht="20.100000000000001" customHeight="1" x14ac:dyDescent="0.2">
      <c r="A17" s="5" t="str">
        <f>HYPERLINK("#'Input - Fuel'!A1", "Fuel")</f>
        <v>Fuel</v>
      </c>
    </row>
    <row r="18" spans="1:4" ht="20.100000000000001" customHeight="1" x14ac:dyDescent="0.2">
      <c r="A18" s="5" t="str">
        <f>HYPERLINK("#'Input - Electricity'!A1", "Electricity")</f>
        <v>Electricity</v>
      </c>
      <c r="D18" s="2" t="s">
        <v>2466</v>
      </c>
    </row>
    <row r="19" spans="1:4" ht="20.100000000000001" customHeight="1" x14ac:dyDescent="0.2">
      <c r="A19" s="5" t="str">
        <f>HYPERLINK("#'Input - Common farm inputs'!A1", "Common farm inputs")</f>
        <v>Common farm inputs</v>
      </c>
      <c r="D19" s="17" t="s">
        <v>2467</v>
      </c>
    </row>
    <row r="20" spans="1:4" ht="20.100000000000001" customHeight="1" x14ac:dyDescent="0.2">
      <c r="A20" s="5" t="str">
        <f>HYPERLINK("#'Input - Crop pasture farm input'!A1", "Crop pasture farm input")</f>
        <v>Crop pasture farm input</v>
      </c>
      <c r="D20" s="20" t="s">
        <v>33</v>
      </c>
    </row>
    <row r="21" spans="1:4" ht="20.100000000000001" customHeight="1" x14ac:dyDescent="0.2">
      <c r="A21" s="5" t="str">
        <f>HYPERLINK("#'Input - Livestock farm Inputs'!A1", "Livestock farm Inputs")</f>
        <v>Livestock farm Inputs</v>
      </c>
      <c r="D21" s="20" t="s">
        <v>2468</v>
      </c>
    </row>
    <row r="22" spans="1:4" ht="20.100000000000001" customHeight="1" x14ac:dyDescent="0.2">
      <c r="A22" s="5" t="str">
        <f>HYPERLINK("#'Input - Freight'!A1", "Freight")</f>
        <v>Freight</v>
      </c>
      <c r="D22" s="20" t="s">
        <v>2469</v>
      </c>
    </row>
    <row r="23" spans="1:4" ht="20.100000000000001" customHeight="1" x14ac:dyDescent="0.2">
      <c r="A23" s="5" t="str">
        <f>HYPERLINK("#'Input - Solid waste'!A1", "Solid waste")</f>
        <v>Solid waste</v>
      </c>
      <c r="D23" s="20" t="s">
        <v>2470</v>
      </c>
    </row>
    <row r="24" spans="1:4" ht="20.100000000000001" customHeight="1" x14ac:dyDescent="0.2">
      <c r="A24" s="5" t="str">
        <f>HYPERLINK("#'Input - Manure sent off-site'!A1", "Manure sent off-site")</f>
        <v>Manure sent off-site</v>
      </c>
      <c r="D24" s="20" t="s">
        <v>2471</v>
      </c>
    </row>
    <row r="25" spans="1:4" ht="20.100000000000001" customHeight="1" x14ac:dyDescent="0.2">
      <c r="A25" s="5" t="str">
        <f>HYPERLINK("#'Input - Data quality'!A1", "Data quality")</f>
        <v>Data quality</v>
      </c>
      <c r="D25" s="20" t="s">
        <v>2472</v>
      </c>
    </row>
    <row r="26" spans="1:4" ht="20.100000000000001" customHeight="1" x14ac:dyDescent="0.2">
      <c r="A26"/>
      <c r="D26" s="20" t="s">
        <v>2473</v>
      </c>
    </row>
    <row r="27" spans="1:4" ht="20.100000000000001" customHeight="1" x14ac:dyDescent="0.2">
      <c r="A27"/>
      <c r="D27" s="20" t="s">
        <v>2474</v>
      </c>
    </row>
    <row r="28" spans="1:4" ht="20.100000000000001" customHeight="1" x14ac:dyDescent="0.2">
      <c r="A28" s="6" t="s">
        <v>2</v>
      </c>
      <c r="D28" s="20" t="s">
        <v>2475</v>
      </c>
    </row>
    <row r="29" spans="1:4" ht="20.100000000000001" customHeight="1" x14ac:dyDescent="0.2">
      <c r="A29" s="5" t="str">
        <f>HYPERLINK("#'3.2.1.1-2 Enteric Methane'!A1", "3.2.1.1-2 Enteric Methane")</f>
        <v>3.2.1.1-2 Enteric Methane</v>
      </c>
      <c r="D29" s="20" t="s">
        <v>2476</v>
      </c>
    </row>
    <row r="30" spans="1:4" ht="20.100000000000001" customHeight="1" x14ac:dyDescent="0.2">
      <c r="A30" s="5" t="str">
        <f>HYPERLINK("#'4.2.1.1-2 Methane'!A1", "4.2.1.1-2 Manure methane")</f>
        <v>4.2.1.1-2 Manure methane</v>
      </c>
      <c r="D30" s="20" t="s">
        <v>111</v>
      </c>
    </row>
    <row r="31" spans="1:4" ht="20.100000000000001" customHeight="1" x14ac:dyDescent="0.2">
      <c r="A31" s="5" t="str">
        <f>HYPERLINK("#'4.2.1.3-4 Soil direct N20'!A1", "4.2.1.3-4 Soil direct N2O")</f>
        <v>4.2.1.3-4 Soil direct N2O</v>
      </c>
    </row>
    <row r="32" spans="1:4" ht="20.100000000000001" customHeight="1" x14ac:dyDescent="0.2">
      <c r="A32" s="5" t="str">
        <f>HYPERLINK("#'4.2.1.5-6 Soil Atmos Dep'!A1", "4.2.1.5-6 Soil atm. deposition")</f>
        <v>4.2.1.5-6 Soil atm. deposition</v>
      </c>
    </row>
    <row r="33" spans="1:8" ht="20.100000000000001" customHeight="1" x14ac:dyDescent="0.2">
      <c r="A33" s="5" t="str">
        <f>HYPERLINK("#'4.2.1.7-8 Soil leach runoff'!A1", "4.2.1.7-8 Soil leach &amp; runoff")</f>
        <v>4.2.1.7-8 Soil leach &amp; runoff</v>
      </c>
    </row>
    <row r="34" spans="1:8" ht="20.100000000000001" customHeight="1" x14ac:dyDescent="0.2">
      <c r="A34" s="5" t="str">
        <f>HYPERLINK("#'5.1.1.1-2 Inorganic fert N2O'!A1", "5.1.1.1-2 Inorganic fert N2O")</f>
        <v>5.1.1.1-2 Inorganic fert N2O</v>
      </c>
      <c r="D34" s="2" t="s">
        <v>2477</v>
      </c>
    </row>
    <row r="35" spans="1:8" ht="20.100000000000001" customHeight="1" x14ac:dyDescent="0.2">
      <c r="A35" s="5" t="str">
        <f>HYPERLINK("#'5.1.1.3-4 Inorganic fert CO2'!A1", "5.1.1.3-4 Inorganic fert CO2")</f>
        <v>5.1.1.3-4 Inorganic fert CO2</v>
      </c>
      <c r="D35" s="17" t="s">
        <v>2478</v>
      </c>
    </row>
    <row r="36" spans="1:8" ht="20.100000000000001" customHeight="1" x14ac:dyDescent="0.2">
      <c r="A36" s="5" t="str">
        <f>HYPERLINK("#'5.2.1.1-2 Organic Fert N2O'!A1", "5.2.1.1-2 Organic fert N2O")</f>
        <v>5.2.1.1-2 Organic fert N2O</v>
      </c>
      <c r="D36" s="20" t="s">
        <v>34</v>
      </c>
      <c r="E36" s="20" t="s">
        <v>35</v>
      </c>
    </row>
    <row r="37" spans="1:8" ht="20.100000000000001" customHeight="1" x14ac:dyDescent="0.2">
      <c r="A37" s="5" t="str">
        <f>HYPERLINK("#'5.3.1.1-2 Lime CO2'!A1", "5.3.1.1-2 Lime CO2")</f>
        <v>5.3.1.1-2 Lime CO2</v>
      </c>
      <c r="D37" s="20" t="s">
        <v>857</v>
      </c>
      <c r="E37" s="20">
        <v>1</v>
      </c>
    </row>
    <row r="38" spans="1:8" ht="20.100000000000001" customHeight="1" x14ac:dyDescent="0.2">
      <c r="A38" s="5" t="str">
        <f>HYPERLINK("#'5.4.1.1-4 Atmos deposition'!A1", "5.4.1.1-4 Atmos. deposition")</f>
        <v>5.4.1.1-4 Atmos. deposition</v>
      </c>
      <c r="D38" s="20" t="s">
        <v>858</v>
      </c>
      <c r="E38" s="20">
        <v>28</v>
      </c>
    </row>
    <row r="39" spans="1:8" ht="20.100000000000001" customHeight="1" x14ac:dyDescent="0.2">
      <c r="A39" s="5" t="str">
        <f>HYPERLINK("#'5.5.1.1-2 Leaching and runoff'!A1", "5.5.1.1-2 Leaching &amp; runoff")</f>
        <v>5.5.1.1-2 Leaching &amp; runoff</v>
      </c>
      <c r="D39" s="20" t="s">
        <v>859</v>
      </c>
      <c r="E39" s="20">
        <v>265</v>
      </c>
    </row>
    <row r="40" spans="1:8" ht="20.100000000000001" customHeight="1" x14ac:dyDescent="0.2">
      <c r="A40" s="5" t="str">
        <f>HYPERLINK("#'6.2.1.1-2 Pasture residue N2O'!A1", "6.2.1.1-2 Pasture residue N2O")</f>
        <v>6.2.1.1-2 Pasture residue N2O</v>
      </c>
      <c r="D40" s="20" t="s">
        <v>2479</v>
      </c>
      <c r="E40" s="20">
        <v>6630</v>
      </c>
    </row>
    <row r="41" spans="1:8" ht="20.100000000000001" customHeight="1" x14ac:dyDescent="0.2">
      <c r="A41" s="5" t="str">
        <f>HYPERLINK("#'6.3.1.1-2 Leach runoff pasture'!A1", "6.3.1.1-2 Leach &amp; runoff (pasture)")</f>
        <v>6.3.1.1-2 Leach &amp; runoff (pasture)</v>
      </c>
      <c r="D41" s="20" t="s">
        <v>2480</v>
      </c>
      <c r="E41" s="20">
        <v>12200</v>
      </c>
    </row>
    <row r="42" spans="1:8" ht="20.100000000000001" customHeight="1" x14ac:dyDescent="0.2">
      <c r="A42" s="5" t="str">
        <f>HYPERLINK("#'8.1.1.1-2 Transport fuel'!A1", "8.1.1.1-2 Transport fuel")</f>
        <v>8.1.1.1-2 Transport fuel</v>
      </c>
      <c r="D42" s="20" t="s">
        <v>2481</v>
      </c>
      <c r="E42" s="20">
        <v>22800</v>
      </c>
    </row>
    <row r="43" spans="1:8" ht="20.100000000000001" customHeight="1" x14ac:dyDescent="0.2">
      <c r="A43" s="5" t="str">
        <f>HYPERLINK("#'8.2.1.1-2 Stationary fuel'!A1", "8.2.1.1-2 Stationary fuel")</f>
        <v>8.2.1.1-2 Stationary fuel</v>
      </c>
      <c r="D43" s="20" t="s">
        <v>2482</v>
      </c>
      <c r="E43" s="20">
        <v>17200</v>
      </c>
    </row>
    <row r="44" spans="1:8" ht="20.100000000000001" customHeight="1" x14ac:dyDescent="0.2">
      <c r="A44" s="5" t="str">
        <f>HYPERLINK("#'10.1.1-2 Solid waste treatment'!A1", "10.1.1.1-2 Solid waste")</f>
        <v>10.1.1.1-2 Solid waste</v>
      </c>
    </row>
    <row r="45" spans="1:8" ht="20.100000000000001" customHeight="1" x14ac:dyDescent="0.2">
      <c r="A45" s="5" t="str">
        <f>HYPERLINK("#'14.1.1-2 Purchased electricity'!A1", "14.1.1-2 Purchased electricity")</f>
        <v>14.1.1-2 Purchased electricity</v>
      </c>
      <c r="D45" s="2" t="s">
        <v>2483</v>
      </c>
    </row>
    <row r="46" spans="1:8" ht="20.100000000000001" customHeight="1" x14ac:dyDescent="0.2">
      <c r="A46" s="5" t="str">
        <f>HYPERLINK("#'15 Scope 3'!A1", "15 Scope 3")</f>
        <v>15 Scope 3</v>
      </c>
      <c r="D46" s="17" t="s">
        <v>2478</v>
      </c>
    </row>
    <row r="47" spans="1:8" ht="20.100000000000001" customHeight="1" x14ac:dyDescent="0.2">
      <c r="A47" s="5" t="str">
        <f>HYPERLINK("#'Calcs - Manure sent off-site'!A1", "Calcs - Manure sent off-site")</f>
        <v>Calcs - Manure sent off-site</v>
      </c>
      <c r="D47" s="20" t="s">
        <v>34</v>
      </c>
      <c r="E47" s="20" t="s">
        <v>36</v>
      </c>
      <c r="F47" s="20" t="s">
        <v>37</v>
      </c>
      <c r="G47" s="20" t="s">
        <v>38</v>
      </c>
      <c r="H47" s="20" t="s">
        <v>39</v>
      </c>
    </row>
    <row r="48" spans="1:8" ht="20.100000000000001" customHeight="1" x14ac:dyDescent="0.2">
      <c r="A48"/>
      <c r="D48" s="20" t="s">
        <v>857</v>
      </c>
      <c r="E48" s="20" t="s">
        <v>2484</v>
      </c>
      <c r="F48" s="20">
        <v>44</v>
      </c>
      <c r="G48" s="20">
        <v>12</v>
      </c>
      <c r="H48" s="20">
        <f>Table_GasToMolecularConversionFactor[[#This Row],[Conversion factor 1]]/Table_GasToMolecularConversionFactor[[#This Row],[Conversion factor 2]]</f>
        <v>3.6666666666666665</v>
      </c>
    </row>
    <row r="49" spans="1:8" ht="20.100000000000001" customHeight="1" x14ac:dyDescent="0.2">
      <c r="A49"/>
      <c r="D49" s="20" t="s">
        <v>858</v>
      </c>
      <c r="E49" s="20" t="s">
        <v>1987</v>
      </c>
      <c r="F49" s="20">
        <v>16</v>
      </c>
      <c r="G49" s="20">
        <v>12</v>
      </c>
      <c r="H49" s="20">
        <f>Table_GasToMolecularConversionFactor[[#This Row],[Conversion factor 1]]/Table_GasToMolecularConversionFactor[[#This Row],[Conversion factor 2]]</f>
        <v>1.3333333333333333</v>
      </c>
    </row>
    <row r="50" spans="1:8" ht="20.100000000000001" customHeight="1" x14ac:dyDescent="0.2">
      <c r="A50" s="86" t="s">
        <v>1</v>
      </c>
      <c r="D50" s="20" t="s">
        <v>859</v>
      </c>
      <c r="E50" s="20" t="s">
        <v>1988</v>
      </c>
      <c r="F50" s="20">
        <v>44</v>
      </c>
      <c r="G50" s="20">
        <v>28</v>
      </c>
      <c r="H50" s="20">
        <f>Table_GasToMolecularConversionFactor[[#This Row],[Conversion factor 1]]/Table_GasToMolecularConversionFactor[[#This Row],[Conversion factor 2]]</f>
        <v>1.5714285714285714</v>
      </c>
    </row>
    <row r="51" spans="1:8" ht="20.100000000000001" customHeight="1" x14ac:dyDescent="0.2">
      <c r="A51" s="5" t="str">
        <f>HYPERLINK("#'Constants - Pasture Beef'!A1", "Constants - Pasture Beef")</f>
        <v>Constants - Pasture Beef</v>
      </c>
      <c r="D51" s="20" t="s">
        <v>2485</v>
      </c>
      <c r="E51" s="20" t="s">
        <v>1990</v>
      </c>
      <c r="F51" s="20">
        <v>46</v>
      </c>
      <c r="G51" s="20">
        <v>14</v>
      </c>
      <c r="H51" s="20">
        <f>Table_GasToMolecularConversionFactor[[#This Row],[Conversion factor 1]]/Table_GasToMolecularConversionFactor[[#This Row],[Conversion factor 2]]</f>
        <v>3.2857142857142856</v>
      </c>
    </row>
    <row r="52" spans="1:8" ht="20.100000000000001" customHeight="1" x14ac:dyDescent="0.2">
      <c r="A52" s="5" t="str">
        <f>HYPERLINK("#'Constants - Ag Residue'!A1", "Constants - Ag residue")</f>
        <v>Constants - Ag residue</v>
      </c>
      <c r="D52" s="20" t="s">
        <v>1991</v>
      </c>
      <c r="E52" s="20" t="s">
        <v>1992</v>
      </c>
      <c r="F52" s="20">
        <v>28</v>
      </c>
      <c r="G52" s="20">
        <v>12</v>
      </c>
      <c r="H52" s="20">
        <f>Table_GasToMolecularConversionFactor[[#This Row],[Conversion factor 1]]/Table_GasToMolecularConversionFactor[[#This Row],[Conversion factor 2]]</f>
        <v>2.3333333333333335</v>
      </c>
    </row>
    <row r="53" spans="1:8" ht="20.100000000000001" customHeight="1" x14ac:dyDescent="0.2">
      <c r="A53" s="5" t="str">
        <f>HYPERLINK("#'Constants - Common Livestock'!A1", "Constants - Common Livestock")</f>
        <v>Constants - Common Livestock</v>
      </c>
      <c r="D53" s="20" t="s">
        <v>2486</v>
      </c>
      <c r="E53" s="20" t="s">
        <v>2484</v>
      </c>
      <c r="F53" s="20">
        <v>44</v>
      </c>
      <c r="G53" s="20">
        <v>12</v>
      </c>
      <c r="H53" s="20">
        <f>Table_GasToMolecularConversionFactor[[#This Row],[Conversion factor 1]]/Table_GasToMolecularConversionFactor[[#This Row],[Conversion factor 2]]</f>
        <v>3.6666666666666665</v>
      </c>
    </row>
    <row r="54" spans="1:8" ht="20.100000000000001" customHeight="1" x14ac:dyDescent="0.2">
      <c r="A54" s="5" t="str">
        <f>HYPERLINK("#'Constants - Electricity'!A1", "Constants - Electricity")</f>
        <v>Constants - Electricity</v>
      </c>
      <c r="D54" s="20" t="s">
        <v>1993</v>
      </c>
      <c r="E54" s="20" t="s">
        <v>1994</v>
      </c>
      <c r="F54" s="20">
        <v>14</v>
      </c>
      <c r="G54" s="20">
        <v>12</v>
      </c>
      <c r="H54" s="20">
        <f>Table_GasToMolecularConversionFactor[[#This Row],[Conversion factor 1]]/Table_GasToMolecularConversionFactor[[#This Row],[Conversion factor 2]]</f>
        <v>1.1666666666666667</v>
      </c>
    </row>
    <row r="55" spans="1:8" ht="20.100000000000001" customHeight="1" x14ac:dyDescent="0.2">
      <c r="A55" s="5" t="str">
        <f>HYPERLINK("#'Constants - Fertiliser'!A1", "Constants - Fertiliser")</f>
        <v>Constants - Fertiliser</v>
      </c>
    </row>
    <row r="56" spans="1:8" ht="20.100000000000001" customHeight="1" x14ac:dyDescent="0.2">
      <c r="A56" s="5" t="str">
        <f>HYPERLINK("#'Constants - Fuel'!A1", "Constants - Fuel")</f>
        <v>Constants - Fuel</v>
      </c>
    </row>
    <row r="57" spans="1:8" ht="20.100000000000001" customHeight="1" x14ac:dyDescent="0.2">
      <c r="A57" s="5" t="str">
        <f>HYPERLINK("#'Constants - Scope 3'!A1", "Constants - Scope 3")</f>
        <v>Constants - Scope 3</v>
      </c>
      <c r="D57" s="2" t="s">
        <v>2487</v>
      </c>
    </row>
    <row r="58" spans="1:8" ht="20.100000000000001" customHeight="1" x14ac:dyDescent="0.2">
      <c r="A58" s="5" t="str">
        <f>HYPERLINK("#'Constants - Solid Waste'!A1", "Constants - Solid Waste")</f>
        <v>Constants - Solid Waste</v>
      </c>
      <c r="D58" s="17" t="s">
        <v>2488</v>
      </c>
    </row>
    <row r="59" spans="1:8" ht="20.100000000000001" customHeight="1" x14ac:dyDescent="0.2">
      <c r="A59" s="87" t="str">
        <f>HYPERLINK("#'Constants - Common'!A1", "Constants - Common")</f>
        <v>Constants - Common</v>
      </c>
      <c r="D59" s="26" t="str" cm="1">
        <f t="array" ref="D59:D61">"⚠️" &amp; Common_SourceData.Common_SourceData_WetAndDryZones_Variation()</f>
        <v>⚠️VARIATION OF SOURCE DATA:</v>
      </c>
    </row>
    <row r="60" spans="1:8" ht="20.100000000000001" customHeight="1" x14ac:dyDescent="0.2">
      <c r="A60" s="5" t="str">
        <f>HYPERLINK("#'Acknowledgements'!A1", "Acknowledgements")</f>
        <v>Acknowledgements</v>
      </c>
      <c r="D60" s="26" t="str">
        <v>⚠️Added warm / cool temperate moist / dry - low frost and high temp classes to accommodate climate scenarios excluded by VEERG criteria.</v>
      </c>
    </row>
    <row r="61" spans="1:8" ht="20.100000000000001" customHeight="1" x14ac:dyDescent="0.2">
      <c r="A61"/>
      <c r="D61" s="26" t="str">
        <v>⚠️Fixed typo - Changed 'Fry' to 'Dry'.</v>
      </c>
    </row>
    <row r="62" spans="1:8" ht="20.100000000000001" customHeight="1" x14ac:dyDescent="0.2">
      <c r="A62"/>
    </row>
    <row r="63" spans="1:8" ht="20.100000000000001" customHeight="1" x14ac:dyDescent="0.2">
      <c r="A63"/>
      <c r="D63" s="20" t="s">
        <v>40</v>
      </c>
      <c r="E63" s="20" t="s">
        <v>41</v>
      </c>
    </row>
    <row r="64" spans="1:8" ht="20.100000000000001" customHeight="1" x14ac:dyDescent="0.2">
      <c r="A64"/>
      <c r="D64" s="20" t="s">
        <v>2489</v>
      </c>
      <c r="E64" s="20" t="s">
        <v>1977</v>
      </c>
    </row>
    <row r="65" spans="1:5" ht="20.100000000000001" customHeight="1" x14ac:dyDescent="0.2">
      <c r="A65"/>
      <c r="D65" s="20" t="s">
        <v>2490</v>
      </c>
      <c r="E65" s="20" t="s">
        <v>1977</v>
      </c>
    </row>
    <row r="66" spans="1:5" ht="20.100000000000001" customHeight="1" x14ac:dyDescent="0.2">
      <c r="A66"/>
      <c r="D66" s="20" t="s">
        <v>2491</v>
      </c>
      <c r="E66" s="20" t="s">
        <v>1977</v>
      </c>
    </row>
    <row r="67" spans="1:5" ht="20.100000000000001" customHeight="1" x14ac:dyDescent="0.2">
      <c r="A67"/>
      <c r="D67" s="20" t="s">
        <v>2492</v>
      </c>
      <c r="E67" s="20" t="s">
        <v>1978</v>
      </c>
    </row>
    <row r="68" spans="1:5" ht="20.100000000000001" customHeight="1" x14ac:dyDescent="0.2">
      <c r="A68"/>
      <c r="D68" s="20" t="s">
        <v>2493</v>
      </c>
      <c r="E68" s="20" t="s">
        <v>1977</v>
      </c>
    </row>
    <row r="69" spans="1:5" ht="20.100000000000001" customHeight="1" x14ac:dyDescent="0.2">
      <c r="A69"/>
      <c r="D69" s="20" t="s">
        <v>2494</v>
      </c>
      <c r="E69" s="20" t="s">
        <v>1978</v>
      </c>
    </row>
    <row r="70" spans="1:5" ht="20.100000000000001" customHeight="1" x14ac:dyDescent="0.2">
      <c r="A70"/>
      <c r="D70" s="20" t="s">
        <v>2495</v>
      </c>
      <c r="E70" s="20" t="s">
        <v>1977</v>
      </c>
    </row>
    <row r="71" spans="1:5" ht="20.100000000000001" customHeight="1" x14ac:dyDescent="0.2">
      <c r="A71" s="85" t="str">
        <f>HYPERLINK("#A1", "▲ Back to top")</f>
        <v>▲ Back to top</v>
      </c>
      <c r="D71" s="20" t="s">
        <v>2496</v>
      </c>
      <c r="E71" s="20" t="s">
        <v>1978</v>
      </c>
    </row>
    <row r="72" spans="1:5" ht="20.100000000000001" customHeight="1" x14ac:dyDescent="0.2">
      <c r="A72"/>
      <c r="D72" s="20" t="s">
        <v>2497</v>
      </c>
      <c r="E72" s="20" t="s">
        <v>1977</v>
      </c>
    </row>
    <row r="73" spans="1:5" ht="20.100000000000001" customHeight="1" x14ac:dyDescent="0.2">
      <c r="A73"/>
      <c r="D73" s="20" t="s">
        <v>2498</v>
      </c>
      <c r="E73" s="20" t="s">
        <v>1978</v>
      </c>
    </row>
    <row r="74" spans="1:5" ht="20.100000000000001" customHeight="1" x14ac:dyDescent="0.2">
      <c r="A74"/>
      <c r="D74" s="20" t="s">
        <v>2499</v>
      </c>
      <c r="E74" s="20" t="s">
        <v>1977</v>
      </c>
    </row>
    <row r="75" spans="1:5" ht="20.100000000000001" customHeight="1" x14ac:dyDescent="0.2">
      <c r="A75"/>
      <c r="D75" s="20" t="s">
        <v>2500</v>
      </c>
      <c r="E75" s="20" t="s">
        <v>1978</v>
      </c>
    </row>
    <row r="76" spans="1:5" ht="20.100000000000001" customHeight="1" x14ac:dyDescent="0.2">
      <c r="A76"/>
      <c r="D76" s="20" t="s">
        <v>2501</v>
      </c>
      <c r="E76" s="20" t="s">
        <v>1977</v>
      </c>
    </row>
    <row r="77" spans="1:5" ht="20.100000000000001" customHeight="1" x14ac:dyDescent="0.2">
      <c r="A77"/>
      <c r="D77" s="20" t="s">
        <v>2502</v>
      </c>
      <c r="E77" s="20" t="s">
        <v>1978</v>
      </c>
    </row>
    <row r="78" spans="1:5" ht="20.100000000000001" customHeight="1" x14ac:dyDescent="0.2">
      <c r="A78"/>
    </row>
    <row r="79" spans="1:5" ht="20.100000000000001" customHeight="1" x14ac:dyDescent="0.2">
      <c r="A79"/>
    </row>
    <row r="80" spans="1:5" ht="20.100000000000001" customHeight="1" x14ac:dyDescent="0.2">
      <c r="A80"/>
    </row>
    <row r="81" spans="1:20" ht="20.100000000000001" customHeight="1" x14ac:dyDescent="0.2">
      <c r="A81"/>
      <c r="D81" s="2" t="s">
        <v>2503</v>
      </c>
    </row>
    <row r="82" spans="1:20" ht="20.100000000000001" customHeight="1" x14ac:dyDescent="0.2">
      <c r="A82"/>
      <c r="D82" s="17" t="s">
        <v>2504</v>
      </c>
    </row>
    <row r="83" spans="1:20" ht="20.100000000000001" customHeight="1" x14ac:dyDescent="0.2">
      <c r="A83"/>
      <c r="D83" s="26" t="str" cm="1">
        <f t="array" ref="D83:D87">"⚠️" &amp; Common_SourceData.Common_SourceData_ClimateZones_Variation()</f>
        <v>⚠️VARIATION OF SOURCE DATA:</v>
      </c>
    </row>
    <row r="84" spans="1:20" ht="20.100000000000001" customHeight="1" x14ac:dyDescent="0.2">
      <c r="A84"/>
      <c r="D84" s="26" t="str">
        <v>⚠️Added warm / cool temperate moist / dry - low frost and high temp classes to accommodate climate scenarios excluded by VEERG criteria.</v>
      </c>
    </row>
    <row r="85" spans="1:20" ht="20.100000000000001" customHeight="1" x14ac:dyDescent="0.2">
      <c r="A85"/>
      <c r="D85" s="26" t="str">
        <v>⚠️Fixed typo in MAT value for warm temperate dry - changed 10 to 11.</v>
      </c>
    </row>
    <row r="86" spans="1:20" ht="20.100000000000001" customHeight="1" x14ac:dyDescent="0.2">
      <c r="A86"/>
      <c r="D86" s="26" t="str">
        <v>⚠️Added min and max columns for MAT, MAP, frost days per year, elevation, MAP:PET to calculate zones from real climate data.</v>
      </c>
    </row>
    <row r="87" spans="1:20" ht="20.100000000000001" customHeight="1" x14ac:dyDescent="0.2">
      <c r="A87"/>
      <c r="D87" s="26" t="str">
        <v>⚠️GAF accepts rainfall as a proxy for precipitation.</v>
      </c>
    </row>
    <row r="88" spans="1:20" ht="20.100000000000001" customHeight="1" x14ac:dyDescent="0.2">
      <c r="A88"/>
    </row>
    <row r="89" spans="1:20" ht="20.100000000000001" customHeight="1" x14ac:dyDescent="0.2">
      <c r="A89"/>
      <c r="D89" s="20" t="s">
        <v>40</v>
      </c>
      <c r="E89" s="20" t="s">
        <v>42</v>
      </c>
      <c r="F89" s="20" t="s">
        <v>43</v>
      </c>
      <c r="G89" s="20" t="s">
        <v>44</v>
      </c>
      <c r="H89" s="20" t="s">
        <v>45</v>
      </c>
      <c r="I89" s="20" t="s">
        <v>46</v>
      </c>
      <c r="J89" s="20" t="s">
        <v>47</v>
      </c>
      <c r="K89" s="20" t="s">
        <v>48</v>
      </c>
      <c r="L89" s="20" t="s">
        <v>49</v>
      </c>
      <c r="M89" s="20" t="s">
        <v>50</v>
      </c>
      <c r="N89" s="20" t="s">
        <v>51</v>
      </c>
      <c r="O89" s="20" t="s">
        <v>52</v>
      </c>
      <c r="P89" s="20" t="s">
        <v>53</v>
      </c>
      <c r="Q89" s="20" t="s">
        <v>54</v>
      </c>
      <c r="R89" s="20" t="s">
        <v>55</v>
      </c>
      <c r="S89" s="20" t="s">
        <v>56</v>
      </c>
      <c r="T89" s="20"/>
    </row>
    <row r="90" spans="1:20" ht="20.100000000000001" customHeight="1" x14ac:dyDescent="0.2">
      <c r="A90"/>
      <c r="D90" s="20" t="s">
        <v>2489</v>
      </c>
      <c r="E90" s="20" t="s">
        <v>2505</v>
      </c>
      <c r="F90" s="20" t="s">
        <v>2506</v>
      </c>
      <c r="G90" s="20" t="s">
        <v>2507</v>
      </c>
      <c r="H90" s="20" t="s">
        <v>2508</v>
      </c>
      <c r="I90" s="20" t="s">
        <v>2506</v>
      </c>
      <c r="J90" s="20">
        <v>18.001000000000001</v>
      </c>
      <c r="K90" s="20">
        <v>999999</v>
      </c>
      <c r="L90" s="20">
        <v>-999999</v>
      </c>
      <c r="M90" s="20">
        <v>999999</v>
      </c>
      <c r="N90" s="20">
        <v>-999999</v>
      </c>
      <c r="O90" s="20">
        <v>7</v>
      </c>
      <c r="P90" s="20">
        <v>1000</v>
      </c>
      <c r="Q90" s="20">
        <v>999999</v>
      </c>
      <c r="R90" s="20">
        <v>-999999</v>
      </c>
      <c r="S90" s="20">
        <v>999999</v>
      </c>
      <c r="T90" s="20"/>
    </row>
    <row r="91" spans="1:20" ht="20.100000000000001" customHeight="1" x14ac:dyDescent="0.2">
      <c r="A91"/>
      <c r="D91" s="20" t="s">
        <v>2490</v>
      </c>
      <c r="E91" s="20" t="s">
        <v>2505</v>
      </c>
      <c r="F91" s="20" t="s">
        <v>2509</v>
      </c>
      <c r="G91" s="20" t="s">
        <v>2507</v>
      </c>
      <c r="H91" s="20" t="s">
        <v>2510</v>
      </c>
      <c r="I91" s="20" t="s">
        <v>2506</v>
      </c>
      <c r="J91" s="20">
        <v>18.001000000000001</v>
      </c>
      <c r="K91" s="20">
        <v>999999</v>
      </c>
      <c r="L91" s="20">
        <v>2000.001</v>
      </c>
      <c r="M91" s="20">
        <v>999999</v>
      </c>
      <c r="N91" s="20">
        <v>-999999</v>
      </c>
      <c r="O91" s="20">
        <v>7</v>
      </c>
      <c r="P91" s="20">
        <v>-999999</v>
      </c>
      <c r="Q91" s="20">
        <v>999.99900000000002</v>
      </c>
      <c r="R91" s="20">
        <v>-999999</v>
      </c>
      <c r="S91" s="20">
        <v>999999</v>
      </c>
      <c r="T91" s="20"/>
    </row>
    <row r="92" spans="1:20" ht="20.100000000000001" customHeight="1" x14ac:dyDescent="0.2">
      <c r="A92"/>
      <c r="D92" s="20" t="s">
        <v>2491</v>
      </c>
      <c r="E92" s="20" t="s">
        <v>2505</v>
      </c>
      <c r="F92" s="20" t="s">
        <v>2511</v>
      </c>
      <c r="G92" s="20" t="s">
        <v>2507</v>
      </c>
      <c r="H92" s="20" t="s">
        <v>2510</v>
      </c>
      <c r="I92" s="20" t="s">
        <v>2506</v>
      </c>
      <c r="J92" s="20">
        <v>18.001000000000001</v>
      </c>
      <c r="K92" s="20">
        <v>999999</v>
      </c>
      <c r="L92" s="20">
        <v>1000.001</v>
      </c>
      <c r="M92" s="20">
        <v>2000</v>
      </c>
      <c r="N92" s="20">
        <v>-999999</v>
      </c>
      <c r="O92" s="20">
        <v>7</v>
      </c>
      <c r="P92" s="20">
        <v>-999999</v>
      </c>
      <c r="Q92" s="20">
        <v>999.99900000000002</v>
      </c>
      <c r="R92" s="20">
        <v>-999999</v>
      </c>
      <c r="S92" s="20">
        <v>999999</v>
      </c>
      <c r="T92" s="20"/>
    </row>
    <row r="93" spans="1:20" ht="20.100000000000001" customHeight="1" x14ac:dyDescent="0.2">
      <c r="A93"/>
      <c r="D93" s="20" t="s">
        <v>2492</v>
      </c>
      <c r="E93" s="20" t="s">
        <v>2505</v>
      </c>
      <c r="F93" s="20" t="s">
        <v>2512</v>
      </c>
      <c r="G93" s="20" t="s">
        <v>2507</v>
      </c>
      <c r="H93" s="20" t="s">
        <v>2510</v>
      </c>
      <c r="I93" s="20" t="s">
        <v>2506</v>
      </c>
      <c r="J93" s="20">
        <v>18.001000000000001</v>
      </c>
      <c r="K93" s="20">
        <v>999999</v>
      </c>
      <c r="L93" s="20">
        <v>-999999</v>
      </c>
      <c r="M93" s="20">
        <v>1000</v>
      </c>
      <c r="N93" s="20">
        <v>-999999</v>
      </c>
      <c r="O93" s="20">
        <v>7</v>
      </c>
      <c r="P93" s="20">
        <v>-999999</v>
      </c>
      <c r="Q93" s="20">
        <v>999.99900000000002</v>
      </c>
      <c r="R93" s="20">
        <v>-999999</v>
      </c>
      <c r="S93" s="20">
        <v>999999</v>
      </c>
      <c r="T93" s="20"/>
    </row>
    <row r="94" spans="1:20" ht="20.100000000000001" customHeight="1" x14ac:dyDescent="0.2">
      <c r="A94"/>
      <c r="D94" s="20" t="s">
        <v>2493</v>
      </c>
      <c r="E94" s="20" t="s">
        <v>2513</v>
      </c>
      <c r="F94" s="20" t="s">
        <v>2506</v>
      </c>
      <c r="G94" s="20" t="s">
        <v>2506</v>
      </c>
      <c r="H94" s="20" t="s">
        <v>2506</v>
      </c>
      <c r="I94" s="20" t="s">
        <v>2514</v>
      </c>
      <c r="J94" s="20">
        <v>10.000999999999999</v>
      </c>
      <c r="K94" s="20">
        <v>999999</v>
      </c>
      <c r="L94" s="20">
        <v>-999999</v>
      </c>
      <c r="M94" s="20">
        <v>999999</v>
      </c>
      <c r="N94" s="20">
        <v>-999999</v>
      </c>
      <c r="O94" s="20">
        <v>999999</v>
      </c>
      <c r="P94" s="20">
        <v>-999999</v>
      </c>
      <c r="Q94" s="20">
        <v>999999</v>
      </c>
      <c r="R94" s="20">
        <v>1.0009999999999999</v>
      </c>
      <c r="S94" s="20">
        <v>999999</v>
      </c>
      <c r="T94" s="20"/>
    </row>
    <row r="95" spans="1:20" ht="20.100000000000001" customHeight="1" x14ac:dyDescent="0.2">
      <c r="A95"/>
      <c r="D95" s="20" t="s">
        <v>2494</v>
      </c>
      <c r="E95" s="20" t="s">
        <v>2513</v>
      </c>
      <c r="F95" s="20" t="s">
        <v>2506</v>
      </c>
      <c r="G95" s="20" t="s">
        <v>2506</v>
      </c>
      <c r="H95" s="20" t="s">
        <v>2506</v>
      </c>
      <c r="I95" s="20" t="s">
        <v>2515</v>
      </c>
      <c r="J95" s="20">
        <v>10.000999999999999</v>
      </c>
      <c r="K95" s="20">
        <v>999999</v>
      </c>
      <c r="L95" s="20">
        <v>-999999</v>
      </c>
      <c r="M95" s="20">
        <v>999999</v>
      </c>
      <c r="N95" s="20">
        <v>-999999</v>
      </c>
      <c r="O95" s="20">
        <v>999999</v>
      </c>
      <c r="P95" s="20">
        <v>-999999</v>
      </c>
      <c r="Q95" s="20">
        <v>999999</v>
      </c>
      <c r="R95" s="20">
        <v>-999999</v>
      </c>
      <c r="S95" s="20">
        <v>1</v>
      </c>
      <c r="T95" s="20"/>
    </row>
    <row r="96" spans="1:20" ht="20.100000000000001" customHeight="1" x14ac:dyDescent="0.2">
      <c r="A96"/>
      <c r="D96" s="20" t="s">
        <v>2495</v>
      </c>
      <c r="E96" s="20" t="s">
        <v>2516</v>
      </c>
      <c r="F96" s="20" t="s">
        <v>2506</v>
      </c>
      <c r="G96" s="20" t="s">
        <v>2506</v>
      </c>
      <c r="H96" s="20" t="s">
        <v>2506</v>
      </c>
      <c r="I96" s="20" t="s">
        <v>2514</v>
      </c>
      <c r="J96" s="20">
        <v>-999999</v>
      </c>
      <c r="K96" s="20">
        <v>10</v>
      </c>
      <c r="L96" s="20">
        <v>-999999</v>
      </c>
      <c r="M96" s="20">
        <v>999999</v>
      </c>
      <c r="N96" s="20">
        <v>-999999</v>
      </c>
      <c r="O96" s="20">
        <v>999999</v>
      </c>
      <c r="P96" s="20">
        <v>-999999</v>
      </c>
      <c r="Q96" s="20">
        <v>999999</v>
      </c>
      <c r="R96" s="20">
        <v>1.0009999999999999</v>
      </c>
      <c r="S96" s="20">
        <v>999999</v>
      </c>
      <c r="T96" s="20"/>
    </row>
    <row r="97" spans="1:20" ht="20.100000000000001" customHeight="1" x14ac:dyDescent="0.2">
      <c r="A97"/>
      <c r="D97" s="20" t="s">
        <v>2496</v>
      </c>
      <c r="E97" s="20" t="s">
        <v>2516</v>
      </c>
      <c r="F97" s="20" t="s">
        <v>2506</v>
      </c>
      <c r="G97" s="20" t="s">
        <v>2506</v>
      </c>
      <c r="H97" s="20" t="s">
        <v>2506</v>
      </c>
      <c r="I97" s="20" t="s">
        <v>2515</v>
      </c>
      <c r="J97" s="20">
        <v>-999999</v>
      </c>
      <c r="K97" s="20">
        <v>10</v>
      </c>
      <c r="L97" s="20">
        <v>-999999</v>
      </c>
      <c r="M97" s="20">
        <v>999999</v>
      </c>
      <c r="N97" s="20">
        <v>-999999</v>
      </c>
      <c r="O97" s="20">
        <v>999999</v>
      </c>
      <c r="P97" s="20">
        <v>-999999</v>
      </c>
      <c r="Q97" s="20">
        <v>999999</v>
      </c>
      <c r="R97" s="20">
        <v>-999999</v>
      </c>
      <c r="S97" s="20">
        <v>1</v>
      </c>
      <c r="T97" s="20"/>
    </row>
    <row r="98" spans="1:20" ht="20.100000000000001" customHeight="1" x14ac:dyDescent="0.2">
      <c r="A98"/>
    </row>
    <row r="99" spans="1:20" ht="20.100000000000001" customHeight="1" x14ac:dyDescent="0.2">
      <c r="A99"/>
      <c r="D99" s="9" t="s">
        <v>2517</v>
      </c>
    </row>
    <row r="100" spans="1:20" ht="20.100000000000001" customHeight="1" x14ac:dyDescent="0.2">
      <c r="A100"/>
      <c r="D100" s="9" t="s">
        <v>2518</v>
      </c>
    </row>
    <row r="101" spans="1:20" ht="20.100000000000001" customHeight="1" x14ac:dyDescent="0.2">
      <c r="A101" s="85" t="str">
        <f>HYPERLINK("#A1", "▲ Back to top")</f>
        <v>▲ Back to top</v>
      </c>
      <c r="D101" s="9" t="s">
        <v>2519</v>
      </c>
    </row>
    <row r="102" spans="1:20" ht="20.100000000000001" customHeight="1" x14ac:dyDescent="0.2">
      <c r="A102"/>
      <c r="D102" s="9" t="s">
        <v>2520</v>
      </c>
    </row>
    <row r="103" spans="1:20" ht="20.100000000000001" customHeight="1" x14ac:dyDescent="0.2">
      <c r="A103"/>
      <c r="D103" s="9"/>
    </row>
    <row r="104" spans="1:20" ht="20.100000000000001" customHeight="1" x14ac:dyDescent="0.2">
      <c r="A104"/>
    </row>
    <row r="105" spans="1:20" ht="20.100000000000001" customHeight="1" x14ac:dyDescent="0.2">
      <c r="A105"/>
      <c r="D105" s="2" t="s">
        <v>2521</v>
      </c>
    </row>
    <row r="106" spans="1:20" ht="20.100000000000001" customHeight="1" x14ac:dyDescent="0.2">
      <c r="A106"/>
      <c r="D106" s="17" t="s">
        <v>2504</v>
      </c>
    </row>
    <row r="107" spans="1:20" ht="20.100000000000001" customHeight="1" x14ac:dyDescent="0.2">
      <c r="A107"/>
      <c r="D107" s="2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
      <c r="A108"/>
    </row>
    <row r="109" spans="1:20" ht="20.100000000000001" customHeight="1" x14ac:dyDescent="0.2">
      <c r="A109"/>
      <c r="D109" s="20" t="s">
        <v>57</v>
      </c>
      <c r="E109" s="20" t="s">
        <v>42</v>
      </c>
      <c r="F109" s="20" t="s">
        <v>58</v>
      </c>
      <c r="G109" s="20" t="s">
        <v>59</v>
      </c>
    </row>
    <row r="110" spans="1:20" ht="20.100000000000001" customHeight="1" x14ac:dyDescent="0.2">
      <c r="A110"/>
      <c r="D110" s="20" t="s">
        <v>2522</v>
      </c>
      <c r="E110" s="20" t="s">
        <v>2523</v>
      </c>
      <c r="F110" s="20">
        <v>26</v>
      </c>
      <c r="G110" s="20">
        <v>999999</v>
      </c>
    </row>
    <row r="111" spans="1:20" ht="20.100000000000001" customHeight="1" x14ac:dyDescent="0.2">
      <c r="A111"/>
      <c r="D111" s="20" t="s">
        <v>2524</v>
      </c>
      <c r="E111" s="20" t="s">
        <v>2525</v>
      </c>
      <c r="F111" s="20">
        <v>15</v>
      </c>
      <c r="G111" s="20">
        <v>25.998999999999999</v>
      </c>
    </row>
    <row r="112" spans="1:20" ht="20.100000000000001" customHeight="1" x14ac:dyDescent="0.2">
      <c r="A112"/>
      <c r="D112" s="20" t="s">
        <v>2526</v>
      </c>
      <c r="E112" s="20" t="s">
        <v>2527</v>
      </c>
      <c r="F112" s="20">
        <v>-999999</v>
      </c>
      <c r="G112" s="20">
        <v>14.999000000000001</v>
      </c>
    </row>
    <row r="113" spans="1:66" ht="20.100000000000001" customHeight="1" x14ac:dyDescent="0.2">
      <c r="A113"/>
    </row>
    <row r="114" spans="1:66" ht="20.100000000000001" customHeight="1" x14ac:dyDescent="0.2">
      <c r="A114"/>
    </row>
    <row r="115" spans="1:66" ht="20.100000000000001" customHeight="1" x14ac:dyDescent="0.2">
      <c r="A115"/>
      <c r="D115" s="2" t="s">
        <v>2528</v>
      </c>
      <c r="BN115" s="22"/>
    </row>
    <row r="116" spans="1:66" ht="20.100000000000001" customHeight="1" x14ac:dyDescent="0.2">
      <c r="A116"/>
      <c r="D116" s="17" t="s">
        <v>2504</v>
      </c>
      <c r="BN116" s="22"/>
    </row>
    <row r="117" spans="1:66" ht="20.100000000000001" customHeight="1" x14ac:dyDescent="0.2">
      <c r="A117"/>
      <c r="D117" s="26" t="str" cm="1">
        <f t="array" ref="D117">"⚠️" &amp; Common_SourceData.Common_SourceData_RainfallZones_Variation()</f>
        <v>⚠️VARIATION OF SOURCE DATA: Added extra Rainfall min and Rainfall max columns to calculate zone from real rainfall data.</v>
      </c>
      <c r="BN117" s="22"/>
    </row>
    <row r="118" spans="1:66" ht="20.100000000000001" customHeight="1" x14ac:dyDescent="0.2">
      <c r="A118"/>
      <c r="BN118" s="22"/>
    </row>
    <row r="119" spans="1:66" ht="20.100000000000001" customHeight="1" x14ac:dyDescent="0.2">
      <c r="A119"/>
      <c r="D119" s="20" t="s">
        <v>60</v>
      </c>
      <c r="E119" s="20" t="s">
        <v>61</v>
      </c>
      <c r="F119" s="20" t="s">
        <v>49</v>
      </c>
      <c r="G119" s="20" t="s">
        <v>50</v>
      </c>
      <c r="BN119" s="22"/>
    </row>
    <row r="120" spans="1:66" ht="20.100000000000001" customHeight="1" x14ac:dyDescent="0.2">
      <c r="A120"/>
      <c r="D120" s="20" t="s">
        <v>2529</v>
      </c>
      <c r="E120" s="20" t="s">
        <v>2530</v>
      </c>
      <c r="F120" s="20">
        <v>600.00099999999998</v>
      </c>
      <c r="G120" s="20">
        <v>999999</v>
      </c>
      <c r="BN120" s="22"/>
    </row>
    <row r="121" spans="1:66" ht="20.100000000000001" customHeight="1" x14ac:dyDescent="0.2">
      <c r="A121"/>
      <c r="D121" s="20" t="s">
        <v>2531</v>
      </c>
      <c r="E121" s="20" t="s">
        <v>2532</v>
      </c>
      <c r="F121" s="20">
        <v>-999999</v>
      </c>
      <c r="G121" s="20">
        <v>600</v>
      </c>
      <c r="BN121" s="22"/>
    </row>
    <row r="122" spans="1:66" ht="20.100000000000001" customHeight="1" x14ac:dyDescent="0.2">
      <c r="A122"/>
      <c r="BN122" s="22"/>
    </row>
    <row r="123" spans="1:66" ht="20.100000000000001" customHeight="1" x14ac:dyDescent="0.2">
      <c r="A123"/>
    </row>
    <row r="124" spans="1:66" ht="20.100000000000001" customHeight="1" x14ac:dyDescent="0.2">
      <c r="A124"/>
      <c r="D124" s="2" t="s">
        <v>2533</v>
      </c>
    </row>
    <row r="125" spans="1:66" ht="20.100000000000001" customHeight="1" x14ac:dyDescent="0.2">
      <c r="A125"/>
      <c r="D125" s="17" t="s">
        <v>2504</v>
      </c>
    </row>
    <row r="126" spans="1:66" ht="20.100000000000001" customHeight="1" x14ac:dyDescent="0.2">
      <c r="A126"/>
    </row>
    <row r="127" spans="1:66" ht="20.100000000000001" customHeight="1" x14ac:dyDescent="0.2">
      <c r="A127"/>
      <c r="D127" s="20" t="s">
        <v>62</v>
      </c>
      <c r="E127" s="20" t="s">
        <v>63</v>
      </c>
    </row>
    <row r="128" spans="1:66" ht="20.100000000000001" customHeight="1" x14ac:dyDescent="0.2">
      <c r="A128"/>
      <c r="D128" s="20" t="s">
        <v>2534</v>
      </c>
      <c r="E128" s="20" t="s">
        <v>2535</v>
      </c>
    </row>
    <row r="129" spans="1:77" ht="20.100000000000001" customHeight="1" x14ac:dyDescent="0.2">
      <c r="A129"/>
      <c r="D129" s="20" t="s">
        <v>2536</v>
      </c>
      <c r="E129" s="20" t="s">
        <v>2537</v>
      </c>
    </row>
    <row r="130" spans="1:77" ht="20.100000000000001" customHeight="1" x14ac:dyDescent="0.2">
      <c r="A130"/>
    </row>
    <row r="131" spans="1:77" ht="20.100000000000001" customHeight="1" x14ac:dyDescent="0.2">
      <c r="A131" s="85" t="str">
        <f>HYPERLINK("#A1", "▲ Back to top")</f>
        <v>▲ Back to top</v>
      </c>
    </row>
    <row r="132" spans="1:77" ht="20.100000000000001" customHeight="1" x14ac:dyDescent="0.2">
      <c r="A132"/>
      <c r="D132" s="2" t="s">
        <v>2538</v>
      </c>
      <c r="E132" s="8"/>
    </row>
    <row r="133" spans="1:77" ht="20.100000000000001" customHeight="1" x14ac:dyDescent="0.2">
      <c r="A133"/>
      <c r="D133" s="17" t="s">
        <v>2539</v>
      </c>
      <c r="E133" s="8"/>
    </row>
    <row r="134" spans="1:77" ht="20.100000000000001" customHeight="1" x14ac:dyDescent="0.2">
      <c r="A134"/>
      <c r="D134" t="s">
        <v>64</v>
      </c>
      <c r="E134" t="s">
        <v>65</v>
      </c>
    </row>
    <row r="135" spans="1:77" ht="20.100000000000001" customHeight="1" x14ac:dyDescent="0.2">
      <c r="A135"/>
      <c r="D135" t="s">
        <v>2540</v>
      </c>
      <c r="E135">
        <v>1</v>
      </c>
    </row>
    <row r="136" spans="1:77" ht="20.100000000000001" customHeight="1" x14ac:dyDescent="0.2">
      <c r="A136"/>
      <c r="D136" s="1" t="s">
        <v>2541</v>
      </c>
      <c r="E136" s="20">
        <v>0</v>
      </c>
    </row>
    <row r="137" spans="1:77" ht="20.100000000000001" customHeight="1" x14ac:dyDescent="0.2">
      <c r="A137"/>
    </row>
    <row r="138" spans="1:77" ht="20.100000000000001" customHeight="1" x14ac:dyDescent="0.2">
      <c r="A138"/>
      <c r="BN138" s="22"/>
      <c r="BO138" s="22"/>
      <c r="BP138" s="22"/>
      <c r="BQ138" s="22"/>
      <c r="BR138" s="22"/>
      <c r="BS138" s="22"/>
      <c r="BT138" s="22"/>
      <c r="BU138" s="22"/>
      <c r="BV138" s="22"/>
      <c r="BW138" s="22"/>
      <c r="BX138" s="22"/>
      <c r="BY138" s="22"/>
    </row>
    <row r="139" spans="1:77" ht="20.100000000000001" customHeight="1" x14ac:dyDescent="0.2">
      <c r="A139"/>
      <c r="D139" s="2" t="s">
        <v>2542</v>
      </c>
      <c r="BN139" s="22"/>
      <c r="BO139" s="22"/>
      <c r="BP139" s="22"/>
      <c r="BQ139" s="22"/>
      <c r="BR139" s="22"/>
      <c r="BS139" s="22"/>
      <c r="BT139" s="22"/>
      <c r="BU139" s="22"/>
      <c r="BV139" s="22"/>
      <c r="BW139" s="22"/>
      <c r="BX139" s="22"/>
      <c r="BY139" s="22"/>
    </row>
    <row r="140" spans="1:77" ht="20.100000000000001" customHeight="1" x14ac:dyDescent="0.2">
      <c r="A140"/>
      <c r="D140" s="17" t="s">
        <v>2543</v>
      </c>
      <c r="BN140" s="22"/>
      <c r="BO140" s="22"/>
      <c r="BP140" s="22"/>
      <c r="BQ140" s="22"/>
      <c r="BR140" s="22"/>
      <c r="BS140" s="22"/>
      <c r="BT140" s="22"/>
      <c r="BU140" s="22"/>
      <c r="BV140" s="22"/>
      <c r="BW140" s="22"/>
      <c r="BX140" s="22"/>
      <c r="BY140" s="22"/>
    </row>
    <row r="141" spans="1:77" ht="20.100000000000001" customHeight="1" x14ac:dyDescent="0.2">
      <c r="A141"/>
      <c r="D141" s="26" t="s">
        <v>2544</v>
      </c>
      <c r="BN141" s="22"/>
    </row>
    <row r="142" spans="1:77" ht="20.100000000000001" customHeight="1" x14ac:dyDescent="0.2">
      <c r="A142"/>
      <c r="D142" s="20" t="s">
        <v>66</v>
      </c>
      <c r="E142" s="20" t="s">
        <v>65</v>
      </c>
      <c r="BN142" s="22"/>
    </row>
    <row r="143" spans="1:77" ht="20.100000000000001" customHeight="1" x14ac:dyDescent="0.2">
      <c r="A143"/>
      <c r="D143" s="20" t="s">
        <v>491</v>
      </c>
      <c r="E143" s="20">
        <v>0</v>
      </c>
      <c r="BN143" s="22"/>
    </row>
    <row r="144" spans="1:77" ht="20.100000000000001" customHeight="1" x14ac:dyDescent="0.2">
      <c r="A144"/>
      <c r="D144" s="1" t="s">
        <v>495</v>
      </c>
      <c r="E144" s="20">
        <v>0</v>
      </c>
      <c r="BN144" s="22"/>
    </row>
    <row r="145" spans="1:66" ht="20.100000000000001" customHeight="1" x14ac:dyDescent="0.2">
      <c r="A145"/>
      <c r="D145" s="1" t="s">
        <v>356</v>
      </c>
      <c r="E145" s="20">
        <v>1</v>
      </c>
      <c r="BN145" s="22"/>
    </row>
    <row r="146" spans="1:66" ht="20.100000000000001" customHeight="1" x14ac:dyDescent="0.2">
      <c r="A146"/>
      <c r="D146" s="1" t="s">
        <v>503</v>
      </c>
      <c r="E146" s="20">
        <v>1</v>
      </c>
      <c r="BN146" s="22"/>
    </row>
    <row r="147" spans="1:66" ht="20.100000000000001" customHeight="1" x14ac:dyDescent="0.2">
      <c r="A147"/>
      <c r="D147" s="1" t="s">
        <v>505</v>
      </c>
      <c r="E147" s="20">
        <v>1</v>
      </c>
      <c r="BN147" s="22"/>
    </row>
    <row r="148" spans="1:66" ht="20.100000000000001" customHeight="1" x14ac:dyDescent="0.2">
      <c r="A148"/>
      <c r="BN148" s="22"/>
    </row>
    <row r="149" spans="1:66" ht="20.100000000000001" customHeight="1" x14ac:dyDescent="0.2">
      <c r="A149"/>
      <c r="BN149" s="22"/>
    </row>
    <row r="150" spans="1:66" ht="20.100000000000001" customHeight="1" x14ac:dyDescent="0.2">
      <c r="A150"/>
      <c r="D150" s="2" t="s">
        <v>2545</v>
      </c>
      <c r="BN150" s="22"/>
    </row>
    <row r="151" spans="1:66" ht="20.100000000000001" customHeight="1" x14ac:dyDescent="0.2">
      <c r="A151"/>
      <c r="D151" s="17" t="s">
        <v>2546</v>
      </c>
      <c r="BN151" s="22"/>
    </row>
    <row r="152" spans="1:66" ht="20.100000000000001" customHeight="1" x14ac:dyDescent="0.2">
      <c r="A152"/>
      <c r="BN152" s="22"/>
    </row>
    <row r="153" spans="1:66" ht="20.100000000000001" customHeight="1" x14ac:dyDescent="0.2">
      <c r="A153"/>
      <c r="D153" s="20" t="s">
        <v>67</v>
      </c>
      <c r="E153" s="20" t="s">
        <v>68</v>
      </c>
      <c r="BC153" s="25"/>
      <c r="BD153" s="25"/>
      <c r="BE153" s="25"/>
      <c r="BF153" s="25"/>
      <c r="BG153" s="25"/>
      <c r="BH153" s="25"/>
      <c r="BI153" s="25"/>
      <c r="BJ153" s="25"/>
      <c r="BK153" s="25"/>
      <c r="BL153" s="25"/>
      <c r="BM153" s="25"/>
    </row>
    <row r="154" spans="1:66" ht="20.100000000000001" customHeight="1" x14ac:dyDescent="0.2">
      <c r="A154"/>
      <c r="D154" s="20" t="s">
        <v>2547</v>
      </c>
      <c r="E154" s="20">
        <v>1</v>
      </c>
      <c r="BC154" s="25"/>
      <c r="BD154" s="25"/>
      <c r="BE154" s="25"/>
      <c r="BF154" s="25"/>
      <c r="BG154" s="25"/>
      <c r="BH154" s="25"/>
      <c r="BI154" s="25"/>
      <c r="BJ154" s="25"/>
      <c r="BK154" s="25"/>
      <c r="BL154" s="25"/>
      <c r="BM154" s="25"/>
    </row>
    <row r="155" spans="1:66" ht="20.100000000000001" customHeight="1" x14ac:dyDescent="0.2">
      <c r="A155"/>
      <c r="D155" s="20" t="s">
        <v>2548</v>
      </c>
      <c r="E155" s="20">
        <v>2</v>
      </c>
      <c r="BC155" s="25"/>
      <c r="BD155" s="25"/>
      <c r="BE155" s="25"/>
      <c r="BF155" s="25"/>
      <c r="BG155" s="25"/>
      <c r="BH155" s="25"/>
      <c r="BI155" s="25"/>
      <c r="BJ155" s="25"/>
      <c r="BK155" s="25"/>
      <c r="BL155" s="25"/>
      <c r="BM155" s="25"/>
    </row>
    <row r="156" spans="1:66" ht="20.100000000000001" customHeight="1" x14ac:dyDescent="0.2">
      <c r="A156"/>
      <c r="D156" s="20" t="s">
        <v>2549</v>
      </c>
      <c r="E156" s="20">
        <v>3</v>
      </c>
    </row>
    <row r="157" spans="1:66" ht="20.100000000000001" customHeight="1" x14ac:dyDescent="0.2">
      <c r="A157"/>
      <c r="D157" s="20" t="s">
        <v>2550</v>
      </c>
      <c r="E157" s="20">
        <v>4</v>
      </c>
    </row>
    <row r="158" spans="1:66" ht="20.100000000000001" customHeight="1" x14ac:dyDescent="0.2">
      <c r="A158"/>
      <c r="D158" s="20" t="s">
        <v>1183</v>
      </c>
      <c r="E158" s="20">
        <v>5</v>
      </c>
    </row>
    <row r="159" spans="1:66" ht="20.100000000000001" customHeight="1" x14ac:dyDescent="0.2">
      <c r="A159"/>
    </row>
    <row r="160" spans="1:66" ht="20.100000000000001" customHeight="1" x14ac:dyDescent="0.2">
      <c r="A160"/>
    </row>
    <row r="161" spans="1:68" ht="20.100000000000001" customHeight="1" x14ac:dyDescent="0.2">
      <c r="A161" s="85" t="str">
        <f>HYPERLINK("#A1", "▲ Back to top")</f>
        <v>▲ Back to top</v>
      </c>
      <c r="D161" s="2" t="s">
        <v>2538</v>
      </c>
      <c r="E161" s="8"/>
    </row>
    <row r="162" spans="1:68" ht="20.100000000000001" customHeight="1" x14ac:dyDescent="0.2">
      <c r="A162"/>
      <c r="D162" s="17" t="s">
        <v>2539</v>
      </c>
      <c r="E162" s="8"/>
    </row>
    <row r="163" spans="1:68" ht="20.100000000000001" customHeight="1" x14ac:dyDescent="0.2">
      <c r="A163"/>
      <c r="D163" s="17" t="s">
        <v>2551</v>
      </c>
      <c r="E163" s="8"/>
    </row>
    <row r="164" spans="1:68" ht="20.100000000000001" customHeight="1" x14ac:dyDescent="0.2">
      <c r="A164"/>
      <c r="D164" s="8" t="s">
        <v>1468</v>
      </c>
      <c r="E164" s="8">
        <v>0.24</v>
      </c>
    </row>
    <row r="165" spans="1:68" ht="20.100000000000001" customHeight="1" x14ac:dyDescent="0.2">
      <c r="A165"/>
      <c r="BN165" s="22"/>
      <c r="BO165" s="22"/>
      <c r="BP165" s="22"/>
    </row>
    <row r="166" spans="1:68" ht="20.100000000000001" customHeight="1" x14ac:dyDescent="0.2">
      <c r="A166"/>
      <c r="BN166" s="22"/>
      <c r="BO166" s="22"/>
      <c r="BP166" s="22"/>
    </row>
    <row r="167" spans="1:68" ht="20.100000000000001" customHeight="1" x14ac:dyDescent="0.2">
      <c r="A167"/>
      <c r="D167" s="2" t="s">
        <v>2107</v>
      </c>
      <c r="BN167" s="22"/>
      <c r="BO167" s="22"/>
      <c r="BP167" s="22"/>
    </row>
    <row r="168" spans="1:68" ht="20.100000000000001" customHeight="1" x14ac:dyDescent="0.2">
      <c r="A168"/>
      <c r="D168" s="17" t="s">
        <v>2539</v>
      </c>
      <c r="BN168" s="22"/>
      <c r="BO168" s="22"/>
      <c r="BP168" s="22"/>
    </row>
    <row r="169" spans="1:68" ht="20.100000000000001" customHeight="1" x14ac:dyDescent="0.2">
      <c r="A169"/>
      <c r="D169" s="17" t="s">
        <v>2552</v>
      </c>
      <c r="BN169" s="22"/>
      <c r="BO169" s="22"/>
      <c r="BP169" s="22"/>
    </row>
    <row r="170" spans="1:68" ht="20.100000000000001" customHeight="1" x14ac:dyDescent="0.2">
      <c r="A170"/>
      <c r="D170" s="1" t="s">
        <v>2553</v>
      </c>
      <c r="E170" s="1">
        <v>1.0999999999999999E-2</v>
      </c>
      <c r="BN170" s="22"/>
      <c r="BO170" s="22"/>
      <c r="BP170" s="22"/>
    </row>
    <row r="171" spans="1:68" ht="20.100000000000001" customHeight="1" x14ac:dyDescent="0.2">
      <c r="A171"/>
      <c r="BN171" s="22"/>
      <c r="BO171" s="22"/>
      <c r="BP171" s="22"/>
    </row>
    <row r="172" spans="1:68" ht="20.100000000000001" customHeight="1" x14ac:dyDescent="0.2">
      <c r="A172"/>
      <c r="BN172" s="22"/>
      <c r="BO172" s="22"/>
      <c r="BP172" s="22"/>
    </row>
    <row r="173" spans="1:68" ht="20.100000000000001" customHeight="1" x14ac:dyDescent="0.2">
      <c r="A173"/>
      <c r="D173" s="2" t="s">
        <v>2554</v>
      </c>
      <c r="BN173" s="22"/>
      <c r="BO173" s="22"/>
      <c r="BP173" s="22"/>
    </row>
    <row r="174" spans="1:68" ht="20.100000000000001" customHeight="1" x14ac:dyDescent="0.2">
      <c r="A174"/>
      <c r="D174" s="17" t="s">
        <v>2555</v>
      </c>
      <c r="BN174" s="22"/>
      <c r="BO174" s="22"/>
      <c r="BP174" s="22"/>
    </row>
    <row r="175" spans="1:68" ht="20.100000000000001" customHeight="1" x14ac:dyDescent="0.2">
      <c r="A175"/>
      <c r="D175" s="1">
        <v>0.6784</v>
      </c>
      <c r="E175" s="9" t="s">
        <v>1379</v>
      </c>
      <c r="BN175" s="22"/>
      <c r="BO175" s="22"/>
      <c r="BP175" s="22"/>
    </row>
    <row r="176" spans="1:68" ht="20.100000000000001" customHeight="1" x14ac:dyDescent="0.2">
      <c r="A176"/>
      <c r="BN176" s="22"/>
      <c r="BO176" s="22"/>
      <c r="BP176" s="22"/>
    </row>
    <row r="177" spans="1:68" ht="20.100000000000001" customHeight="1" x14ac:dyDescent="0.2">
      <c r="A177"/>
      <c r="BN177" s="22"/>
      <c r="BO177" s="22"/>
      <c r="BP177" s="22"/>
    </row>
    <row r="178" spans="1:68" ht="20.100000000000001" customHeight="1" x14ac:dyDescent="0.2">
      <c r="A178"/>
      <c r="D178" s="2" t="s">
        <v>2556</v>
      </c>
      <c r="BN178" s="22"/>
      <c r="BO178" s="22"/>
      <c r="BP178" s="22"/>
    </row>
    <row r="179" spans="1:68" ht="20.100000000000001" customHeight="1" x14ac:dyDescent="0.2">
      <c r="A179"/>
      <c r="D179" s="17" t="s">
        <v>2557</v>
      </c>
      <c r="BN179" s="22"/>
      <c r="BO179" s="22"/>
      <c r="BP179" s="22"/>
    </row>
    <row r="180" spans="1:68" ht="20.100000000000001" customHeight="1" x14ac:dyDescent="0.2">
      <c r="A180"/>
      <c r="D180" s="9" t="s">
        <v>2558</v>
      </c>
    </row>
    <row r="181" spans="1:68" ht="20.100000000000001" customHeight="1" x14ac:dyDescent="0.2">
      <c r="A181"/>
      <c r="D181" s="26" t="s">
        <v>2559</v>
      </c>
    </row>
    <row r="182" spans="1:68" ht="20.100000000000001" customHeight="1" x14ac:dyDescent="0.2">
      <c r="A182"/>
      <c r="D182" s="26" t="s">
        <v>2560</v>
      </c>
    </row>
    <row r="183" spans="1:68" ht="20.100000000000001" customHeight="1" x14ac:dyDescent="0.2">
      <c r="A183"/>
      <c r="D183" s="26" t="s">
        <v>2561</v>
      </c>
    </row>
    <row r="184" spans="1:68" ht="20.100000000000001" customHeight="1" x14ac:dyDescent="0.2">
      <c r="A184"/>
      <c r="D184" s="26" t="s">
        <v>2562</v>
      </c>
    </row>
    <row r="185" spans="1:68" ht="20.100000000000001" customHeight="1" x14ac:dyDescent="0.2">
      <c r="A185"/>
      <c r="D185" s="26" t="s">
        <v>2563</v>
      </c>
    </row>
    <row r="186" spans="1:68" ht="20.100000000000001" customHeight="1" x14ac:dyDescent="0.2">
      <c r="A186"/>
      <c r="D186" s="20" t="s">
        <v>69</v>
      </c>
      <c r="E186" s="20" t="s">
        <v>70</v>
      </c>
      <c r="F186" s="20" t="s">
        <v>71</v>
      </c>
      <c r="G186" s="20" t="s">
        <v>72</v>
      </c>
      <c r="H186" s="20" t="s">
        <v>73</v>
      </c>
    </row>
    <row r="187" spans="1:68" ht="20.100000000000001" customHeight="1" x14ac:dyDescent="0.2">
      <c r="A187"/>
      <c r="D187" s="20" t="s">
        <v>2564</v>
      </c>
      <c r="E187" s="20">
        <v>5.8999999999999999E-3</v>
      </c>
      <c r="F187" s="20" t="s">
        <v>179</v>
      </c>
      <c r="G187" s="20" t="s">
        <v>2506</v>
      </c>
      <c r="H187" s="20" t="s">
        <v>2506</v>
      </c>
    </row>
    <row r="188" spans="1:68" ht="20.100000000000001" customHeight="1" x14ac:dyDescent="0.2">
      <c r="A188"/>
      <c r="D188" s="20" t="s">
        <v>2565</v>
      </c>
      <c r="E188" s="20">
        <v>7.0000000000000001E-3</v>
      </c>
      <c r="F188" s="20" t="s">
        <v>750</v>
      </c>
      <c r="G188" s="20" t="s">
        <v>2506</v>
      </c>
      <c r="H188" s="20" t="s">
        <v>2506</v>
      </c>
    </row>
    <row r="189" spans="1:68" ht="20.100000000000001" customHeight="1" x14ac:dyDescent="0.2">
      <c r="A189"/>
      <c r="D189" s="20" t="s">
        <v>2566</v>
      </c>
      <c r="E189" s="20">
        <v>1.8E-3</v>
      </c>
      <c r="F189" s="20" t="s">
        <v>179</v>
      </c>
      <c r="G189" s="20" t="s">
        <v>491</v>
      </c>
      <c r="H189" s="20" t="s">
        <v>2531</v>
      </c>
    </row>
    <row r="190" spans="1:68" ht="20.100000000000001" customHeight="1" x14ac:dyDescent="0.2">
      <c r="A190"/>
      <c r="D190" s="20" t="s">
        <v>2566</v>
      </c>
      <c r="E190" s="20">
        <v>1.8E-3</v>
      </c>
      <c r="F190" s="20" t="s">
        <v>179</v>
      </c>
      <c r="G190" s="20" t="s">
        <v>491</v>
      </c>
      <c r="H190" s="20" t="s">
        <v>2529</v>
      </c>
    </row>
    <row r="191" spans="1:68" ht="20.100000000000001" customHeight="1" x14ac:dyDescent="0.2">
      <c r="A191" s="85" t="str">
        <f>HYPERLINK("#A1", "▲ Back to top")</f>
        <v>▲ Back to top</v>
      </c>
      <c r="D191" s="20" t="s">
        <v>2567</v>
      </c>
      <c r="E191" s="20">
        <v>2.8999999999999998E-3</v>
      </c>
      <c r="F191" s="20" t="s">
        <v>750</v>
      </c>
      <c r="G191" s="20" t="s">
        <v>491</v>
      </c>
      <c r="H191" s="20" t="s">
        <v>2531</v>
      </c>
    </row>
    <row r="192" spans="1:68" ht="20.100000000000001" customHeight="1" x14ac:dyDescent="0.2">
      <c r="A192"/>
      <c r="D192" s="20" t="s">
        <v>2568</v>
      </c>
      <c r="E192" s="20">
        <v>8.0000000000000002E-3</v>
      </c>
      <c r="F192" s="20" t="s">
        <v>750</v>
      </c>
      <c r="G192" s="20" t="s">
        <v>491</v>
      </c>
      <c r="H192" s="20" t="s">
        <v>2529</v>
      </c>
    </row>
    <row r="193" spans="1:8" ht="20.100000000000001" customHeight="1" x14ac:dyDescent="0.2">
      <c r="A193"/>
      <c r="D193" s="20" t="s">
        <v>2569</v>
      </c>
      <c r="E193" s="20">
        <v>1.9900000000000001E-2</v>
      </c>
      <c r="F193" s="20" t="s">
        <v>2569</v>
      </c>
      <c r="G193" s="20" t="s">
        <v>2506</v>
      </c>
      <c r="H193" s="20" t="s">
        <v>2506</v>
      </c>
    </row>
    <row r="194" spans="1:8" ht="20.100000000000001" customHeight="1" x14ac:dyDescent="0.2">
      <c r="A194"/>
      <c r="D194" s="20" t="s">
        <v>684</v>
      </c>
      <c r="E194" s="20">
        <v>5.3E-3</v>
      </c>
      <c r="F194" s="20" t="s">
        <v>684</v>
      </c>
      <c r="G194" s="20" t="s">
        <v>2506</v>
      </c>
      <c r="H194" s="20" t="s">
        <v>2506</v>
      </c>
    </row>
    <row r="195" spans="1:8" ht="20.100000000000001" customHeight="1" x14ac:dyDescent="0.2">
      <c r="A195"/>
      <c r="D195" s="20" t="s">
        <v>2570</v>
      </c>
      <c r="E195" s="20">
        <v>6.4000000000000003E-3</v>
      </c>
      <c r="F195" s="20" t="s">
        <v>2570</v>
      </c>
      <c r="G195" s="20" t="s">
        <v>2506</v>
      </c>
      <c r="H195" s="20" t="s">
        <v>2506</v>
      </c>
    </row>
    <row r="196" spans="1:8" ht="20.100000000000001" customHeight="1" x14ac:dyDescent="0.2">
      <c r="A196"/>
      <c r="D196" s="20" t="s">
        <v>2571</v>
      </c>
      <c r="E196" s="20">
        <v>3.0000000000000001E-3</v>
      </c>
      <c r="F196" s="20" t="s">
        <v>1962</v>
      </c>
      <c r="G196" s="20" t="s">
        <v>2572</v>
      </c>
      <c r="H196" s="20" t="s">
        <v>2506</v>
      </c>
    </row>
    <row r="197" spans="1:8" ht="20.100000000000001" customHeight="1" x14ac:dyDescent="0.2">
      <c r="A197"/>
      <c r="D197" s="20" t="s">
        <v>2573</v>
      </c>
      <c r="E197" s="20">
        <v>5.0000000000000001E-3</v>
      </c>
      <c r="F197" s="20" t="s">
        <v>1962</v>
      </c>
      <c r="G197" s="20" t="s">
        <v>2574</v>
      </c>
      <c r="H197" s="20" t="s">
        <v>2506</v>
      </c>
    </row>
    <row r="198" spans="1:8" ht="20.100000000000001" customHeight="1" x14ac:dyDescent="0.2">
      <c r="A198"/>
      <c r="D198" s="20" t="s">
        <v>2575</v>
      </c>
      <c r="E198" s="20">
        <v>2.5999999999999999E-3</v>
      </c>
      <c r="F198" s="20" t="s">
        <v>2575</v>
      </c>
      <c r="G198" s="20" t="s">
        <v>2506</v>
      </c>
      <c r="H198" s="20" t="s">
        <v>2506</v>
      </c>
    </row>
    <row r="199" spans="1:8" ht="20.100000000000001" customHeight="1" x14ac:dyDescent="0.2">
      <c r="A199"/>
      <c r="D199" s="20" t="s">
        <v>2576</v>
      </c>
      <c r="E199" s="20">
        <v>1.8E-3</v>
      </c>
      <c r="F199" s="20" t="s">
        <v>2576</v>
      </c>
      <c r="G199" s="20" t="s">
        <v>2506</v>
      </c>
      <c r="H199" s="20" t="s">
        <v>2506</v>
      </c>
    </row>
    <row r="200" spans="1:8" ht="20.100000000000001" customHeight="1" x14ac:dyDescent="0.2">
      <c r="A200"/>
    </row>
    <row r="201" spans="1:8" ht="20.100000000000001" customHeight="1" x14ac:dyDescent="0.2">
      <c r="A201"/>
    </row>
    <row r="202" spans="1:8" ht="20.100000000000001" customHeight="1" x14ac:dyDescent="0.2">
      <c r="A202"/>
      <c r="D202" s="2" t="s">
        <v>2577</v>
      </c>
    </row>
    <row r="203" spans="1:8" ht="20.100000000000001" customHeight="1" x14ac:dyDescent="0.2">
      <c r="A203"/>
      <c r="D203" s="17" t="s">
        <v>2578</v>
      </c>
    </row>
    <row r="204" spans="1:8" ht="20.100000000000001" customHeight="1" x14ac:dyDescent="0.2">
      <c r="A204"/>
      <c r="D204" s="26" t="s">
        <v>2579</v>
      </c>
    </row>
    <row r="205" spans="1:8" ht="20.100000000000001" customHeight="1" x14ac:dyDescent="0.2">
      <c r="A205"/>
      <c r="D205" s="9" t="s">
        <v>2580</v>
      </c>
    </row>
    <row r="206" spans="1:8" ht="20.100000000000001" customHeight="1" x14ac:dyDescent="0.2">
      <c r="A206"/>
      <c r="D206" s="20" t="s">
        <v>40</v>
      </c>
      <c r="E206" s="20" t="s">
        <v>74</v>
      </c>
    </row>
    <row r="207" spans="1:8" ht="20.100000000000001" customHeight="1" x14ac:dyDescent="0.2">
      <c r="A207"/>
      <c r="D207" s="20" t="s">
        <v>1977</v>
      </c>
      <c r="E207" s="20">
        <v>6.0000000000000001E-3</v>
      </c>
    </row>
    <row r="208" spans="1:8" ht="20.100000000000001" customHeight="1" x14ac:dyDescent="0.2">
      <c r="A208"/>
      <c r="D208" s="1" t="s">
        <v>1978</v>
      </c>
      <c r="E208" s="20">
        <v>2E-3</v>
      </c>
    </row>
    <row r="209" spans="1:5" ht="20.100000000000001" customHeight="1" x14ac:dyDescent="0.2">
      <c r="A209"/>
    </row>
    <row r="210" spans="1:5" ht="20.100000000000001" customHeight="1" x14ac:dyDescent="0.2">
      <c r="A210"/>
    </row>
    <row r="211" spans="1:5" ht="20.100000000000001" customHeight="1" x14ac:dyDescent="0.2">
      <c r="A211"/>
      <c r="D211" s="1" t="s">
        <v>2581</v>
      </c>
    </row>
    <row r="212" spans="1:5" ht="20.100000000000001" customHeight="1" x14ac:dyDescent="0.2">
      <c r="A212"/>
      <c r="D212" s="20" t="s">
        <v>75</v>
      </c>
      <c r="E212" s="20" t="s">
        <v>76</v>
      </c>
    </row>
    <row r="213" spans="1:5" ht="20.100000000000001" customHeight="1" x14ac:dyDescent="0.2">
      <c r="A213"/>
      <c r="D213" s="20" t="s">
        <v>2582</v>
      </c>
      <c r="E213" s="20" t="s">
        <v>335</v>
      </c>
    </row>
    <row r="214" spans="1:5" ht="20.100000000000001" customHeight="1" x14ac:dyDescent="0.2">
      <c r="A214"/>
      <c r="D214" s="1" t="s">
        <v>2583</v>
      </c>
      <c r="E214" s="20" t="s">
        <v>335</v>
      </c>
    </row>
    <row r="215" spans="1:5" ht="20.100000000000001" customHeight="1" x14ac:dyDescent="0.2">
      <c r="A215"/>
      <c r="D215" s="1" t="s">
        <v>2584</v>
      </c>
      <c r="E215" s="20" t="s">
        <v>336</v>
      </c>
    </row>
    <row r="216" spans="1:5" ht="20.100000000000001" customHeight="1" x14ac:dyDescent="0.2">
      <c r="A216"/>
      <c r="D216" s="1" t="s">
        <v>2585</v>
      </c>
      <c r="E216" s="20" t="s">
        <v>336</v>
      </c>
    </row>
    <row r="217" spans="1:5" ht="20.100000000000001" customHeight="1" x14ac:dyDescent="0.2">
      <c r="A217"/>
      <c r="D217" s="1" t="s">
        <v>2586</v>
      </c>
      <c r="E217" s="20" t="s">
        <v>336</v>
      </c>
    </row>
    <row r="218" spans="1:5" ht="20.100000000000001" customHeight="1" x14ac:dyDescent="0.2">
      <c r="A218"/>
      <c r="D218" s="1" t="s">
        <v>2587</v>
      </c>
      <c r="E218" s="20" t="s">
        <v>337</v>
      </c>
    </row>
    <row r="219" spans="1:5" ht="20.100000000000001" customHeight="1" x14ac:dyDescent="0.2">
      <c r="A219"/>
      <c r="D219" s="1" t="s">
        <v>2588</v>
      </c>
      <c r="E219" s="20" t="s">
        <v>337</v>
      </c>
    </row>
    <row r="220" spans="1:5" ht="20.100000000000001" customHeight="1" x14ac:dyDescent="0.2">
      <c r="A220"/>
      <c r="D220" s="1" t="s">
        <v>2589</v>
      </c>
      <c r="E220" s="20" t="s">
        <v>337</v>
      </c>
    </row>
    <row r="221" spans="1:5" ht="20.100000000000001" customHeight="1" x14ac:dyDescent="0.2">
      <c r="A221" s="85" t="str">
        <f>HYPERLINK("#A1", "▲ Back to top")</f>
        <v>▲ Back to top</v>
      </c>
      <c r="D221" s="1" t="s">
        <v>2590</v>
      </c>
      <c r="E221" s="20" t="s">
        <v>334</v>
      </c>
    </row>
    <row r="222" spans="1:5" ht="20.100000000000001" customHeight="1" x14ac:dyDescent="0.2">
      <c r="A222"/>
      <c r="D222" s="1" t="s">
        <v>2591</v>
      </c>
      <c r="E222" s="20" t="s">
        <v>334</v>
      </c>
    </row>
    <row r="223" spans="1:5" ht="20.100000000000001" customHeight="1" x14ac:dyDescent="0.2">
      <c r="A223"/>
      <c r="D223" s="1" t="s">
        <v>2592</v>
      </c>
      <c r="E223" s="20" t="s">
        <v>334</v>
      </c>
    </row>
    <row r="224" spans="1:5" ht="20.100000000000001" customHeight="1" x14ac:dyDescent="0.2">
      <c r="A224"/>
      <c r="D224" s="1" t="s">
        <v>2593</v>
      </c>
      <c r="E224" s="20" t="s">
        <v>335</v>
      </c>
    </row>
    <row r="225" spans="1:19" ht="20.100000000000001" customHeight="1" x14ac:dyDescent="0.2">
      <c r="A225"/>
    </row>
    <row r="226" spans="1:19" ht="20.100000000000001" customHeight="1" x14ac:dyDescent="0.2">
      <c r="A226"/>
    </row>
    <row r="227" spans="1:19" ht="20.100000000000001" customHeight="1" x14ac:dyDescent="0.2">
      <c r="A227"/>
      <c r="D227" s="2" t="s">
        <v>2594</v>
      </c>
    </row>
    <row r="228" spans="1:19" ht="20.100000000000001" customHeight="1" x14ac:dyDescent="0.2">
      <c r="A228"/>
      <c r="D228" s="17" t="s">
        <v>2595</v>
      </c>
    </row>
    <row r="229" spans="1:19" ht="20.100000000000001" customHeight="1" x14ac:dyDescent="0.2">
      <c r="A229"/>
      <c r="D229" s="26" t="s">
        <v>2596</v>
      </c>
    </row>
    <row r="230" spans="1:19" ht="20.100000000000001" customHeight="1" x14ac:dyDescent="0.2">
      <c r="A230"/>
    </row>
    <row r="231" spans="1:19" ht="20.100000000000001" customHeight="1" x14ac:dyDescent="0.2">
      <c r="A231"/>
      <c r="D231" s="20" t="s">
        <v>77</v>
      </c>
      <c r="E231" s="20" t="s">
        <v>78</v>
      </c>
      <c r="F231" s="27" t="s">
        <v>79</v>
      </c>
      <c r="G231" s="20" t="s">
        <v>80</v>
      </c>
      <c r="H231" s="20" t="s">
        <v>81</v>
      </c>
      <c r="I231" s="20" t="s">
        <v>82</v>
      </c>
      <c r="J231" s="20" t="s">
        <v>83</v>
      </c>
      <c r="K231" s="20" t="s">
        <v>84</v>
      </c>
      <c r="L231" s="20" t="s">
        <v>85</v>
      </c>
      <c r="M231" s="20" t="s">
        <v>86</v>
      </c>
      <c r="N231" s="20" t="s">
        <v>87</v>
      </c>
      <c r="O231" s="20" t="s">
        <v>88</v>
      </c>
      <c r="P231" s="20" t="s">
        <v>89</v>
      </c>
      <c r="Q231" s="20" t="s">
        <v>90</v>
      </c>
      <c r="R231" s="20" t="s">
        <v>91</v>
      </c>
      <c r="S231" s="20" t="s">
        <v>92</v>
      </c>
    </row>
    <row r="232" spans="1:19" ht="20.100000000000001" customHeight="1" x14ac:dyDescent="0.2">
      <c r="A232"/>
      <c r="D232" s="20" t="s">
        <v>2526</v>
      </c>
      <c r="E232" s="20" t="s">
        <v>2597</v>
      </c>
      <c r="F232" s="20">
        <v>0.66</v>
      </c>
      <c r="G232" s="20">
        <v>0.1</v>
      </c>
      <c r="H232" s="20">
        <v>0.1</v>
      </c>
      <c r="I232" s="20">
        <v>1E-3</v>
      </c>
      <c r="J232" s="20">
        <v>5.0000000000000001E-3</v>
      </c>
      <c r="K232" s="20">
        <v>0.02</v>
      </c>
      <c r="L232" s="20">
        <v>0.03</v>
      </c>
      <c r="M232" s="20">
        <v>0.04</v>
      </c>
      <c r="N232" s="20">
        <v>1.4999999999999999E-2</v>
      </c>
      <c r="O232" s="20">
        <v>1.4999999999999999E-2</v>
      </c>
      <c r="P232" s="20">
        <v>0</v>
      </c>
      <c r="Q232" s="20">
        <v>0</v>
      </c>
      <c r="R232" s="20">
        <v>4.7000000000000002E-3</v>
      </c>
      <c r="S232" s="20">
        <v>10</v>
      </c>
    </row>
    <row r="233" spans="1:19" ht="20.100000000000001" customHeight="1" x14ac:dyDescent="0.2">
      <c r="A233"/>
      <c r="D233" s="1" t="s">
        <v>2526</v>
      </c>
      <c r="E233" s="20">
        <v>11</v>
      </c>
      <c r="F233" s="20">
        <v>0.68</v>
      </c>
      <c r="G233" s="20">
        <v>0.1</v>
      </c>
      <c r="H233" s="20">
        <v>0.11</v>
      </c>
      <c r="I233" s="20">
        <v>1E-3</v>
      </c>
      <c r="J233" s="20">
        <v>5.0000000000000001E-3</v>
      </c>
      <c r="K233" s="20">
        <v>0.02</v>
      </c>
      <c r="L233" s="20">
        <v>0.03</v>
      </c>
      <c r="M233" s="20">
        <v>0.04</v>
      </c>
      <c r="N233" s="20">
        <v>1.4999999999999999E-2</v>
      </c>
      <c r="O233" s="20">
        <v>1.4999999999999999E-2</v>
      </c>
      <c r="P233" s="20">
        <v>0</v>
      </c>
      <c r="Q233" s="20">
        <v>0</v>
      </c>
      <c r="R233" s="20">
        <v>4.7000000000000002E-3</v>
      </c>
      <c r="S233" s="20">
        <v>11</v>
      </c>
    </row>
    <row r="234" spans="1:19" ht="20.100000000000001" customHeight="1" x14ac:dyDescent="0.2">
      <c r="A234"/>
      <c r="D234" s="1" t="s">
        <v>2526</v>
      </c>
      <c r="E234" s="20">
        <v>12</v>
      </c>
      <c r="F234" s="20">
        <v>0.7</v>
      </c>
      <c r="G234" s="20">
        <v>0.1</v>
      </c>
      <c r="H234" s="20">
        <v>0.13</v>
      </c>
      <c r="I234" s="20">
        <v>1E-3</v>
      </c>
      <c r="J234" s="20">
        <v>5.0000000000000001E-3</v>
      </c>
      <c r="K234" s="20">
        <v>0.02</v>
      </c>
      <c r="L234" s="20">
        <v>0.03</v>
      </c>
      <c r="M234" s="20">
        <v>0.04</v>
      </c>
      <c r="N234" s="20">
        <v>1.4999999999999999E-2</v>
      </c>
      <c r="O234" s="20">
        <v>1.4999999999999999E-2</v>
      </c>
      <c r="P234" s="20">
        <v>0</v>
      </c>
      <c r="Q234" s="20">
        <v>0</v>
      </c>
      <c r="R234" s="20">
        <v>4.7000000000000002E-3</v>
      </c>
      <c r="S234" s="20">
        <v>12</v>
      </c>
    </row>
    <row r="235" spans="1:19" ht="20.100000000000001" customHeight="1" x14ac:dyDescent="0.2">
      <c r="A235"/>
      <c r="D235" s="1" t="s">
        <v>2526</v>
      </c>
      <c r="E235" s="20">
        <v>13</v>
      </c>
      <c r="F235" s="20">
        <v>0.71</v>
      </c>
      <c r="G235" s="20">
        <v>0.1</v>
      </c>
      <c r="H235" s="20">
        <v>0.14000000000000001</v>
      </c>
      <c r="I235" s="20">
        <v>1E-3</v>
      </c>
      <c r="J235" s="20">
        <v>5.0000000000000001E-3</v>
      </c>
      <c r="K235" s="20">
        <v>0.02</v>
      </c>
      <c r="L235" s="20">
        <v>0.03</v>
      </c>
      <c r="M235" s="20">
        <v>0.04</v>
      </c>
      <c r="N235" s="20">
        <v>1.4999999999999999E-2</v>
      </c>
      <c r="O235" s="20">
        <v>1.4999999999999999E-2</v>
      </c>
      <c r="P235" s="20">
        <v>0</v>
      </c>
      <c r="Q235" s="20">
        <v>0</v>
      </c>
      <c r="R235" s="20">
        <v>4.7000000000000002E-3</v>
      </c>
      <c r="S235" s="20">
        <v>13</v>
      </c>
    </row>
    <row r="236" spans="1:19" ht="20.100000000000001" customHeight="1" x14ac:dyDescent="0.2">
      <c r="A236"/>
      <c r="D236" s="1" t="s">
        <v>2526</v>
      </c>
      <c r="E236" s="20">
        <v>14</v>
      </c>
      <c r="F236" s="20">
        <v>0.73</v>
      </c>
      <c r="G236" s="20">
        <v>0.1</v>
      </c>
      <c r="H236" s="20">
        <v>0.15</v>
      </c>
      <c r="I236" s="20">
        <v>1E-3</v>
      </c>
      <c r="J236" s="20">
        <v>5.0000000000000001E-3</v>
      </c>
      <c r="K236" s="20">
        <v>0.02</v>
      </c>
      <c r="L236" s="20">
        <v>0.03</v>
      </c>
      <c r="M236" s="20">
        <v>0.04</v>
      </c>
      <c r="N236" s="20">
        <v>1.4999999999999999E-2</v>
      </c>
      <c r="O236" s="20">
        <v>1.4999999999999999E-2</v>
      </c>
      <c r="P236" s="20">
        <v>0</v>
      </c>
      <c r="Q236" s="20">
        <v>0</v>
      </c>
      <c r="R236" s="20">
        <v>4.7000000000000002E-3</v>
      </c>
      <c r="S236" s="20">
        <v>14</v>
      </c>
    </row>
    <row r="237" spans="1:19" ht="20.100000000000001" customHeight="1" x14ac:dyDescent="0.2">
      <c r="A237"/>
      <c r="D237" s="1" t="s">
        <v>2524</v>
      </c>
      <c r="E237" s="20">
        <v>15</v>
      </c>
      <c r="F237" s="20">
        <v>0.74</v>
      </c>
      <c r="G237" s="20">
        <v>0.1</v>
      </c>
      <c r="H237" s="20">
        <v>0.17</v>
      </c>
      <c r="I237" s="20">
        <v>5.0000000000000001E-3</v>
      </c>
      <c r="J237" s="20">
        <v>0.01</v>
      </c>
      <c r="K237" s="20">
        <v>0.02</v>
      </c>
      <c r="L237" s="20">
        <v>0.03</v>
      </c>
      <c r="M237" s="20">
        <v>0.04</v>
      </c>
      <c r="N237" s="20">
        <v>1.4999999999999999E-2</v>
      </c>
      <c r="O237" s="20">
        <v>1.4999999999999999E-2</v>
      </c>
      <c r="P237" s="20">
        <v>0</v>
      </c>
      <c r="Q237" s="20">
        <v>0</v>
      </c>
      <c r="R237" s="20">
        <v>4.7000000000000002E-3</v>
      </c>
      <c r="S237" s="20">
        <v>15</v>
      </c>
    </row>
    <row r="238" spans="1:19" ht="20.100000000000001" customHeight="1" x14ac:dyDescent="0.2">
      <c r="A238"/>
      <c r="D238" s="1" t="s">
        <v>2524</v>
      </c>
      <c r="E238" s="20">
        <v>16</v>
      </c>
      <c r="F238" s="20">
        <v>0.75</v>
      </c>
      <c r="G238" s="20">
        <v>0.1</v>
      </c>
      <c r="H238" s="20">
        <v>0.18</v>
      </c>
      <c r="I238" s="20">
        <v>5.0000000000000001E-3</v>
      </c>
      <c r="J238" s="20">
        <v>0.01</v>
      </c>
      <c r="K238" s="20">
        <v>0.02</v>
      </c>
      <c r="L238" s="20">
        <v>0.03</v>
      </c>
      <c r="M238" s="20">
        <v>0.04</v>
      </c>
      <c r="N238" s="20">
        <v>1.4999999999999999E-2</v>
      </c>
      <c r="O238" s="20">
        <v>1.4999999999999999E-2</v>
      </c>
      <c r="P238" s="20">
        <v>0</v>
      </c>
      <c r="Q238" s="20">
        <v>0</v>
      </c>
      <c r="R238" s="20">
        <v>4.7000000000000002E-3</v>
      </c>
      <c r="S238" s="20">
        <v>16</v>
      </c>
    </row>
    <row r="239" spans="1:19" ht="20.100000000000001" customHeight="1" x14ac:dyDescent="0.2">
      <c r="A239"/>
      <c r="D239" s="1" t="s">
        <v>2524</v>
      </c>
      <c r="E239" s="20">
        <v>17</v>
      </c>
      <c r="F239" s="20">
        <v>0.76</v>
      </c>
      <c r="G239" s="20">
        <v>0.1</v>
      </c>
      <c r="H239" s="20">
        <v>0.2</v>
      </c>
      <c r="I239" s="20">
        <v>5.0000000000000001E-3</v>
      </c>
      <c r="J239" s="20">
        <v>0.01</v>
      </c>
      <c r="K239" s="20">
        <v>0.02</v>
      </c>
      <c r="L239" s="20">
        <v>0.03</v>
      </c>
      <c r="M239" s="20">
        <v>0.04</v>
      </c>
      <c r="N239" s="20">
        <v>1.4999999999999999E-2</v>
      </c>
      <c r="O239" s="20">
        <v>1.4999999999999999E-2</v>
      </c>
      <c r="P239" s="20">
        <v>0</v>
      </c>
      <c r="Q239" s="20">
        <v>0</v>
      </c>
      <c r="R239" s="20">
        <v>4.7000000000000002E-3</v>
      </c>
      <c r="S239" s="20">
        <v>17</v>
      </c>
    </row>
    <row r="240" spans="1:19" ht="20.100000000000001" customHeight="1" x14ac:dyDescent="0.2">
      <c r="A240"/>
      <c r="D240" s="1" t="s">
        <v>2524</v>
      </c>
      <c r="E240" s="20">
        <v>18</v>
      </c>
      <c r="F240" s="20">
        <v>0.77</v>
      </c>
      <c r="G240" s="20">
        <v>0.1</v>
      </c>
      <c r="H240" s="20">
        <v>0.22</v>
      </c>
      <c r="I240" s="20">
        <v>5.0000000000000001E-3</v>
      </c>
      <c r="J240" s="20">
        <v>0.01</v>
      </c>
      <c r="K240" s="20">
        <v>0.02</v>
      </c>
      <c r="L240" s="20">
        <v>0.03</v>
      </c>
      <c r="M240" s="20">
        <v>0.04</v>
      </c>
      <c r="N240" s="20">
        <v>1.4999999999999999E-2</v>
      </c>
      <c r="O240" s="20">
        <v>1.4999999999999999E-2</v>
      </c>
      <c r="P240" s="20">
        <v>0</v>
      </c>
      <c r="Q240" s="20">
        <v>0</v>
      </c>
      <c r="R240" s="20">
        <v>4.7000000000000002E-3</v>
      </c>
      <c r="S240" s="20">
        <v>18</v>
      </c>
    </row>
    <row r="241" spans="1:19" ht="20.100000000000001" customHeight="1" x14ac:dyDescent="0.2">
      <c r="A241"/>
      <c r="D241" s="1" t="s">
        <v>2524</v>
      </c>
      <c r="E241" s="20">
        <v>19</v>
      </c>
      <c r="F241" s="20">
        <v>0.77</v>
      </c>
      <c r="G241" s="20">
        <v>0.1</v>
      </c>
      <c r="H241" s="20">
        <v>0.24</v>
      </c>
      <c r="I241" s="20">
        <v>5.0000000000000001E-3</v>
      </c>
      <c r="J241" s="20">
        <v>0.01</v>
      </c>
      <c r="K241" s="20">
        <v>0.02</v>
      </c>
      <c r="L241" s="20">
        <v>0.03</v>
      </c>
      <c r="M241" s="20">
        <v>0.04</v>
      </c>
      <c r="N241" s="20">
        <v>1.4999999999999999E-2</v>
      </c>
      <c r="O241" s="20">
        <v>1.4999999999999999E-2</v>
      </c>
      <c r="P241" s="20">
        <v>0</v>
      </c>
      <c r="Q241" s="20">
        <v>0</v>
      </c>
      <c r="R241" s="20">
        <v>4.7000000000000002E-3</v>
      </c>
      <c r="S241" s="20">
        <v>19</v>
      </c>
    </row>
    <row r="242" spans="1:19" ht="20.100000000000001" customHeight="1" x14ac:dyDescent="0.2">
      <c r="A242"/>
      <c r="D242" s="1" t="s">
        <v>2524</v>
      </c>
      <c r="E242" s="20">
        <v>20</v>
      </c>
      <c r="F242" s="20">
        <v>0.78</v>
      </c>
      <c r="G242" s="20">
        <v>0.1</v>
      </c>
      <c r="H242" s="20">
        <v>0.26</v>
      </c>
      <c r="I242" s="20">
        <v>5.0000000000000001E-3</v>
      </c>
      <c r="J242" s="20">
        <v>0.01</v>
      </c>
      <c r="K242" s="20">
        <v>0.02</v>
      </c>
      <c r="L242" s="20">
        <v>0.03</v>
      </c>
      <c r="M242" s="20">
        <v>0.04</v>
      </c>
      <c r="N242" s="20">
        <v>1.4999999999999999E-2</v>
      </c>
      <c r="O242" s="20">
        <v>1.4999999999999999E-2</v>
      </c>
      <c r="P242" s="20">
        <v>0</v>
      </c>
      <c r="Q242" s="20">
        <v>0</v>
      </c>
      <c r="R242" s="20">
        <v>4.7000000000000002E-3</v>
      </c>
      <c r="S242" s="20">
        <v>20</v>
      </c>
    </row>
    <row r="243" spans="1:19" ht="20.100000000000001" customHeight="1" x14ac:dyDescent="0.2">
      <c r="A243"/>
      <c r="D243" s="1" t="s">
        <v>2524</v>
      </c>
      <c r="E243" s="20">
        <v>21</v>
      </c>
      <c r="F243" s="20">
        <v>0.78</v>
      </c>
      <c r="G243" s="20">
        <v>0.1</v>
      </c>
      <c r="H243" s="20">
        <v>0.28999999999999998</v>
      </c>
      <c r="I243" s="20">
        <v>5.0000000000000001E-3</v>
      </c>
      <c r="J243" s="20">
        <v>0.01</v>
      </c>
      <c r="K243" s="20">
        <v>0.02</v>
      </c>
      <c r="L243" s="20">
        <v>0.03</v>
      </c>
      <c r="M243" s="20">
        <v>0.04</v>
      </c>
      <c r="N243" s="20">
        <v>1.4999999999999999E-2</v>
      </c>
      <c r="O243" s="20">
        <v>1.4999999999999999E-2</v>
      </c>
      <c r="P243" s="20">
        <v>0</v>
      </c>
      <c r="Q243" s="20">
        <v>0</v>
      </c>
      <c r="R243" s="20">
        <v>4.7000000000000002E-3</v>
      </c>
      <c r="S243" s="20">
        <v>21</v>
      </c>
    </row>
    <row r="244" spans="1:19" ht="20.100000000000001" customHeight="1" x14ac:dyDescent="0.2">
      <c r="A244"/>
      <c r="D244" s="1" t="s">
        <v>2524</v>
      </c>
      <c r="E244" s="20">
        <v>22</v>
      </c>
      <c r="F244" s="20">
        <v>0.78</v>
      </c>
      <c r="G244" s="20">
        <v>0.1</v>
      </c>
      <c r="H244" s="20">
        <v>0.31</v>
      </c>
      <c r="I244" s="20">
        <v>5.0000000000000001E-3</v>
      </c>
      <c r="J244" s="20">
        <v>0.01</v>
      </c>
      <c r="K244" s="20">
        <v>0.02</v>
      </c>
      <c r="L244" s="20">
        <v>0.03</v>
      </c>
      <c r="M244" s="20">
        <v>0.04</v>
      </c>
      <c r="N244" s="20">
        <v>1.4999999999999999E-2</v>
      </c>
      <c r="O244" s="20">
        <v>1.4999999999999999E-2</v>
      </c>
      <c r="P244" s="20">
        <v>0</v>
      </c>
      <c r="Q244" s="20">
        <v>0</v>
      </c>
      <c r="R244" s="20">
        <v>4.7000000000000002E-3</v>
      </c>
      <c r="S244" s="20">
        <v>22</v>
      </c>
    </row>
    <row r="245" spans="1:19" ht="20.100000000000001" customHeight="1" x14ac:dyDescent="0.2">
      <c r="A245"/>
      <c r="D245" s="1" t="s">
        <v>2524</v>
      </c>
      <c r="E245" s="20">
        <v>23</v>
      </c>
      <c r="F245" s="20">
        <v>0.79</v>
      </c>
      <c r="G245" s="20">
        <v>0.1</v>
      </c>
      <c r="H245" s="20">
        <v>0.34</v>
      </c>
      <c r="I245" s="20">
        <v>5.0000000000000001E-3</v>
      </c>
      <c r="J245" s="20">
        <v>0.01</v>
      </c>
      <c r="K245" s="20">
        <v>0.02</v>
      </c>
      <c r="L245" s="20">
        <v>0.03</v>
      </c>
      <c r="M245" s="20">
        <v>0.04</v>
      </c>
      <c r="N245" s="20">
        <v>1.4999999999999999E-2</v>
      </c>
      <c r="O245" s="20">
        <v>1.4999999999999999E-2</v>
      </c>
      <c r="P245" s="20">
        <v>0</v>
      </c>
      <c r="Q245" s="20">
        <v>0</v>
      </c>
      <c r="R245" s="20">
        <v>4.7000000000000002E-3</v>
      </c>
      <c r="S245" s="20">
        <v>23</v>
      </c>
    </row>
    <row r="246" spans="1:19" ht="20.100000000000001" customHeight="1" x14ac:dyDescent="0.2">
      <c r="A246"/>
      <c r="D246" s="1" t="s">
        <v>2524</v>
      </c>
      <c r="E246" s="20">
        <v>24</v>
      </c>
      <c r="F246" s="20">
        <v>0.79</v>
      </c>
      <c r="G246" s="20">
        <v>0.1</v>
      </c>
      <c r="H246" s="20">
        <v>0.37</v>
      </c>
      <c r="I246" s="20">
        <v>5.0000000000000001E-3</v>
      </c>
      <c r="J246" s="20">
        <v>0.01</v>
      </c>
      <c r="K246" s="20">
        <v>0.02</v>
      </c>
      <c r="L246" s="20">
        <v>0.03</v>
      </c>
      <c r="M246" s="20">
        <v>0.04</v>
      </c>
      <c r="N246" s="20">
        <v>1.4999999999999999E-2</v>
      </c>
      <c r="O246" s="20">
        <v>1.4999999999999999E-2</v>
      </c>
      <c r="P246" s="20">
        <v>0</v>
      </c>
      <c r="Q246" s="20">
        <v>0</v>
      </c>
      <c r="R246" s="20">
        <v>4.7000000000000002E-3</v>
      </c>
      <c r="S246" s="20">
        <v>24</v>
      </c>
    </row>
    <row r="247" spans="1:19" ht="20.100000000000001" customHeight="1" x14ac:dyDescent="0.2">
      <c r="A247"/>
      <c r="D247" s="1" t="s">
        <v>2524</v>
      </c>
      <c r="E247" s="20">
        <v>25</v>
      </c>
      <c r="F247" s="20">
        <v>0.79</v>
      </c>
      <c r="G247" s="20">
        <v>0.1</v>
      </c>
      <c r="H247" s="20">
        <v>0.41</v>
      </c>
      <c r="I247" s="20">
        <v>5.0000000000000001E-3</v>
      </c>
      <c r="J247" s="20">
        <v>0.01</v>
      </c>
      <c r="K247" s="20">
        <v>0.02</v>
      </c>
      <c r="L247" s="20">
        <v>0.03</v>
      </c>
      <c r="M247" s="20">
        <v>0.04</v>
      </c>
      <c r="N247" s="20">
        <v>1.4999999999999999E-2</v>
      </c>
      <c r="O247" s="20">
        <v>1.4999999999999999E-2</v>
      </c>
      <c r="P247" s="20">
        <v>0</v>
      </c>
      <c r="Q247" s="20">
        <v>0</v>
      </c>
      <c r="R247" s="20">
        <v>4.7000000000000002E-3</v>
      </c>
      <c r="S247" s="20">
        <v>25</v>
      </c>
    </row>
    <row r="248" spans="1:19" ht="20.100000000000001" customHeight="1" x14ac:dyDescent="0.2">
      <c r="A248"/>
      <c r="D248" s="1" t="s">
        <v>2522</v>
      </c>
      <c r="E248" s="20">
        <v>26</v>
      </c>
      <c r="F248" s="20">
        <v>0.79</v>
      </c>
      <c r="G248" s="20">
        <v>0.1</v>
      </c>
      <c r="H248" s="20">
        <v>0.44</v>
      </c>
      <c r="I248" s="20">
        <v>0.01</v>
      </c>
      <c r="J248" s="20">
        <v>1.4999999999999999E-2</v>
      </c>
      <c r="K248" s="20">
        <v>0.02</v>
      </c>
      <c r="L248" s="20">
        <v>0.03</v>
      </c>
      <c r="M248" s="20">
        <v>0.04</v>
      </c>
      <c r="N248" s="20">
        <v>1.4999999999999999E-2</v>
      </c>
      <c r="O248" s="20">
        <v>1.4999999999999999E-2</v>
      </c>
      <c r="P248" s="20">
        <v>0</v>
      </c>
      <c r="Q248" s="20">
        <v>0</v>
      </c>
      <c r="R248" s="20">
        <v>4.7000000000000002E-3</v>
      </c>
      <c r="S248" s="20">
        <v>26</v>
      </c>
    </row>
    <row r="249" spans="1:19" ht="20.100000000000001" customHeight="1" x14ac:dyDescent="0.2">
      <c r="A249"/>
      <c r="D249" s="1" t="s">
        <v>2522</v>
      </c>
      <c r="E249" s="20">
        <v>27</v>
      </c>
      <c r="F249" s="20">
        <v>0.8</v>
      </c>
      <c r="G249" s="20">
        <v>0.1</v>
      </c>
      <c r="H249" s="20">
        <v>0.48</v>
      </c>
      <c r="I249" s="20">
        <v>0.01</v>
      </c>
      <c r="J249" s="20">
        <v>1.4999999999999999E-2</v>
      </c>
      <c r="K249" s="20">
        <v>0.02</v>
      </c>
      <c r="L249" s="20">
        <v>0.03</v>
      </c>
      <c r="M249" s="20">
        <v>0.04</v>
      </c>
      <c r="N249" s="20">
        <v>1.4999999999999999E-2</v>
      </c>
      <c r="O249" s="20">
        <v>1.4999999999999999E-2</v>
      </c>
      <c r="P249" s="20">
        <v>0</v>
      </c>
      <c r="Q249" s="20">
        <v>0</v>
      </c>
      <c r="R249" s="20">
        <v>4.7000000000000002E-3</v>
      </c>
      <c r="S249" s="20">
        <v>27</v>
      </c>
    </row>
    <row r="250" spans="1:19" ht="20.100000000000001" customHeight="1" x14ac:dyDescent="0.2">
      <c r="A250"/>
      <c r="D250" s="1" t="s">
        <v>2522</v>
      </c>
      <c r="E250" s="20" t="s">
        <v>2598</v>
      </c>
      <c r="F250" s="20">
        <v>0.8</v>
      </c>
      <c r="G250" s="20">
        <v>0.1</v>
      </c>
      <c r="H250" s="20">
        <v>0.5</v>
      </c>
      <c r="I250" s="20">
        <v>0.01</v>
      </c>
      <c r="J250" s="20">
        <v>1.4999999999999999E-2</v>
      </c>
      <c r="K250" s="20">
        <v>0.02</v>
      </c>
      <c r="L250" s="20">
        <v>0.03</v>
      </c>
      <c r="M250" s="20">
        <v>0.04</v>
      </c>
      <c r="N250" s="20">
        <v>1.4999999999999999E-2</v>
      </c>
      <c r="O250" s="20">
        <v>1.4999999999999999E-2</v>
      </c>
      <c r="P250" s="20">
        <v>0</v>
      </c>
      <c r="Q250" s="20">
        <v>0</v>
      </c>
      <c r="R250" s="20">
        <v>4.7000000000000002E-3</v>
      </c>
      <c r="S250" s="20">
        <v>28</v>
      </c>
    </row>
    <row r="251" spans="1:19" ht="20.100000000000001" customHeight="1" x14ac:dyDescent="0.2">
      <c r="A251" s="85" t="str">
        <f>HYPERLINK("#A1", "▲ Back to top")</f>
        <v>▲ Back to top</v>
      </c>
    </row>
    <row r="252" spans="1:19" ht="20.100000000000001" customHeight="1" x14ac:dyDescent="0.2">
      <c r="A252"/>
    </row>
    <row r="253" spans="1:19" ht="20.100000000000001" customHeight="1" x14ac:dyDescent="0.2">
      <c r="A253"/>
      <c r="D253" s="2" t="s">
        <v>1975</v>
      </c>
    </row>
    <row r="254" spans="1:19" ht="20.100000000000001" customHeight="1" x14ac:dyDescent="0.2">
      <c r="A254"/>
      <c r="D254" s="17" t="s">
        <v>1976</v>
      </c>
    </row>
    <row r="255" spans="1:19" ht="20.100000000000001" customHeight="1" x14ac:dyDescent="0.2">
      <c r="A255"/>
      <c r="D255" s="1" t="s">
        <v>94</v>
      </c>
    </row>
    <row r="256" spans="1:19" ht="20.100000000000001" customHeight="1" x14ac:dyDescent="0.2">
      <c r="A256"/>
      <c r="D256" s="9" t="s">
        <v>2580</v>
      </c>
    </row>
    <row r="257" spans="1:66" ht="20.100000000000001" customHeight="1" x14ac:dyDescent="0.2">
      <c r="A257"/>
      <c r="D257" s="20" t="s">
        <v>93</v>
      </c>
      <c r="E257" s="20" t="s">
        <v>94</v>
      </c>
    </row>
    <row r="258" spans="1:66" ht="20.100000000000001" customHeight="1" x14ac:dyDescent="0.2">
      <c r="A258"/>
      <c r="D258" s="20" t="s">
        <v>1977</v>
      </c>
      <c r="E258" s="20">
        <v>6.0000000000000001E-3</v>
      </c>
    </row>
    <row r="259" spans="1:66" ht="20.100000000000001" customHeight="1" x14ac:dyDescent="0.2">
      <c r="A259"/>
      <c r="D259" s="1" t="s">
        <v>1978</v>
      </c>
      <c r="E259" s="20">
        <v>5.0000000000000001E-3</v>
      </c>
    </row>
    <row r="260" spans="1:66" ht="20.100000000000001" customHeight="1" x14ac:dyDescent="0.2">
      <c r="A260"/>
    </row>
    <row r="261" spans="1:66" ht="20.100000000000001" customHeight="1" x14ac:dyDescent="0.2">
      <c r="A261"/>
    </row>
    <row r="262" spans="1:66" ht="20.100000000000001" customHeight="1" x14ac:dyDescent="0.2">
      <c r="A262"/>
    </row>
    <row r="263" spans="1:66" ht="20.100000000000001" customHeight="1" x14ac:dyDescent="0.2">
      <c r="A263"/>
      <c r="D263" s="2" t="s">
        <v>197</v>
      </c>
    </row>
    <row r="264" spans="1:66" ht="20.100000000000001" customHeight="1" x14ac:dyDescent="0.2">
      <c r="A264"/>
      <c r="D264" s="1" t="s">
        <v>198</v>
      </c>
    </row>
    <row r="265" spans="1:66" ht="20.100000000000001" customHeight="1" x14ac:dyDescent="0.2">
      <c r="A265"/>
      <c r="D265" s="20" t="s">
        <v>264</v>
      </c>
      <c r="E265" s="20" t="s">
        <v>199</v>
      </c>
      <c r="F265" s="20" t="s">
        <v>200</v>
      </c>
      <c r="G265" s="20" t="s">
        <v>193</v>
      </c>
      <c r="V265" s="1"/>
      <c r="BN265" s="22"/>
    </row>
    <row r="266" spans="1:66" ht="20.100000000000001" customHeight="1" x14ac:dyDescent="0.2">
      <c r="A266"/>
      <c r="D266" s="20" t="s">
        <v>245</v>
      </c>
      <c r="E266" s="20" t="s">
        <v>201</v>
      </c>
      <c r="F266" s="20" t="s">
        <v>202</v>
      </c>
      <c r="G266" s="20">
        <v>5</v>
      </c>
      <c r="V266" s="1"/>
      <c r="BN266" s="22"/>
    </row>
    <row r="267" spans="1:66" ht="20.100000000000001" customHeight="1" x14ac:dyDescent="0.2">
      <c r="A267"/>
      <c r="D267" s="20" t="s">
        <v>252</v>
      </c>
      <c r="E267" s="20" t="s">
        <v>203</v>
      </c>
      <c r="F267" s="20" t="s">
        <v>194</v>
      </c>
      <c r="G267" s="20">
        <v>4</v>
      </c>
      <c r="V267" s="1"/>
      <c r="BN267" s="22"/>
    </row>
    <row r="268" spans="1:66" ht="20.100000000000001" customHeight="1" x14ac:dyDescent="0.2">
      <c r="A268"/>
      <c r="D268" s="20" t="s">
        <v>253</v>
      </c>
      <c r="E268" s="20" t="s">
        <v>204</v>
      </c>
      <c r="F268" s="20" t="s">
        <v>205</v>
      </c>
      <c r="G268" s="20">
        <v>3</v>
      </c>
      <c r="V268" s="1"/>
      <c r="BN268" s="22"/>
    </row>
    <row r="269" spans="1:66" ht="20.100000000000001" customHeight="1" x14ac:dyDescent="0.2">
      <c r="A269"/>
      <c r="D269" s="20" t="s">
        <v>262</v>
      </c>
      <c r="E269" s="20" t="s">
        <v>206</v>
      </c>
      <c r="F269" s="20" t="s">
        <v>207</v>
      </c>
      <c r="G269" s="20">
        <v>2</v>
      </c>
      <c r="V269" s="1"/>
      <c r="BN269" s="22"/>
    </row>
    <row r="270" spans="1:66" ht="20.100000000000001" customHeight="1" x14ac:dyDescent="0.2">
      <c r="A270"/>
      <c r="D270" s="20" t="s">
        <v>263</v>
      </c>
      <c r="E270" s="20" t="s">
        <v>208</v>
      </c>
      <c r="F270" s="20" t="s">
        <v>209</v>
      </c>
      <c r="G270" s="20">
        <v>1</v>
      </c>
      <c r="V270" s="1"/>
      <c r="BN270" s="22"/>
    </row>
    <row r="271" spans="1:66" ht="20.100000000000001" customHeight="1" x14ac:dyDescent="0.2">
      <c r="A271"/>
    </row>
    <row r="272" spans="1:66" ht="20.100000000000001" customHeight="1" x14ac:dyDescent="0.2">
      <c r="A272"/>
    </row>
    <row r="273" spans="1:66" ht="20.100000000000001" customHeight="1" x14ac:dyDescent="0.2">
      <c r="A273"/>
      <c r="D273" s="1" t="s">
        <v>210</v>
      </c>
    </row>
    <row r="274" spans="1:66" ht="20.100000000000001" customHeight="1" x14ac:dyDescent="0.2">
      <c r="A274"/>
      <c r="D274" s="20" t="s">
        <v>264</v>
      </c>
      <c r="E274" s="20" t="s">
        <v>199</v>
      </c>
      <c r="F274" s="20" t="s">
        <v>200</v>
      </c>
      <c r="G274" s="20" t="s">
        <v>193</v>
      </c>
      <c r="V274" s="1"/>
      <c r="BN274" s="22"/>
    </row>
    <row r="275" spans="1:66" ht="20.100000000000001" customHeight="1" x14ac:dyDescent="0.2">
      <c r="A275"/>
      <c r="D275" s="20" t="s">
        <v>260</v>
      </c>
      <c r="E275" s="20" t="s">
        <v>211</v>
      </c>
      <c r="F275" s="20" t="s">
        <v>195</v>
      </c>
      <c r="G275" s="20">
        <v>5</v>
      </c>
      <c r="V275" s="1"/>
      <c r="BN275" s="22"/>
    </row>
    <row r="276" spans="1:66" ht="20.100000000000001" customHeight="1" x14ac:dyDescent="0.2">
      <c r="A276"/>
      <c r="D276" s="20" t="s">
        <v>246</v>
      </c>
      <c r="E276" s="20" t="s">
        <v>212</v>
      </c>
      <c r="F276" s="20" t="s">
        <v>213</v>
      </c>
      <c r="G276" s="20">
        <v>4</v>
      </c>
      <c r="V276" s="1"/>
      <c r="BN276" s="22"/>
    </row>
    <row r="277" spans="1:66" ht="20.100000000000001" customHeight="1" x14ac:dyDescent="0.2">
      <c r="A277"/>
      <c r="D277" s="20" t="s">
        <v>249</v>
      </c>
      <c r="E277" s="20" t="s">
        <v>214</v>
      </c>
      <c r="F277" s="20" t="s">
        <v>215</v>
      </c>
      <c r="G277" s="20">
        <v>3</v>
      </c>
      <c r="V277" s="1"/>
      <c r="BN277" s="22"/>
    </row>
    <row r="278" spans="1:66" ht="20.100000000000001" customHeight="1" x14ac:dyDescent="0.2">
      <c r="A278"/>
      <c r="D278" s="20" t="s">
        <v>258</v>
      </c>
      <c r="E278" s="20" t="s">
        <v>216</v>
      </c>
      <c r="F278" s="20" t="s">
        <v>217</v>
      </c>
      <c r="G278" s="20">
        <v>2</v>
      </c>
      <c r="V278" s="1"/>
      <c r="BN278" s="22"/>
    </row>
    <row r="279" spans="1:66" ht="20.100000000000001" customHeight="1" x14ac:dyDescent="0.2">
      <c r="A279"/>
      <c r="D279" s="20" t="s">
        <v>261</v>
      </c>
      <c r="E279" s="20" t="s">
        <v>218</v>
      </c>
      <c r="F279" s="20" t="s">
        <v>219</v>
      </c>
      <c r="G279" s="20">
        <v>1</v>
      </c>
      <c r="V279" s="1"/>
      <c r="BN279" s="22"/>
    </row>
    <row r="280" spans="1:66" ht="20.100000000000001" customHeight="1" x14ac:dyDescent="0.2">
      <c r="A280"/>
    </row>
    <row r="281" spans="1:66" ht="20.100000000000001" customHeight="1" x14ac:dyDescent="0.2">
      <c r="A281" s="85" t="str">
        <f>HYPERLINK("#A1", "▲ Back to top")</f>
        <v>▲ Back to top</v>
      </c>
    </row>
    <row r="282" spans="1:66" ht="20.100000000000001" customHeight="1" x14ac:dyDescent="0.2">
      <c r="A282"/>
      <c r="D282" s="1" t="s">
        <v>220</v>
      </c>
    </row>
    <row r="283" spans="1:66" ht="20.100000000000001" customHeight="1" x14ac:dyDescent="0.2">
      <c r="A283"/>
      <c r="D283" s="20" t="s">
        <v>264</v>
      </c>
      <c r="E283" s="20" t="s">
        <v>199</v>
      </c>
      <c r="F283" s="20" t="s">
        <v>200</v>
      </c>
      <c r="G283" s="20" t="s">
        <v>193</v>
      </c>
      <c r="V283" s="1"/>
      <c r="BN283" s="22"/>
    </row>
    <row r="284" spans="1:66" ht="20.100000000000001" customHeight="1" x14ac:dyDescent="0.2">
      <c r="A284"/>
      <c r="D284" s="20" t="s">
        <v>247</v>
      </c>
      <c r="E284" s="20" t="s">
        <v>221</v>
      </c>
      <c r="F284" s="20" t="s">
        <v>222</v>
      </c>
      <c r="G284" s="20">
        <v>5</v>
      </c>
      <c r="V284" s="1"/>
      <c r="BN284" s="22"/>
    </row>
    <row r="285" spans="1:66" ht="20.100000000000001" customHeight="1" x14ac:dyDescent="0.2">
      <c r="A285"/>
      <c r="D285" s="20" t="s">
        <v>250</v>
      </c>
      <c r="E285" s="20" t="s">
        <v>223</v>
      </c>
      <c r="F285" s="20" t="s">
        <v>224</v>
      </c>
      <c r="G285" s="20">
        <v>4</v>
      </c>
      <c r="V285" s="1"/>
      <c r="BN285" s="22"/>
    </row>
    <row r="286" spans="1:66" ht="20.100000000000001" customHeight="1" x14ac:dyDescent="0.2">
      <c r="A286"/>
      <c r="D286" s="20" t="s">
        <v>248</v>
      </c>
      <c r="E286" s="20" t="s">
        <v>225</v>
      </c>
      <c r="F286" s="20" t="s">
        <v>196</v>
      </c>
      <c r="G286" s="20">
        <v>3</v>
      </c>
      <c r="V286" s="1"/>
      <c r="BN286" s="22"/>
    </row>
    <row r="287" spans="1:66" ht="20.100000000000001" customHeight="1" x14ac:dyDescent="0.2">
      <c r="A287"/>
      <c r="D287" s="20" t="s">
        <v>255</v>
      </c>
      <c r="E287" s="20" t="s">
        <v>226</v>
      </c>
      <c r="F287" s="20" t="s">
        <v>227</v>
      </c>
      <c r="G287" s="20">
        <v>2</v>
      </c>
      <c r="V287" s="1"/>
      <c r="BN287" s="22"/>
    </row>
    <row r="288" spans="1:66" ht="20.100000000000001" customHeight="1" x14ac:dyDescent="0.2">
      <c r="A288"/>
      <c r="D288" s="20" t="s">
        <v>256</v>
      </c>
      <c r="E288" s="20" t="s">
        <v>228</v>
      </c>
      <c r="F288" s="20" t="s">
        <v>229</v>
      </c>
      <c r="G288" s="20">
        <v>1</v>
      </c>
      <c r="V288" s="1"/>
      <c r="BN288" s="22"/>
    </row>
    <row r="289" spans="1:66" ht="20.100000000000001" customHeight="1" x14ac:dyDescent="0.2">
      <c r="A289"/>
    </row>
    <row r="290" spans="1:66" ht="20.100000000000001" customHeight="1" x14ac:dyDescent="0.2">
      <c r="A290"/>
    </row>
    <row r="291" spans="1:66" ht="20.100000000000001" customHeight="1" x14ac:dyDescent="0.2">
      <c r="A291"/>
      <c r="D291" s="1" t="s">
        <v>230</v>
      </c>
    </row>
    <row r="292" spans="1:66" ht="20.100000000000001" customHeight="1" x14ac:dyDescent="0.2">
      <c r="A292"/>
      <c r="D292" s="20" t="s">
        <v>264</v>
      </c>
      <c r="E292" s="20" t="s">
        <v>199</v>
      </c>
      <c r="F292" s="20" t="s">
        <v>200</v>
      </c>
      <c r="G292" s="20" t="s">
        <v>193</v>
      </c>
      <c r="V292" s="1"/>
      <c r="BN292" s="22"/>
    </row>
    <row r="293" spans="1:66" ht="20.100000000000001" customHeight="1" x14ac:dyDescent="0.2">
      <c r="A293"/>
      <c r="D293" s="20" t="s">
        <v>265</v>
      </c>
      <c r="E293" s="20" t="s">
        <v>231</v>
      </c>
      <c r="F293" s="20" t="s">
        <v>232</v>
      </c>
      <c r="G293" s="20">
        <v>5</v>
      </c>
      <c r="V293" s="1"/>
      <c r="BN293" s="22"/>
    </row>
    <row r="294" spans="1:66" ht="20.100000000000001" customHeight="1" x14ac:dyDescent="0.2">
      <c r="A294"/>
      <c r="D294" s="20" t="s">
        <v>266</v>
      </c>
      <c r="E294" s="20" t="s">
        <v>233</v>
      </c>
      <c r="F294" s="20" t="s">
        <v>234</v>
      </c>
      <c r="G294" s="20">
        <v>4</v>
      </c>
      <c r="V294" s="1"/>
      <c r="BN294" s="22"/>
    </row>
    <row r="295" spans="1:66" ht="20.100000000000001" customHeight="1" x14ac:dyDescent="0.2">
      <c r="A295"/>
      <c r="D295" s="20" t="s">
        <v>267</v>
      </c>
      <c r="E295" s="20" t="s">
        <v>235</v>
      </c>
      <c r="F295" s="20" t="s">
        <v>236</v>
      </c>
      <c r="G295" s="20">
        <v>3</v>
      </c>
      <c r="V295" s="1"/>
      <c r="BN295" s="22"/>
    </row>
    <row r="296" spans="1:66" ht="20.100000000000001" customHeight="1" x14ac:dyDescent="0.2">
      <c r="A296"/>
      <c r="D296" s="20" t="s">
        <v>268</v>
      </c>
      <c r="E296" s="20" t="s">
        <v>237</v>
      </c>
      <c r="F296" s="20" t="s">
        <v>238</v>
      </c>
      <c r="G296" s="20">
        <v>2</v>
      </c>
      <c r="V296" s="1"/>
      <c r="BN296" s="22"/>
    </row>
    <row r="297" spans="1:66" ht="20.100000000000001" customHeight="1" x14ac:dyDescent="0.2">
      <c r="A297"/>
      <c r="D297" s="20" t="s">
        <v>269</v>
      </c>
      <c r="E297" s="20" t="s">
        <v>239</v>
      </c>
      <c r="F297" s="20" t="s">
        <v>240</v>
      </c>
      <c r="G297" s="20">
        <v>1</v>
      </c>
      <c r="V297" s="1"/>
      <c r="BN297" s="22"/>
    </row>
    <row r="298" spans="1:66" ht="20.100000000000001" customHeight="1" x14ac:dyDescent="0.2">
      <c r="A298"/>
    </row>
    <row r="299" spans="1:66" ht="20.100000000000001" customHeight="1" x14ac:dyDescent="0.2">
      <c r="A299"/>
    </row>
    <row r="300" spans="1:66" ht="20.100000000000001" customHeight="1" x14ac:dyDescent="0.2">
      <c r="A300"/>
    </row>
    <row r="301" spans="1:66" ht="20.100000000000001" customHeight="1" x14ac:dyDescent="0.2">
      <c r="A301"/>
    </row>
    <row r="302" spans="1:66" ht="20.100000000000001" customHeight="1" x14ac:dyDescent="0.2">
      <c r="A302"/>
    </row>
    <row r="303" spans="1:66" ht="20.100000000000001" customHeight="1" x14ac:dyDescent="0.2">
      <c r="A303"/>
    </row>
    <row r="304" spans="1:66" ht="20.100000000000001" customHeight="1" x14ac:dyDescent="0.2">
      <c r="A304"/>
    </row>
    <row r="305" spans="1:1" ht="20.100000000000001" customHeight="1" x14ac:dyDescent="0.2">
      <c r="A305"/>
    </row>
    <row r="306" spans="1:1" ht="20.100000000000001" customHeight="1" x14ac:dyDescent="0.2">
      <c r="A306"/>
    </row>
    <row r="307" spans="1:1" ht="20.100000000000001" customHeight="1" x14ac:dyDescent="0.2">
      <c r="A307"/>
    </row>
    <row r="308" spans="1:1" ht="20.100000000000001" customHeight="1" x14ac:dyDescent="0.2">
      <c r="A308"/>
    </row>
    <row r="309" spans="1:1" ht="20.100000000000001" customHeight="1" x14ac:dyDescent="0.2">
      <c r="A309"/>
    </row>
    <row r="310" spans="1:1" ht="20.100000000000001" customHeight="1" x14ac:dyDescent="0.2">
      <c r="A310"/>
    </row>
    <row r="311" spans="1:1" ht="20.100000000000001" customHeight="1" x14ac:dyDescent="0.2">
      <c r="A311"/>
    </row>
    <row r="312" spans="1:1" ht="20.100000000000001" customHeight="1" x14ac:dyDescent="0.2">
      <c r="A312"/>
    </row>
    <row r="313" spans="1:1" ht="20.100000000000001" customHeight="1" x14ac:dyDescent="0.2">
      <c r="A313"/>
    </row>
    <row r="314" spans="1:1" ht="20.100000000000001" customHeight="1" x14ac:dyDescent="0.2">
      <c r="A314"/>
    </row>
    <row r="315" spans="1:1" ht="20.100000000000001" customHeight="1" x14ac:dyDescent="0.2">
      <c r="A315"/>
    </row>
    <row r="316" spans="1:1" ht="20.100000000000001" customHeight="1" x14ac:dyDescent="0.2">
      <c r="A316"/>
    </row>
    <row r="317" spans="1:1" ht="20.100000000000001" customHeight="1" x14ac:dyDescent="0.2">
      <c r="A317"/>
    </row>
    <row r="318" spans="1:1" ht="20.100000000000001" customHeight="1" x14ac:dyDescent="0.2">
      <c r="A318"/>
    </row>
    <row r="319" spans="1:1" ht="20.100000000000001" customHeight="1" x14ac:dyDescent="0.2">
      <c r="A319"/>
    </row>
    <row r="320" spans="1:1" ht="20.100000000000001" customHeight="1" x14ac:dyDescent="0.2">
      <c r="A320"/>
    </row>
    <row r="321" spans="1:1" ht="20.100000000000001" customHeight="1" x14ac:dyDescent="0.2">
      <c r="A321"/>
    </row>
    <row r="322" spans="1:1" ht="20.100000000000001" customHeight="1" x14ac:dyDescent="0.2">
      <c r="A322"/>
    </row>
    <row r="323" spans="1:1" ht="20.100000000000001" customHeight="1" x14ac:dyDescent="0.2">
      <c r="A323"/>
    </row>
    <row r="324" spans="1:1" ht="20.100000000000001" customHeight="1" x14ac:dyDescent="0.2">
      <c r="A324"/>
    </row>
    <row r="325" spans="1:1" ht="20.100000000000001" customHeight="1" x14ac:dyDescent="0.2">
      <c r="A325"/>
    </row>
    <row r="326" spans="1:1" ht="20.100000000000001" customHeight="1" x14ac:dyDescent="0.2">
      <c r="A326"/>
    </row>
    <row r="327" spans="1:1" ht="20.100000000000001" customHeight="1" x14ac:dyDescent="0.2">
      <c r="A327"/>
    </row>
    <row r="328" spans="1:1" ht="20.100000000000001" customHeight="1" x14ac:dyDescent="0.2">
      <c r="A328"/>
    </row>
    <row r="329" spans="1:1" ht="20.100000000000001" customHeight="1" x14ac:dyDescent="0.2">
      <c r="A329"/>
    </row>
    <row r="330" spans="1:1" ht="20.100000000000001" customHeight="1" x14ac:dyDescent="0.2">
      <c r="A330"/>
    </row>
    <row r="331" spans="1:1" ht="20.100000000000001" customHeight="1" x14ac:dyDescent="0.2">
      <c r="A331"/>
    </row>
    <row r="332" spans="1:1" ht="20.100000000000001" customHeight="1" x14ac:dyDescent="0.2">
      <c r="A33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EFF77-7769-45CF-890A-FBB6CB66EC4F}">
  <sheetPr>
    <tabColor theme="2" tint="-0.499984740745262"/>
  </sheetPr>
  <dimension ref="A1:A60"/>
  <sheetViews>
    <sheetView zoomScaleNormal="100" workbookViewId="0">
      <pane xSplit="1" topLeftCell="B1" activePane="topRight" state="frozenSplit"/>
      <selection pane="topRight" activeCell="A4" sqref="A4"/>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5"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Emissions Intensity")</f>
        <v>Results - Product Emissions Intensity</v>
      </c>
    </row>
    <row r="8" spans="1:1" ht="20.100000000000001" customHeight="1" x14ac:dyDescent="0.2">
      <c r="A8" s="7" t="s">
        <v>0</v>
      </c>
    </row>
    <row r="9" spans="1:1" ht="20.100000000000001" customHeight="1" x14ac:dyDescent="0.2">
      <c r="A9" s="5" t="str">
        <f>HYPERLINK("#'Input - Enterprise'!A1", "Enterprise")</f>
        <v>Enterprise</v>
      </c>
    </row>
    <row r="10" spans="1:1" ht="20.100000000000001" customHeight="1" x14ac:dyDescent="0.2">
      <c r="A10" s="5" t="str">
        <f>HYPERLINK("#'Input - Site'!A1", "Site")</f>
        <v>Site</v>
      </c>
    </row>
    <row r="11" spans="1:1" ht="20.100000000000001" customHeight="1" x14ac:dyDescent="0.2">
      <c r="A11" s="5" t="str">
        <f>HYPERLINK("#'Input - Pasture Beef'!A1", "Pasture Beef")</f>
        <v>Pasture Beef</v>
      </c>
    </row>
    <row r="12" spans="1:1" ht="20.100000000000001" customHeight="1" x14ac:dyDescent="0.2">
      <c r="A12" s="5" t="str">
        <f>HYPERLINK("#'Input - Livestock sales'!A1", "Livestock sales")</f>
        <v>Livestock sales</v>
      </c>
    </row>
    <row r="13" spans="1:1" ht="20.100000000000001" customHeight="1" x14ac:dyDescent="0.2">
      <c r="A13" s="5" t="str">
        <f>HYPERLINK("#'Input - Beef cattle purchases'!A1", "Beef cattle purchases")</f>
        <v>Beef cattle purchases</v>
      </c>
    </row>
    <row r="14" spans="1:1" ht="20.100000000000001" customHeight="1" x14ac:dyDescent="0.2">
      <c r="A14" s="5" t="str">
        <f>HYPERLINK("#'Input - Pasture'!A1", "Pasture")</f>
        <v>Pasture</v>
      </c>
    </row>
    <row r="15" spans="1:1" ht="20.100000000000001" customHeight="1" x14ac:dyDescent="0.2">
      <c r="A15" s="5" t="str">
        <f>HYPERLINK("#'Input - Fert Prod System'!A1", "Fert Prod System")</f>
        <v>Fert Prod System</v>
      </c>
    </row>
    <row r="16" spans="1:1" ht="20.100000000000001" customHeight="1" x14ac:dyDescent="0.2">
      <c r="A16" s="5" t="str">
        <f>HYPERLINK("#'Input - Fertiliser'!A1", "Fertiliser")</f>
        <v>Fertiliser</v>
      </c>
    </row>
    <row r="17" spans="1:1" ht="20.100000000000001" customHeight="1" x14ac:dyDescent="0.2">
      <c r="A17" s="5" t="str">
        <f>HYPERLINK("#'Input - Fuel'!A1", "Fuel")</f>
        <v>Fuel</v>
      </c>
    </row>
    <row r="18" spans="1:1" ht="20.100000000000001" customHeight="1" x14ac:dyDescent="0.2">
      <c r="A18" s="5" t="str">
        <f>HYPERLINK("#'Input - Electricity'!A1", "Electricity")</f>
        <v>Electricity</v>
      </c>
    </row>
    <row r="19" spans="1:1" ht="20.100000000000001" customHeight="1" x14ac:dyDescent="0.2">
      <c r="A19" s="5" t="str">
        <f>HYPERLINK("#'Input - Common farm inputs'!A1", "Common farm inputs")</f>
        <v>Common farm inputs</v>
      </c>
    </row>
    <row r="20" spans="1:1" ht="20.100000000000001" customHeight="1" x14ac:dyDescent="0.2">
      <c r="A20" s="5" t="str">
        <f>HYPERLINK("#'Input - Crop pasture farm input'!A1", "Crop pasture farm input")</f>
        <v>Crop pasture farm input</v>
      </c>
    </row>
    <row r="21" spans="1:1" ht="20.100000000000001" customHeight="1" x14ac:dyDescent="0.2">
      <c r="A21" s="5" t="str">
        <f>HYPERLINK("#'Input - Livestock farm Inputs'!A1", "Livestock farm Inputs")</f>
        <v>Livestock farm Inputs</v>
      </c>
    </row>
    <row r="22" spans="1:1" ht="20.100000000000001" customHeight="1" x14ac:dyDescent="0.2">
      <c r="A22" s="5" t="str">
        <f>HYPERLINK("#'Input - Freight'!A1", "Freight")</f>
        <v>Freight</v>
      </c>
    </row>
    <row r="23" spans="1:1" ht="20.100000000000001" customHeight="1" x14ac:dyDescent="0.2">
      <c r="A23" s="5" t="str">
        <f>HYPERLINK("#'Input - Solid waste'!A1", "Solid waste")</f>
        <v>Solid waste</v>
      </c>
    </row>
    <row r="24" spans="1:1" ht="20.100000000000001" customHeight="1" x14ac:dyDescent="0.2">
      <c r="A24" s="5" t="str">
        <f>HYPERLINK("#'Input - Manure sent off-site'!A1", "Manure sent off-site")</f>
        <v>Manure sent off-site</v>
      </c>
    </row>
    <row r="25" spans="1:1" ht="20.100000000000001" customHeight="1" x14ac:dyDescent="0.2">
      <c r="A25" s="5" t="str">
        <f>HYPERLINK("#'Input - Data quality'!A1", "Data quality")</f>
        <v>Data quality</v>
      </c>
    </row>
    <row r="28" spans="1:1" ht="20.100000000000001" customHeight="1" x14ac:dyDescent="0.2">
      <c r="A28" s="6" t="s">
        <v>2</v>
      </c>
    </row>
    <row r="29" spans="1:1" ht="20.100000000000001" customHeight="1" x14ac:dyDescent="0.2">
      <c r="A29" s="5" t="str">
        <f>HYPERLINK("#'3.2.1.1-2 Enteric Methane'!A1", "3.2.1.1-2 Enteric Methane")</f>
        <v>3.2.1.1-2 Enteric Methane</v>
      </c>
    </row>
    <row r="30" spans="1:1" ht="20.100000000000001" customHeight="1" x14ac:dyDescent="0.2">
      <c r="A30" s="5" t="str">
        <f>HYPERLINK("#'4.2.1.1-2 Methane'!A1", "4.2.1.1-2 Manure methane")</f>
        <v>4.2.1.1-2 Manure methane</v>
      </c>
    </row>
    <row r="31" spans="1:1" ht="20.100000000000001" customHeight="1" x14ac:dyDescent="0.2">
      <c r="A31" s="5" t="str">
        <f>HYPERLINK("#'4.2.1.3-4 Soil direct N20'!A1", "4.2.1.3-4 Soil direct N2O")</f>
        <v>4.2.1.3-4 Soil direct N2O</v>
      </c>
    </row>
    <row r="32" spans="1:1" ht="20.100000000000001" customHeight="1" x14ac:dyDescent="0.2">
      <c r="A32" s="5" t="str">
        <f>HYPERLINK("#'4.2.1.5-6 Soil Atmos Dep'!A1", "4.2.1.5-6 Soil atm. deposition")</f>
        <v>4.2.1.5-6 Soil atm. deposition</v>
      </c>
    </row>
    <row r="33" spans="1:1" ht="20.100000000000001" customHeight="1" x14ac:dyDescent="0.2">
      <c r="A33" s="5" t="str">
        <f>HYPERLINK("#'4.2.1.7-8 Soil leach runoff'!A1", "4.2.1.7-8 Soil leach &amp; runoff")</f>
        <v>4.2.1.7-8 Soil leach &amp; runoff</v>
      </c>
    </row>
    <row r="34" spans="1:1" ht="20.100000000000001" customHeight="1" x14ac:dyDescent="0.2">
      <c r="A34" s="5" t="str">
        <f>HYPERLINK("#'5.1.1.1-2 Inorganic fert N2O'!A1", "5.1.1.1-2 Inorganic fert N2O")</f>
        <v>5.1.1.1-2 Inorganic fert N2O</v>
      </c>
    </row>
    <row r="35" spans="1:1" ht="20.100000000000001" customHeight="1" x14ac:dyDescent="0.2">
      <c r="A35" s="5" t="str">
        <f>HYPERLINK("#'5.1.1.3-4 Inorganic fert CO2'!A1", "5.1.1.3-4 Inorganic fert CO2")</f>
        <v>5.1.1.3-4 Inorganic fert CO2</v>
      </c>
    </row>
    <row r="36" spans="1:1" ht="20.100000000000001" customHeight="1" x14ac:dyDescent="0.2">
      <c r="A36" s="5" t="str">
        <f>HYPERLINK("#'5.2.1.1-2 Organic Fert N2O'!A1", "5.2.1.1-2 Organic fert N2O")</f>
        <v>5.2.1.1-2 Organic fert N2O</v>
      </c>
    </row>
    <row r="37" spans="1:1" ht="20.100000000000001" customHeight="1" x14ac:dyDescent="0.2">
      <c r="A37" s="5" t="str">
        <f>HYPERLINK("#'5.3.1.1-2 Lime CO2'!A1", "5.3.1.1-2 Lime CO2")</f>
        <v>5.3.1.1-2 Lime CO2</v>
      </c>
    </row>
    <row r="38" spans="1:1" ht="20.100000000000001" customHeight="1" x14ac:dyDescent="0.2">
      <c r="A38" s="5" t="str">
        <f>HYPERLINK("#'5.4.1.1-4 Atmos deposition'!A1", "5.4.1.1-4 Atmos. deposition")</f>
        <v>5.4.1.1-4 Atmos. deposition</v>
      </c>
    </row>
    <row r="39" spans="1:1" ht="20.100000000000001" customHeight="1" x14ac:dyDescent="0.2">
      <c r="A39" s="5" t="str">
        <f>HYPERLINK("#'5.5.1.1-2 Leaching and runoff'!A1", "5.5.1.1-2 Leaching &amp; runoff")</f>
        <v>5.5.1.1-2 Leaching &amp; runoff</v>
      </c>
    </row>
    <row r="40" spans="1:1" ht="20.100000000000001" customHeight="1" x14ac:dyDescent="0.2">
      <c r="A40" s="5" t="str">
        <f>HYPERLINK("#'6.2.1.1-2 Pasture residue N2O'!A1", "6.2.1.1-2 Pasture residue N2O")</f>
        <v>6.2.1.1-2 Pasture residue N2O</v>
      </c>
    </row>
    <row r="41" spans="1:1" ht="20.100000000000001" customHeight="1" x14ac:dyDescent="0.2">
      <c r="A41" s="5" t="str">
        <f>HYPERLINK("#'6.3.1.1-2 Leach runoff pasture'!A1", "6.3.1.1-2 Leach &amp; runoff (pasture)")</f>
        <v>6.3.1.1-2 Leach &amp; runoff (pasture)</v>
      </c>
    </row>
    <row r="42" spans="1:1" ht="20.100000000000001" customHeight="1" x14ac:dyDescent="0.2">
      <c r="A42" s="5" t="str">
        <f>HYPERLINK("#'8.1.1.1-2 Transport fuel'!A1", "8.1.1.1-2 Transport fuel")</f>
        <v>8.1.1.1-2 Transport fuel</v>
      </c>
    </row>
    <row r="43" spans="1:1" ht="20.100000000000001" customHeight="1" x14ac:dyDescent="0.2">
      <c r="A43" s="5" t="str">
        <f>HYPERLINK("#'8.2.1.1-2 Stationary fuel'!A1", "8.2.1.1-2 Stationary fuel")</f>
        <v>8.2.1.1-2 Stationary fuel</v>
      </c>
    </row>
    <row r="44" spans="1:1" ht="20.100000000000001" customHeight="1" x14ac:dyDescent="0.2">
      <c r="A44" s="5" t="str">
        <f>HYPERLINK("#'10.1.1-2 Solid waste treatment'!A1", "10.1.1.1-2 Solid waste")</f>
        <v>10.1.1.1-2 Solid waste</v>
      </c>
    </row>
    <row r="45" spans="1:1" ht="20.100000000000001" customHeight="1" x14ac:dyDescent="0.2">
      <c r="A45" s="5" t="str">
        <f>HYPERLINK("#'14.1.1-2 Purchased electricity'!A1", "14.1.1-2 Purchased electricity")</f>
        <v>14.1.1-2 Purchased electricity</v>
      </c>
    </row>
    <row r="46" spans="1:1" ht="20.100000000000001" customHeight="1" x14ac:dyDescent="0.2">
      <c r="A46" s="5" t="str">
        <f>HYPERLINK("#'15 Scope 3'!A1", "15 Scope 3")</f>
        <v>15 Scope 3</v>
      </c>
    </row>
    <row r="47" spans="1:1" ht="20.100000000000001" customHeight="1" x14ac:dyDescent="0.2">
      <c r="A47" s="5" t="str">
        <f>HYPERLINK("#'Calcs - Manure sent off-site'!A1", "Calcs - Manure sent off-site")</f>
        <v>Calcs - Manure sent off-site</v>
      </c>
    </row>
    <row r="50" spans="1:1" ht="20.100000000000001" customHeight="1" x14ac:dyDescent="0.2">
      <c r="A50" s="86" t="s">
        <v>1</v>
      </c>
    </row>
    <row r="51" spans="1:1" ht="20.100000000000001" customHeight="1" x14ac:dyDescent="0.2">
      <c r="A51" s="5" t="str">
        <f>HYPERLINK("#'Constants - Pasture Beef'!A1", "Constants - Pasture Beef")</f>
        <v>Constants - Pasture Beef</v>
      </c>
    </row>
    <row r="52" spans="1:1" ht="20.100000000000001" customHeight="1" x14ac:dyDescent="0.2">
      <c r="A52" s="5" t="str">
        <f>HYPERLINK("#'Constants - Ag Residue'!A1", "Constants - Ag residue")</f>
        <v>Constants - Ag residue</v>
      </c>
    </row>
    <row r="53" spans="1:1" ht="20.100000000000001" customHeight="1" x14ac:dyDescent="0.2">
      <c r="A53" s="5" t="str">
        <f>HYPERLINK("#'Constants - Common Livestock'!A1", "Constants - Common Livestock")</f>
        <v>Constants - Common Livestock</v>
      </c>
    </row>
    <row r="54" spans="1:1" ht="20.100000000000001" customHeight="1" x14ac:dyDescent="0.2">
      <c r="A54" s="5" t="str">
        <f>HYPERLINK("#'Constants - Electricity'!A1", "Constants - Electricity")</f>
        <v>Constants - Electricity</v>
      </c>
    </row>
    <row r="55" spans="1:1" ht="20.100000000000001" customHeight="1" x14ac:dyDescent="0.2">
      <c r="A55" s="5" t="str">
        <f>HYPERLINK("#'Constants - Fertiliser'!A1", "Constants - Fertiliser")</f>
        <v>Constants - Fertiliser</v>
      </c>
    </row>
    <row r="56" spans="1:1" ht="20.100000000000001" customHeight="1" x14ac:dyDescent="0.2">
      <c r="A56" s="5" t="str">
        <f>HYPERLINK("#'Constants - Fuel'!A1", "Constants - Fuel")</f>
        <v>Constants - Fuel</v>
      </c>
    </row>
    <row r="57" spans="1:1" ht="20.100000000000001" customHeight="1" x14ac:dyDescent="0.2">
      <c r="A57" s="5" t="str">
        <f>HYPERLINK("#'Constants - Scope 3'!A1", "Constants - Scope 3")</f>
        <v>Constants - Scope 3</v>
      </c>
    </row>
    <row r="58" spans="1:1" ht="20.100000000000001" customHeight="1" x14ac:dyDescent="0.2">
      <c r="A58" s="5" t="str">
        <f>HYPERLINK("#'Constants - Solid Waste'!A1", "Constants - Solid Waste")</f>
        <v>Constants - Solid Waste</v>
      </c>
    </row>
    <row r="59" spans="1:1" ht="20.100000000000001" customHeight="1" x14ac:dyDescent="0.2">
      <c r="A59" s="5" t="str">
        <f>HYPERLINK("#'Constants - Common'!A1", "Constants - Common")</f>
        <v>Constants - Common</v>
      </c>
    </row>
    <row r="60" spans="1:1" ht="20.100000000000001" customHeight="1" x14ac:dyDescent="0.2">
      <c r="A60" s="87" t="str">
        <f>HYPERLINK("#'Acknowledgements'!A1", "Acknowledgements")</f>
        <v>Acknowledgements</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CYAIABcACIAIABcACIAIAAm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JwBGAHIAeQAnACAAdABvACAAJwBEAHIAeQAn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D4AIAAxADgAIABDAFwAIgAsACAAXAAiAEEAbgB5AFwAIgAsACAAXAAiAGQiIAA3AFwAIgAsACAAXAAiAD4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A+ACAAMQA4ACAAQwBcACIALAAgAFwAIgA+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D4AIAAxADgAIABDAFwAIgAsACAAXAAiAD4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D4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PgAgADEAMAAgAEMAXAAiACwAIABcACIAQQBuAHkAXAAiACwAIABcACIAQQBuAHkAXAAiACwAIABcACIAQQBuAHkAXAAiACwAIABcACIAPg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Pg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PgAgADAAIABDACAALQAgAGQiIAAxADAAIABDAFwAIgAsACAAXAAiAEEAbgB5AFwAIgAsACAAXAAiAEEAbgB5AFwAIgAsACAAXAAiAEEAbgB5AFwAIgAsACAAXAAiAD4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D4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Pg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A+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AnAEEAcQB1AGEAYwB1AGwAdAB1AHIAZQAnACAAcgBvAHcALgBcACIAOwBcAG4AIAAgACAAIAAgACAAIAAgACAAIABcACIAUgBlAG0AbwB2AGUAZAAgAGEAcwB0AGUAcgBpAHMAawBzACAAdABvACAAYQBpAGQAIABsAG8AbwBrAHUAcAAuAFwAIgA7AFwAbgAgACAAIAAgACAAIAAgACAAIAAgAFwAIgBBAGQAZABlAGQAIAAnAHAAcgBvAGQAdQBjAHQAaQBvAG4AIABzAHkAcwB0AGUAbQAgAG8AbgBsAHkAJwAsACAAJwByAGEAaQBuAGYAYQBsAGwAIAB6AG8AbgBlACcAIABhAG4AZAAgACcAaQByAHIAaQBnAGEAdABpAG8AbgAgAG0AZQB0AGgAbwBkACcAIABjAG8AbAB1AG0AbgBzACAAdABvACAAYQBpAGQAIABsAG8AbwBrAHUAcAAuAFwAIgA7AFwAbgAgACAAIAAgACAAIAAgACAAIAAgAFwAIgBEAHUAcABsAGkAYwBhAHQAZQBkACAAJwBuAG8AbgAtAGkAcgByAGkAZwBhAHQAZQBkACAAcABhAHMAdAB1AHIAZQAn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C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J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JwBEAHIAeQAgAGMAbABpAG0AYQB0AGUAIAB6AG8AbgBlAHMAJwAgAHQAbwAgAHMAaQBuAGcAdQBsAGEAcgAgACcARAByAHkAIABjAGwAaQBtAGEAdABlACAAegBvAG4AZQAn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PA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JwBQAG8AdQBsAHQAcgB5ACAAdwBpAHQAaAAgAGEAbgBkACAAdwBpAHQAaABvAHUAdAAgAGwAaQB0AHQAZQByACcAIABjAG8AbAB1AG0AbgAgAHcAaQB0AGgAIABzAGUAcABhAHIAYQB0AGUAIABOAEkAUgAgAGQAZQBmAGkAbgBpAHQAaQBvAG4AcwAgAHQAbwAgAGEAaQBkACAAbABvAG8AawB1AHAALgAgAEEAZABkAGUAZAAgACcATQBBAFQAIAByAGEAdwAn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C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Am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QBGAF8AUABSAFAAXAAiACwAIABcACIAZQBtAGkAcwBzAGkAbwBuACAAZgBhAGMAdABvAHIAIABmAG8AcgAgAG4AaQB0AHIAbwB1AHMAIABvAHgAaQBkAGUAIABmAHIAbwBtACAAdQByAGkAbgBlACAAYQBuAGQAIABkAHUAbgBnACAAZABlAHAAbwBzAGkAdABlAGQAIAB0AG8AIABzAG8AaQBs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egBcACIALAAgAFwAIgB3AGUAdAAgAG8AcgAgAGQAcgB5ACAAYwBsAGkAbQBhAHQAZQ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0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XAAiACwAIABcACIAaABlAGEAZABcACIALAAgAFwAIgBJAG4AcAB1AHQAXAAiADsAXABuACAAIAAgACAAIAAgACAAIAAgACAAXAAiAE4ARQBfAGoAawBsAFwAIgAsACAAXAAiAG4AaQB0AHIAbwBnAGUAbgAgAGUAeABjAHIAZQB0AGUAZAAgAGkAbgAgAGUAYQBjAGgAIAB0AGkAbQBlAC0AcABlAHIAaQBvAGQALAAgAGIAeQAgAGUAYQBjAGgAIABjAGwAYQBzAHMAIABhAG4AZAAgAHMAdQBiAGMAbABhAHMAcwBcACIALAAgAFwAIgBrAGcAIABOAC8AaABlAGEAZAAvAGQAYQB5AFwAIgAsACAAXAAiAEMAYQBsAGMAdQBsAGEAdABlAGQAIABmAHIAbwBtACAANAAuADIALgAxAC4AMwAgACgAMwApAFwAIgA7AFwAbgAgACAAIAAgACAAIAAgACAAIAAgAFwAIgBEAF8AagBcACIALAAgAFwAIgBuAHUAbQBiAGUAcgAgAG8AZgAgAGQAYQB5AHMAIABpAG4AIABlAGEAYwBoACAAdABpAG0AZQAtAHAAZQByAGkAbwBkACAAKABkAGEAeQBzACk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wBfAE4AaQB0AHIAbwBnAGUAbgBFAHgAYwByAGUAdABlAGQAXABuAE4AaQB0AHIAbwBnAGUAbgAgAGUAeABjAHIAZQB0AGUAZABcAG4ATgBFAF8AagBrAGwAXABuAGsAZwAgAE4ALwBoAGUAYQBkAC8AZABhAHkAXABuAE4ARQBfAHsAagBrAGwAfQA9AFwAXABmAHIAYQBjAHsASQBfAHsAagBrAGwAfQBcAFwAdABpAG0AZQBzACAAQwBQAF8AagB9AHsANgAuADIANQB9ACsAXABcAGYAcgBhAGMAewAwAC4AMAAzADIAXABcAHQAaQBtAGUAcwAgAE0AQwBfAHsAagBrAD0AMQAsADMALAA2AH0AfQB7ADYALgAzADgAfQAtAE4AUgBfAHsAagBrAGwAfQAtAFwAXABmAHIAYQBjAHsAMQAuADEAXABcAHQAaQBtAGUAcwAgADEAMABeAHsALQA0AH0AXABcAHQAaQBtAGUAcwAgAFcAXwB7AGoAawBsAH0AXgB7ADAALgA3ADUAfQB9AHsANgAuADIANQB9AFwAbgBJAF8AagBrAGwAIAA9ACAAZAByAHkAIABtAGEAdAB0AGUAcgAgAGkAbgB0AGEAawBlACAAYQBzACAAYwBhAGwAYwB1AGwAYQB0AGUAZAAgAGkAbgAgAEMAaABhAHAAdABlAHIAIAAzACAAUwBlAGMAdABpAG8AbgAgADMALgAyAC4AMQAgACgAawBnACAARABNAC8AaABlAGEAZAAvAGQAYQB5ACkAXABuAEMAUABfAGoAIAA9ACAAYwByAHUAZABlACAAcAByAG8AdABlAGkAbgAgAGMAbwBuAHQAZQBuAHQAIABvAGYAIABkAHIAeQAgAG0AYQB0AHQAZQByACAAaQBuAHQAYQBrAGUAXABuAE0AQwBfAGoAawAxADMANgAgAD0AIABtAGkAbABrACAAaQBuAHQAYQBrAGUAIAAoAGsAZwAvAGgAZQBhAGQALwBkAGEAeQApAFwAbgBOAFIAXwBqAGsAbAAgAD0AIAB0AGgAZQAgAGEAbQBvAHUAbgB0ACAAbwBmACAAbgBpAHQAcgBvAGcAZQBuACAAcgBlAHQAYQBpAG4AZQBkACAAYgB5ACAAdABoAGUAIABiAG8AZAB5ACAAKABrAGcAIABOAC8AaABlAGEAZAAvAGQAYQB5ACkAXABuAFcAXwBqAGsAbAAgAD0AIABsAGkAdgBlAHcAZQBpAGcAaAB0ACAAKABrAGcALwBoAGUAYQBkACkAXABuAC0ALQAtAC0ALQAtAC0ALQAtAC0ALQAtAC0ALQAtAC0ALQAtAC0ALQAtAC0ALQAtAC0ALQAtAC0ALQAtAC0ALQAtAC0ALQAtAC0ALQBcAG4AKgAvAFwAbgBcAG4AVgBFAEUAUgBHAF8ANABfADIAXwAxAF8AMwBfAF8AMwBfAE4AaQB0AHIAbwBnAGUAbgBFAHgAYwByAGUAdABlAGQAXABuACAAIAA9AEwAQQBNAEIARABBACgAXABuACAAIAAgACAASQBfAGoAawBsACwAIABDAFAAXwBqACwAIABNAEMAXwBqAGsAMQAzADYALAAgAE4AUgBfAGoAawBsACwAIABXAF8AagBrAGwALABcAG4AIAAgACAAIAAoACgASQBfAGoAawBsACAAKgAgAEMAUABfAGoAKQAgAC8AIAA2AC4AMgA1ACkAIAArACAAKAAoADAALgAwADMAMgAgACoAIABNAEMAXwBqAGsAMQAzADYAKQAgAC8AIAA2AC4AMwA4ACkAIAAtACAATgBSAF8AagBrAGwAIAAtACAAKAAoADEALgAxACAAKgAgADEAMAAgAF4AIAAtADQAIAAqACAAVwBfAGoAawBsACAAXgAgADAALgA3ADUAKQAgAC8AIAA2AC4AMgA1ACkAXABuACAAIAApADsAXABuAFwAbgBWAEUARQBSAEcAXwA0AF8AMgBfADEAXwAzAF8AXwAzAF8ATgBpAHQAcgBvAGcAZQBuAEUAeABjAHIAZQB0AGUAZABfAFQAaQB0AGwAZQBcAG4AIAAgAD0ATABBAE0AQgBEAEEAKABcACIATgBpAHQAcgBvAGcAZQBuACAAZQB4AGMAcgBlAHQAZQBkAFwAIgApADsAXABuAFwAbgBWAEUARQBSAEcAXwA0AF8AMgBfADEAXwAzAF8AXwAzAF8ATgBpAHQAcgBvAGcAZQBuAEUAeABjAHIAZQB0AGUAZABfAFYAYQByAGkAYQBiAGwAZQBcAG4AIAAgAD0ATABBAE0AQgBEAEEAKABcACIATgBFAF8AagBrAGwAXAAiACkAOwBcAG4AXABuAFYARQBFAFIARwBfADQAXwAyAF8AMQBfADMAXwBfADMAXwBOAGkAdAByAG8AZwBlAG4ARQB4AGMAcgBlAHQAZQBkAF8AVQBuAGkAdABcAG4AIAAgAD0ATABBAE0AQgBEAEEAKABcACIAawBnACAATgAvAGgAZQBhAGQALwBkAGEAeQBcACIAKQA7AFwAbgBcAG4AVgBFAEUAUgBHAF8ANABfADIAXwAxAF8AMwBfAF8AMwBfAE4AaQB0AHIAbwBnAGUAbgBFAHgAYwByAGUAdABlAGQAXwBTAG8AdQByAGMAZQBcAG4AIAAgAD0ATABBAE0AQgBEAEEAKABcACIAVgBFAEUAUgBHACAAMgAwADIANgA6ACAANAAuADIALgAxAC4AMwAsACAARQBxAHUAYQB0AGkAbwBuACAAKAAzACkAXAAiACkAOwBcAG4AXABuAFYARQBFAFIARwBfADQAXwAyAF8AMQBfADMAXwBfADMAXwBOAGkAdAByAG8AZwBlAG4ARQB4AGMAcgBlAHQAZQBkAF8ATgBJAFIAUgBlAGYAZQByAGUAbgBjAGUAXABuACAAIAA9AEwAQQBNAEIARABBACgAXAAiAFwAIgApADsAXABuAFwAbgBWAEUARQBSAEcAXwA0AF8AMgBfADEAXwAzAF8AXwAzAF8ATgBpAHQAcgBvAGcAZQBuAEUAeABjAHIAZQB0AGUAZABfAEwAYQB0AGUAeABFAHEAdQBhAHQAaQBvAG4AXABuACAAIAA9AEwAQQBNAEIARABBACgAXAAiAE4ARQBfAHsAagBrAGwAfQA9ACAAKABJAF8AewBqAGsAbAB9AFwAXAB0AGkAbQBlAHMAIABDAFAAXwBqACAAXABcAGQAaQB2ACAANgAuADIANQApACAAIAArACAAKAAwAC4AMAAzADIAXABcAHQAaQBtAGUAcwAgAE0AQwBfAHsAagBrAD0AMQAsADMALAA2AH0AIABcAFwAZABpAHYAIAA2AC4AMwA4ACkAIAAgAC0AIABOAFIAXwB7AGoAawBsAH0AIAAtACAAXABcAGwAZQBmAHQAWwAgACgAMQAuADEAXABcAHQAaQBtAGUAcwAgADEAMABeAHsALQA0AH0AXABcAHQAaQBtAGUAcwAgAFcAXwB7AGoAawBsAH0AXgB7ADAALgA3ADUAfQApACAAXABcAGQAaQB2ACAAIAA2AC4AMgA1ACAAXABcAHIAaQBnAGgAdABdAFwAIgApADsAXABuAFwAbgBWAEUARQBSAEcAXwA0AF8AMgBfADEAXwAzAF8AXwAzAF8ATgBpAHQAcgBvAGcAZQBuAEUAeABjAHIAZQB0AGUAZABfAEEAcgBnAHUAbQBlAG4AdABzAFwAbgAgACAAPQBMAEEATQBCAEQAQQAoAFwAbgAgACAAIAAgAE0AQQBLAEUAQQBSAFIAQQBZACgAN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AgACgAawBnACAARABNAC8AaABlAGEAZAAvAGQAYQB5ACkAXAAiACwAIABcACIAawBnACAARABNAC8AaABlAGEAZAAvAGQAYQB5AFwAIgAsACAAXAAiAEMAYQBsAGMAdQBsAGEAdABlAGQAIABmAHIAbwBtACAAMwAuADIALgAxAC4AMQAgACgAMwApAFwAIgA7AFwAbgAgACAAIAAgACAAIAAgACAAIAAgAFwAIgBDAFAAXwBqAFwAIgAsACAAXAAiAGMAcgB1AGQAZQAgAHAAcgBvAHQAZQBpAG4AIABjAG8AbgB0AGUAbgB0ACAAbwBmACAAZAByAHkAIABtAGEAdAB0AGUAcgAgAGkAbgB0AGEAawBlAFwAIgAsACAAXAAiAGYAcgBhAGMAdABpAG8AbgBcACIALAAgAFwAIgBJAG4AcAB1AHQAXAAiADsAXABuACAAIAAgACAAIAAgACAAIAAgACAAXAAiAE0AQwBfAGoAawAxADMANgBcACIALAAgAFwAIgBtAGkAbABrACAAaQBuAHQAYQBrAGUAIAAoAGsAZwAvAGgAZQBhAGQALwBkAGEAeQApAFwAIgAsACAAXAAiAGsAZwAvAGgAZQBhAGQALwBkAGEAeQBcACIALAAgAFwAIgBDAG8AbgBzAHQAYQBuAHQAXAAiADsAXABuACAAIAAgACAAIAAgACAAIAAgACAAXAAiAE4AUgBfAGoAawBsAFwAIgAsACAAXAAiAHQAaABlACAAYQBtAG8AdQBuAHQAIABvAGYAIABuAGkAdAByAG8AZwBlAG4AIAByAGUAdABhAGkAbgBlAGQAIABiAHkAIAB0AGgAZQAgAGIAbwBkAHkAIAAoAGsAZwAgAE4ALwBoAGUAYQBkAC8AZABhAHkAKQBcACIALAAgAFwAIgBrAGcAIABOAC8AaABlAGEAZAAvAGQAYQB5AFwAIgAsACAAXAAiAEMAYQBsAGMAdQBsAGEAdABlAGQAIABmAHIAbwBtACAANAAuADIALgAxAC4AMwAgACgANAApAFwAIgA7AFwAbgAgACAAIAAgACAAIAAgACAAIAAgAFwAIgBXAF8AagBrAGwAXAAiACwAIABcACIAbABpAHYAZQB3AGUAaQBnAGgAdAAgACgAawBnAC8AaABlAGEAZAApAFwAIgAsACAAXAAiAGsAZwAvAGgAZQBhAGQAXAAiACwAIABcACIASQBuAHAAdQB0AFwAIgA7AFwAbgAgACAAIAAgACAAIAAgACAAIAAgAFwAIgBiAFwAIgAsACAAXAAiAGIAcgBlAGUAZAAgAG8AZgAgAGMAYQB0AHQAbABlAFwAIgAsACAAXAAiAFwAIgAsACAAXAAiAEkAbgBwAHUAdABcACIAOwBcAG4AIAAgACAAIAAgACAAIAAgACAAIABcACIAcwBcACIALAAgAFwAIgBDAGEAbAB2AGkAbgBnACAAcwBlAGEAcw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QAXwBOAGkAdAByAG8AZwBlAG4AUgBlAHQAYQBpAG4AZQBkAEIAeQBCAG8AZAB5AFwAbgBBAG0AbwB1AG4AdAAgAG8AZgAgAG4AaQB0AHIAbwBnAGUAbgAgAHIAZQB0AGEAaQBuAGUAZAAgAGIAeQAgAHQAaABlACAAYgBvAGQAeQBcAG4ATgBSAF8AagBrAGwAXABuAGsAZwAgAE4ALwBoAGUAYQBkAC8AZABhAHkAXABuAE4AUgBfAHsAagBrAGwAfQA9AFwAXABmAHIAYQBjAHsAMAAuADAAMwAyAFwAXAB0AGkAbQBlAHMAIABNAFAAXwB7AGoAawA9ADUAfQB9AHsANgAuADMAOAB9ACsAXABcAGYAcgBhAGMAewAoADAALgAyADEAMgAtADAALgAwADAAOABcAFwAdABpAG0AZQBzACgATABfAHsAagBrAGwAfQAtADIAKQAtAFsAXABcAGYAcgBhAGMAewAwAC4AMQA0ADAALQAwAC4AMAAwADgAXABcAHQAaQBtAGUAcwAoAEwAXwB7AGoAawBsAH0ALQAyACkAfQB7ADEAKwBlAF4AewAtADYAXABcAHQAaQBtAGUAcwAoAFoAXwB7AGoAawBsAH0ALQAwAC4ANAApAH0AfQBdACkAXABcAHQAaQBtAGUAcwAoAEwAVwBHAF8AewBqAGsAbAB9AFwAXAB0AGkAbQBlAHMAIAAwAC4AOQAyACkAfQB7ADYALgAyADUAfQBcAG4ATQBQAF8AagBrADUAIAA9ACAAbQBpAGwAawAgAHAAcgBvAGQAdQBjAHQAaQBvAG4AIAAoAGsAZwAvAGgAZQBhAGQALwBkAGEAeQApAFwAbgBMAF8AagBrAGwAIAA9ACAAaQBuAHQAYQBrAGUAIAByAGUAbABhAHQAaQB2AGUAIAB0AG8AIAB0AGgAYQB0ACAAbgBlAGUAZABlAGQAIABmAG8AcgAgAG0AYQBpAG4AdABlAG4AYQBuAGMAZQBcAG4AWgBfAGoAawBsACAAPQAgAHIAZQBsAGEAdABpAHYAZQAgAHMAaQB6AGUAXABuAEwAVwBHAF8AagBrAGwAIAA9ACAAbABpAHYAZQB3AGUAaQBnAGgAdAAgAGcAYQBpAG4AIAAoAGsAZwAvAGgAZQBhAGQALwBkAGEAeQApAFwAbgAtAC0ALQAtAC0ALQAtAC0ALQAtAC0ALQAtAC0ALQAtAC0ALQAtAC0ALQAtAC0ALQAtAC0ALQAtAC0ALQAtAC0ALQAtAC0ALQAtAC0AXABuACoALwBcAG4AXABuAFYARQBFAFIARwBfADQAXwAyAF8AMQBfADMAXwBfADQAXwBOAGkAdAByAG8AZwBlAG4AUgBlAHQAYQBpAG4AZQBkAEIAeQBCAG8AZAB5AFwAbgAgACAAPQBMAEEATQBCAEQAQQAoAFwAbgAgACAAIAAgAE0AUABfAGoAawA1ACwAIABMAF8AagBrAGwALAAgAFoAXwBqAGsAbAAsACAATABXAEcAXwBqAGsAbAAsAFwAbgAgACAAIAAgACgAKAAwAC4AMAAzADIAIAAqACAATQBQAF8AagBrADUAKQAgAC8AIAA2AC4AMwA4ACkAIAArACAAKAAoACgAMAAuADIAMQAyACAALQAgADAALgAwADAAOAAgACoAIAAoAEwAXwBqAGsAbAAgAC0AIAAyACkAIAAtACAAKAAoADAALgAxADQAMAAgAC0AIAAwAC4AMAAwADgAIAAqACAAKABMAF8AagBrAGwAIAAtACAAMgApACkAIAAvACAAKAAxACAAKwAgAEUAWABQACgALQA2ACAAKgAgACgAWgBfAGoAawBsACAALQAgADAALgA0ACkAKQApACkAKQAgACoAIAAoAEwAVwBHAF8AagBrAGwAIAAqACAAMAAuADkAMgApACkAIAAvACAANgAuADIANQApAFwAbgAgACAAKQA7AFwAbgBcAG4AVgBFAEUAUgBHAF8ANABfADIAXwAxAF8AMwBfAF8ANABfAE4AaQB0AHIAbwBnAGUAbgBSAGUAdABhAGkAbgBlAGQAQgB5AEIAbwBkAHkAXwBUAGkAdABsAGUAXABuACAAIAA9AEwAQQBNAEIARABBACgAXAAiAEEAbQBvAHUAbgB0ACAAbwBmACAAbgBpAHQAcgBvAGcAZQBuACAAcgBlAHQAYQBpAG4AZQBkACAAYgB5ACAAdABoAGUAIABiAG8AZAB5AFwAIgApADsAXABuAFwAbgBWAEUARQBSAEcAXwA0AF8AMgBfADEAXwAzAF8AXwA0AF8ATgBpAHQAcgBvAGcAZQBuAFIAZQB0AGEAaQBuAGUAZABCAHkAQgBvAGQAeQBfAFYAYQByAGkAYQBiAGwAZQBcAG4AIAAgAD0ATABBAE0AQgBEAEEAKABcACIATgBSAF8AagBrAGwAXAAiACkAOwBcAG4AXABuAFYARQBFAFIARwBfADQAXwAyAF8AMQBfADMAXwBfADQAXwBOAGkAdAByAG8AZwBlAG4AUgBlAHQAYQBpAG4AZQBkAEIAeQBCAG8AZAB5AF8AVQBuAGkAdABcAG4AIAAgAD0ATABBAE0AQgBEAEEAKABcACIAawBnACAATgAvAGgAZQBhAGQALwBkAGEAeQBcACIAKQA7AFwAbgBcAG4AVgBFAEUAUgBHAF8ANABfADIAXwAxAF8AMwBfAF8ANABfAE4AaQB0AHIAbwBnAGUAbgBSAGUAdABhAGkAbgBlAGQAQgB5AEIAbwBkAHkAXwBTAG8AdQByAGMAZQBcAG4AIAAgAD0ATABBAE0AQgBEAEEAKABcACIAVgBFAEUAUgBHACAAMgAwADIANgA6ACAANAAuADIALgAxAC4AMwAsACAARQBxAHUAYQB0AGkAbwBuACAAKAA0ACkAXAAiACkAOwBcAG4AXABuAFYARQBFAFIARwBfADQAXwAyAF8AMQBfADMAXwBfADQAXwBOAGkAdAByAG8AZwBlAG4AUgBlAHQAYQBpAG4AZQBkAEIAeQBCAG8AZAB5AF8ATgBJAFIAUgBlAGYAZQByAGUAbgBjAGUAXABuACAAIAA9AEwAQQBNAEIARABBACgAXAAiAFwAIgApADsAXABuAFwAbgBWAEUARQBSAEcAXwA0AF8AMgBfADEAXwAzAF8AXwA0AF8ATgBpAHQAcgBvAGcAZQBuAFIAZQB0AGEAaQBuAGUAZABCAHkAQgBvAGQAeQBfAEwAYQB0AGUAeABFAHEAdQBhAHQAaQBvAG4AXABuACAAIAA9AEwAQQBNAEIARABBACgAXAAiAE4AUgBfAHsAagBrAGwAfQA9ACgAMAAuADAAMwAyACAAXABcAHQAaQBtAGUAcwAgAE0AUABfAHsAagBrAD0ANQB9ACAAXABcAGQAaQB2ACAANgAuADMAOAApACAAKwAgAFwAXABsAGUAZgB0ACAAewAgAFwAXABsAGUAZgB0ACAAewAgADAALgAyADEAMgAgAC0AIAAwAC4AMAAwADgAIABcAFwAdABpAG0AZQBzACAAKABMAF8AewBqAGsAbAB9ACAALQAyACkAIAAtACAAXABcAGwAZQBmAHQAWwAgAFwAXABmAHIAYQBjAHsAMAAuADEANAAwAC0AMAAuADAAMAA4ACAAXABcAHQAaQBtAGUAcwAgACgATABfAHsAagBrAGwAfQAgAC0AIAAyACkAfQB7ADEAKwBlAF4AewAoAC0ANgAgAFwAXAB0AGkAbQBlAHMAIAAoAFoAXwB7AGoAawBsAH0ALQAwAC4ANAApACkAfQB9ACAAXABcAHIAaQBnAGgAdABdACAAXABcAHIAaQBnAGgAdAB9ACAAXABcAHQAaQBtAGUAcwAgACgATABXAEcAXwB7AGoAawBsAH0AIABcAFwAdABpAG0AZQBzACAAMAAuADkAMgApACAAXABcAHIAaQBnAGgAdAB9ACAAXABcAGQAaQB2ACAANgAuADIANQBcACIAKQA7AFwAbgBcAG4AVgBFAEUAUgBHAF8ANABfADIAXwAxAF8AMwBfAF8ANABfAE4AaQB0AHIAbwBnAGUAbgBSAGUAdABhAGkAbgBlAGQAQgB5AEIAbwBkAHkAXwBBAHIAZwB1AG0AZQBuAHQAcwBcAG4AIAAgAD0ATABBAE0AQgBEAEEAKABcAG4AIAAgACAAIABNAEEASwBFAEEAUgBSAEEAWQAoADQALAAgADQALABcAG4AIAAgACAAIAAgACAATABBAE0AQgBEAEEAKAByACwAYwAsAFwAbgAgACAAIAAgACAAIAAgACAASQBOAEQARQBYACgAewBcAG4AIAAgACAAIAAgACAAIAAgACAAIABcACIATQBQAF8AagBrADUAXAAiACwAIABcACIAbQBpAGwAawAgAHAAcgBvAGQAdQBjAHQAaQBvAG4AIAAoAGsAZwAvAGgAZQBhAGQALwBkAGEAeQApAFwAIgAsACAAXAAiAGsAZwAvAGgAZQBhAGQALwBkAGEAeQBcACIALAAgAFwAIgBDAGEAbABjAHUAbABhAHQAZQBkACAAZgByAG8AbQAgADQALgAyAC4AMQAuADMAIAAoADUAKQBcACIAOwBcAG4AIAAgACAAIAAgACAAIAAgACAAIABcACIATABfAGoAawBsAFwAIgAsACAAXAAiAGkAbgB0AGEAawBlACAAcgBlAGwAYQB0AGkAdgBlACAAdABvACAAdABoAGEAdAAgAG4AZQBlAGQAZQBkACAAZgBvAHIAIABtAGEAaQBuAHQAZQBuAGEAbgBjAGUAXAAiACwAIABcACIAXAAiACwAIABcACIAQwBhAGwAYwB1AGwAYQB0AGUAZAAgAGYAcgBvAG0AIAA0AC4AMgAuADEALgAzACAAKAA2ACkAXAAiADsAXABuACAAIAAgACAAIAAgACAAIAAgACAAXAAiAFoAXwBqAGsAbABcACIALAAgAFwAIgByAGUAbABhAHQAaQB2AGUAIABzAGkAegBlAFwAIgAsACAAXAAiAFwAIgAsACAAXAAiAEMAYQBsAGMAdQBsAGEAdABlAGQAIABmAHIAbwBtACAANAAuADIALgAxAC4AMwAgACgANwApAFwAIgA7AFwAbgAgACAAIAAgACAAIAAgACAAIAAgAFwAIgBMAFcARwBfAGoAawBsAFwAIgAsACAAXAAiAGwAaQB2AGUAdwBlAGkAZwBoAHQAIABnAGEAaQBuACAAKABrAGcALwBoAGUAYQBkAC8AZABhAHkAKQBcACIALAAgAFwAIgBrAGcALwBoAGUAYQBkAC8AZABhAHk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UAXwBNAGkAbABrAFAAcgBvAGQAdQBjAHQAaQBvAG4ARgBvAHIAQwBhAGwAdgBpAG4AZwBTAGUAYQBzAG8AbgBcAG4ATQBpAGwAawAgAHAAcgBvAGQAdQBjAHQAaQBvAG4AIABmAG8AcgAgAHQAaABlACAAcwBlAGEAcwBvAG4AIABvAGYAIABjAGEAbAB2AGkAbgBnACAAYQBuAGQAIABzAGUAYQBzAG8AbgAgAGEAZgB0AGUAcgAgAGMAYQBsAHYAaQBuAGcAXABuAE0AUABfAGoAawA1AFwAbgBrAGcALwBoAGUAYQBkAC8AZABhAHkAXABuAE0AUABfAHsAagBrAD0ANQB9AD0ATABDAF8AewBqAGsAPQA1AH0AXABcAHQAaQBtAGUAcwAgAEQATQBQAF8AewBqAGsAPQA1AH0AXABuAEwAQwBfAGoAawA1ACAAPQAgAHAAcgBvAHAAbwByAHQAaQBvAG4AIABvAGYAIABjAG8AdwBzACAAZwByAGUAYQB0AGUAcgAgAHQAaABhAG4AIAAyACAAeQBlAGEAcgBzACAAbABhAGMAdABhAHQAaQBuAGcAIABmAG8AcgAgAHQAaABlACAAcwBlAGEAcwBvAG4AIABvAGYAIABjAGEAbAB2AGkAbgBnACAAYQBuAGQAIABzAGUAYQBzAG8AbgAgAGEAZgB0AGUAcgAgAGMAYQBsAHYAaQBuAGcAIABlAHgAcAByAGUAcwBzAGUAZAAgAGEAcwAgAGEAIABmAHIAYQBjAHQAaQBvAG4AXABuAEQATQBQAF8AagBrADUAIAA9ACAAZABhAGkAbAB5ACAAbQBpAGwAawAgAHAAcgBvAGQAdQBjAHQAaQBvAG4AIAAoAGsAZwAvAGgAZQBhAGQALwBkAGEAeQApAFwAbgAtAC0ALQAtAC0ALQAtAC0ALQAtAC0ALQAtAC0ALQAtAC0ALQAtAC0ALQAtAC0ALQAtAC0ALQAtAC0ALQAtAC0ALQAtAC0ALQAtAC0AXABuACoALwBcAG4AXABuAFYARQBFAFIARwBfADQAXwAyAF8AMQBfADMAXwBfADUAXwBNAGkAbABrAFAAcgBvAGQAdQBjAHQAaQBvAG4ARgBvAHIAQwBhAGwAdgBpAG4AZwBTAGUAYQBzAG8AbgBcAG4AIAAgAD0ATABBAE0AQgBEAEEAKABcAG4AIAAgACAAIABMAEMAXwBqAGsANQAsACAARABNAFAAXwBqAGsANQAsAFwAbgAgACAAIAAgAEwAQwBfAGoAawA1ACAAKgAgAEQATQBQAF8AagBrADUAXABuACAAIAApADsAXABuAFwAbgBWAEUARQBSAEcAXwA0AF8AMgBfADEAXwAzAF8AXwA1AF8ATQBpAGwAawBQAHIAbwBkAHUAYwB0AGkAbwBuAEYAbwByAEMAYQBsAHYAaQBuAGcAUwBlAGEAcwBvAG4AVgBhAHIAaQBhAHQAaQBvAG4AXABuACAAIAA9AEwAQQBNAEIARABBACgAXABuACAAIAAgACAATABDAF8AagBrADUAYwB1AHIAcgAsACAATABDAF8AagBrADUAcAByAGUAdgAsACAARABNAFAAXwBqAGsANQBjAGEAbAB2ACwAIABEAE0AUABfAGoAawA1AGEAZgB0AGUAcgAsAFwAbgAgACAAIAAgACgATABDAF8AagBrADUAYwB1AHIAcgAgACoAIABEAE0AUABfAGoAawA1AGMAYQBsAHYAKQAgACsAIAAoAEwAQwBfAGoAawA1AHAAcgBlAHYAIAAqACAARABNAFAAXwBqAGsANQBhAGYAdABlAHIAKQBcAG4AIAAgACkAOwBcAG4AXABuAFYARQBFAFIARwBfADQAXwAyAF8AMQBfADMAXwBfADUAXwBNAGkAbABrAFAAcgBvAGQAdQBjAHQAaQBvAG4ARgBvAHIAQwBhAGwAdgBpAG4AZwBTAGUAYQBzAG8AbgBfAFQAaQB0AGwAZQBcAG4AIAAgAD0ATABBAE0AQgBEAEEAKABcACIATQBpAGwAawAgAHAAcgBvAGQAdQBjAHQAaQBvAG4AIABmAG8AcgAgAHQAaABlACAAcwBlAGEAcwBvAG4AIABvAGYAIABjAGEAbAB2AGkAbgBnACAAYQBuAGQAIABzAGUAYQBzAG8AbgAgAGEAZgB0AGUAcgAgAGMAYQBsAHYAaQBuAGcAXAAiACkAOwBcAG4AXABuAFYARQBFAFIARwBfADQAXwAyAF8AMQBfADMAXwBfADUAXwBNAGkAbABrAFAAcgBvAGQAdQBjAHQAaQBvAG4ARgBvAHIAQwBhAGwAdgBpAG4AZwBTAGUAYQBzAG8AbgBfAFYAYQByAGkAYQBiAGwAZQBcAG4AIAAgAD0ATABBAE0AQgBEAEEAKABcACIATQBQAF8AagBrADUAXAAiACkAOwBcAG4AXABuAFYARQBFAFIARwBfADQAXwAyAF8AMQBfADMAXwBfADUAXwBNAGkAbABrAFAAcgBvAGQAdQBjAHQAaQBvAG4ARgBvAHIAQwBhAGwAdgBpAG4AZwBTAGUAYQBzAG8AbgBfAFUAbgBpAHQAXABuACAAIAA9AEwAQQBNAEIARABBACgAXAAiAGsAZwAvAGgAZQBhAGQALwBkAGEAeQBcACIAKQA7AFwAbgBcAG4AVgBFAEUAUgBHAF8ANABfADIAXwAxAF8AMwBfAF8ANQBfAE0AaQBsAGsAUAByAG8AZAB1AGMAdABpAG8AbgBGAG8AcgBDAGEAbAB2AGkAbgBnAFMAZQBhAHMAbwBuAF8AUwBvAHUAcgBjAGUAXABuACAAIAA9AEwAQQBNAEIARABBACgAXAAiAFYARQBFAFIARwAgADIAMAAyADYAOgAgADQALgAyAC4AMQAuADMALAAgAEUAcQB1AGEAdABpAG8AbgAgACgANQApAFwAIgApADsAXABuAFwAbgBWAEUARQBSAEcAXwA0AF8AMgBfADEAXwAzAF8AXwA1AF8ATQBpAGwAawBQAHIAbwBkAHUAYwB0AGkAbwBuAEYAbwByAEMAYQBsAHYAaQBuAGcAUwBlAGEAcwBvAG4AXwBOAEkAUgBSAGUAZgBlAHIAZQBuAGMAZQBcAG4AIAAgAD0ATABBAE0AQgBEAEEAKABcACIAXAAiACkAOwBcAG4AXABuAFYARQBFAFIARwBfADQAXwAyAF8AMQBfADMAXwBfADUAXwBNAGkAbABrAFAAcgBvAGQAdQBjAHQAaQBvAG4ARgBvAHIAQwBhAGwAdgBpAG4AZwBTAGUAYQBzAG8AbgBfAEwAYQB0AGUAeABFAHEAdQBhAHQAaQBvAG4AXABuACAAIAA9AEwAQQBNAEIARABBACgAXAAiAE0AUABfAHsAagBrAD0ANQB9AD0ATABDAF8AewBqAGsAPQA1AH0AXABcAHQAaQBtAGUAcwAgAEQATQBQAF8AewBqAGsAPQA1AH0AXAAiACkAOwBcAG4AXABuAFYARQBFAFIARwBfADQAXwAyAF8AMQBfADMAXwBfADUAXwBNAGkAbABrAFAAcgBvAGQAdQBjAHQAaQBvAG4ARgBvAHIAQwBhAGwAdgBpAG4AZwBTAGUAYQBzAG8AbgBfAEwAYQB0AGUAeABFAHEAdQBhAHQAaQBvAG4AVgBhAHIAaQBhAHQAaQBvAG4AXABuACAAIAA9AEwAQQBNAEIARABBACgAXAAiAE0AUABfAHsAagBrAD0ANQB9AD0AKABMAEMAXwB7AGoAawA9ADUALABjAHUAcgByAGUAbgB0AH0AXABcAHQAaQBtAGUAcwAgAEQATQBQAF8AewBqAGsAPQA1ACwAYwBhAGwAdgB9ACkAKwAoAEwAQwBfAHsAagBrAD0ANQAsAHAAcgBlAHYAfQBcAFwAdABpAG0AZQBzACAARABNAFAAXwB7AGoAawA9ADUALABhAGYAdABlAHIAfQApAFwAIgApADsAXABuAFwAbgBWAEUARQBSAEcAXwA0AF8AMgBfADEAXwAzAF8AXwA1AF8ATQBpAGwAawBQAHIAbwBkAHUAYwB0AGkAbwBuAEYAbwByAEMAYQBsAHYAaQBuAGcAUwBlAGEAcwBvAG4AXwBBAHIAZwB1AG0AZQBuAHQAcwBcAG4AIAAgAD0ATABBAE0AQgBEAEEAKABcAG4AIAAgACAAIABNAEEASwBFAEEAUgBSAEEAWQAoADMALAAgADQALABcAG4AIAAgACAAIAAgACAATABBAE0AQgBEAEEAKAByACwAYwAsAFwAbgAgACAAIAAgACAAIAAgACAASQBOAEQARQBYACgAewBcAG4AIAAgACAAIAAgACAAIAAgACAAIABcACIATABDAF8AagBrADUAXAAiACwAIABcACI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CIALAAgAFwAIgBmAHIAYQBjAHQAaQBvAG4AXAAiACwAIABcACIASQBuAHAAdQB0AFwAIgA7AFwAbgAgACAAIAAgACAAIAAgACAAIAAgAFwAIgBEAE0AUABfAGoAawA1AFwAIgAsACAAXAAiAGQAYQBpAGwAeQAgAG0AaQBsAGsAIABwAHIAbwBkAHUAYwB0AGkAbwBu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NA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sACAAXAAiAGYAcgBhAGMAdABpAG8AbgBcACIALAAgAFwAIgBJAG4AcAB1AHQAXAAiADsAXABuACAAIAAgACAAIAAgACAAIAAgACAAXAAiAEwAQwBfAGoAawA1AHAAcgBlAHYAXAAiACwAIABcACIAcAByAG8AcABvAHIAdABpAG8AbgAgAG8AZgAgAGMAbwB3AHMAIABnAHIAZQBhAHQAZQByACAAdABoAGEAbgAgADIAIAB5AGUAYQByAHMAIABsAGEAYwB0AGEAdABpAG4AZwAgAGYAbwByACAAdABoAGUAIABzAGUAYQBzAG8AbgAgAGEAZgB0AGUAcgAgAGMAYQBsAHYAaQBuAGcAXAAiACwAIABcACIAZgByAGEAYwB0AGkAbwBuAFwAIgAsACAAXAAiAEkAbgBwAHUAdABcACIAOwBcAG4AIAAgACAAIAAgACAAIAAgACAAIABcACIARABNAFAAXwBqAGsANQBjAGEAbAB2AFwAIgAsACAAXAAiAGQAYQBpAGwAeQAgAG0AaQBsAGsAIABwAHIAbwBkAHUAYwB0AGkAbwBuACAAZgBvAHIAIAB0AGgAZQAgAHMAZQBhAHMAbwBuACAAbwBmACAAYwBhAGwAdgBpAG4AZwAgACgAawBnAC8AaABlAGEAZAAvAGQAYQB5ACkAXAAiACwAIABcACIAawBnAC8AaABlAGEAZAAvAGQAYQB5AFwAIgAsACAAXAAiAEMAbwBuAHMAdABhAG4AdABcACIAOwBcAG4AIAAgACAAIAAgACAAIAAgACAAIABcACIARABNAFAAXwBqAGsANQBhAGYAdABlAHIAXAAiACwAIABcACIAZABhAGkAbAB5ACAAbQBpAGwAawAgAHAAcgBvAGQAdQBjAHQAaQBvAG4AIABmAG8AcgAgAHQAaABlACAAcwBlAGEAcwBvAG4AIABhAGYAdABlAHIAIABjAGEAbAB2AGkAbgBnACAAKABrAGcALwBoAGUAYQBkAC8AZABhAHkAKQBcACIALAAgAFwAIgBrAGcALwBoAGUAYQBkAC8AZABhAHk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FcAXwBqAGsAbABcACIALAAgAFwAIgBsAGkAdgBlAHcAZQBpAGcAaAB0ACAAKABrAGcALwBoAGUAYQBkACkAXAAiACwAIABcACIAawBnAC8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wBfAFIAZQBsAGEAdABpAHYAZQBTAGkAegBlAFwAbgBSAGUAbABhAHQAaQB2AGUAIABzAGkAegBlACAAbwBmACAAdABoAGUAIABjAGEAdAB0AGwAZQBcAG4AWgBfAGoAawBsAFwAbgByAGEAdABpAG8AXABuAFoAXwB7AGoAawBsAH0APQBcAFwAZgByAGEAYwB7AFcAXwB7AGoAawBsAH0AfQB7AFMAUgBXAF8AawB9AFwAbgBXAF8AagBrAGwAIAA9ACAAbABpAHYAZQB3AGUAaQBnAGgAdAAgACgAawBnACkAXABuAFMAUgBXAF8AawAgAD0AIABzAHQAYQBuAGQAYQByAGQAIAByAGUAZgBlAHIAZQBuAGMAZQAgAHcAZQBpAGcAaAB0ACAAKABrAGcAKQBcAG4ALQAtAC0ALQAtAC0ALQAtAC0ALQAtAC0ALQAtAC0ALQAtAC0ALQAtAC0ALQAtAC0ALQAtAC0ALQAtAC0ALQAtAC0ALQAtAC0ALQAtAFwAbgAqAC8AXABuAFwAbgBWAEUARQBSAEcAXwA0AF8AMgBfADEAXwAzAF8AXwA3AF8AUgBlAGwAYQB0AGkAdgBlAFMAaQB6AGUAXABuACAAIAA9AEwAQQBNAEIARABBACgAXABuACAAIAAgACAAVwBfAGoAawBsACwAIABTAFIAVwBfAGsALABcAG4AIAAgACAAIABXAF8AagBrAGwAIAAvACAAUwBSAFcAXwBrAFwAbgAgACAAKQA7AFwAbgBcAG4AVgBFAEUAUgBHAF8ANABfADIAXwAxAF8AMwBfAF8ANwBfAFIAZQBsAGEAdABpAHYAZQBTAGkAegBlAF8AVABpAHQAbABlAFwAbgAgACAAPQBMAEEATQBCAEQAQQAoAFwAIgBSAGUAbABhAHQAaQB2AGUAIABzAGkAegBlACAAbwBmACAAdABoAGUAIABjAGEAdAB0AGwAZQBcACIAKQA7AFwAbgBcAG4AVgBFAEUAUgBHAF8ANABfADIAXwAxAF8AMwBfAF8ANwBfAFIAZQBsAGEAdABpAHYAZQBTAGkAegBlAF8AVgBhAHIAaQBhAGIAbABlAFwAbgAgACAAPQBMAEEATQBCAEQAQQAoAFwAIgBaAF8AagBrAGwAXAAiACkAOwBcAG4AXABuAFYARQBFAFIARwBfADQAXwAyAF8AMQBfADMAXwBfADcAXwBSAGUAbABhAHQAaQB2AGUAUwBpAHoAZQBfAFUAbgBpAHQAXABuACAAIAA9AEwAQQBNAEIARABBACgAXAAiAHIAYQB0AGkAbwBcACIAKQA7AFwAbgBcAG4AVgBFAEUAUgBHAF8ANABfADIAXwAxAF8AMwBfAF8ANwBfAFIAZQBsAGEAdABpAHYAZQBTAGkAegBlAF8AUwBvAHUAcgBjAGUAXABuACAAIAA9AEwAQQBNAEIARABBACgAXAAiAFYARQBFAFIARwAgADIAMAAyADYAOgAgADQALgAyAC4AMQAuADMALAAgAEUAcQB1AGEAdABpAG8AbgAgACgANwApAFwAIgApADsAXABuAFwAbgBWAEUARQBSAEcAXwA0AF8AMgBfADEAXwAzAF8AXwA3AF8AUgBlAGwAYQB0AGkAdgBlAFMAaQB6AGUAXwBOAEkAUgBSAGUAZgBlAHIAZQBuAGMAZQBcAG4AIAAgAD0ATABBAE0AQgBEAEEAKABcACIAXAAiACkAOwBcAG4AXABuAFYARQBFAFIARwBfADQAXwAyAF8AMQBfADMAXwBfADcAXwBSAGUAbABhAHQAaQB2AGUAUwBpAHoAZQBfAEwAYQB0AGUAeABFAHEAdQBhAHQAaQBvAG4AXABuACAAIAA9AEwAQQBNAEIARABBACgAXAAiAFoAXwB7AGoAawBsAH0APQBcAFwAZgByAGEAYwB7AFcAXwB7AGoAawBsAH0AfQB7AFMAUgBXAF8AawB9AFwAIgApADsAXABuAFwAbgBWAEUARQBSAEcAXwA0AF8AMgBfADEAXwAzAF8AXwA3AF8AUgBlAGwAYQB0AGkAdgBlAFMAaQB6AGU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FMAUgBXAF8AawBcACIALAAgAFwAIgBzAHQAYQBuAGQAYQByAGQAIAByAGUAZgBlAHIAZQBuAGMAZQAgAHcAZQBpAGcAaAB0ACAAKABrAGcAKQBcACIALAAgAFwAIgBrAGcAXAAiACwAIABcACIAQwBvAG4AcwB0AGEAbgB0AFwAIgA7AFwAbgAgACAAIAAgACAAIAAgACAAIAAgAFwAIgBpAFwAIgAsACAAXAAiAHMAdABhAHQAZQBcACIALAAgAFwAIgBcACIALAAgAFwAIgBJAG4AcAB1AHQ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IALgAxAC4ANQ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UAXwBfADIAXwBNAGEAcwBzAE8AZgBOAGkAdAByAG8AZwBlAG4AVgBvAGwAYQB0AGkAbABpAHMAZQBkAE8AbgBQAGEAcwB0AHUAcgBlAFwAbgBNAGEAcwBzACAAbwBmACAAbgBpAHQAcgBvAGcAZQBuACAAdgBvAGwAYQB0AGkAbABpAHMAZQBkAFwAbgBNAF8AdgBvAGwAXABuAGsAZwAgAE4AXABuAE0AXwB7AHYAbwBsAH0APQBBAEUAXABcAHQAaQBtAGUAcwAgAEYAcgBhAGMARwBBAFMATQBzAG8AaQBsAFwAbgBBAEUAIAA9ACAAdABvAHQAYQBsACAAbQBhAHMAcwAgAG8AZgAgAG4AaQB0AHIAbwBnAGUAbgAgAGUAeABjAHIAZQB0AGUAZAAgAG8AbgAgAFAAUgBQACAAZgBvAHIAIABiAGUAZQBmACAAYwBhAHQAdABsAGU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yAF8AMQBfADUAXwBfADIAXwBNAGEAcwBzAE8AZgBOAGkAdAByAG8AZwBlAG4AVgBvAGwAYQB0AGkAbABpAHMAZQBkAE8AbgBQAGEAcwB0AHUAcgBlAFwAbgAgACAAPQBMAEEATQBCAEQAQQAoAFwAbgAgACAAIAAgAEEARQAsACAARgByAGEAYwBHAEEAUwBNAHMAbwBpAGwALABcAG4AIAAgACAAIABBAEUAIAAqACAARgByAGEAYwBHAEEAUwBNAHMAbwBpAGwAXABuACAAIAApADsAXABuAFwAbgBWAEUARQBSAEcAXwA0AF8AMgBfADEAXwA1AF8AXwAyAF8ATQBhAHMAcwBPAGYATgBpAHQAcgBvAGcAZQBuAFYAbwBsAGEAdABpAGwAaQBzAGUAZABPAG4AUABhAHMAdAB1AHIAZQBfAFQAaQB0AGwAZQBcAG4AIAAgAD0ATABBAE0AQgBEAEEAKABcACIATQBhAHMAcwAgAG8AZgAgAG4AaQB0AHIAbwBnAGUAbgAgAHYAbwBsAGEAdABpAGwAaQBzAGUAZABcACIAKQA7AFwAbgBcAG4AVgBFAEUAUgBHAF8ANABfADIAXwAxAF8ANQBfAF8AMgBfAE0AYQBzAHMATwBmAE4AaQB0AHIAbwBnAGUAbgBWAG8AbABhAHQAaQBsAGkAcwBlAGQATwBuAFAAYQBzAHQAdQByAGUAXwBWAGEAcgBpAGEAYgBsAGUAXABuACAAIAA9AEwAQQBNAEIARABBACgAXAAiAE0AXwB2AG8AbABcACIAKQA7AFwAbgBcAG4AVgBFAEUAUgBHAF8ANABfADIAXwAxAF8ANQBfAF8AMgBfAE0AYQBzAHMATwBmAE4AaQB0AHIAbwBnAGUAbgBWAG8AbABhAHQAaQBsAGkAcwBlAGQATwBuAFAAYQBzAHQAdQByAGUAXwBVAG4AaQB0AFwAbgAgACAAPQBMAEEATQBCAEQAQQAoAFwAIgBrAGcAIABOAFwAIgApADsAXABuAFwAbgBWAEUARQBSAEcAXwA0AF8AMgBfADEAXwA1AF8AXwAyAF8ATQBhAHMAcwBPAGYATgBpAHQAcgBvAGcAZQBuAFYAbwBsAGEAdABpAGwAaQBzAGUAZABPAG4AUABhAHMAdAB1AHIAZQBfAFMAbwB1AHIAYwBlAFwAbgAgACAAPQBMAEEATQBCAEQAQQAoAFwAIgBWAEUARQBSAEcAIAAyADAAMgA2ADoAIAA0AC4AMgAuADEALgA1ACwAIABFAHEAdQBhAHQAaQBvAG4AIAAoADIAKQBcACIAKQA7AFwAbgBcAG4AVgBFAEUAUgBHAF8ANABfADIAXwAxAF8ANQBfAF8AMgBfAE0AYQBzAHMATwBmAE4AaQB0AHIAbwBnAGUAbgBWAG8AbABhAHQAaQBsAGkAcwBlAGQATwBuAFAAYQBzAHQAdQByAGUAXwBOAEkAUgBSAGUAZgBlAHIAZQBuAGMAZQBcAG4AIAAgAD0ATABBAE0AQgBEAEEAKABcACIAXAAiACkAOwBcAG4AXABuAFYARQBFAFIARwBfADQAXwAyAF8AMQBfADUAXwBfADIAXwBNAGEAcwBzAE8AZgBOAGkAdAByAG8AZwBlAG4AVgBvAGwAYQB0AGkAbABpAHMAZQBkAE8AbgBQAGEAcwB0AHUAcgBlAF8ATABhAHQAZQB4AEUAcQB1AGEAdABpAG8AbgBcAG4AIAAgAD0ATABBAE0AQgBEAEEAKABcACIATQBfAHsAdgBvAGwAfQA9AEEARQBcAFwAdABpAG0AZQBzACAARgByAGEAYwBHAEEAUwBNAHMAbwBpAGwAXAAiACkAOwBcAG4AXABuAFYARQBFAFIARwBfADQAXwAyAF8AMQBfADUAXwBfADIAXwBNAGEAcwBzAE8AZgBOAGkAdAByAG8AZwBlAG4AVgBvAGwAYQB0AGkAbABpAHMAZQBkAE8AbgBQAGEAcwB0AHUAcgBlAF8AQQByAGcAdQBtAGUAbgB0AHMAXABuACAAIAA9AEwAQQBNAEIARABBACgAXABuACAAIAAgACAATQBBAEsARQBBAFIAUgBBAFkAKAAy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AgACgAKABrAGcAIABOAEgAMwAtAE4AIAArACAATgBPAHgALQBOACkALwBrAGcAIABOACkAXAAiACwAIABcACIAZgByAGEAYwB0AGkAbwBuAFwAIgAsACAAXAAiAEMAbwBuAHMAdABhAG4AdABcACIAXABuACAAIAAgACAAIAAgACAAIAB9ACwAIAByACwAIABjACkAXABuACAAIAAgACAAIAAgACkAXABuACAAIAAgACAAKQBcAG4AIAAgACkAOwBcAG4AIgB9ACwAewAiAHAAYQB0AGgAIgA6ACIALwBwAHIAbwBqAGUAYwB0AHMALwBNAE0AUwBfAFAAYQBzAHQAdQByAGUAQgBlAGUAZg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NwAgAE0AZQB0AGgAbwBkACAAMQAgAC0AIABTAG8AaQBsACAATABlAGEAYwBoAGkAbgBnACAAQQBuAGQAIABSAHUAbgBvAGYAZg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3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B9AFwAdABpAG0AZQBzACAARQBGAF8AewBsAGUAYQBjAGgAfQBcAHQAaQBtAGUAcwAgAEMAXwB7AE4AMgBPAH0AXAB0AGkAbQBlAHMAIAAxADAAXgB7AC0AMwB9AFwAbgBNAF8AbABlAGEAYwBoACAAPQAgAG0AYQBzAHMAIABvAGYAIABuAGkAdAByAG8AZwBlAG4AIABsAG8AcwB0ACAAdABvACAAbABlAGEAYwBoAGkAbgBnACAAYQBuAGQAIAByAHUAbgBvAGYAZgAgACgAawBnACAATgApAFwAbgBFAEYAXwBsAGUAYQBjAGgAIAA9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cAXwBfADEAXwBMAGUAYQBjAGgAaQBuAGcAQQBuAGQAUgB1AG4AbwBmAGYARQBtAGkAcwBzAGkAbwBuAHMARgByAG8AbQBVAHIAaQBuAGUAQQBuAGQARAB1AG4AZwBPAG4AUABhAHMAdAB1AHIAZQBcAG4AIAAgAD0ATABBAE0AQgBEAEEAKABcAG4AIAAgACAAIABNAF8AbABlAGEAYwBoACwAIABFAEYAXwBsAGUAYQBjAGgALAAgAEMAXwBOADIATwAsAFwAbgAgACAAIAAgAE0AXwBsAGUAYQBjAGgAIAAqACAARQBGAF8AbABlAGEAYwBoACAAKgAgAEMAXwBOADIATwAgACoAIAAxADAAIABeACAALQAzAFwAbgAgACAAKQA7AFwAbgBcAG4AVgBFAEUAUgBHAF8ANABfADIAXwAxAF8ANw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gBfADEAXwA3AF8AXwAxAF8ATABlAGEAYwBoAGkAbgBnAEEAbgBkAFIAdQBuAG8AZgBmAEUAbQBpAHMAcwBpAG8AbgBzAEYAcgBvAG0AVQByAGkAbgBlAEEAbgBkAEQAdQBuAGcATwBuAFAAYQBzAHQAdQByAGUAXwBWAGEAcgBpAGEAYgBsAGUAXABuACAAIAA9AEwAQQBNAEIARABBACgAXAAiAEUAXwBOADIATwBsAGUAYQBjAGgAXAAiACkAOwBcAG4AXABuAFYARQBFAFIARwBfADQAXwAyAF8AMQBfADcAXwBfADEAXwBMAGUAYQBjAGgAaQBuAGcAQQBuAGQAUgB1AG4AbwBmAGYARQBtAGkAcwBzAGkAbwBuAHMARgByAG8AbQBVAHIAaQBuAGUAQQBuAGQARAB1AG4AZwBPAG4AUABhAHMAdAB1AHIAZQBfAFUAbgBpAHQAXABuACAAIAA9AEwAQQBNAEIARABBACgAXAAiAHQAIABOADIATwBcACIAKQA7AFwAbgBcAG4AVgBFAEUAUgBHAF8ANABfADIAXwAxAF8ANwBfAF8AMQBfAEwAZQBhAGMAaABpAG4AZwBBAG4AZABSAHUAbgBvAGYAZgBFAG0AaQBzAHMAaQBvAG4AcwBGAHIAbwBtAFUAcgBpAG4AZQBBAG4AZABEAHUAbgBnAE8AbgBQAGEAcwB0AHUAcgBlAF8AUwBvAHUAcgBjAGUAXABuACAAIAA9AEwAQQBNAEIARABBACgAXAAiAFYARQBFAFIARwAgADIAMAAyADYAOgAgADQALgAyAC4AMQAuADcALAAgAEUAcQB1AGEAdABpAG8AbgAgACgAMQApAFwAIgApADsAXABuAFwAbgBWAEUARQBSAEcAXwA0AF8AMgBfADEAXwA3AF8AXwAxAF8ATABlAGEAYwBoAGkAbgBnAEEAbgBkAFIAdQBuAG8AZgBmAEUAbQBpAHMAcwBpAG8AbgBzAEYAcgBvAG0AVQByAGkAbgBlAEEAbgBkAEQAdQBuAGcATwBuAFAAYQBzAHQAdQByAGUAXwBOAEkAUgBSAGUAZgBlAHIAZQBuAGMAZQBcAG4AIAAgAD0ATABBAE0AQgBEAEEAKABcACIAXAAiACkAOwBcAG4AXABuAFYARQBFAFIARwBfADQAXwAyAF8AMQBfADc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fQBcAFwAdABpAG0AZQBzACAARQBGAF8AewBsAGUAYQBjAGgAfQBcAFwAdABpAG0AZQBzACAAQwBfAHsATgAyAE8AfQBcAFwAdABpAG0AZQBzACAAMQAwAF4AewAtADMAfQBcACIAKQA7AFwAbgBcAG4AVgBFAEUAUgBHAF8ANABfADIAXwAxAF8ANwBfAF8AMQBfAEwAZQBhAGMAaABpAG4AZwBBAG4AZABSAHUAbgBvAGYAZgBFAG0AaQBzAHMAaQBvAG4AcwBGAHIAbwBtAFUAcgBpAG4AZQBBAG4AZABEAHUAbgBn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AAiACwAIABcACIAbQBhAHMAcwAgAG8AZgAgAG4AaQB0AHIAbwBnAGUAbgAgAGwAbwBzAHQAIAB0AG8AIABsAGUAYQBjAGgAaQBuAGcAIABhAG4AZAAgAHIAdQBuAG8AZgBmAFwAIgAsACAAXAAiAGsAZwAgAE4AXAAiACwAIABcACIAQwBhAGwAYwB1AGwAYQB0AGUAZAAgAGYAcgBvAG0AIAA0AC4AMgAuADEALgA3ACAAKAAyACkAXAAiADsAXABuACAAIAAgACAAIAAgACAAIAAgACAAXAAiAEUARgBfAGwAZQBhAGMAaABcACIALAAgAFwAIg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XAAiACwAIABcACIAawBnACAATgBcACIALAAgAFwAIgBDAGEAbABjAHUAbABhAHQAZQBkACAAZgByAG8AbQAgADQALgAyAC4AMQAuADMAIAAoADIAKQBcACIAOwBcAG4AIAAgACAAIAAgACAAIAAgACAAIABcACIARgByAGEAYwBXAGUAd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IABcACIAZgByAGEAYwB0AGkAbwBuACAAbwBmACAAYQBsAGw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BcAG4AIgB9ACwAewAiAHAAYQB0AGgAIgA6ACIALwBwAHIAbwBqAGUAYwB0AHMALwBJAG4AcAB1AHQARgB1AG4AYwB0AGkAbwBuAHMAXwBQAGEAcwB0AHUAcgBlAEIAZQBlAGYAIgAsACIAdABlAHgAdAAiADoAIgBMAG8AbwBrAHUAcABMAGkAdgBlAHcAZQBpAGcAaAB0AEYAcgBvAG0AUwBlAGEAcwBvAG4AXABuAD0ATABBAE0AQgBEAEEAKABcAG4AIAAgACAAIABTAHQAYQB0AGUALAAgAFIAZQBnAGkAbwBuACwAIABTAGUAYQBzAG8Abg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MAGUAd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TABvAG8AawB1AHAATABpAHYAZQB3AGUAaQBnAGgAdABGAHIAbwBtAE0AbwBuAHQAaABcAG4APQBMAEEATQBCAEQAQQAoAFwAbgAgACAAIAAgAFMAdABhAHQAZQAsACAAUgBlAGcAaQBvAG4ALAAgAE0AbwBuAHQAaAAsACAATABpAHYAZQBzAHQAbwBjAGsAQwBsAGEAcwBzACwAXABuACAAIAAgACAAUwB0AGEAdABlAEEAcgByAGEAeQAsACAAUgBlAGcAaQBvAG4AQQByAHIAYQB5ACwAIABTAGUAYQBzAG8AbgBBAHIAcgBhAHkALAAgAEwAaQB2AGUAcwB0AG8AYwBrAEMAbABhAHMAcwBBAHIAcgBhAHkALABcAG4AIAAgACAAIABSAGUAdAB1AHIAbgBBAHIAcgBhAHkALABcAG4AIAAgACAAIABTAHQAYQB0AGUAQwBvAG0AbQBvAG4ATgBhAG0AZQBBAHIAcgBhAHkALAAgAFMAdABhAHQAZQBBAGIAYgByAGUAdgBpAGEAdABpAG8AbgBBAHIAcgBhAHkALABcAG4AIAAgACAAIABNAG8AbgB0AGgAQQByAHIAYQB5ACwAIABNAG8AbgB0AGgAVABvAFMAZQBhAHMAbwBuAEEAcgByAGEAeQAsAFwAbgAgACAAIAAgAEwAZQB0ACgAXABuACAAIAAgACAAIAAgACAAIABNAG8AbgB0AGgALAAgAFQARQBYAFQAKABNAG8AbgB0AGgALAAgAFwAIgBtAG0AbQBtAFwAIgApACwAXABuACAAIAAgACAAIAAgACAAIABTAHQAYQB0AGUALAAgAFgATABPAE8ASwBVAFAAKABTAHQAYQB0AGUALAAgAFMAdABhAHQAZQBDAG8AbQBtAG8AbgBOAGEAbQBlAEEAcgByAGEAeQAsACAAUwB0AGEAdABlAEEAYgBiAHIAZQB2AGkAYQB0AGkAbwBuAEEAcgByAGEAeQApACwAXABuACAAIAAgACAAIAAgACAAIABTAGUAYQBzAG8AbgAsACAAWABMAE8ATwBLAFUAUAAoAE0AbwBuAHQAaAAsACAATQBvAG4AdABoAEEAcgByAGEAeQAsACAATQBvAG4AdABoAFQAbwBTAGUAYQBzAG8AbgBBAHIAcgBhAHkAKQAsAFwAbgAgACAAIAAgACAAIAAgACAAWABMAE8ATwBLAFUAUAAoAFwAbgAgACAAIAAgACAAIAAgACAAMQAsACAAXABuACAAIAAgACAAIAAgACAAIAAoAFMAdABhAHQAZQBBAHIAcgBhAHkAPQBTAHQAYQB0AGUAKQAgACoAIABcAG4AIAAgACAAIAAgACAAIAAgACgAUgBlAGcAaQBvAG4AQQByAHIAYQB5AD0AUgBlAGcAaQBvAG4AKQAgACoAIABcAG4AIAAgACAAIAAgACAAIAAgACgAUwBlAGEAcwBvAG4AQQByAHIAYQB5AD0AUwBlAGEAcwBvAG4AKQAsACAAXABuACAAIAAgACAAIAAgACAAIABYAEwATwBPAEsAVQBQACgATABpAHYAZQBzAHQAbwBjAGsAQwBsAGEAcwBzACwAIABMAGkAdgBlAHMAdABvAGMAawBDAGwAYQBzAHMAQQByAHIAYQB5ACwAIABcAG4AIAAgACAAIAAgACAAIAAgAFIAZQB0AHUAcgBuAEEAcgByAGEAeQApACkAXABuACAAIAAgACAAKQBcAG4AKQA7AFwAbgBcAG4AQwBvAG4AdgBlAHIAdABNAG8AbgB0AGgAbAB5AEMAYQBsAHYAaQBuAGcAVABvAFMAZQBhAHMAbwBuAFwAbgBcAG4APQAgAEwAQQBNAEIARABBACgAXABuACAAIAAgACAAUwBlAGEAcwBvAG4ALAAgAFMAdQBtAEEAcgByAGEAeQAsACAAQwBhAGwAdgBpAG4AZwBNAG8AbgB0AGgAQQByAHIAYQB5ACwAIABNAG8AbgB0AGgAQQByAHIAYQB5ACwAIABNAG8AbgB0AGgAVABvAFMAZQBhAHMAbwBuAEEAcgByAGEAeQAsAFwAbgAgACAAIAAgAEwARQBUACgAXABuACAAIAAgACAAIAAgACAAIABNAG8AbgB0AGgAVABlAHgAdAAsACAAVABFAFgAVAAoAEMAYQBsAHYAaQBuAGcATQBvAG4AdABoAEEAcgByAGEAeQAsACAAXAAiAG0AbQBtAG0AXAAiACkALABcAG4AIAAgACAAIAAgACAAIAAgAFMAZQBhAHMAbwBuAFAAZQByAFIAbwB3ACwAIABYAEwATwBPAEsAVQBQACgATQBvAG4AdABoAFQAZQB4AHQALAAgAE0AbwBuAHQAaABBAHIAcgBhAHkALAAgAE0AbwBuAHQAaABUAG8AUwBlAGEAcwBvAG4AQQByAHIAYQB5ACwAIABcACIAXAAiACwAIAAwACkALABcAG4AIAAgACAAIAAgACAAIAAgAFMAVQBNACgAUwB1AG0AQQByAHIAYQB5ACAAKgAgACgAUwBlAGEAcwBvAG4AUABlAHIAUgBvAHcAPQBTAGUAYQBzAG8AbgApACkAXABuACAAIAAgACAAKQBcAG4AKQA7AFwAbgBcAG4ATABvAG8AawB1AHAAVgBhAGwAdQBlAEYAcgBvAG0AUwB0AGEAdABlAFIAZQBnAGkAbwBuAFMAZQBhAHMAbwBuAFwAbgA9AEwAQQBNAEIARABBACgAXABuACAAIAAgACAAUwB0AGEAdABlACwAIABSAGUAZwBpAG8AbgAsACAAUwBlAGEAcwBvAG4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XABuAFwAbgBMAG8AbwBrAHUAcABWAGEAbAB1AGUARgByAG8AbQBTAHQAYQB0AGUAUgBlAGcAaQBvAG4ATQBvAG4AdABoAFwAbgA9AEwAQQBNAEIARABBACgAXABuACAAIAAgACAAUwB0AGEAdABlACwAIABSAGUAZwBpAG8AbgAsACAATQBvAG4AdABo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AgAE0AbwBuAHQAaABBAHIAcgBhAHkALAAgAE0AbwBuAHQAaABUAG8AUwBlAGEAcw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MAZQBhAHMAbwBuACwAIABYAEwATwBPAEsAVQBQACgAVABFAFgAVAAoAE0AbwBuAHQAaAAsACAAXAAiAG0AbQBtAG0AXAAiACkALAAgAE0AbwBuAHQAaABBAHIAcgBhAHkALAAgAE0AbwBuAHQAaABUAG8AUwBlAGEAcw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DwAIAAxAFwAIgAsACAAXAAiAEIAdQBsAGwAIAA+ACAAMQBcACIALAAgAFwAIgBDAG8AdwAgADwAIAAxAFwAIgAsACAAXAAiAEMAbwB3ACAAMQAtADIAXAAiACwAIABcACIAQwBvAHcAIAA+ACAAMgBcACIALAAgAFwAIgBTAHQAZQBlAHIAIAA8ACAAMQBcACIALAAgAFwAIgBTAHQAZQBlAHIAIAA+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DwAMQBcACIALAAgAFwAIgBCAHUAbABsACAAPgAxAFwAIgAsACAAXAAiAEMAbwB3AHMAIAA8ADEAXAAiACwAIABcACIAQwBvAHcAcwAgADEALQAyAFwAIgAsACAAXAAiAEMAbwB3AHMAIAAyAC0AMwBcACIALAAgAFwAIgBDAG8AdwBzACAAPgAzAFwAIgAsACAAXAAiAFMAdABlAGUAcgAgADwAMQBcACIALAAgAFwAIgBTAHQAZQBlAHIAIAAxAC0AMgBcACIALAAgAFwAIgBTAHQAZQBlAHIAIAAyAC0AMwBcACIALAAgAFwAIgBTAHQAZQBlAHIAIAA+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AnAG4ALwBhACcAIAB3AGkAdABoACAAJwBTAG8AdQB0AGgAIABXAGUAcwB0ACcAIABmAG8AcgAgAGYAaQByAHMAdAAgAGYAbwB1AHIAIAByAG8AdwBzACAAbwBmACAAVwBlAHMAdABlAHIAbgAgAEEAdQBzAHQAcgBhAGwAaQBhACAAdABvACAAYgBlACAAYwBvAG4AcwBpAHMAdABlAG4AdAAgAHcAaQB0AGgAIAB0AGEAYgBsAGUAIABBAC4AMQAuADIALgAxAFwAIgApADsAXABuAFwAbgBTAG8AdQByAGMAZQBEAGEAdABhAF8AUABhAHMAdAB1AHIAZQBCAGUAZQBmAF8ATABpAHYAZQB3AGUAaQBnAGgAdABHAGEAaQBuAF8ARABhAHQAYQBcAG4AIAAgAD0ATABBAE0AQgBEAEEAKABcAG4AIAAgACAAIABNAEEASwBFAEEAUgBSAEEAWQAoADIAOQAsACAAMQAwACwAXABuACAAIAAgACAAIAAgAEwAQQBNAEIARABBACgAcgAsAGMALABcAG4AIAAgACAAIAAgACAAIAAgAEkATgBEAEUAWAAoAHsAXABuACAAIAAgACAAIAAgACAAIAAgACAAXAAiAFMAdABhAHQAZQBcACIALAAgAFwAIgBSAGUAZwBpAG8AbgBcACIALAAgAFwAIgBTAGUAYQBzAG8AbgBcACIALAAgAFwAIgBCAHUAbABsACAAPAAxAFwAIgAsACAAXAAiAEIAdQBsAGwAIAA+ADEAXAAiACwAIABcACIAQwBvAHcAIAA8ADEAXAAiACwAIABcACIAQwBvAHcAIAAxAC0AMgBcACIALAAgAFwAIgBDAG8AdwAgAD4AMgBcACIALAAgAFwAIgBTAHQAZQBlAHIAIAA8ADEAXAAiACwAIABcACIAUwB0AGUAZQByACAAPgAxAFwAIgA7AFwAbgAgACAAIAAgACAAIAAgACAAIAAgAFwAIgBBAEMAVAAvAE4AUwBXAFwAIgAsACAAXAAiAG4ALwBhAFwAIgAsACAAXAAiAFMAcAByAGkAbgBnAFwAIgAsACAAMAAuADUALAAgADAALgAyACwAIAAwAC4ANQAsACAAMAAuADQALAAgADAALgAzACwAIAAwAC4ANQAsACAAMAAuADQAOwBcAG4AIAAgACAAIAAgACAAIAAgACAAIABcACIAQQBDAFQALwBOAFMAVwBcACIALAAgAFwAIgBuAC8AYQBcACIALAAgAFwAIgBTAHUAbQBtAGUAcgBcACIALAAgADEALgAwACwAIAAwAC4ANAAsACAAMAAuADkALAAgADAALgA3ACwAIAAwAC4AMwAsACAAMAAuADkALAAgADAALgA0ADsAXABuACAAIAAgACAAIAAgACAAIAAgACAAXAAiAEEAQwBUAC8ATgBTAFcAXAAiACwAIABcACIAbgAvAGEAXAAiACwAIABcACIAQQB1AHQAdQBtAG4AXAAiACwAIAAwAC4AOAAsACAAMAAuADMALAAgADAALgA3ACwAIAAwAC4AMwAsACAAMAAuADIALAAgADAALgA3ACwAIAAwAC4AMwA7AFwAbgAgACAAIAAgACAAIAAgACAAIAAgAFwAIgBBAEMAVAAvAE4AUwBXAFwAIgAsACAAXAAiAG4ALwBhAFwAIgAsACAAXAAiAFcAaQBuAHQAZQByAFwAIgAsACAAMAAuADQALAAgADAALgAxACwAIAAwAC4ANAAsACAAMAAuADIALAAgADAALgAxACwAIAAwAC4ANAAsACAAMAAuADEAOwBcAG4AIAAgACAAIAAgACAAIAAgACAAIABcACIAUwBvAHUAdABoACAAQQB1AHMAdAByAGEAbABpAGEAXAAiACwAIABcACIAbgAvAGEAXAAiACwAIABcACIAUwBwAHIAaQBuAGcAXAAiACwAIAAwAC4AOQA5ACwAIAAxAC4AMQAsACAAMAAuADgAOAAsACAAMAAuADUANQAsACAAMAAuADUANQAsACAAMAAuADgAOAAsACAAMAAuADIAMgA7AFwAbgAgACAAIAAgACAAIAAgACAAIAAgAFwAIgBTAG8AdQB0AGgAIABBAHUAcwB0AHIAYQBsAGkAYQBcACIALAAgAFwAIgBuAC8AYQBcACIALAAgAFwAIgBTAHUAbQBtAGUAcgBcACIALAAgADAALgA3ADcALAAgADAALgAwACwAIAAwAC4ANgA2ACwAIAAwAC4AMgAyACwAIAAwAC4AMAAsACAAMAAuADYANgAsACAAMAAuADAAOwBcAG4AIAAgACAAIAAgACAAIAAgACAAIABcACIAUwBvAHUAdABoACAAQQB1AHMAdAByAGEAbABpAGEAXAAiACwAIABcACIAbgAvAGEAXAAiACwAIABcACIAQQB1AHQAdQBtAG4AXAAiACwAIAAwAC4AOQAsACAALQAxAC4AMQAsACAAMAAuADcALAAgADAALgAyADIALAAgAC0AMAAuADUANQAsACAAMAAuADgALAAgAC0AMAAuADIAMgA7AFwAbgAgACAAIAAgACAAIAAgACAAIAAgAFwAIgBTAG8AdQB0AGgAIABBAHUAcwB0AHIAYQBsAGkAYQBcACIALAAgAFwAIgBuAC8AYQBcACIALAAgAFwAIgBXAGkAbgB0AGUAcgBcACIALAAgADAALgA4ADgALAAgADAALgAwACwAIAAwAC4ANwA3ACwAIAAwAC4ANQA1ACwAIAAwAC4AMAAsACAAMAAuADgAMgAsACAAMAAuADAAOwBcAG4AIAAgACAAIAAgACAAIAAgACAAIABcACIAVABhAHMAbQBhAG4AaQBhAFwAIgAsACAAXAAiAG4ALwBhAFwAIgAsACAAXAAiAFMAcAByAGkAbgBnAFwAIgAsACAAMQAuADAALAAgADAALgA1ADAALAAgADEALgAwACwAIAAxAC4AMAAsACAALQAwAC4ANAA0ACwAIAAxAC4AMAAsACAAMAAuADUAOwBcAG4AIAAgACAAIAAgACAAIAAgACAAIABcACIAVABhAHMAbQBhAG4AaQBhAFwAIgAsACAAXAAiAG4ALwBhAFwAIgAsACAAXAAiAFMAdQBtAG0AZQByAFwAIgAsACAAMAAuADgAMgAsACAAMAAuADUANQAsACAAMAAuADcAMQAsACAAMAAuADUANQAsACAAMAAuADkAOQAsACAAMAAuADcANwAsACAAMAAuADUAOwBcAG4AIAAgACAAIAAgACAAIAAgACAAIABcACIAVABhAHMAbQBhAG4AaQBhAFwAIgAsACAAXAAiAG4ALwBhAFwAIgAsACAAXAAiAEEAdQB0AHUAbQBuAFwAIgAsACAAMAAuADcANwAsACAAMAAuADUAMAAsACAAMAAuADUANQAsACAAMAAuADEAMQAsACAALQAwAC4AMwAzACwAIAAwAC4ANgAsACAAMAAuADMAMwA7AFwAbgAgACAAIAAgACAAIAAgACAAIAAgAFwAIgBUAGEAcwBtAGEAbgBpAGEAXAAiACwAIABcACIAbgAvAGEAXAAiACwAIABcACIAVwBpAG4AdABlAHIAXAAiACwAIAAwAC4AMQAxACwAIAAtADAALgAyADcALAAgADAALgAxADEALAAgADAALgAyADIALAAgAC0AMAAuADQANAAsACAAMAAuADEANgAsACAALQAwAC4AMgAyADsAXABuACAAIAAgACAAIAAgACAAIAAgACAAXAAiAFYAaQBjAHQAbwByAGkAYQBcACIALAAgAFwAIgBuAC8AYQBcACIALAAgAFwAIgBTAHAAcgBpAG4AZwBcACIALAAgADEALgAxADAALAAgADEALgAxADAALAAgADEALgAxADAALAAgADAALgA5ADkALAAgADAALgA5ADkALAAgADEALgAxADAALAAgADAALgA3ADcAOwBcAG4AIAAgACAAIAAgACAAIAAgACAAIABcACIAVgBpAGMAdABvAHIAaQBhAFwAIgAsACAAXAAiAG4ALwBhAFwAIgAsACAAXAAiAFMAdQBtAG0AZQByAFwAIgAsACAAMAAuADMAMwAsACAAMAAuADMAMwAsACAAMAAuADIAMgAsACAAMAAuADMAMwAsACAALQAwAC4AMQAwACwAIAAwAC4AMwAzACwAIAAwAC4AMQAxADsAXABuACAAIAAgACAAIAAgACAAIAAgACAAXAAiAFYAaQBjAHQAbwByAGkAYQBcACIALAAgAFwAIgBuAC8AYQBcACIALAAgAFwAIgBBAHUAdAB1AG0AbgBcACIALAAgADAALgA1ADAALAAgADAALgAyADAALAAgADAALgA1ADUALAAgADAALgA0ADQALAAgADAALgAyADAALAAgADAALgA1ADUALAAgADAALgAyADAAOwBcAG4AIAAgACAAIAAgACAAIAAgACAAIABcACIAVgBpAGMAdABvAHIAaQBhAFwAIgAsACAAXAAiAG4ALwBhAFwAIgAsACAAXAAiAFcAaQBuAHQAZQByAFwAIgAsACAAMAAuADUANQAsACAAMAAuADIAMgAsACAAMAAuADQAOQAsACAAMAAuADIAMgAsACAAMAAuADIAMgAsACAAMAAuADQAOQAsACAAMAAuADMAMwA7AFwAbgAgACAAIAAgACAAIAAgACAAIAAgAFwAIgBXAGUAcwB0AGUAcgBuACAAQQB1AHMAdAByAGEAbABpAGEAXAAiACwAIABcACIAUwBvAHUAdABoACAAVwBlAHMAdABcACIALAAgAFwAIgBTAHAAcgBpAG4AZwBcACIALAAgADEALgA2ADQALAAgADEALgAxADAALAAgADEALgAyADEALAAgADAALgA5ADkALAAgADAALgA2ADYALAAgADEALgA0ADIALAAgADEALgAxADAAOwBcAG4AIAAgACAAIAAgACAAIAAgACAAIABcACIAVwBlAHMAdABlAHIAbgAgAEEAdQBzAHQAcgBhAGwAaQBhAFwAIgAsACAAXAAiAFMAbwB1AHQAaAAgAFcAZQBzAHQAXAAiACwAIABcACIAUwB1AG0AbQBlAHIAXAAiACwAIAAwAC4ANAA0ACwAIAAtADAALgAyADIALAAgADAALgA0ADQALAAgADAALgAzADMALAAgAC0AMAAuADIAMgAsACAAMAAuADQANAAsACAALQAwAC4AMQAxADsAXABuACAAIAAgACAAIAAgACAAIAAgACAAXAAiAFcAZQBzAHQAZQByAG4AIABBAHUAcwB0AHIAYQBsAGkAYQBcACIALAAgAFwAIgBTAG8AdQB0AGgAIABXAGUAcwB0AFwAIgAsACAAXAAiAEEAdQB0AHUAbQBuAFwAIgAsACAAMAAuADYAMAAsACAAMAAuADAAMAAsACAAMAAuADYAMAAsACAAMAAuADIAMgAsACAALQAwAC4ANQA1ACwAIAAwAC4ANgAwACwAIAAwAC4AMAAwADsAXABuACAAIAAgACAAIAAgACAAIAAgACAAXAAiAFcAZQBzAHQAZQByAG4AIABBAHUAcwB0AHIAYQBsAGkAYQBcACIALAAgAFwAIgBTAG8AdQB0AGgAIABXAGUAcwB0AFwAIgAsACAAXAAiAFcAaQBuAHQAZQByAFwAIgAsACAAMAAuADkAOQAsACAAMAAuADIAMgAsACAAMAAuADcANwAsACAAMAAuADEAMQAsACAAMAAuADEAMQAsACAAMAAuADcANwAsACAAMAAuADQANAA7AFwAbgAgACAAIAAgACAAIAAgACAAIAAgAFwAIgBXAGUAcwB0AGUAcgBuACAAQQB1AHMAdAByAGEAbABpAGEAXAAiACwAIABcACIAUABpAGwAYgBhAHIAYQBcACIALAAgAFwAIgBTAHAAcgBpAG4AZwBcACIALAAgADAALgA3ADAALAAgAC0AMAAuADUANQAsACAAMAAuADcAMAAsACAAMAAuADIAMgAsACAALQAwAC4AMgAyACwAIAAwAC4ANwAwACwAIAAtADAALgAyADIAOwBcAG4AIAAgACAAIAAgACAAIAAgACAAIABcACIAVwBlAHMAdABlAHIAbgAgAEEAdQBzAHQAcgBhAGwAaQBhAFwAIgAsACAAXAAiAFAAaQBsAGIAYQByAGEAXAAiACwAIABcACIAUwB1AG0AbQBlAHIAXAAiACwAIAAwAC4ANwA3ACwAIAAwAC4ANQA1ACwAIAAwAC4ANwA3ACwAIAAwAC4ANgA2ACwAIAAwAC4ANQA1ACwAIAAwAC4ANwA3ACwAIAAwAC4AMwAzADsAXABuACAAIAAgACAAIAAgACAAIAAgACAAXAAiAFcAZQBzAHQAZQByAG4AIABBAHUAcwB0AHIAYQBsAGkAYQBcACIALAAgAFwAIgBQAGkAbABiAGEAcgBhAFwAIgAsACAAXAAiAEEAdQB0AHUAbQBuAFwAIgAsACAAMAAuADgAOAAsACAAMAAuADUANQAsACAAMAAuADgAOAAsACAAMAAuADIAMgAsACAAMAAuADIAMgAsACAAMAAuADgAOAAsACAAMAAuADIAMgA7AFwAbgAgACAAIAAgACAAIAAgACAAIAAgAFwAIgBXAGUAcwB0AGUAcgBuACAAQQB1AHMAdAByAGEAbABpAGEAXAAiACwAIABcACIAUABpAGwAYgBhAHIAYQBcACIALAAgAFwAIgBXAGkAbgB0AGUAcgBcACIALAAgADAALgAyADIALAAgAC0AMAAuADUANQAsACAAMAAuADIAMgAsACAAMAAuADEAMQAsACAALQAwAC4AMgAyACwAIAAwAC4AMgAyACwAIAAtADAALgAzADMAOwBcAG4AIAAgACAAIAAgACAAIAAgACAAIABcACIAVwBlAHMAdABlAHIAbgAgAEEAdQBzAHQAcgBhAGwAaQBhAFwAIgAsACAAXAAiAEsAaQBtAGIAZQByAGwAZQB5AFwAIgAsACAAXAAiAFMAcAByAGkAbgBnAFwAIgAsACAAMAAuADIAMgAsACAALQAwAC4ANQA1ACwAIAAwAC4AMwAzACwAIAAwAC4AMgAyACwAIAAtADAALgAzADMALAAgADAALgAyADIALAAgAC0AMAAuADUANQA7AFwAbgAgACAAIAAgACAAIAAgACAAIAAgAFwAIgBXAGUAcwB0AGUAcgBuACAAQQB1AHMAdAByAGEAbABpAGEAXAAiACwAIABcACIASwBpAG0AYgBlAHIAbABlAHkAXAAiACwAIABcACIAUwB1AG0AbQBlAHIAXAAiACwAIAAwAC4AOAAwACwAIAAwAC4ANQA1ACwAIAAwAC4ANwAwACwAIAAwAC4ANAA0ACwAIAAwAC4ANgA2ACwAIAAwAC4AOAAwACwAIAAwAC4ANQA1ADsAXABuACAAIAAgACAAIAAgACAAIAAgACAAXAAiAFcAZQBzAHQAZQByAG4AIABBAHUAcwB0AHIAYQBsAGkAYQBcACIALAAgAFwAIgBLAGkAbQBiAGUAcgBsAGUAeQBcACIALAAgAFwAIgBBAHUAdAB1AG0AbgBcACIALAAgADAALgA2ADYALAAgADAALgA1ADUALAAgADAALgA1ADUALAAgADAALgA1ADUALAAgADAALgAxADEALAAgADAALgA2ADYALAAgADAALgA1ADUAOwBcAG4AIAAgACAAIAAgACAAIAAgACAAIABcACIAVwBlAHMAdABlAHIAbgAgAEEAdQBzAHQAcgBhAGwAaQBhAFwAIgAsACAAXAAiAEsAaQBtAGIAZQByAGwAZQB5AFwAIgAsACAAXAAiAFcAaQBuAHQAZQByAFwAIgAsACAAMAAuADMAMwAsACAALQAwAC4ANQA1ACwAIAAwAC4AMQAxACwAIAAwAC4AMQAxACwAIAAtADAALgA0ADQALAAgADAALgAzADMALAAgAC0AMAAuADU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RwBhAGkAbgBOAFQAUQBMAEQAXABuAFQAYQBiAGwAZQAgAEEALgAxAC4AMgAuADQAOgAgAEIAZQBlAGYAIABwAGEAcwB0AHUAcgBlACAAYwBhAHQAdABsAGUAIAAtACAATABpAHYAZQB3AGUAaQBnAGgAdAAgAGcAYQBpAG4AIAAoAGsAZwApACAAKABMAFcARwBqAGsAbAApACAAZgBvAHIAIABOAFQAIABhAG4AZAAgAFEATABEAFwAbgAtAC0ALQAtAC0ALQAtAC0ALQAtAC0ALQAtAC0ALQAtAC0ALQAtAC0ALQAtAC0ALQAtAC0ALQAtAC0ALQAtAC0ALQAtAC0ALQAtAC0AXABuACoALwBcAG4AXABuAFMAbwB1AHIAYwBlAEQAYQB0AGEAXwBQAGEAcwB0AHUAcgBlAEIAZQBlAGYAXwBMAGkAdgBlAHcAZQBpAGcAaAB0AEcAYQBpAG4ATgBUAFEATABEAF8AVABpAHQAbABlAFwAbgAgACAAPQBMAEEATQBCAEQAQQAoAFwAIgBCAGUAZQBmACAAcABhAHMAdAB1AHIAZQAgAGMAYQB0AHQAbABlACAALQAgAEwAaQB2AGUAdwBlAGkAZwBoAHQAIABnAGEAaQBuACAAKABrAGcAKQAgACgATABXAEcAagBrAGwAKQAgAGYAbwByACAATgBUACAAYQBuAGQAIABRAEwARABcACIAKQA7AFwAbgBcAG4AUwBvAHUAcgBjAGUARABhAHQAYQBfAFAAYQBzAHQAdQByAGUAQgBlAGUAZgBfAEwAaQB2AGUAdwBlAGkAZwBoAHQARwBhAGkAbgBOAFQAUQBMAEQAXwBWAGEAcgBpAGEAYgBsAGUAXABuACAAIAA9AEwAQQBNAEIARABBACgAXAAiAEwAVwBHAGoAawBsAFwAIgApADsAXABuAFwAbgBTAG8AdQByAGMAZQBEAGEAdABhAF8AUABhAHMAdAB1AHIAZQBCAGUAZQBmAF8ATABpAHYAZQB3AGUAaQBnAGgAdABHAGEAaQBuAE4AVABRAEwARABfAFUAbgBpAHQAXABuACAAIAA9AEwAQQBNAEIARABBACgAXAAiAGsAZwBcACIAKQA7AFwAbgBcAG4AUwBvAHUAcgBjAGUARABhAHQAYQBfAFAAYQBzAHQAdQByAGUAQgBlAGUAZgBfAEwAaQB2AGUAdwBlAGkAZwBoAHQARwBhAGkAbgBOAFQAUQBMAEQAXwBTAG8AdQByAGMAZQBcAG4AIAAgAD0ATABBAE0AQgBEAEEAKABcACIAVgBFAEUAUgBHACAAMgAwADIANgA6ACAAVABhAGIAbABlACAAQQAuADEALgAyAC4ANABcACIAKQA7AFwAbgBcAG4AUwBvAHUAcgBjAGUARABhAHQAYQBfAFAAYQBzAHQAdQByAGUAQgBlAGUAZgBfAEwAaQB2AGUAdwBlAGkAZwBoAHQARwBhAGkAbgBOAFQAUQBMAEQAXwBWAGEAcgBpAGEAdABpAG8AbgBcAG4AIAAgAD0ATABBAE0AQgBEAEEAKABcACIAXAAiACkAOwBcAG4AXABuAFMAbwB1AHIAYwBlAEQAYQB0AGEAXwBQAGEAcwB0AHUAcgBlAEIAZQBlAGYAXwBMAGkAdgBlAHcAZQBpAGcAaAB0AEcAYQBpAG4ATgBUAFEATABEAF8ARABhAHQAYQBcAG4AIAAgAD0ATABBAE0AQgBEAEEAKABcAG4AIAAgACAAIABNAEEASwBFAEEAUgBSAEEAWQAoADIAOQAsACAAMQAzACwAXABuACAAIAAgACAAIAAgAEwAQQBNAEIARABBACgAcgAsAGMALABcAG4AIAAgACAAIAAgACAAIAAgAEkATgBEAEUAWAAoAHsAXABuACAAIAAgACAAIAAgACAAIAAgACAAXAAiAFMAdABhAHQAZQBcACIALAAgAFwAIgBSAGUAZwBpAG8AbgBcACIALAAgAFwAIgBTAGUAYQBzAG8AbgBcACIALAAgAFwAIgBCAHUAbABsACAAPAAxAFwAIgAsACAAXAAiAEIAdQBsAGwAIAA+ADEAXAAiACwAIABcACIAQwBvAHcAIAA8ADEAXAAiACwAIABcACIAQwBvAHcAIAAxAC0AMgBcACIALAAgAFwAIgBDAG8AdwAgADIALQAzAFwAIgAsACAAXAAiAEMAbwB3ACAAPgAzAFwAIgAsACAAXAAiAFMAdABlAGUAcgAgADwAMQBcACIALAAgAFwAIgBTAHQAZQBlAHIAIAAxAC0AMgBcACIALAAgAFwAIgBTAHQAZQBlAHIAIAAyAC0AMwBcACIALAAgAFwAIgBTAHQAZQBlAHIAIAA+ADMAXAAiADsAXABuACAAIAAgACAAIAAgACAAIAAgACAAXAAiAE4AbwByAHQAaABlAHIAbgAgAFQAZQByAHIAaQB0AG8AcgB5AFwAIgAsACAAXAAiAEEAbABpAGMAZQAgAFMAcAByAGkAbgBnAHMAXAAiACwAIABcACIAUwBwAHIAaQBuAGcAXAAiACwAIAAwAC4AMgAyACwAIAAtADAALgAyADMALAAgADAALgAyADUALAAgADAALgAxADcALAAgADAALgAxADgALAAgAC0AMAAuADIAOAAsACAAMAAuADMAMgAsACAAMAAuADIANAAsACAAMAAuADIANQAsACAALQAwAC4AMAA1ADsAXABuACAAIAAgACAAIAAgACAAIAAgACAAXAAiAE4AbwByAHQAaABlAHIAbgAgAFQAZQByAHIAaQB0AG8AcgB5AFwAIgAsACAAXAAiAEEAbABpAGMAZQAgAFMAcAByAGkAbgBnAHMAXAAiACwAIABcACIAUwB1AG0AbQBlAHIAXAAiACwAIAAwAC4ANgA2ACwAIAAwAC4AMgAwACwAIAAwAC4ANgAyACwAIAAwAC4ANQA0ACwAIAAwAC4AMwA4ACwAIAAwAC4AMgA3ACwAIAAwAC4ANwA1ACwAIAAwAC4ANgA0ACwAIAAwAC4ANQA1ACwAIAAwAC4ANAA4ADsAXABuACAAIAAgACAAIAAgACAAIAAgACAAXAAiAE4AbwByAHQAaABlAHIAbgAgAFQAZQByAHIAaQB0AG8AcgB5AFwAIgAsACAAXAAiAEEAbABpAGMAZQAgAFMAcAByAGkAbgBnAHMAXAAiACwAIABcACIAQQB1AHQAdQBtAG4AXAAiACwAIAAwAC4ANAA5ACwAIAAwAC4AMQAzACwAIAAwAC4ANQA0ACwAIAAwAC4ANAA1ACwAIAAwAC4AMwA1ACwAIAAwAC4AMQA1ACwAIAAwAC4ANgAzACwAIAAwAC4ANQA0ACwAIAAwAC4ANAAyACwAIAAwAC4AMgA2ADsAXABuACAAIAAgACAAIAAgACAAIAAgACAAXAAiAE4AbwByAHQAaABlAHIAbgAgAFQAZQByAHIAaQB0AG8AcgB5AFwAIgAsACAAXAAiAEEAbABpAGMAZQAgAFMAcAByAGkAbgBnAHMAXAAiACwAIABcACIAVwBpAG4AdABlAHIAXAAiACwAIAAwAC4AMgA3ACwAIAAtADAALgA4ADAALAAgADAALgAyADIALAAgADAALgAwADkALAAgADAALgAxADIALAAgADAALgAwADIALAAgADAALgAyADUALAAgADAALgAxADgALAAgADAALgAxADIALAAgADAALgAwADMAOwBcAG4AIAAgACAAIAAgACAAIAAgACAAIABcACIATgBvAHIAdABoAGUAcgBuACAAVABlAHIAcgBpAHQAbwByAHkAXAAiACwAIABcACIAQgBhAHIAawBsAHkAXAAiACwAIABcACIAUwBwAHIAaQBuAGcAXAAiACwAIAAwAC4AMgAyACwAIAAtADAALgA0ADQALAAgADAALgAyADAALAAgADAALgAyADEALAAgADAALgAxADgALAAgADAALgAwADEALAAgADAALgAxADIALAAgADAALgAwADkALAAgAFwAIgBOAE8AXAAiACwAIABcACIATgBPAFwAIgA7AFwAbgAgACAAIAAgACAAIAAgACAAIAAgAFwAIgBOAG8AcgB0AGgAZQByAG4AIABUAGUAcgByAGkAdABvAHIAeQBcACIALAAgAFwAIgBCAGEAcgBrAGwAeQBcACIALAAgAFwAIgBTAHUAbQBtAGUAcgBcACIALAAgADAALgA2ADYALAAgADAALgAyADIALAAgADAALgA2ADgALAAgADAALgAyADIALAAgADAALgAyADQALAAgADAALgAyADUALAAgADAALgA2ADQALAAgADAALgAzADcALAAgAFwAIgBOAE8AXAAiACwAIABcACIATgBPAFwAIgA7AFwAbgAgACAAIAAgACAAIAAgACAAIAAgAFwAIgBOAG8AcgB0AGgAZQByAG4AIABUAGUAcgByAGkAdABvAHIAeQBcACIALAAgAFwAIgBCAGEAcgBrAGwAeQBcACIALAAgAFwAIgBBAHUAdAB1AG0AbgBcACIALAAgADAALgA0ADkALAAgADAALgAwADUALAAgADAALgA2ADQALAAgADAALgAyADUALAAgADAALgAyADkALAAgADAALgAxADIALAAgADAALgA1ADcALAAgADAALgA0ADkALAAgAFwAIgBOAE8AXAAiACwAIABcACIATgBPAFwAIgA7AFwAbgAgACAAIAAgACAAIAAgACAAIAAgAFwAIgBOAG8AcgB0AGgAZQByAG4AIABUAGUAcgByAGkAdABvAHIAeQBcACIALAAgAFwAIgBCAGEAcgBrAGwAeQBcACIALAAgAFwAIgBXAGkAbgB0AGUAcgBcACIALAAgADAALgAyADcALAAgAC0AMAAuADIANwAsACAAMAAuADMAMQAsACAAMAAuADIAOQAsACAAMAAuADEAOQAsACAAMAAuADAANAAsACAAMAAuADIANgAsACAAMAAuADIAOAAsACAAXAAiAE4ATwBcACIALAAgAFwAIgBOAE8AXAAiADsAXABuACAAIAAgACAAIAAgACAAIAAgACAAXAAiAE4AbwByAHQAaABlAHIAbgAgAFQAZQByAHIAaQB0AG8AcgB5AFwAIgAsACAAXAAiAE4AbwByAHQAaABlAHIAbgBcACIALAAgAFwAIgBTAHAAcgBpAG4AZwBcACIALAAgADAALgAyADIALAAgAC0AMAAuADQANAAsACAAMAAuADAAMAAsACAAMAAuADEANQAsACAAMAAuADAAOAAsACAAMAAuADEANwAsACAAMAAuADAANgAsACAAMAAuADAAMgAsACAALQAwAC4AMQA0ACwAIABcACIATgBPAFwAIgA7AFwAbgAgACAAIAAgACAAIAAgACAAIAAgAFwAIgBOAG8AcgB0AGgAZQByAG4AIABUAGUAcgByAGkAdABvAHIAeQBcACIALAAgAFwAIgBOAG8AcgB0AGgAZQByAG4AXAAiACwAIABcACIAUwB1AG0AbQBlAHIAXAAiACwAIAAwAC4ANgA2ACwAIAAwAC4AMgAyACwAIAAwAC4ANwA5ACwAIAAwAC4ANAAwACwAIAAwAC4AMwA4ACwAIAAwAC4AMgA3ACwAIAAwAC4AOAAwACwAIAAwAC4AMQA2ACwAIAAwAC4AMwAwACwAIABcACIATgBPAFwAIgA7AFwAbgAgACAAIAAgACAAIAAgACAAIAAgAFwAIgBOAG8AcgB0AGgAZQByAG4AIABUAGUAcgByAGkAdABvAHIAeQBcACIALAAgAFwAIgBOAG8AcgB0AGgAZQByAG4AXAAiACwAIABcACIAQQB1AHQAdQBtAG4AXAAiACwAIAAwAC4ANAA5ACwAIAAwAC4AMAA1ACwAIAAwAC4ANQA1ACwAIAAwAC4AMwA4ACwAIAAwAC4AMwA2ACwAIAAwAC4AMAA2ACwAIAAwAC4ANQA4ACwAIAAwAC4AMgAzACwAIAAwAC4ANAAwACwAIABcACIATgBPAFwAIgA7AFwAbgAgACAAIAAgACAAIAAgACAAIAAgAFwAIgBOAG8AcgB0AGgAZQByAG4AIABUAGUAcgByAGkAdABvAHIAeQBcACIALAAgAFwAIgBOAG8AcgB0AGgAZQByAG4AXAAiACwAIABcACIAVwBpAG4AdABlAHIAXAAiACwAIAAwAC4AMgA3ACwAIAAtADAALgAyADcALAAgADAALgAwADIALAAgADAALgAwADkALAAgADAALgAxADYALAAgAC0AMAAuADAANAAsACAAMAAuADIAMQAsACAAMAAuADAAMwAsACAAMAAuADEAMQAsACAAXAAiAE4ATwBcACIAOwBcAG4AIAAgACAAIAAgACAAIAAgACAAIABcACIAUQB1AGUAZQBuAHMAbABhAG4AZABcACIALAAgAFwAIgBIAGkAZwBoAFwAIgAsACAAXAAiAFMAcAByAGkAbgBnAFwAIgAsACAAMAAuADIANwAsACAALQAwAC4AMQA5ACwAIAAwAC4AMwA4ACwAIAAwAC4AMgA1ACwAIAAwAC4AMAA3ACwAIAAwAC4AMAA1ACwAIAAwAC4ANQAyACwAIAAwAC4ANQA1ACwAIAAwAC4AMQA5ACwAIAAwAC4ANgAwADsAXABuACAAIAAgACAAIAAgACAAIAAgACAAXAAiAFEAdQBlAGUAbgBzAGwAYQBuAGQAXAAiACwAIABcACIASABpAGcAaABcACIALAAgAFwAIgBTAHUAbQBtAGUAcgBcACIALAAgADAALgAxADYALAAgADAALgAxADYALAAgADAALgA4ADAALAAgADAALgA1ADcALAAgADAALgA3ADYALAAgADAALgA0ADkALAAgADAALgA4ADQALAAgADAALgA1ADEALAAgADAALgAzADYALAAgADAALgAxADcAOwBcAG4AIAAgACAAIAAgACAAIAAgACAAIABcACIAUQB1AGUAZQBuAHMAbABhAG4AZABcACIALAAgAFwAIgBIAGkAZwBoAFwAIgAsACAAXAAiAEEAdQB0AHUAbQBuAFwAIgAsACAAMAAuADQANQAsACAAMAAuADEAMAAsACAAMAAuADQAOQAsACAAMAAuADQAMQAsACAAMAAuADQAMAAsACAAMAAuADEANwAsACAAMAAuADUANAAsACAAMAAuADYANAAsACAALQAwAC4AMAA1ACwAIAAwAC4AMwAyADsAXABuACAAIAAgACAAIAAgACAAIAAgACAAXAAiAFEAdQBlAGUAbgBzAGwAYQBuAGQAXAAiACwAIABcACIASABpAGcAaABcACIALAAgAFwAIgBXAGkAbgB0AGUAcgBcACIALAAgADAALgA1ADEALAAgAC0AMAAuADAANwAsACAAMAAuADEAMwAsACAALQAwAC4AMAA5ACwAIAAtADAALgAxADMALAAgADAALgAwADcALAAgADAALgAyADUALAAgADAALgA3ADEALAAgADAALgAxADcALAAgADAALgA0ADMAOwBcAG4AIAAgACAAIAAgACAAIAAgACAAIABcACIAUQB1AGUAZQBuAHMAbABhAG4AZABcACIALAAgAFwAIgBNAG8AZABlAHIAYQB0AGUALwBIAGkAZwBoAFwAIgAsACAAXAAiAFMAcAByAGkAbgBnAFwAIgAsACAALQAwAC4AMQAyACwAIAAtADAALgAxADkALAAgADAALgA0ADEALAAgADAALgAwADkALAAgADAALgA0ADEALAAgAC0AMAAuADEAOQAsACAAMAAuADAANwAsACAAMQAuADAANwAsACAALQAwAC4AMAA4ACwAIAAwAC4AMAAwADsAXABuACAAIAAgACAAIAAgACAAIAAgACAAXAAiAFEAdQBlAGUAbgBzAGwAYQBuAGQAXAAiACwAIABcACIATQBvAGQAZQByAGEAdABlAC8ASABpAGcAaABcACIALAAgAFwAIgBTAHUAbQBtAGUAcgBcACIALAAgADAALgA2ADUALAAgADAALgAxADkALAAgADAALgA2ADUALAAgADAALgA1ADEALAAgADAALgAxADgALAAgADAALgA2ADMALAAgADEALgAzADAALAAgADAALgA0ADgALAAgADEALgAxADIALAAgADAALgAzADgAOwBcAG4AIAAgACAAIAAgACAAIAAgACAAIABcACIAUQB1AGUAZQBuAHMAbABhAG4AZABcACIALAAgAFwAIgBNAG8AZABlAHIAYQB0AGUALwBIAGkAZwBoAFwAIgAsACAAXAAiAEEAdQB0AHUAbQBuAFwAIgAsACAAMAAuADcAMAAsACAAMAAuADEAMwAsACAAMAAuADUAMgAsACAAMAAuADMANAAsACAAMAAuADAAMgAsACAAMAAuADAANAAsACAAMAAuADcANwAsACAAMAAuADQAMgAsACAAMAAuADEAMgAsACAAMAAuADcANAA7AFwAbgAgACAAIAAgACAAIAAgACAAIAAgAFwAIgBRAHUAZQBlAG4AcwBsAGEAbgBkAFwAIgAsACAAXAAiAE0AbwBkAGUAcgBhAHQAZQAvAEgAaQBnAGgAXAAiACwAIABcACIAVwBpAG4AdABlAHIAXAAiACwAIAAwAC4AMwAyACwAIAAtADAALgAwADYALAAgADAALgAyADUALAAgADAALgAxADkALAAgAC0AMAAuADEAMAAsACAALQAwAC4AMAAyACwAIAAwAC4AMAAyACwAIAAwAC4AMgAzACwAIAAtADAALgAxADMALAAgADAALgAwADAAOwBcAG4AIAAgACAAIAAgACAAIAAgACAAIABcACIAUQB1AGUAZQBuAHMAbABhAG4AZABcACIALAAgAFwAIgBNAG8AZABlAHIAYQB0AGUALwBMAG8AdwBcACIALAAgAFwAIgBTAHAAcgBpAG4AZwBcACIALAAgADAALgA2ADIALAAgAC0AMAAuADEAOQAsACAAMAAuADMANwAsACAAMAAuADQAMQAsACAAMAAuADAANgAsACAALQAwAC4AMAAyACwAIAAwAC4ANAA3ACwAIAAwAC4ANAA0ACwAIAAwAC4AMwAwACwAIAAwAC4AMQAzADsAXABuACAAIAAgACAAIAAgACAAIAAgACAAXAAiAFEAdQBlAGUAbgBzAGwAYQBuAGQAXAAiACwAIABcACIATQBvAGQAZQByAGEAdABlAC8ATABvAHcAXAAiACwAIABcACIAUwB1AG0AbQBlAHIAXAAiACwAIAAwAC4AMAA1ACwAIAAwAC4AMQA5ACwAIAAwAC4AMwAxACwAIAAwAC4ANQA0ACwAIAAwAC4ANQAzACwAIAAwAC4AMQA1ACwAIAAwAC4AMgA4ACwAIAAwAC4ANQA3ACwAIAAwAC4ANAAyACwAIAAwAC4ANAAwADsAXABuACAAIAAgACAAIAAgACAAIAAgACAAXAAiAFEAdQBlAGUAbgBzAGwAYQBuAGQAXAAiACwAIABcACIATQBvAGQAZQByAGEAdABlAC8ATABvAHcAXAAiACwAIABcACIAQQB1AHQAdQBtAG4AXAAiACwAIAAwAC4AMwAzACwAIAAwAC4AMQAzACwAIAAwAC4AMwA5ACwAIAAwAC4AMwA2ACwAIAAwAC4AMgA2ACwAIAAwAC4AMQAxACwAIAAwAC4ANAAwACwAIAAwAC4ANAA0ACwAIAAwAC4AMwA3ACwAIAAtADAALgAwADEAOwBcAG4AIAAgACAAIAAgACAAIAAgACAAIABcACIAUQB1AGUAZQBuAHMAbABhAG4AZABcACIALAAgAFwAIgBNAG8AZABlAHIAYQB0AGUALwBMAG8AdwBcACIALAAgAFwAIgBXAGkAbgB0AGUAcgBcACIALAAgADAALgA2ADEALAAgAC0AMAAuADAANgAsACAAMAAuADIAMQAsACAAMAAuADEAOAAsACAAMAAuADEAMgAsACAAMAAuADAANgAsACAAMAAuADIAOQAsACAAMAAuADQAMQAsACAAMAAuADQAMQAsACAALQAwAC4AMQA1ADsAXABuACAAIAAgACAAIAAgACAAIAAgACAAXAAiAFEAdQBlAGUAbgBzAGwAYQBuAGQAXAAiACwAIABcACIATABvAHcAXAAiACwAIABcACIAUwBwAHIAaQBuAGcAXAAiACwAIAAtADAALgAyADAALAAgADAALgAwADIALAAgADAALgAyADQALAAgADAALgAzADAALAAgADAALgAyADMALAAgAC0AMAAuADAANQAsACAAMAAuADMANAAsACAAMAAuADMAMAAsACAAMAAuADUANwAsACAAMAAuADUAMgA7AFwAbgAgACAAIAAgACAAIAAgACAAIAAgAFwAIgBRAHUAZQBlAG4AcwBsAGEAbgBkAFwAIgAsACAAXAAiAEwAbwB3AFwAIgAsACAAXAAiAFMAdQBtAG0AZQByAFwAIgAsACAAMAAuADYAMgAsACAAMAAuADIAMQAsACAAMAAuADIANQAsACAAMAAuADMAMgAsACAAMAAuADQANwAsACAAMAAuADMAMQAsACAAMAAuADEANAAsACAAMAAuADQAMAAsACAAMAAuADIANgAsACAAMAAuADQAMwA7AFwAbgAgACAAIAAgACAAIAAgACAAIAAgAFwAIgBRAHUAZQBlAG4AcwBsAGEAbgBkAFwAIgAsACAAXAAiAEwAbwB3AFwAIgAsACAAXAAiAEEAdQB0AHUAbQBuAFwAIgAsACAAMAAuADQAMAAsACAAMAAuADEAMwAsACAAMAAuADEAMgAsACAAMAAuADIANwAsACAAMAAuADMAMAAsACAAMAAuADAAOAAsACAAMAAuADEAMwAsACAAMAAuADIANAAsACAAMAAuADEANQAsACAAMAAuADIAMQA7AFwAbgAgACAAIAAgACAAIAAgACAAIAAgAFwAIgBRAHUAZQBlAG4AcwBsAGEAbgBkAFwAIgAsACAAXAAiAEwAbwB3AFwAIgAsACAAXAAiAFcAaQBuAHQAZQByAFwAIgAsACAAMAAuADAAOAAsACAAMAAuADAANAAsACAAMAAuADAANgAsACAAMAAuADEAOAAsACAAMAAuADEAMQAsACAALQAwAC4AMAA3ACwAIAAwAC4AMQAzACwAIAAwAC4AMQA2ACwAIAAwAC4ANAAwACwAIAAwAC4AMwAz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QAcgB5AE0AYQB0AHQAZQByAEQAaQBnAGUAcwB0AGkAYgBpAGwAaQB0AHkAXABuAFQAYQBiAGwAZQAgAEEALgAxAC4AMgAuADUAOgAgAEIAZQBlAGYAIABwAGEAcwB0AHUAcgBlACAAYwBhAHQAdABsAGUAIAAtACAARAByAHkAIABtAGEAdAB0AGUAcgAgAGQAaQBnAGUAcwB0AGkAYgBpAGwAaQB0AHkAIABvAGYAIABmAGUAZQBkACAAaQBuAHQAYQBrAGUAIAAoAGYAcgBhAGMAdABpAG8AbgApACAAKABEAE0ARABqACkAXABuAC0ALQAtAC0ALQAtAC0ALQAtAC0ALQAtAC0ALQAtAC0ALQAtAC0ALQAtAC0ALQAtAC0ALQAtAC0ALQAtAC0ALQAtAC0ALQAtAC0ALQBcAG4AKgAvAFwAbgBcAG4AUwBvAHUAcgBjAGUARABhAHQAYQBfAFAAYQBzAHQAdQByAGUAQgBlAGUAZgBfAEQAcgB5AE0AYQB0AHQAZQByAEQAaQBnAGUAcwB0AGkAYgBpAGwAaQB0AHkAXwBUAGkAdABsAGUAXABuACAAIAA9AEwAQQBNAEIARABBACgAXAAiAEIAZQBlAGYAIABwAGEAcwB0AHUAcgBlACAAYwBhAHQAdABsAGUAIAAtACAARAByAHkAIABtAGEAdAB0AGUAcgAgAGQAaQBnAGUAcwB0AGkAYgBpAGwAaQB0AHkAIABvAGYAIABmAGUAZQBkACAAaQBuAHQAYQBrAGUAIAAoAGYAcgBhAGMAdABpAG8AbgApACAAKABEAE0ARABqACkAXAAiACkAOwBcAG4AXABuAFMAbwB1AHIAYwBlAEQAYQB0AGEAXwBQAGEAcwB0AHUAcgBlAEIAZQBlAGYAXwBEAHIAeQBNAGEAdAB0AGUAcgBEAGkAZwBlAHMAdABpAGIAaQBsAGkAdAB5AF8AVgBhAHIAaQBhAGIAbABlAFwAbgAgACAAPQBMAEEATQBCAEQAQQAoAFwAIgBEAE0ARABqAFwAIgApADsAXABuAFwAbgBTAG8AdQByAGMAZQBEAGEAdABhAF8AUABhAHMAdAB1AHIAZQBCAGUAZQBmAF8ARAByAHkATQBhAHQAdABlAHIARABpAGcAZQBzAHQAaQBiAGkAbABpAHQAeQBfAFUAbgBpAHQAXABuACAAIAA9AEwAQQBNAEIARABBACgAXAAiAGYAcgBhAGMAdABpAG8AbgBcACIAKQA7AFwAbgBcAG4AUwBvAHUAcgBjAGUARABhAHQAYQBfAFAAYQBzAHQAdQByAGUAQgBlAGUAZgBfAEQAcgB5AE0AYQB0AHQAZQByAEQAaQBnAGUAcwB0AGkAYgBpAGwAaQB0AHkAXwBTAG8AdQByAGMAZQBcAG4AIAAgAD0ATABBAE0AQgBEAEEAKABcACIAVgBFAEUAUgBHACAAMgAwADIANgA6ACAAVABhAGIAbABlACAAQQAuADEALgAyAC4ANQBcACIAKQA7AFwAbgBcAG4AUwBvAHUAcgBjAGUARABhAHQAYQBfAFAAYQBzAHQAdQByAGUAQgBlAGUAZgBfAEQAcgB5AE0AYQB0AHQAZQByAEQAaQBnAGUAcwB0AGkAYgBpAGwAaQB0AHk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RAByAHkATQBhAHQAdABlAHIARABpAGcAZQBzAHQAaQBiAGkAbABpAHQAeQ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1ADUALAAgADAALgA2ADUALAAgADAALgA2ADAALAAgADAALgA1ADAAOwBcAG4AIAAgACAAIAAgACAAIAAgACAAIABcACIATgBTAFcAXAAiACwAIABcACIAbgAvAGEAXAAiACwAIAAwAC4ANQA1ACwAIAAwAC4ANgA1ACwAIAAwAC4ANgAwACwAIAAwAC4ANQAwADsAXABuACAAIAAgACAAIAAgACAAIAAgACAAXAAiAE4AVABcACIALAAgAFwAIgBBAGwAaQBjAGUAIABTAHAAcgBpAG4AZwBzAFwAIgAsACAAMAAuADUANQAsACAAMAAuADYAMQAsACAAMAAuADUANwAsACAAMAAuADUANAA7AFwAbgAgACAAIAAgACAAIAAgACAAIAAgAFwAIgBOAFQAXAAiACwAIABcACIAQgBhAHIAawBsAHkAXAAiACwAIAAwAC4ANQA1ACwAIAAwAC4ANgAxACwAIAAwAC4ANQA3ACwAIAAwAC4ANQA0ADsAXABuACAAIAAgACAAIAAgACAAIAAgACAAXAAiAE4AVABcACIALAAgAFwAIgBOAG8AcgB0AGgAZQByAG4AXAAiACwAIAAwAC4ANQA1ACwAIAAwAC4ANgAxACwAIAAwAC4ANQA3ACwAIAAwAC4ANQA0ADsAXABuACAAIAAgACAAIAAgACAAIAAgACAAXAAiAFEATABEAFwAIgAsACAAXAAiAEgAaQBnAGgAXAAiACwAIAAwAC4ANQAzACwAIAAwAC4ANQA3ACwAIAAwAC4ANQA1ACwAIAAwAC4ANQAxADsAXABuACAAIAAgACAAIAAgACAAIAAgACAAXAAiAFEATABEAFwAIgAsACAAXAAiAE0AbwBkAGUAcgBhAHQAZQAvAEgAaQBnAGgAXAAiACwAIAAwAC4ANQAzACwAIAAwAC4ANQA3ACwAIAAwAC4ANQA1ACwAIAAwAC4ANQAxADsAXABuACAAIAAgACAAIAAgACAAIAAgACAAXAAiAFEATABEAFwAIgAsACAAXAAiAE0AbwBkAGUAcgBhAHQAZQAvAEwAbwB3AFwAIgAsACAAMAAuADUAMwAsACAAMAAuADUANwAsACAAMAAuADUANQAsACAAMAAuADUAMQA7AFwAbgAgACAAIAAgACAAIAAgACAAIAAgAFwAIgBRAEwARABcACIALAAgAFwAIgBMAG8AdwBcACIALAAgADAALgA1ADMALAAgADAALgA1ADcALAAgADAALgA1ADUALAAgADAALgA1ADEAOwBcAG4AIAAgACAAIAAgACAAIAAgACAAIABcACIAUwBBAFwAIgAsACAAXAAiAG4ALwBhAFwAIgAsACAAMAAuADcAMAAsACAAMAAuADUANQAsACAAMAAuADUANQAsACAAMAAuADcANQA7AFwAbgAgACAAIAAgACAAIAAgACAAIAAgAFwAIgBUAEEAUwBcACIALAAgAFwAIgBuAC8AYQBcACIALAAgADAALgA3ADUALAAgADAALgA2ADAALAAgADAALgA3ADAALAAgADAALgA3ADUAOwBcAG4AIAAgACAAIAAgACAAIAAgACAAIABcACIAVgBJAEMAXAAiACwAIABcACIAbgAvAGEAXAAiACwAIAAwAC4AOAAwACwAIAAwAC4ANQA1ACwAIAAwAC4ANgAwACwAIAAwAC4ANwA2ADsAXABuACAAIAAgACAAIAAgACAAIAAgACAAXAAiAFcAQQBcACIALAAgAFwAIgBTAG8AdQB0AGgAIABXAGUAcwB0AFwAIgAsACAAMAAuADgAMAAsACAAMAAuADUAOAAsACAAMAAuADUAMAAsACAAMAAuADcANQA7AFwAbgAgACAAIAAgACAAIAAgACAAIAAgAFwAIgBXAEEAXAAiACwAIABcACIAUABpAGwAYgBhAHIAYQBcACIALAAgADAALgA0ADAALAAgADAALgA2ADUALAAgADAALgA1ADUALAAgADAALgA0ADUAOwBcAG4AIAAgACAAIAAgACAAIAAgACAAIABcACIAVwBBAFwAIgAsACAAXAAiAEsAaQBtAGIAZQByAGwAZQB5AFwAIgAsACAAMAAuADQAMAAsACAAMAAuADYANQAsACAAMAAuADUANQAsACAAMAAuADQANQ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MAcgB1AGQAZQBQAHIAbwB0AGUAaQBuAEMAbwBuAHQAZQBuAHQAXABuAFQAYQBiAGwAZQAgAEEALgAxAC4AMgAuADYAOgAgAEIAZQBlAGYAIABwAGEAcwB0AHUAcgBlACAAYwBhAHQAdABsAGUAIAAtACAAQwByAHUAZABlACAAcAByAG8AdABlAGkAbgAgAGMAbwBuAHQAZQBuAHQAIABvAGYAIABmAGUAZQBkACAAaQBuAHQAYQBrAGUAIAAoAGYAcgBhAGMAdABpAG8AbgApACAAKABDAFAAagApAFwAbgAtAC0ALQAtAC0ALQAtAC0ALQAtAC0ALQAtAC0ALQAtAC0ALQAtAC0ALQAtAC0ALQAtAC0ALQAtAC0ALQAtAC0ALQAtAC0ALQAtAC0AXABuACoALwBcAG4AXABuAFMAbwB1AHIAYwBlAEQAYQB0AGEAXwBQAGEAcwB0AHUAcgBlAEIAZQBlAGYAXwBDAHIAdQBkAGUAUAByAG8AdABlAGkAbgBDAG8AbgB0AGUAbgB0AF8AVABpAHQAbABlAFwAbgAgACAAPQBMAEEATQBCAEQAQQAoAFwAIgBCAGUAZQBmACAAcABhAHMAdAB1AHIAZQAgAGMAYQB0AHQAbABlACAALQAgAEMAcgB1AGQAZQAgAHAAcgBvAHQAZQBpAG4AIABjAG8AbgB0AGUAbgB0ACAAbwBmACAAZgBlAGUAZAAgAGkAbgB0AGEAawBlACAAKABmAHIAYQBjAHQAaQBvAG4AKQAgACgAQwBQAGoAKQBcACIAKQA7AFwAbgBcAG4AUwBvAHUAcgBjAGUARABhAHQAYQBfAFAAYQBzAHQAdQByAGUAQgBlAGUAZgBfAEMAcgB1AGQAZQBQAHIAbwB0AGUAaQBuAEMAbwBuAHQAZQBuAHQAXwBWAGEAcgBpAGEAYgBsAGUAXABuACAAIAA9AEwAQQBNAEIARABBACgAXAAiAEMAUABqAFwAIgApADsAXABuAFwAbgBTAG8AdQByAGMAZQBEAGEAdABhAF8AUABhAHMAdAB1AHIAZQBCAGUAZQBmAF8AQwByAHUAZABlAFAAcgBvAHQAZQBpAG4AQwBvAG4AdABlAG4AdABfAFUAbgBpAHQAXABuACAAIAA9AEwAQQBNAEIARABBACgAXAAiAGYAcgBhAGMAdABpAG8AbgBcACIAKQA7AFwAbgBcAG4AUwBvAHUAcgBjAGUARABhAHQAYQBfAFAAYQBzAHQAdQByAGUAQgBlAGUAZgBfAEMAcgB1AGQAZQBQAHIAbwB0AGUAaQBuAEMAbwBuAHQAZQBuAHQAXwBTAG8AdQByAGMAZQBcAG4AIAAgAD0ATABBAE0AQgBEAEEAKABcACIAVgBFAEUAUgBHACAAMgAwADIANgA6ACAAVABhAGIAbABlACAAQQAuADEALgAyAC4ANgBcACIAKQA7AFwAbgBcAG4AUwBvAHUAcgBjAGUARABhAHQAYQBfAFAAYQBzAHQAdQByAGUAQgBlAGUAZgBfAEMAcgB1AGQAZQBQAHIAbwB0AGUAaQBuAEMAbwBuAHQAZQBuAHQAXwBWAGEAcgBpAGEAdABpAG8AbgBcAG4AIAAgAD0ATABBAE0AQgBEAEEAKABcACIAVgBBAFIASQBBAFQASQBPAE4AIABPAE4AIABTAE8AVQBSAEMARQA6ACAAUwBwAGwAaQB0ACAAQQBDAFQAIABhAG4AZAAgAE4AUwBXACAAaQBuAHQAbwAgAHMAZQBwAGEAcgBhAHQAZQAgAHIAbwB3AHMALgAgAEQAdQBwAGwAaQBjAGEAdABlAGQAIABRAEwARAAgAGEAbgBkACAATgBUACAAcgBvAHcAcwAgAHcAaQB0AGgAIAByAGUAZwBpAG8AbgBzACAAZgByAG8AbQAgAHQAYQBiAGwAZQAgAEEALgAxAC4AMgAuADIAIAB0AG8AIABhAGkAZAAgAGwAbwBvAGsAdQBwAFwAIgApADsAXABuAFwAbgBTAG8AdQByAGMAZQBEAGEAdABhAF8AUABhAHMAdAB1AHIAZQBCAGUAZQBmAF8AQwByAHUAZABlAFAAcgBvAHQAZQBpAG4AQwBvAG4AdABlAG4AdABfAEQAYQB0AGEAXABuACAAIAA9AEwAQQBNAEIARABBACgAXABuACAAIAAgACAATQBBAEsARQBBAFIAUgBBAFkAKAAxADYALAAgADYALABcAG4AIAAgACAAIAAgACAATABBAE0AQgBEAEEAKAByACwAYwAsAFwAbgAgACAAIAAgACAAIAAgACAASQBOAEQARQBYACgAewBcAG4AIAAgACAAIAAgACAAIAAgACAAIABcACIAUwB0AGEAdABlAFwAIgAsACAAXAAiAFIAZQBnAGkAbwBuAFwAIgAsACAAXAAiAFMAcAByAGkAbgBnAFwAIgAsACAAXAAiAFMAdQBtAG0AZQByAFwAIgAsACAAXAAiAEEAdQB0AHUAbQBuAFwAIgAsACAAXAAiAFcAaQBuAHQAZQByAFwAIgA7AFwAbgAgACAAIAAgACAAIAAgACAAIAAgAFwAIgBBAEMAVABcACIALAAgAFwAIgBuAC8AYQBcACIALAAgADAALgAwADcALAAgADAALgAxADMALAAgADAALgAxACwAIAAwAC4AMAA2ADsAXABuACAAIAAgACAAIAAgACAAIAAgACAAXAAiAE4AUwBXAFwAIgAsACAAXAAiAG4ALwBhAFwAIgAsACAAMAAuADAANwAsACAAMAAuADEAMwAsACAAMAAuADEALAAgADAALgAwADYAOwBcAG4AIAAgACAAIAAgACAAIAAgACAAIABcACIATgBUAFwAIgAsACAAXAAiAEEAbABpAGMAZQAgAFMAcAByAGkAbgBnAHMAXAAiACwAIAAwAC4AMAA1ADgALAAgADAALgAwADkAMgAsACAAMAAuADAANwA1ACwAIAAwAC4AMAA1ADMAOwBcAG4AIAAgACAAIAAgACAAIAAgACAAIABcACIATgBUAFwAIgAsACAAXAAiAEIAYQByAGsAbAB5AFwAIgAsACAAMAAuADAANQA4ACwAIAAwAC4AMAA5ADIALAAgADAALgAwADcANQAsACAAMAAuADAANQAzADsAXABuACAAIAAgACAAIAAgACAAIAAgACAAXAAiAE4AVABcACIALAAgAFwAIgBOAG8AcgB0AGgAZQByAG4AXAAiACwAIAAwAC4AMAA1ADgALAAgADAALgAwADkAMgAsACAAMAAuADAANwA1ACwAIAAwAC4AMAA1ADMAOwBcAG4AIAAgACAAIAAgACAAIAAgACAAIABcACIAUQBMAEQAXAAiACwAIABcACIASABpAGcAaABcACIALAAgADAALgAwADcAMgAsACAAMAAuADAAOQA5ACwAIAAwAC4AMAA3ADgALAAgADAALgAwADUAOQA7AFwAbgAgACAAIAAgACAAIAAgACAAIAAgAFwAIgBRAEwARABcACIALAAgAFwAIgBNAG8AZABlAHIAYQB0AGUALwBIAGkAZwBoAFwAIgAsACAAMAAuADAANwAyACwAIAAwAC4AMAA5ADkALAAgADAALgAwADcAOAAsACAAMAAuADAANQA5ADsAXABuACAAIAAgACAAIAAgACAAIAAgACAAXAAiAFEATABEAFwAIgAsACAAXAAiAE0AbwBkAGUAcgBhAHQAZQAvAEwAbwB3AFwAIgAsACAAMAAuADAANwAyACwAIAAwAC4AMAA5ADkALAAgADAALgAwADcAOAAsACAAMAAuADAANQA5ADsAXABuACAAIAAgACAAIAAgACAAIAAgACAAXAAiAFEATABEAFwAIgAsACAAXAAiAEwAbwB3AFwAIgAsACAAMAAuADAANwAyACwAIAAwAC4AMAA5ADkALAAgADAALgAwADcAOAAsACAAMAAuADAANQA5ADsAXABuACAAIAAgACAAIAAgACAAIAAgACAAXAAiAFMAQQBcACIALAAgAFwAIgBuAC8AYQBcACIALAAgADAALgAxADYALAAgADAALgAwADcALAAgADAALgAwADkALAAgADAALgAyADsAXABuACAAIAAgACAAIAAgACAAIAAgACAAXAAiAFQAQQBTAFwAIgAsACAAXAAiAG4ALwBhAFwAIgAsACAAMAAuADIALAAgADAALgAxACwAIAAwAC4AMQA2ACwAIAAwAC4AMgA7AFwAbgAgACAAIAAgACAAIAAgACAAIAAgAFwAIgBWAEkAQwBcACIALAAgAFwAIgBuAC8AYQBcACIALAAgADAALgAyADUALAAgADAALgAwADcALAAgADAALgAxACwAIAAwAC4AMgAxADsAXABuACAAIAAgACAAIAAgACAAIAAgACAAXAAiAFcAQQBcACIALAAgAFwAIgBTAG8AdQB0AGgAIABXAGUAcwB0AFwAIgAsACAAMAAuADIALAAgADAALgAwADkALAAgADAALgAwADYALAAgADAALgAyADsAXABuACAAIAAgACAAIAAgACAAIAAgACAAXAAiAFcAQQBcACIALAAgAFwAIgBQAGkAbABiAGEAcgBhAFwAIgAsACAAMAAuADAANAAsACAAMAAuADEAMgAsACAAMAAuADAAOQAsACAAMAAuADAANgA7AFwAbgAgACAAIAAgACAAIAAgACAAIAAgAFwAIgBXAEEAXAAiACwAIABcACIASwBpAG0AYgBlAHIAbABlAHkAXAAiACwAIAAwAC4AMAA0ACwAIAAwAC4AMQAyACwAIAAwAC4AMAA5ACwAIAAwAC4AMAA2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YAZQBlAGQAQQBkAGoAdQBzAHQAbQBlAG4AdABBAG4AZABNAGkAbABrAFAAcgBvAGQAdQBjAHQAaQBvAG4AXABuAFQAYQBiAGwAZQAgAEEALgAxAC4AMgAuADcAOgAgAEIAZQBlAGYAIABwAGEAcwB0AHUAcgBlACAAYwBhAHQAdABsAGUAIAAtACAARgBlAGUAZAAgAGkAbgB0AGEAawBlACAAYQBkAGoAdQBzAHQAbQBlAG4AdAAgAGEAbgBkACAAbQBpAGwAawAgAHAAcgBvAGQAdQBjAHQAaQBvAG4AIAAoAGsAZwAvAGgAZQBhAGQALwBkAGEAeQApAFwAbgAtAC0ALQAtAC0ALQAtAC0ALQAtAC0ALQAtAC0ALQAtAC0ALQAtAC0ALQAtAC0ALQAtAC0ALQAtAC0ALQAtAC0ALQAtAC0ALQAtAC0AXABuACoALwBcAG4AXABuAFMAbwB1AHIAYwBlAEQAYQB0AGEAXwBQAGEAcwB0AHUAcgBlAEIAZQBlAGYAXwBGAGUAZQBkAEEAZABqAHUAcwB0AG0AZQBuAHQAQQBuAGQATQBpAGwAawBQAHIAbwBkAHUAYwB0AGkAbwBuAF8AVABpAHQAbABlAFwAbgAgACAAPQBMAEEATQBCAEQAQQAoAFwAIgBCAGUAZQBmACAAcABhAHMAdAB1AHIAZQAgAGMAYQB0AHQAbABlACAALQAgAEYAZQBlAGQAIABpAG4AdABhAGsAZQAgAGEAZABqAHUAcwB0AG0AZQBuAHQAIABhAG4AZAAgAG0AaQBsAGsAIABwAHIAbwBkAHUAYwB0AGkAbwBuACAAKABrAGcALwBoAGUAYQBkAC8AZABhAHkAKQBcACIAKQA7AFwAbgBcAG4AUwBvAHUAcgBjAGUARABhAHQAYQBfAFAAYQBzAHQAdQByAGUAQgBlAGUAZgBfAEYAZQBlAGQAQQBkAGoAdQBzAHQAbQBlAG4AdABBAG4AZABNAGkAbABrAFAAcgBvAGQAdQBjAHQAaQBvAG4AXwBWAGEAcgBpAGEAYgBsAGUAXABuACAAIAA9AEwAQQBNAEIARABBACgAXAAiAE0AQwBqAGsAPQAxACwAMwAsADYAOwAgAEQATQBQAGoAawA9ADUAXAAiACkAOwBcAG4AXABuAFMAbwB1AHIAYwBlAEQAYQB0AGEAXwBQAGEAcwB0AHUAcgBlAEIAZQBlAGYAXwBGAGUAZQBkAEEAZABqAHUAcwB0AG0AZQBuAHQAQQBuAGQATQBpAGwAawBQAHIAbwBkAHUAYwB0AGkAbwBuAF8AVQBuAGkAdABcAG4AIAAgAD0ATABBAE0AQgBEAEEAKABcACIAXAAiACkAOwBcAG4AXABuAFMAbwB1AHIAYwBlAEQAYQB0AGEAXwBQAGEAcwB0AHUAcgBlAEIAZQBlAGYAXwBGAGUAZQBkAEEAZABqAHUAcwB0AG0AZQBuAHQAQQBuAGQATQBpAGwAawBQAHIAbwBkAHUAYwB0AGkAbwBuAF8AUwBvAHUAcgBjAGUAXABuACAAIAA9AEwAQQBNAEIARABBACgAXAAiAFYARQBFAFIARwAgADIAMAAyADYAOgAgAFQAYQBiAGwAZQAgAEEALgAxAC4AMgAuADcAXAAiACkAOwBcAG4AXABuAFMAbwB1AHIAYwBlAEQAYQB0AGEAXwBQAGEAcwB0AHUAcgBlAEIAZQBlAGYAXwBGAGUAZQBkAEEAZABqAHUAcwB0AG0AZQBuAHQAQQBuAGQATQBpAGwAawBQAHIAbwBkAHUAYwB0AGkAbwBuAF8AVgBhAHIAaQBhAHQAaQBvAG4AXABuACAAIAA9AEwAQQBNAEIARABBACgAXAAiAFwAIgApADsAXABuAFwAbgBTAG8AdQByAGMAZQBEAGEAdABhAF8AUABhAHMAdAB1AHIAZQBCAGUAZQBmAF8ARgBlAGUAZABBAGQAagB1AHMAdABtAGUAbgB0AEEAbgBkAE0AaQBsAGsAUAByAG8AZAB1AGMAdABpAG8AbgBfAEQAYQB0AGEAXABuACAAIAA9AEwAQQBNAEIARABBACgAXABuACAAIAAgACAATQBBAEsARQBBAFIAUgBBAFkAKAA5ACwAIAA0ACwAXABuACAAIAAgACAAIAAgAEwAQQBNAEIARABBACgAcgAsAGMALABcAG4AIAAgACAAIAAgACAAIAAgAEkATgBEAEUAWAAoAHsAXABuACAAIAAgACAAIAAgACAAIAAgACAAXAAiAEIAcgBlAGUAZABcACIALAAgAFwAIgBTAGUAYQBzAG8AbgBcACIALAAgAFwAIgBGAGUAZQBkACAAYQBkAGoAdQBzAHQAbQBlAG4AdAAgACgATQBDAGoAawA9ADEALAAzACwANgApAFwAIgAsACAAXAAiAE0AaQBsAGsAIABpAG4AdABhAGsAZQAgAC8AIABwAHIAbwBkAHUAYwB0AGkAbwBuACAAKABEAE0AUABqAGsAPQA1ACkAXAAiADsAXABuACAAIAAgACAAIAAgACAAIAAgACAAXAAiAEgAZQByAGUAZgBvAHIAZAAgAG8AcgAgAFMAaABvAHIAdABoAG8AcgBuACAAYgByAGUAZQBkAHMAXAAiACwAIABcACIAUwBwAHIAaQBuAGcAXAAiACwAIAAxAC4AMwAsACAANgA7AFwAbgAgACAAIAAgACAAIAAgACAAIAAgAFwAIgBIAGUAcgBlAGYAbwByAGQAIABvAHIAIABTAGgAbwByAHQAaABvAHIAbgAgAGIAcgBlAGUAZABzAFwAIgAsACAAXAAiAFMAdQBtAG0AZQByAFwAIgAsACAAMQAuADEALAAgADQAOwBcAG4AIAAgACAAIAAgACAAIAAgACAAIABcACIASABlAHIAZQBmAG8AcgBkACAAbwByACAAUwBoAG8AcgB0AGgAbwByAG4AIABiAHIAZQBlAGQAcwBcACIALAAgAFwAIgBBAHUAdAB1AG0AbgBcACIALAAgADAALAAgADAAOwBcAG4AIAAgACAAIAAgACAAIAAgACAAIABcACIASABlAHIAZQBmAG8AcgBkACAAbwByACAAUwBoAG8AcgB0AGgAbwByAG4AIABiAHIAZQBlAGQAcwBcACIALAAgAFwAIgBXAGkAbgB0AGUAcgBcACIALAAgADAALAAgADAAOwBcAG4AIAAgACAAIAAgACAAIAAgACAAIABcACIATgBvAHIAdABoAGUAcgBuACAAQgByAGEAaABtAGEAbgAgAGMAcgBvAHMAcwAgAGIAcgBlAGUAZABcACIALAAgAFwAIgBTAHAAcgBpAG4AZwBcACIALAAgADAALAAgADAAOwBcAG4AIAAgACAAIAAgACAAIAAgACAAIABcACIATgBvAHIAdABoAGUAcgBuACAAQgByAGEAaABtAGEAbgAgAGMAcgBvAHMAcwAgAGIAcgBlAGUAZABcACIALAAgAFwAIgBTAHUAbQBtAGUAcgBcACIALAAgADEALgAzACwAIAA0ADsAXABuACAAIAAgACAAIAAgACAAIAAgACAAXAAiAE4AbwByAHQAaABlAHIAbgAgAEIAcgBhAGgAbQBhAG4AIABjAHIAbwBzAHMAIABiAHIAZQBlAGQAXAAiACwAIABcACIAQQB1AHQAdQBtAG4AXAAiACwAIAAxAC4AMQAsACAAMwA7AFwAbgAgACAAIAAgACAAIAAgACAAIAAgAFwAIgBOAG8AcgB0AGgAZQByAG4AIABCAHIAYQBoAG0AYQBuACAAYwByAG8AcwBzACAAYgByAGUAZQBkAFwAIgAsACAAXAAiAFcAaQBuAHQAZQByAFwAIgAsACAAMAAsAC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FMAdABhAG4AZABhAHIAZABSAGUAZgBlAHIAZQBuAGMAZQBXAGUAaQBnAGgAdABzAFwAbgBUAGEAYgBsAGUAIABBAC4AMQAuADIALgA4ADoAIABCAGUAZQBmACAAcABhAHMAdAB1AHIAZQAgAGMAYQB0AHQAbABlACAALQAgAFMAdABhAG4AZABhAHIAZAAgAHIAZQBmAGUAcgBlAG4AYwBlACAAdwBlAGkAZwBoAHQAcwAgACgAawBnACkAIAAoAFMAUgBXAGsAKQBcAG4ALQAtAC0ALQAtAC0ALQAtAC0ALQAtAC0ALQAtAC0ALQAtAC0ALQAtAC0ALQAtAC0ALQAtAC0ALQAtAC0ALQAtAC0ALQAtAC0ALQAtAFwAbgAqAC8AXABuAFwAbgBTAG8AdQByAGMAZQBEAGEAdABhAF8AUABhAHMAdAB1AHIAZQBCAGUAZQBmAF8AUwB0AGEAbgBkAGEAcgBkAFIAZQBmAGUAcgBlAG4AYwBlAFcAZQBpAGcAaAB0AHMAXwBUAGkAdABsAGUAXABuACAAIAA9AEwAQQBNAEIARABBACgAXAAiAEIAZQBlAGYAIABwAGEAcwB0AHUAcgBlACAAYwBhAHQAdABsAGUAIAAtACAAUwB0AGEAbgBkAGEAcgBkACAAcgBlAGYAZQByAGUAbgBjAGUAIAB3AGUAaQBnAGgAdABzACAAKABrAGcAKQAgACgAUwBSAFcAawApAFwAIgApADsAXABuAFwAbgBTAG8AdQByAGMAZQBEAGEAdABhAF8AUABhAHMAdAB1AHIAZQBCAGUAZQBmAF8AUwB0AGEAbgBkAGEAcgBkAFIAZQBmAGUAcgBlAG4AYwBlAFcAZQBpAGcAaAB0AHMAXwBWAGEAcgBpAGEAYgBsAGUAXABuACAAIAA9AEwAQQBNAEIARABBACgAXAAiAFMAUgBXAGsAXAAiACkAOwBcAG4AXABuAFMAbwB1AHIAYwBlAEQAYQB0AGEAXwBQAGEAcwB0AHUAcgBlAEIAZQBlAGYAXwBTAHQAYQBuAGQAYQByAGQAUgBlAGYAZQByAGUAbgBjAGUAVwBlAGkAZwBoAHQAcwBfAFUAbgBpAHQAXABuACAAIAA9AEwAQQBNAEIARABBACgAXAAiAGsAZwBcACIAKQA7AFwAbgBcAG4AUwBvAHUAcgBjAGUARABhAHQAYQBfAFAAYQBzAHQAdQByAGUAQgBlAGUAZgBfAFMAdABhAG4AZABhAHIAZABSAGUAZgBlAHIAZQBuAGMAZQBXAGUAaQBnAGgAdABzAF8AUwBvAHUAcgBjAGUAXABuACAAIAA9AEwAQQBNAEIARABBACgAXAAiAFYARQBFAFIARwAgADIAMAAyADYAOgAgAFQAYQBiAGwAZQAgAEEALgAxAC4AMgAuADgAXAAiACkAOwBcAG4AXABuAFMAbwB1AHIAYwBlAEQAYQB0AGEAXwBQAGEAcwB0AHUAcgBlAEIAZQBlAGYAXwBTAHQAYQBuAGQAYQByAGQAUgBlAGYAZQByAGUAbgBjAGUAVwBlAGkAZwBoAHQAcwBfAFYAYQByAGkAYQB0AGkAbwBuAFwAbgAgACAAPQBMAEEATQBCAEQAQQAoAFwAIgBWAEEAUgBJAEEAVABJAE8ATgAgAE8ATgAgAFMATwBVAFIAQwBFADoAIABTAHAAbABpAHQAIABBAEMAVAAgAGEAbgBkACAATgBTAFcAIABpAG4AdABvACAAcwBlAHAAYQByAGEAdABlACAAcgBvAHcAcwAuACAAQQBkAGQAZQBkACAAJwBTAHQAYQB0AGUAIABhAGIAYgByAGUAdgBpAGEAdABpAG8AbgAn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A8ADEAXAAiACwAIABcACIAQgB1AGwAbABzACAAPgAxAFwAIgAsACAAXAAiAEMAbwB3AHMAIAA8ADEAXAAiACwAIABcACIAQwBvAHcAcwAgADEALQAyAFwAIgAsACAAXAAiAEMAbwB3AHMAIAA+ADIAXAAiACwAIABcACIAUwB0AGUAZQByACAAPAAxAFwAIgAsACAAXAAiAFMAdABlAGUAcgAgAD4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JwBQAGEAcwB0AHUAcgBlACAAcgBhAG4AZwBlACAAYQBuAGQAIABwAGEAZABkAG8AYwBrAC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CcAUABhAHMAdAB1AHIAZQAgAHIAYQBuAGcAZQAgAGEAbgBkACAAcABhAGQAZABvAGMAawAnACAAdABvACAAYQBpAGQAIABsAG8AbwBrAHUAcABcACIAKQA7AFwAbgBcAG4AUwBvAHUAcgBjAGUARABhAHQAYQBfAFAAYQBzAHQAdQByAGUAQgBlAGUAZgBfAE0AZQB0AGgAYQBuAGUAQwBvAG4AdgBlAHIAcwBpAG8AbgBGAGEAYwB0AG8AcgBQAGUAcgBSAGUAZwBpAG8Abg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AALgAwADAANAA3ACwAIAAwAC4ANwAxADsAXABuACAAIAAgACAAIAAgACAAIAAgACAAXAAiAE4AUwBXAFwAIgAsACAAXAAiAG4ALwBhAFwAIgAsACAAMAAuADAAMAA0ADcALAAgADAALgA3ADUAOwBcAG4AIAAgACAAIAAgACAAIAAgACAAIABcACIAUwBBAFwAIgAsACAAXAAiAG4ALwBhAFwAIgAsACAAMAAuADAAMAA0ADcALAAgADAALgA3ADQAOwBcAG4AIAAgACAAIAAgACAAIAAgACAAIABcACIAVABBAFMAXAAiACwAIABcACIAbgAvAGEAXAAiACwAIAAwAC4AMAAwADQANwAsACAAMAAuADcAOwBcAG4AIAAgACAAIAAgACAAIAAgACAAIABcACIAVgBJAEMAXAAiACwAIABcACIAbgAvAGEAXAAiACwAIAAwAC4AMAAwADQANwAsACAAMAAuADcANAA7AFwAbgAgACAAIAAgACAAIAAgACAAIAAgAFwAIgBXAEEAXAAiACwAIABcACIAUwBvAHUAdABoACAAVwBlAHMAdABcACIALAAgADAALgAwADAANAA3ACwAIAAwAC4ANwA2ADsAXABuACAAIAAgACAAIAAgACAAIAAgACAAXAAiAFcAQQBcACIALAAgAFwAIgBQAGkAbABiAGEAcgBhAFwAIgAsACAAMAAuADAAMAA0ADcALAAgADAALgA3ADYAOwBcAG4AIAAgACAAIAAgACAAIAAgACAAIABcACIAVwBBAFwAIgAsACAAXAAiAEsAaQBtAGIAZQByAGwAZQB5AFwAIgAsACAAMAAuADAAMAA0ADcALAAgADAALgA3ADYAOwBcAG4AIAAgACAAIAAgACAAIAAgACAAIABcACIATgBUAFwAIgAsACAAXAAiAEEAbABpAGMAZQAgAFMAcAByAGkAbgBnAHMAXAAiACwAIAAwAC4AMAAwADQANwAsACAAMAAuADgAOwBcAG4AIAAgACAAIAAgACAAIAAgACAAIABcACIATgBUAFwAIgAsACAAXAAiAEIAYQByAGsAbAB5AFwAIgAsACAAMAAuADAAMAA0ADcALAAgADAALgA4ADsAXABuACAAIAAgACAAIAAgACAAIAAgACAAXAAiAE4AVABcACIALAAgAFwAIgBOAG8AcgB0AGgAZQByAG4AXAAiACwAIAAwAC4AMAAwADQANwAsACAAMAAuADgAOwBcAG4AIAAgACAAIAAgACAAIAAgACAAIABcACIAUQBMAEQAXAAiACwAIABcACIASABpAGcAaABcACIALAAgADAALgAwADAANAA3ACwAIAAwAC4ANwA4ADsAXABuACAAIAAgACAAIAAgACAAIAAgACAAXAAiAFEATABEAFwAIgAsACAAXAAiAE0AbwBkAGUAcgBhAHQAZQAvAEgAaQBnAGgAXAAiACwAIAAwAC4AMAAwADQANwAsACAAMAAuADcAOAA7AFwAbgAgACAAIAAgACAAIAAgACAAIAAgAFwAIgBRAEwARABcACIALAAgAFwAIgBNAG8AZABlAHIAYQB0AGUALwBMAG8AdwBcACIALAAgADAALgAwADAANAA3ACwAIAAwAC4ANwA4ADsAXABuACAAIAAgACAAIAAgACAAIAAgACAAXAAiAFEATABEAFwAIgAsACAAXAAiAEwAbwB3AFwAIgAsACAAMAAuADAAMAA0ADcALAAgADAALgA3ADgAXABuACAAIAAgACAAIAAgACAAIAB9ACwAIAByACwAIABjACkAXABuACAAIAAgACAAIAAgACkAXABuACAAIAAgACAAKQBcAG4AIAAgACkAOwBcAG4AXABuAFwAbgBcAG4ALwAqACAAXABuAC0ALQAtAC0ALQAtAC0ALQAtAC0ALQAtAC0ALQAtAC0ALQAtAC0ALQAtAC0ALQAtAC0ALQAtAC0ALQAtAC0ALQAtAC0ALQAtAC0ALQBcAG4AUwBvAHUAcgBjAGUARABhAHQAYQBfAFAAYQBzAHQAdQByAGUAQgBlAGUAZgBfAEEAcwBoAEMAbwBuAHQAZQBuAHQATwBmAEYAZQBlAGQASQBuAHQAYQBrAGUAXABuAFYARQBFAFIARwAgADIAMAAyADYAOgAgADQALgAyAC4AMgAuADMAIABDAE8ATgBTAFQAQQBOAFQAUwBcAG4ALQAtAC0ALQAtAC0ALQAtAC0ALQAtAC0ALQAtAC0ALQAtAC0ALQAtAC0ALQAtAC0ALQAtAC0ALQAtAC0ALQAtAC0ALQAtAC0ALQAtAFwAbgAqAC8AXABuAFwAbgBTAG8AdQByAGMAZQBEAGEAdABhAF8AUABhAHMAdAB1AHIAZQBCAGUAZQBmAF8AQQBzAGgAQwBvAG4AdABlAG4AdABPAGYARgBlAGUAZABJAG4AdABhAGsAZQBfAFQAaQB0AGwAZQBcAG4AIAAgAD0ATABBAE0AQgBEAEEAKABcACIAQQBzAGgAIABjAG8AbgB0AGUAbgB0ACAAbwBmACAAZgBlAGUAZAAgAGkAbgB0AGEAawBlAFwAIgApADsAXABuAFwAbgBTAG8AdQByAGMAZQBEAGEAdABhAF8AUABhAHMAdAB1AHIAZQBCAGUAZQBmAF8AQQBzAGgAQwBvAG4AdABlAG4AdABPAGYARgBlAGUAZABJAG4AdABhAGsAZQBfAFYAYQByAGkAYQBiAGwAZQBcAG4AIAAgAD0ATABBAE0AQgBEAEEAKABcACIAQQBcACIAKQA7AFwAbgBcAG4AUwBvAHUAcgBjAGUARABhAHQAYQBfAFAAYQBzAHQAdQByAGUAQgBlAGUAZgBfAEEAcwBoAEMAbwBuAHQAZQBuAHQATwBmAEYAZQBlAGQASQBuAHQAYQBrAGUAXwBVAG4AaQB0AFwAbgAgACAAPQBMAEEATQBCAEQAQQAoAFwAIgBmAHIAYQBjAHQAaQBvAG4AXAAiACkAOwBcAG4AXABuAFMAbwB1AHIAYwBlAEQAYQB0AGEAXwBQAGEAcwB0AHUAcgBlAEIAZQBlAGYAXwBBAHMAaABDAG8AbgB0AGUAbgB0AE8AZgBGAGUAZQBkAEkAbgB0AGEAawBlAF8AUwBvAHUAcgBjAGUAXABuACAAIAA9AEwAQQBNAEIARABBACgAXAAiAFYARQBFAFIARwAgADIAMAAyADYAOgAgADQALgAyAC4AMgAuADMAIABDAE8ATgBTAFQAQQBOAFQAUwBcACIAKQA7AFwAbgBcAG4AUwBvAHUAcgBjAGUARABhAHQAYQBfAFAAYQBzAHQAdQByAGUAQgBlAGUAZgBfAEEAcwBoAEMAbwBuAHQAZQBuAHQATwBmAEYAZQBlAGQASQBuAHQAYQBrAGUAXwBWAGEAcgBpAGEAdABpAG8AbgBcAG4AIAAgAD0ATABBAE0AQgBEAEEAKABcACIAXAAiACkAOwBcAG4AXABuAFMAbwB1AHIAYwBlAEQAYQB0AGEAXwBQAGEAcwB0AHUAcgBlAEIAZQBlAGYAXwBBAHMAaABDAG8AbgB0AGUAbgB0AE8AZgBGAGUAZQBkAEkAbgB0AGEAawBlAF8ARABhAHQAYQBcAG4AIAAgAD0ATABBAE0AQgBEAEEAKAAwAC4AMAA4ACkAOwBcAG4AXABuAC8AKgAgAFwAbgAtAC0ALQAtAC0ALQAtAC0ALQAtAC0ALQAtAC0ALQAtAC0ALQAtAC0ALQAtAC0ALQAtAC0ALQAtAC0ALQAtAC0ALQAtAC0ALQAtAC0AXABuAFMAbwB1AHIAYwBlAEQAYQB0AGEAXwBQAGEAcwB0AHUAcgBlAEIAZQBlAGY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QAGEAcwB0AHUAcgBlAEIAZQBlAGYAXwBNAGUAdABoAGEAbgBlAEUAbQBpAHMAcwBpAG8AbgBzAFAAbwB0AGUAbgB0AGkAYQBsAF8AVABpAHQAbABlAFwAbgAgACAAPQBMAEEATQBCAEQAQQAoAFwAIgBNAGUAdABoAGEAbgBlACAAZQBtAGkAcwBzAGkAbwBuAHMAIABwAG8AdABlAG4AdABpAGEAbABcACIAKQA7AFwAbgBcAG4AUwBvAHUAcgBjAGUARABhAHQAYQBfAFAAYQBzAHQAdQByAGUAQgBlAGUAZgBfAE0AZQB0AGgAYQBuAGUARQBtAGkAcwBzAGkAbwBuAHMAUABvAHQAZQBuAHQAaQBhAGwAXwBWAGEAcgBpAGEAYgBsAGUAXABuACAAIAA9AEwAQQBNAEIARABBACgAXAAiAEIAMABcACIAKQA7AFwAbgBcAG4AUwBvAHUAcgBjAGUARABhAHQAYQBfAFAAYQBzAHQAdQByAGUAQgBlAGUAZgBfAE0AZQB0AGgAYQBuAGUARQBtAGkAcwBzAGkAbwBuAHMAUABvAHQAZQBuAHQAaQBhAGwAXwBVAG4AaQB0AFwAbgAgACAAPQBMAEEATQBCAEQAQQAoAFwAIgBtADMAIABDAEgANAAgAC8AIABrAGcAIABWAFMAXAAiACkAOwBcAG4AXABuAFMAbwB1AHIAYwBlAEQAYQB0AGEAXwBQAGEAcwB0AHUAcgBlAEIAZQBlAGYAXwBNAGUAdABoAGEAbgBlAEUAbQBpAHMAcwBpAG8AbgBzAFAAbwB0AGUAbgB0AGkAYQBsAF8AUwBvAHUAcgBjAGUAXABuACAAIAA9AEwAQQBNAEIARABBACgAXAAiAFYARQBFAFIARwAgADIAMAAyADYAOgAgADQALgAyAC4AMgAuADMAIABDAE8ATgBTAFQAQQBOAFQAUwBcACIAKQA7AFwAbgBcAG4AUwBvAHUAcgBjAGUARABhAHQAYQBfAFAAYQBzAHQAdQByAGUAQgBlAGUAZgBfAE0AZQB0AGgAYQBuAGUARQBtAGkAcwBzAGkAbwBuAHMAUABvAHQAZQBuAHQAaQBhAGwAXwBWAGEAcgBpAGEAdABpAG8AbgBcAG4AIAAgAD0ATABBAE0AQgBEAEEAKABcACIAXAAiACkAOwBcAG4AXABuAFMAbwB1AHIAYwBlAEQAYQB0AGEAXwBQAGEAcwB0AHUAcgBlAEIAZQBlAGYAXwBNAGUAdABoAGEAbgBlAEUAbQBpAHMAcwBpAG8AbgBzAFAAbwB0AGUAbgB0AGkAYQBsAF8ARABhAHQAYQBcAG4AIAAgAD0ATABBAE0AQgBEAEEAKAAwAC4AMQA5ACkAOwBcAG4AXABuAC8AKgAgAFwAbgAtAC0ALQAtAC0ALQAtAC0ALQAtAC0ALQAtAC0ALQAtAC0ALQAtAC0ALQAtAC0ALQAtAC0ALQAtAC0ALQAtAC0ALQAtAC0ALQAtAC0AXABuAFMAbwB1AHIAYwBlAEQAYQB0AGEAXwBQAGEAcwB0AHUAcgBlAEIAZQBlAGYAXwBGAHIAYQBjAEcAQQBTAE0AUwBvAGkAbABcAG4ARgByAGEAYwB0AGkAbwBuACAAbwBmACAAbgBpAHQAcgBvAGcAZQBuACAAdgBvAGwAYQB0AGkAbABpAHMAZQBkACAAZgByAG8AbQAgAHUAcgBpAG4AZQAgAGEAbgBkACAAZgBhAGUAYwBlAHMAIABkAGUAcABvAHMAaQB0AGUAZAAgAG8AbgAgAHAAYQBzAHQAdQByAGUAXABuAC0ALQAtAC0ALQAtAC0ALQAtAC0ALQAtAC0ALQAtAC0ALQAtAC0ALQAtAC0ALQAtAC0ALQAtAC0ALQAtAC0ALQAtAC0ALQAtAC0ALQBcAG4AKgAvAFwAbgBcAG4AUwBvAHUAcgBjAGUARABhAHQAYQBfAFAAYQBzAHQAdQByAGUAQgBlAGUAZgBfAEYAcgBhAGMARwBBAFMATQBTAG8AaQBsAF8AVABpAHQAbABlAFwAbgAgACAAPQBMAEEATQBCAEQAQQAoAFwAIgBGAHIAYQBjAHQAaQBvAG4AIABvAGYAIABuAGkAdAByAG8AZwBlAG4AIAB2AG8AbABhAHQAaQBsAGkAcwBlAGQAIABmAHIAbwBtACAAdQByAGkAbgBlACAAYQBuAGQAIABmAGEAZQBjAGUAcwAgAGQAZQBwAG8AcwBpAHQAZQBkACAAbwBuACAAcABhAHMAdAB1AHIAZQBcACIAKQA7AFwAbgBcAG4AUwBvAHUAcgBjAGUARABhAHQAYQBfAFAAYQBzAHQAdQByAGUAQgBlAGUAZgBfAEYAcgBhAGMARwBBAFMATQBTAG8AaQBsAF8AVgBhAHIAaQBhAGIAbABlAFwAbgAgACAAPQBMAEEATQBCAEQAQQAoAFwAIgBGAHIAYQBjAEcAQQBTAE0AUwBvAGkAbABcACIAKQA7AFwAbgBcAG4AUwBvAHUAcgBjAGUARABhAHQAYQBfAFAAYQBzAHQAdQByAGUAQgBlAGUAZgBfAEYAcgBhAGMARwBBAFMATQBTAG8AaQBsAF8AVQBuAGkAdABcAG4AIAAgAD0ATABBAE0AQgBEAEEAKABcACIAZgByAGEAYwB0AGkAbwBuAFwAIgApADsAXABuAFwAbgBTAG8AdQByAGMAZQBEAGEAdABhAF8AUABhAHMAdAB1AHIAZQBCAGUAZQBmAF8ARgByAGEAYwBHAEEAUwBNAFMAbwBpAGwAXwBTAG8AdQByAGMAZQBcAG4AIAAgAD0ATABBAE0AQgBEAEEAKABcACIAVgBFAEUAUgBHACAAMgAwADIANgA6ACAANAAuADIALgAyAC4AMwAgAEMATwBOAFMAVABBAE4AVABTAFwAIgApADsAXABuAFwAbgBTAG8AdQByAGMAZQBEAGEAdABhAF8AUABhAHMAdAB1AHIAZQBCAGUAZQBmAF8ARgByAGEAYwBHAEEAUwBNAFMAbwBpAGwAXwBWAGEAcgBpAGEAdABpAG8AbgBcAG4AIAAgAD0ATABBAE0AQgBEAEEAKABcACIAXAAiACkAOwBcAG4AXABuAFMAbwB1AHIAYwBlAEQAYQB0AGEAXwBQAGEAcwB0AHUAcgBlAEIAZQBlAGYAXwBGAHIAYQBjAEcAQQBTAE0AUwBvAGkAbABfAEQAYQB0AGEAXABuACAAIAA9AEwAQQBNAEIARABBACgAMAAuADIAMQApADsAXABuAFwAbgAvACoAIABcAG4ALQAtAC0ALQAtAC0ALQAtAC0ALQAtAC0ALQAtAC0ALQAtAC0ALQAtAC0ALQAtAC0ALQAtAC0ALQAtAC0ALQAtAC0ALQAtAC0ALQAtAFwAbgBTAG8AdQByAGMAZQBEAGEAdABhAF8AUABhAHMAdAB1AHIAZQBCAGUAZQBmAF8ARgByAGEAYwBMAEUAQQBDAEgAXABuAEQAZQBmAGEAdQBsAHQAIABmAHIAYQBjAHQAaQBvAG4AIABvAGYAIABOACAAdABoAGEAdAAgAGkAcwAgAGwAbwBzAHQAIAB0AGgAcgBvAHUAZwBoACAAbABlAGEAYwBoAGkAbgBnACAAYQBuAGQAIAByAHUAbgBvAGYAZgBcAG4ALQAtAC0ALQAtAC0ALQAtAC0ALQAtAC0ALQAtAC0ALQAtAC0ALQAtAC0ALQAtAC0ALQAtAC0ALQAtAC0ALQAtAC0ALQAtAC0ALQAtAFwAbgAqAC8AXABuAFwAbgBTAG8AdQByAGMAZQBEAGEAdABhAF8AUABhAHMAdAB1AHIAZQBCAGUAZQBmAF8ARgByAGEAYwBMAEUAQQBDAEgAXwBUAGkAdABsAGUAXABuACAAIAA9AEwAQQBNAEIARABBACgAXAAiAEQAZQBmAGEAdQBsAHQAIABmAHIAYQBjAHQAaQBvAG4AIABvAGYAIABOACAAdABoAGEAdAAgAGkAcwAgAGwAbwBzAHQAIAB0AGgAcgBvAHUAZwBoACAAbABlAGEAYwBoAGkAbgBnACAAYQBuAGQAIAByAHUAbgBvAGYAZgBcACIAKQA7AFwAbgBcAG4AUwBvAHUAcgBjAGUARABhAHQAYQBfAFAAYQBzAHQAdQByAGUAQgBlAGUAZgBfAEYAcgBhAGMATABFAEEAQwBIAF8AVgBhAHIAaQBhAGIAbABlAFwAbgAgACAAPQBMAEEATQBCAEQAQQAoAFwAIgBGAHIAYQBjAEwARQBBAEMASABcACIAKQA7AFwAbgBcAG4AUwBvAHUAcgBjAGUARABhAHQAYQBfAFAAYQBzAHQAdQByAGUAQgBlAGUAZgBfAEYAcgBhAGMATABFAEEAQwBIAF8AVQBuAGkAdABcAG4AIAAgAD0ATABBAE0AQgBEAEEAKABcACIAZgByAGEAYwB0AGkAbwBuAFwAIgApADsAXABuAFwAbgBTAG8AdQByAGMAZQBEAGEAdABhAF8AUABhAHMAdAB1AHIAZQBCAGUAZQBmAF8ARgByAGEAYwBMAEUAQQBDAEgAXwBTAG8AdQByAGMAZQBcAG4AIAAgAD0ATABBAE0AQgBEAEEAKABcACIAVgBFAEUAUgBHACAAMgAwADIANgA6ACAANAAuADIALgAyAC4AMwAgAEMATwBOAFMAVABBAE4AVABTAFwAIgApADsAXABuAFwAbgBTAG8AdQByAGMAZQBEAGEAdABhAF8AUABhAHMAdAB1AHIAZQBCAGUAZQBmAF8ARgByAGEAYwBMAEUAQQBDAEgAXwBWAGEAcgBpAGEAdABpAG8AbgBcAG4AIAAgAD0ATABBAE0AQgBEAEEAKABcACIAXAAiACkAOwBcAG4AXABuAFMAbwB1AHIAYwBlAEQAYQB0AGEAXwBQAGEAcwB0AHUAcgBlAEIAZQBlAGYAXwBGAHIAYQBjAEwARQBBAEMASABfAEQAYQB0AGEAXABuACAAIAA9AEwAQQBNAEIARABBACgAMAAuADIANAApADsAIgB9ACwAewAiAHAAYQB0AGgAIgA6ACIALwBwAHIAbwBqAGUAYwB0AHMALwBFAG4AdABlAHIAaQBjAE0AZQB0AGgAYQBuAGUAXwBQAGEAcwB0AHUAcgBlAEIAZQBlAGYAXwBFAHEAdQBhAHQAaQBvAG4AcwAiACwAIgB0AGUAeAB0ACIAOgAiAC8AKgBcAG4APQA9AD0APQA9AD0APQA9AD0APQA9AD0APQA9AD0APQA9AD0APQA9AD0APQA9AD0APQA9AD0APQA9AD0APQA9AD0APQA9AD0APQA9AD0APQA9AD0APQA9AD0APQA9AD0APQA9AD0APQA9AD0APQA9AD0APQA9AD0APQA9AD0APQA9AD0APQA9AD0APQA9AD0APQA9AD0APQBcAG4AMwAuADIAOgAgAEUAbgB0AGUAcgBpAGMAIABNAGUAdABoAGEAbgBlACAALQAgAFAAYQBzAHQAdQByAGUAIABCAGUAZQBmAFwAbgA9AD0APQA9AD0APQA9AD0APQA9AD0APQA9AD0APQA9AD0APQA9AD0APQA9AD0APQA9AD0APQA9AD0APQA9AD0APQA9AD0APQA9AD0APQA9AD0APQA9AD0APQA9AD0APQA9AD0APQA9AD0APQA9AD0APQA9AD0APQA9AD0APQA9AD0APQA9AD0APQA9AD0APQA9AD0APQA9AFwAbgAzAC4AMgAuADEALgAxACAATQBlAHQAaABvAGQAIAAxACAALQAgAEUAbgB0AGUAcgBpAGM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y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wByAGEAegBpAG4AZwAgAGIAZQBlAGYAIABjAGEAdAB0AGwAZQBcAG4ARQBfAGUAbgB0AGUAcgBpAGMAXABuAHQAIABDAEgANABcAG4ARQBfAHsAZQBuAHQAZQByAGkAYwB9AD0AXABcAHMAdQBtAF8AewBqAH0AXABcAHMAdQBtAF8AewBrAH0AXABcAHMAdQBtAF8AewBsAH0AKABEAF8AagBcAFwAdABpAG0AZQBzACAATQBfAHsAagBrAGwAfQBcAFwAdABpAG0AZQBzACAATgBfAHsAagBrAGwAfQApAFwAXAB0AGkAbQBlAHMAIAAxADAAXgB7AC0AMwB9AFwAbgBEAF8AagAgAD0AIABuAHUAbQBiAGUAcgAgAG8AZgAgAGQAYQB5AHMAIAB0AGgAZQAgAGEAbgBpAG0AYQBsACAAaQBzACAAbwBuACAAdABoAGUAIABmAGEAcgBtACAAaQBuACAAZQBhAGMAaAAgAHQAaQBtAGUALQBwAGUAcgBpAG8AZAAgACgAZABhAHkAcwApAFwAbgBNAF8AagBrAGwAIAA9ACAAZABhAGkAbAB5ACAAcAByAG8AZAB1AGMAdABpAG8AbgAgAG8AZgAgAGUAbgB0AGUAcgBpAGMAIABtAGUAdABoAGEAbgBlACAAaQBuACAAZQBhAGMAaAAgAHQAaQBtAGUALQBwAGUAcgBpAG8AZAAsACAAYwBsAGEAcwBzACAAYQBuAGQAIABzAHUAYgBjAGwAYQBzAHMAIAAoAGsAZwAgAEMASAA0AC8AaABlAGEAZAAvAGQAYQB5ACkAXABuAE4AXwBqAGsAbAAgAD0AIABuAHUAbQBiAGUAcgAgAG8AZgAgAGIAZQBlAGYAIABjAGEAdAB0AGwAZQAgAGkAbgAgAGUAYQBjAGgAIAB0AGkAbQBlAC0AcABlAHIAaQBvAGQALAAgAGMAbABhAHMAcwAgAGEAbgBkACAAcwB1AGIAYwBsAGEAcwBzACAAKABoAGUAYQBkACkAXABuAC0ALQAtAC0ALQAtAC0ALQAtAC0ALQAtAC0ALQAtAC0ALQAtAC0ALQAtAC0ALQAtAC0ALQAtAC0ALQAtAC0ALQAtAC0ALQAtAC0ALQBcAG4AKgAvAFwAbgBcAG4AVgBFAEUAUgBHAF8AMwBfADIAXwAxAF8AMQBfAF8AMQBfAFQAbwB0AGEAbABBAG4AbgB1AGEAbABNAGUAdABoAGEAbgBlAEYAcgBvAG0ARQBuAHQAZQByAGkAYwBGAGUAcgBtAGUAbgB0AGEAdABpAG8AbgBcAG4AIAAgAD0ATABBAE0AQgBEAEEAKABcAG4AIAAgACAAIABEAF8AagAsACAATQBfAGoAawBsACwAIABOAF8AagBrAGwALABcAG4AIAAgACAAIAAoAEQAXwBqACAAKgAgAE0AXwBqAGsAbAAgACoAIABOAF8AagBrAGwAKQAgACoAIAAxADAAIABeACAALQAzAFwAbgAgACAAKQA7AFwAbgBcAG4AVgBFAEUAUgBHAF8AMwBfADI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nAHIAYQB6AGkAbgBnACAAYgBlAGUAZgAgAGMAYQB0AHQAbABlAFwAIgApADsAXABuAFwAbgBWAEUARQBSAEcAXwAzAF8AMgBfADEAXwAxAF8AXwAxAF8AVABvAHQAYQBsAEEAbgBuAHUAYQBsAE0AZQB0AGgAYQBuAGUARgByAG8AbQBFAG4AdABlAHIAaQBjAEYAZQByAG0AZQBuAHQAYQB0AGkAbwBuAF8AVgBhAHIAaQBhAGIAbABlAFwAbgAgACAAPQBMAEEATQBCAEQAQQAoAFwAIgBFAF8AZQBuAHQAZQByAGkAYwBcACIAKQA7AFwAbgBcAG4AVgBFAEUAUgBHAF8AMwBfADIAXwAxAF8AMQBfAF8AMQBfAFQAbwB0AGEAbABBAG4AbgB1AGEAbABNAGUAdABoAGEAbgBlAEYAcgBvAG0ARQBuAHQAZQByAGkAYwBGAGUAcgBtAGUAbgB0AGEAdABpAG8AbgBfAFUAbgBpAHQAXABuACAAIAA9AEwAQQBNAEIARABBACgAXAAiAHQAIABDAEgANABcACIAKQA7AFwAbgBcAG4AVgBFAEUAUgBHAF8AMwBfADIAXwAxAF8AMQBfAF8AMQBfAFQAbwB0AGEAbABBAG4AbgB1AGEAbABNAGUAdABoAGEAbgBlAEYAcgBvAG0ARQBuAHQAZQByAGkAYwBGAGUAcgBtAGUAbgB0AGEAdABpAG8AbgBfAFMAbwB1AHIAYwBlAFwAbgAgACAAPQBMAEEATQBCAEQAQQAoAFwAIgBWAEUARQBSAEcAIAAyADAAMgA2ADoAIAAzAC4AMgAuADEALgAxACwAIABFAHEAdQBhAHQAaQBvAG4AIAAoADEAKQBcACIAKQA7AFwAbgBcAG4AVgBFAEUAUgBHAF8AMwBfADIAXwAxAF8AMQBfAF8AMQBfAFQAbwB0AGEAbABBAG4AbgB1AGEAbABNAGUAdABoAGEAbgBlAEYAcgBvAG0ARQBuAHQAZQByAGkAYwBGAGUAcgBtAGUAbgB0AGEAdABpAG8AbgBfAE4ASQBSAFIAZQBmAGUAcgBlAG4AYwBlAFwAbgAgACAAPQBMAEEATQBCAEQAQQAoAFwAIgBcACIAKQA7AFwAbgBcAG4AVgBFAEUAUgBHAF8AMwBfADIAXwAxAF8AMQBfAF8AMQBfAFQAbwB0AGEAbABBAG4AbgB1AGEAbABNAGUAdABoAGEAbgBlAEYAcgBvAG0ARQBuAHQAZQByAGkAYwBGAGUAcgBtAGUAbgB0AGEAdABpAG8AbgBfAEwAYQB0AGUAeABFAHEAdQBhAHQAaQBvAG4AXABuACAAIAA9AEwAQQBNAEIARABBACgAXAAiAEUAXwB7AGUAbgB0AGUAcgBpAGMAfQA9AFwAXABzAHUAbQBfAHsAagB9AFwAXABzAHUAbQBfAHsAawB9AFwAXABzAHUAbQBfAHsAbAB9ACgARABfAGoAXABcAHQAaQBtAGUAcwAgAE0AXwB7AGoAawBsAH0AXABcAHQAaQBtAGUAcwAgAE4AXwB7AGoAawBsAH0AKQBcAFwAdABpAG0AZQBzACAAMQAwAF4AewAtADMAfQBcACIAKQA7AFwAbgBcAG4AVgBFAEUAUgBHAF8AMwBfADIAXwAxAF8AMQBfAF8AMQBfAFQAbwB0AGEAbABBAG4AbgB1AGEAbABNAGUAdABoAGEAbgBlAEYAcgBvAG0ARQBuAHQAZQByAGkAYwBGAGUAcgBtAGUAbgB0AGEAdABpAG8AbgBfAEEAcgBnAHUAbQBlAG4AdABzAFwAbgAgACAAPQBMAEEATQBCAEQAQQAoAFwAbgAgACAAIAAgAE0AQQBLAEUAQQBSAFIAQQBZACgAMwAsACAANAAsAFwAbgAgACAAIAAgACAAIABMAEEATQBCAEQAQQAoAHIALABjACwAXABuACAAIAAgACAAIAAgACAAIABJAE4ARABFAFgAKAB7AFwAbgAgACAAIAAgACAAIAAgACAAIAAgAFwAIgBEAF8AagBcACIALAAgAFwAIgBuAHUAbQBiAGUAcgAgAG8AZgAgAGQAYQB5AHMAIAB0AGgAZQAgAGEAbgBpAG0AYQBsACAAaQBzACAAbwBuACAAdABoAGUAIABmAGEAcgBtACAAaQBuACAAZQBhAGMAaAAgAHQAaQBtAGUALQBwAGUAcgBpAG8AZABcACIALAAgAFwAIgBkAGEAeQBzAFwAIgAsACAAXAAiAEkAbgBwAHUAdABcACIAOwBcAG4AIAAgACAAIAAgACAAIAAgACAAIABcACIATQBfAGoAawBsAFwAIgAsACAAXAAiAGQAYQBpAGwAeQAgAHAAcgBvAGQAdQBjAHQAaQBvAG4AIABvAGYAIABlAG4AdABlAHIAaQBjACAAbQBlAHQAaABhAG4AZQAgAGkAbgAgAGUAYQBjAGgAIAB0AGkAbQBlAC0AcABlAHIAaQBvAGQALAAgAGMAbABhAHMAcwAgAGEAbgBkACAAcwB1AGIAYwBsAGEAcwBzAFwAIgAsACAAXAAiAGsAZwAgAEMASAA0AC8AaABlAGEAZAAvAGQAYQB5AFwAIgAsACAAXAAiAEMAYQBsAGMAdQBsAGEAdABlAGQAIABmAHIAbwBtACAAMwAuADIALgAxAC4AMQAsACAAKAAyACkAXAAiADsAXABuACAAIAAgACAAIAAgACAAIAAgACAAXAAiAE4AXwBqAGsAbABcACIALAAgAFwAIgBuAHUAbQBiAGUAcgAgAG8AZgAgAGIAZQBlAGYAIABjAGEAdAB0AGwAZQAgAGkAbgAgAGUAYQBjAGgAIAB0AGkAbQBlAC0AcABlAHIAaQBvAGQALAAgAGMAbABhAHMAcwAgAGEAbgBkACAAcwB1AGIAYwBsAGEAcwBz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IAXwBEAGEAaQBsAHkARQBuAHQAZQByAGkAYwBNAGUAdABoAGEAbgBlAFAAcgBvAGQAdQBjAHQAaQBvAG4AXABuAEQAYQBpAGwAeQAgAHAAcgBvAGQAdQBjAHQAaQBvAG4AIABvAGYAIABlAG4AdABlAHIAaQBjACAAbQBlAHQAaABhAG4AZQBcAG4ATQBfAGoAawBsAFwAbgBrAGcAIABDAEgANAAvAGgAZQBhAGQALwBkAGEAeQBcAG4ATQBfAHsAagBrAGwAfQA9ADIAMAAuADcAXABcAHQAaQBtAGUAcwAgAEkAXwB7AGoAawBsAH0AXABcAHQAaQBtAGUAcwAgADEAMABeAHsALQAzAH0AXABuAEkAXwBqAGsAbAAgAD0AIABkAHIAeQAgAG0AYQB0AHQAZQByACAAaQBuAHQAYQBrAGUAIAAoAGsAZwAgAEQATQAvAGgAZQBhAGQALwBkAGEAeQApAFwAbgAtAC0ALQAtAC0ALQAtAC0ALQAtAC0ALQAtAC0ALQAtAC0ALQAtAC0ALQAtAC0ALQAtAC0ALQAtAC0ALQAtAC0ALQAtAC0ALQAtAC0AXABuACoALwBcAG4AXABuAFYARQBFAFIARwBfADMAXwAyAF8AMQBfADEAXwBfADIAXwBEAGEAaQBsAHkARQBuAHQAZQByAGkAYwBNAGUAdABoAGEAbgBlAFAAcgBvAGQAdQBjAHQAaQBvAG4AXABuACAAIAA9AEwAQQBNAEIARABBACgAXABuACAAIAAgACAASQBfAGoAawBsACwAXABuACAAIAAgACAAMgAwAC4ANwAgACoAIABJAF8AagBrAGwAIAAqACAAMQAwACAAXgAgAC0AMwBcAG4AIAAgACkAOwBcAG4AXABuAFYARQBFAFIARwBfADMAXwAy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IAXwAxAF8AMQBfAF8AMgBfAEQAYQBpAGwAeQBFAG4AdABlAHIAaQBjAE0AZQB0AGgAYQBuAGUAUAByAG8AZAB1AGMAdABpAG8AbgBfAFYAYQByAGkAYQBiAGwAZQBcAG4AIAAgAD0ATABBAE0AQgBEAEEAKABcACIATQBfAGoAawBsAFwAIgApADsAXABuAFwAbgBWAEUARQBSAEcAXwAzAF8AMgBfADEAXwAxAF8AXwAyAF8ARABhAGkAbAB5AEUAbgB0AGUAcgBpAGMATQBlAHQAaABhAG4AZQBQAHIAbwBkAHUAYwB0AGkAbwBuAF8AVQBuAGkAdABcAG4AIAAgAD0ATABBAE0AQgBEAEEAKABcACIAawBnACAAQwBIADQALwBoAGUAYQBkAC8AZABhAHkAXAAiACkAOwBcAG4AXABuAFYARQBFAFIARwBfADMAXwAyAF8AMQBfADEAXwBfADIAXwBEAGEAaQBsAHkARQBuAHQAZQByAGkAYwBNAGUAdABoAGEAbgBlAFAAcgBvAGQAdQBjAHQAaQBvAG4AXwBTAG8AdQByAGMAZQBcAG4AIAAgAD0ATABBAE0AQgBEAEEAKABcACIAVgBFAEUAUgBHACAAMgAwADIANgA6ACAAMwAuADIALgAxAC4AMQAsACAARQBxAHUAYQB0AGkAbwBuACAAKAAyACkAXAAiACkAOwBcAG4AXABuAFYARQBFAFIARwBfADMAXwAyAF8AMQBfADEAXwBfADIAXwBEAGEAaQBsAHkARQBuAHQAZQByAGkAYwBNAGUAdABoAGEAbgBlAFAAcgBvAGQAdQBjAHQAaQBvAG4AXwBOAEkAUgBSAGUAZgBlAHIAZQBuAGMAZQBcAG4AIAAgAD0ATABBAE0AQgBEAEEAKABcACIAQwBoAGEAcgBtAGwAZQB5ACAAZQB0ACAAYQBsAC4AIAAoADIAMAAxADUAKQBcACIAKQA7AFwAbgBcAG4AVgBFAEUAUgBHAF8AMwBfADIAXwAxAF8AMQBfAF8AMgBfAEQAYQBpAGwAeQBFAG4AdABlAHIAaQBjAE0AZQB0AGgAYQBuAGUAUAByAG8AZAB1AGMAdABpAG8AbgBfAEwAYQB0AGUAeABFAHEAdQBhAHQAaQBvAG4AXABuACAAIAA9AEwAQQBNAEIARABBACgAXAAiAE0AXwB7AGoAawBsAH0APQAyADAALgA3AFwAXAB0AGkAbQBlAHMAIABJAF8AewBqAGsAbAB9AFwAXAB0AGkAbQBlAHMAIAAxADAAXgB7AC0AMwB9AFwAIgApADsAXABuAFwAbgBWAEUARQBSAEcAXwAzAF8AMg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GsAbABcACIALAAgAFwAIgBkAHIAeQAgAG0AYQB0AHQAZQByACAAaQBuAHQAYQBrAGUAXAAiACwAIABcACIAawBnACAARABNAC8AaABlAGEAZAAvAGQAYQB5AFwAIgAsACAAXAAiAEMAYQBsAGMAdQBsAGEAdABlAGQAIABmAHIAbwBtACAAMwAuADIALgAxAC4AMQAsACAAKAAz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wBfAEYAZQBlAGQASQBuAHQAYQBrAGUARgBvAHIARwByAGEAegBpAG4AZwBCAGUAZQBmAFwAbgBGAGUAZQBkACAAaQBuAHQAYQBrAGUAIABmAG8AcgAgAGcAcgBhAHoAaQBuAGcAIABiAGUAZQBmACAAYwBhAHQAdABsAGUAXABuAEkAXwBqAGsAbABcAG4AawBnACAARABNAC8AaABlAGEAZAAvAGQAYQB5AFwAb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G4AVwBfAGoAawBsACAAPQAgAGwAaQB2AGUAdwBlAGkAZwBoAHQAIAAoAGsAZwApAFwAbgBMAFcARwBfAGoAawBsACAAPQAgAGwAaQB2AGUAIAB3AGUAaQBnAGgAdAAgAGcAYQBpAG4AIAAoAGsAZwAvAGgAZQBhAGQALwBkAGEAeQApAFwAbgBNAEEAXwBqAGsANAA1ACAAPQAgAGEAZABkAGkAdABpAG8AbgBhAGwAIABpAG4AdABhAGsAZQAgAGYAbwByACAAbQBpAGwAawAgAHAAcgBvAGQAdQBjAHQAaQBvAG4AIABpAG4AIABjAG8AdwBzACAAZwByAGUAYQB0AGUAcgAgAHQAaABhAG4AIAAyACAAeQBlAGEAcgBzACAAKABrAGcALwBoAGUAYQBkAC8AZABhAHkAKQBcAG4ALQAtAC0ALQAtAC0ALQAtAC0ALQAtAC0ALQAtAC0ALQAtAC0ALQAtAC0ALQAtAC0ALQAtAC0ALQAtAC0ALQAtAC0ALQAtAC0ALQAtAFwAbgAqAC8AXABuAFwAbgBWAEUARQBSAEcAXwAzAF8AMgBfADEAXwAxAF8AXwAzAF8ARgBlAGUAZABJAG4AdABhAGsAZQBGAG8AcgBHAHIAYQB6AGkAbgBnAEIAZQBlAGYAXABuACAAIAA9AEwAQQBNAEIARABBACgAXABuACAAIAAgACAAVwBfAGoAawBsACwAIABMAFcARwBfAGoAawBsACwAIABNAEEAXwBqAGsANAA1ACwAXABuACAAIAAgACAAKAAxAC4AMQA4ADUAIAArACAAMAAuADAAMAA0ADUANAAgACoAIABXAF8AagBrAGwAIAAtACAAMAAuADAAMAAwADAAMAAyADYAIAAqACAAVwBfAGoAawBsACAAXgAgADIAIAArACAAMAAuADMAMQA1ACAAKgAgAEwAVwBHAF8AagBrAGwAKQAgAF4AIAAyACAAKgAgAE0AQQBfAGoAawA0ADUAXABuACAAIAApADsAXABuAFwAbgBWAEUARQBSAEcAXwAzAF8AMgBfADEAXwAxAF8AXwAzAF8ARgBlAGUAZABJAG4AdABhAGsAZQBGAG8AcgBHAHIAYQB6AGkAbgBnAEIAZQBlAGYAXwBUAGkAdABsAGUAXABuACAAIAA9AEwAQQBNAEIARABBACgAXAAiAEYAZQBlAGQAIABpAG4AdABhAGsAZQAgAGYAbwByACAAZwByAGEAegBpAG4AZwAgAGIAZQBlAGYAIABjAGEAdAB0AGwAZQBcACIAKQA7AFwAbgBcAG4AVgBFAEUAUgBHAF8AMwBfADIAXwAxAF8AMQBfAF8AMwBfAEYAZQBlAGQASQBuAHQAYQBrAGUARgBvAHIARwByAGEAegBpAG4AZwBCAGUAZQBmAF8AVgBhAHIAaQBhAGIAbABlAFwAbgAgACAAPQBMAEEATQBCAEQAQQAoAFwAIgBJAF8AagBrAGwAXAAiACkAOwBcAG4AXABuAFYARQBFAFIARwBfADMAXwAyAF8AMQBfADEAXwBfADMAXwBGAGUAZQBkAEkAbgB0AGEAawBlAEYAbwByAEcAcgBhAHoAaQBuAGcAQgBlAGUAZgBfAFUAbgBpAHQAXABuACAAIAA9AEwAQQBNAEIARABBACgAXAAiAGsAZwAgAEQATQAvAGgAZQBhAGQALwBkAGEAeQBcACIAKQA7AFwAbgBcAG4AVgBFAEUAUgBHAF8AMwBfADIAXwAxAF8AMQBfAF8AMwBfAEYAZQBlAGQASQBuAHQAYQBrAGUARgBvAHIARwByAGEAegBpAG4AZwBCAGUAZQBmAF8AUwBvAHUAcgBjAGUAXABuACAAIAA9AEwAQQBNAEIARABBACgAXAAiAFYARQBFAFIARwAgADIAMAAyADYAOgAgADMALgAyAC4AMQAuADEALAAgAEUAcQB1AGEAdABpAG8AbgAgACgAMwApAFwAIgApADsAXABuAFwAbgBWAEUARQBSAEcAXwAzAF8AMgBfADEAXwAxAF8AXwAzAF8ARgBlAGUAZABJAG4AdABhAGsAZQBGAG8AcgBHAHIAYQB6AGkAbgBnAEIAZQBlAGYAXwBOAEkAUgBSAGUAZgBlAHIAZQBuAGMAZQBcAG4AIAAgAD0ATABBAE0AQgBEAEEAKABcACIATQBpAG4AcwBvAG4AIABhAG4AZAAgAE0AYwBEAG8AbgBhAGwAZAAgACgAMQA5ADgANwApAFwAIgApADsAXABuAFwAbgBWAEUARQBSAEcAXwAzAF8AMgBfADEAXwAxAF8AXwAzAF8ARgBlAGUAZABJAG4AdABhAGsAZQBGAG8AcgBHAHIAYQB6AGkAbgBnAEIAZQBlAGYAXwBMAGEAdABlAHgARQBxAHUAYQB0AGkAbwBuAFwAbgAgACAAPQBMAEEATQBCAEQAQQAoAFwAIgBJAF8AewBqAGsAbAB9AD0AKAAxAC4AMQA4ADUAKwAwAC4AMAAwADQANQA0AFwAXAB0AGkAbQBlAHMAIABXAF8AewBqAGsAbAB9AC0AMAAuADAAMAAwADAAMAAyADYAXABcAHQAaQBtAGUAcwAgAFcAXwB7AGoAawBsAH0AXgB7ADIAfQArADAALgAzADEANQBcAFwAdABpAG0AZQBzACAATABXAEcAXwB7AGoAawBsAH0AKQBeADIAXABcAHQAaQBtAGUAcwAgAE0AQQBfAHsAagBrAD0ANAAsADUAfQBcACIAKQA7AFwAbgBcAG4AVgBFAEUAUgBHAF8AMwBfADIAXwAxAF8AMQBfAF8AMwBfAEYAZQBlAGQASQBuAHQAYQBrAGUARgBvAHIARwByAGEAegBpAG4AZwBCAGUAZQBmAF8AQQByAGcAdQBtAGUAbgB0AHMAXABuACAAIAA9AEwAQQBNAEIARABBACgAXABuACAAIAAgACAATQBBAEsARQBBAFIAUgBBAFkAKAAzACwAIAA0ACwAXABuACAAIAAgACAAIAAgAEwAQQBNAEIARABBACgAcgAsAGMALABcAG4AIAAgACAAIAAgACAAIAAgAEkATgBEAEUAWAAoAHsAXABuACAAIAAgACAAIAAgACAAIAAgACAAXAAiAFcAXwBqAGsAbABcACIALAAgAFwAIgBsAGkAdgBlAHcAZQBpAGcAaAB0ACAAKABrAGcAKQBcACIALAAgAFwAIgBrAGcAXAAiACwAIABcACIASQBuAHAAdQB0AFwAIgA7AFwAbgAgACAAIAAgACAAIAAgACAAIAAgAFwAIgBMAFcARwBfAGoAawBsAFwAIgAsACAAXAAiAGwAaQB2AGUAIAB3AGUAaQBnAGgAdAAgAGcAYQBpAG4AIAAoAGsAZwAvAGgAZQBhAGQALwBkAGEAeQApAFwAIgAsACAAXAAiAGsAZwAvAGgAZQBhAGQALwBkAGEAeQBcACIALAAgAFwAIgBJAG4AcAB1AHQAXAAiADsAXABuACAAIAAgACAAIAAgACAAIAAgACAAXAAiAE0AQQBfAGoAawA0ADUAXAAiACwAIABcACIAYQBkAGQAaQB0AGkAbwBuAGEAbAAgAGkAbgB0AGEAawBlACAAZgBvAHIAIABtAGkAbABrACAAcAByAG8AZAB1AGMAdABpAG8AbgAgAGkAbgAgAGMAbwB3AHMAIABnAHIAZQBhAHQAZQByACAAdABoAGEAbgAgADIAIAB5AGUAYQByAHMAXAAiACwAIABcACIAawBnAC8AaABlAGEAZAAvAGQAYQB5AFwAIgAsACAAXAAiAEMAYQBsAGMAdQBsAGEAdABlAGQAIABmAHIAbwBtACAAMwAuADIALgAxAC4AMQAsACAAKAA0ACk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NABfAEEAZABkAGkAdABpAG8AbgBhAGwASQBuAHQAYQBrAGUARgBvAHIATQBpAGwAawBQAHIAbwBkAHUAYwB0AGkAbwBuAFwAbgBBAGQAZABpAHQAaQBvAG4AYQBsACAAaQBuAHQAYQBrAGUAIABmAG8AcgAgAG0AaQBsAGsAIABwAHIAbwBkAHUAYwB0AGkAbwBuACAAaQBuACAAdABoAGUAIABzAGUAYQBzAG8AbgAgAG8AZgAgAGMAYQBsAHYAaQBuAGcAIABhAG4AZAAgAHQAaABlACAAcwBlAGEAcwBvAG4AIABhAGYAdABlAHIAIABjAGEAbAB2AGkAbgBnAFwAbgBNAEEAXwBqAGsANAA1AFwAbgBmAHIAYQBjAHQAaQBvAG4AXABuAE0AQQBfAHsAagBrAD0ANAAsADUAfQA9ACgATABDAF8AewBqAGsAPQA0ACwANQB9AFwAXAB0AGkAbQBlAHMAIABGAEEAXwB7AGoAawA9ADQALAA1AH0AKQArACgAMQAtAEwAQwBfAHsAagBrAD0ANAAsADUAfQApAFwAbgBMAEMAXwBqAGsANAA1ACAAPQAgAHAAcgBvAHAAbwByAHQAaQBvAG4AIABvAGYAIABjAG8AdwBzACAAZwByAGUAYQB0AGUAcgAgAHQAaABhAG4AIAAxACAAeQBlAGEAcgAgAGkAbgAgAGMAYQBsAGYAIABpAG4AIAB0AGgAZQAgAHMAZQBhAHMAbwBuACAAbwBmACAAYwBhAGwAdgBpAG4AZwAgAGUAeABwAHIAZQBzAHMAZQBkACAAYQBzACAAYQAgAGYAcgBhAGMAdABpAG8AbgBcAG4ARgBBAF8AagBrADQANQAgAD0AIA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bgAtAC0ALQAtAC0ALQAtAC0ALQAtAC0ALQAtAC0ALQAtAC0ALQAtAC0ALQAtAC0ALQAtAC0ALQAtAC0ALQAtAC0ALQAtAC0ALQAtAC0AXABuACoALwBcAG4AXABuAFYARQBFAFIARwBfADMAXwAyAF8AMQBfADEAXwBfADQAXwBBAGQAZABpAHQAaQBvAG4AYQBsAEkAbgB0AGEAawBlAEYAbwByAE0AaQBsAGsAUAByAG8AZAB1AGMAdABpAG8AbgBcAG4AIAAgAD0ATABBAE0AQgBEAEEAKABcAG4AIAAgACAAIABMAEMAXwBqAGsANAA1ACwAIABGAEEAXwBqAGsANAA1ACwAXABuACAAIAAgACAAKABMAEMAXwBqAGsANAA1ACAAKgAgAEYAQQBfAGoAawA0ADUAKQAgACsAIAAoADEAIAAtACAATABDAF8AagBrADQANQApAFwAbgAgACAAKQA7AFwAbgBcAG4AXABuAFYARQBFAFIARwBfADMAXwAyAF8AMQBfADEAXwBfADQAXwBBAGQAZABpAHQAaQBvAG4AYQBsAEkAbgB0AGEAawBlAEYAbwByAE0AaQBsAGsAUAByAG8AZAB1AGMAdABpAG8AbgBWAGEAcgBpAGEAdABpAG8AbgBcAG4AIAAgAD0ATABBAE0AQgBEAEEAKABcAG4AIAAgACAAIABMAEMAXwBqAGsANAA1AGMAYQBsAHYALAAgAEwAQwBfAGoAawA0ADUAcAByAGUAdgAsACAARgBBAF8AagBrADQANQBjAGEAbAB2ACwAIABGAEEAXwBqAGsANAA1AGEAZgB0AGUAcgAsAFwAbgAgACAAIAAgACgAKABMAEMAXwBqAGsANAA1AGMAYQBsAHYAIAAqACAARgBBAF8AagBrADQANQBjAGEAbAB2ACkAIAArACAAKABMAEMAXwBqAGsANAA1AHAAcgBlAHYAIAAqACAARgBBAF8AagBrADQANQBhAGYAdABlAHIAKQApACAAKwAgACgAMQAgAC0AIAAoAEwAQwBfAGoAawA0ADUAYwBhAGwAdgAgACsAIABMAEMAXwBqAGsANAA1AHAAcgBlAHYAKQApAFwAbgAgACAAKQA7AFwAbgBcAG4AVgBFAEUAUgBHAF8AMwBfADIAXwAxAF8AMQBfAF8ANABfAEEAZABkAGkAdABpAG8AbgBhAGwASQBuAHQAYQBrAGUARgBvAHIATQBpAGwAawBQAHIAbwBkAHUAYwB0AGkAbwBuAF8AVABpAHQAbABlAFwAbgAgACAAPQBMAEEATQBCAEQAQQAoAFwAIgBBAGQAZABpAHQAaQBvAG4AYQBsACAAaQBuAHQAYQBrAGUAIABmAG8AcgAgAG0AaQBsAGsAIABwAHIAbwBkAHUAYwB0AGkAbwBuACAAaQBuACAAdABoAGUAIABzAGUAYQBzAG8AbgAgAG8AZgAgAGMAYQBsAHYAaQBuAGcAIABhAG4AZAAgAHQAaABlACAAcwBlAGEAcwBvAG4AIABhAGYAdABlAHIAIABjAGEAbAB2AGkAbgBnAFwAIgApADsAXABuAFwAbgBWAEUARQBSAEcAXwAzAF8AMgBfADEAXwAxAF8AXwA0AF8AQQBkAGQAaQB0AGkAbwBuAGEAbABJAG4AdABhAGsAZQBGAG8AcgBNAGkAbABrAFAAcgBvAGQAdQBjAHQAaQBvAG4AXwBWAGEAcgBpAGEAYgBsAGUAXABuACAAIAA9AEwAQQBNAEIARABBACgAXAAiAE0AQQBfAGoAawA0ADUAXAAiACkAOwBcAG4AXABuAFYARQBFAFIARwBfADMAXwAyAF8AMQBfADEAXwBfADQAXwBBAGQAZABpAHQAaQBvAG4AYQBsAEkAbgB0AGEAawBlAEYAbwByAE0AaQBsAGsAUAByAG8AZAB1AGMAdABpAG8AbgBfAFUAbgBpAHQAXABuACAAIAA9AEwAQQBNAEIARABBACgAXAAiAGYAcgBhAGMAdABpAG8AbgBcACIAKQA7AFwAbgBcAG4AVgBFAEUAUgBHAF8AMwBfADIAXwAxAF8AMQBfAF8ANABfAEEAZABkAGkAdABpAG8AbgBhAGwASQBuAHQAYQBrAGUARgBvAHIATQBpAGwAawBQAHIAbwBkAHUAYwB0AGkAbwBuAF8AUwBvAHUAcgBjAGUAXABuACAAIAA9AEwAQQBNAEIARABBACgAXAAiAFYARQBFAFIARwAgADIAMAAyADYAOgAgADMALgAyAC4AMQAuADEALAAgAEUAcQB1AGEAdABpAG8AbgAgACgANAApAFwAIgApADsAXABuAFwAbgBWAEUARQBSAEcAXwAzAF8AMgBfADEAXwAxAF8AXwA0AF8AQQBkAGQAaQB0AGkAbwBuAGEAbABJAG4AdABhAGsAZQBGAG8AcgBNAGkAbABrAFAAcgBvAGQAdQBjAHQAaQBvAG4AXwBOAEkAUgBSAGUAZgBlAHIAZQBuAGMAZQBcAG4AIAAgAD0ATABBAE0AQgBEAEEAKABcACIAXAAiACkAOwBcAG4AXABuAFYARQBFAFIARwBfADMAXwAyAF8AMQBfADEAXwBfADQAXwBBAGQAZABpAHQAaQBvAG4AYQBsAEkAbgB0AGEAawBlAEYAbwByAE0AaQBsAGsAUAByAG8AZAB1AGMAdABpAG8AbgBfAEwAYQB0AGUAeABFAHEAdQBhAHQAaQBvAG4AXABuACAAIAA9AEwAQQBNAEIARABBACgAXAAiAE0AQQBfAHsAagBrAD0ANAAsADUAfQA9ACgATABDAF8AewBqAGsAPQA0ACwANQB9AFwAXAB0AGkAbQBlAHMAIABGAEEAXwB7AGoAawA9ADQALAA1AH0AKQArACgAMQAtAEwAQwBfAHsAagBrAD0ANAAsADUAfQApAFwAIgApADsAXABuAFwAbgBWAEUARQBSAEcAXwAzAF8AMgBfADEAXwAxAF8AXwA0AF8AQQBkAGQAaQB0AGkAbwBuAGEAbABJAG4AdABhAGsAZQBGAG8AcgBNAGkAbABrAFAAcgBvAGQAdQBjAHQAaQBvAG4AXwBMAGEAdABlAHgARQBxAHUAYQB0AGkAbwBuAFYAYQByAGkAYQB0AGkAbwBuAFwAbgAgACAAPQBMAEEATQBCAEQAQQAoAFwAIgBNAEEAXwB7AGoAawA9ADQALAA1AH0APQAoACgATABDAF8AewBqAGsAPQA0ACwANQAsAGMAYQBsAHYAfQBcAFwAdABpAG0AZQBzACAARgBBAF8AewBqAGsAPQA0ACwANQAsAGMAYQBsAHYAfQApACsAKABMAEMAXwB7AGoAawA9ADQALAA1ACwAcAByAGUAdgB9AFwAXAB0AGkAbQBlAHMAIABGAEEAXwB7AGoAawA9ADQALAA1ACwAYQBmAHQAZQByAH0AKQApACsAKAAxAC0AKABMAEMAXwB7AGoAawA9ADQALAA1ACwAYwBhAGwAdgB9ACsATABDAF8AewBqAGsAPQA0ACwANQAsAHAAcgBlAHYAfQApACkAXAAiACkAOwBcAG4AXABuAFYARQBFAFIARwBfADMAXwAyAF8AMQBfADEAXwBfADQAXwBBAGQAZABpAHQAaQBvAG4AYQBsAEkAbgB0AGEAawBlAEYAbwByAE0AaQBsAGsAUAByAG8AZAB1AGMAdABpAG8AbgBfAEEAcgBnAHUAbQBlAG4AdABzAFwAbgAgACAAPQBMAEEATQBCAEQAQQAoAFwAbgAgACAAIAAgAE0AQQBLAEUAQQBSAFIAQQBZACgAMw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FwAIgAsACAAXAAi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BAHIAZwB1AG0AZQBuAHQAcwBWAGEAcgBpAGEAdABpAG8AbgBcAG4AIAAgAD0ATABBAE0AQgBEAEEAKABcAG4AIAAgACAAIABNAEEASwBFAEEAUgBSAEEAWQAoADQ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jAGEAbAB2AFwAIgAsACAAXAAiAGYAZQBlAGQAIABhAGQAagB1AHMAdABtAGUAbgB0ACAAdgBhAGwAdQBlACAAZgBvAHIAIABsAGEAYwB0AGEAdABpAG4AZwAgAGMAbwB3AHMAIABpAG4AIAB0AGgAZQAgAHMAZQBhAHMAbwBuACAAbwBmACAAYwBhAGwAdgBpAG4AZwAgAGUAeABwAHIAZQBzAHMAZQBkACAAYQBzACAAYQAgAGYAcgBhAGMAdABpAG8AbgBcACIALAAgAFwAIgBmAHIAYQBjAHQAaQBvAG4AXAAiACwAIABcACIAQwBvAG4AcwB0AGEAbgB0AFwAIgA7AFwAbgAgACAAIAAgACAAIAAgACAAIAAgAFwAIgBGAEEAXwBqAGsANAA1AGEAZgB0AGUAcgBcACIALAAgAFwAIgBmAGUAZQBkACAAYQBkAGoAdQBzAHQAbQBlAG4AdAAgAHYAYQBsAHUAZQAgAGYAbwByACAAbABhAGMAdABhAHQAaQBuAGcAIABjAG8AdwBzACAAaQBuACAAdABoAGUAIABzAGUAYQBzAG8AbgAgAGkAbQBtAGUAZABpAGEAdABlAGwAeQAgAGEAZgB0AGUAcgAgAGMAYQBsAHYAaQBuAGcAIABlAHgAcAByAGUAcwBzAGUAZAAgAGEAcwAgAGEAIABmAHIAYQBjAHQAaQBvAG4AXAAiACwAIABcACIAZgByAGEAYwB0AGkAbwBuAFwAIgAsACAAXAAiAEMAbwBuAHMAdABhAG4AdABcACIAOwBcAG4AIAAgACAAIAAgACAAIAAgACAAIABcACIAYgBcACIALAAgAFwAIgBiAHIAZQBlAGQAIABvAGYAIABjAGEAdAB0AGwAZQBcACIALAAgAFwAIgBcACIALAAgAFwAIgBJAG4AcAB1AHQAXAAiAFwAbgAgACAAIAAgACAAIAAgACAAfQAsACAAcgAsACAAYwApAFwAbgAgACAAIAAgACAAIAApAFwAbgAgACAAIAAgACkAXABuACAAIAApADsAXABuAFwAbgBWAEUARQBSAEcAXwAzAF8AMgBfADEAXwAxAF8AXwA0AF8AQQBkAGQAaQB0AGkAbwBuAGEAbABJAG4AdABhAGsAZQBGAG8AcgBNAGkAbABrAFAAcgBvAGQAdQBjAHQAaQBvAG4AXwBWAGEAcgBpAGEAdABpAG8AbgBcAG4APQBMAEEATQBCAEQAQQAoAFwAIgBWAEEAUgBJAEEAVABJAE8ATgAgAE8ATgAgAFMATwBVAFIAQwBFADoAIABFAHgAcABhAG4AZABlAGQAIABlAHEAdQBhAHQAaQBvAG4AIAB0AG8AIABhAGMAYwBvAHUAbgB0ACAAZgBvAHIAIABzAGUAYQBzAG8AbgAgAGEAZgB0AGUAcgAgAGMAYQBsAHYAaQBuAGcALAAgAHIAYQB0AGgAZQByACAAdABoAGEAbgAgAGQAbwBpAG4AZwAgAHQAaABlACAAcwBhAG0AZQAgAGUAcQB1AGEAdABpAG8AbgAgAHQAdwBpAGMAZQAgAGYAbwByACAAYgBvAHQAaAAgAHMAZQBhAHMAbwBuAHMAXAAiACkAXABu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CcAQgBhAHMAaQBzAC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AnAFMAYwBvAHAAZQAgADMAIABkAGUAZgBpAG4AaQB0AGkAbwBuACcAIABjAG8AbAB1AG0AbgAgAHQAbwAgAGEAbABsAG8AdwAgAG0AYQBwAHAAaQBuAGcAIAB3AGkAdABoACAAcwBjAG8AcABlACAAMwAgAGQAYQB0AGEAXAAiADsAXABuACAAIABcACIAQQBkAGQAZQBkACAAJwBTAG8AdQByAGMAZQAn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CcAUgBlAGYAZQByAGUAbgBjAGUAcwAnACAAYwBvAGwAdQBtAG4AXAAiADsAXABuACAAIABcACIARQB4AGMAbAB1AGQAZQBkACAAJwBBAG0AbQBvAG4AaQB1AG0AIABzAHUAbABmAGEAdABlACcAIABhAHMAIABpAHQAIABpAHMAIABhACAAZAB1AHAAbABpAGMAYQB0AGUAIABvAGYAIAAnAFMAdQBsAHAAaABhAHQAZQAgAG8AZgAgAGEAbQBtAG8AbgBpAGEAIAAoAFMATwBBACkAJwBcACIAOwBcAG4AIAAgAFwAIgBFAHgAYwBsAHUAZABlAGQAIAAnAEMAYQBsAGMAaQB1AG0AIABuAGkAdAByAGEAdABlACcAIABhAHMAIABuAG8AIABzAGMAbwBwAGUAIAAzACAAdgBhAGwAdQBlACAAYQB2AGEAaQBsAGEAYgBsAGUALgBcACIAOwBcAG4AIAAgAFwAIgBTAGUAdAAgACcATgBpAHQAcgBvAGcAZQBuACAALQAgAEcAZQBuAGUAcgBpAGMAJwAgAGIAYQBzAGkAcwAgAGEAcwAgAC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CcAVQByAGUAYQAtAGEAbQBtAG8AbgBpAHUAbQAgAG4AaQB0AHIAYQB0AGUAJwAgAGIAYQBzAGkAcwAgAGEAcwAgACcAVQByAGUAYQAtAGIAYQBzAGUAZAAgAGYAZQByAHQAaQBsAGkAcwBlAHIAJ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C8AKgBcAG4ARgBlAHIAdABpAGwAaQBzAGUAcgAgAHAAcgBvAGQAdQBjAHQAIABkAGEAdABhACAALQAgAEUAeABjAGUAbAAgAE0AQQBLAEUAQQBSAFIAQQBZACAAZQB4AHAAbwByAHQAXABuAC0ALQAtAC0ALQAtAC0ALQAtAC0ALQAtAC0ALQAtAC0ALQAtAC0ALQAtAC0ALQAtAC0ALQAtAC0ALQAtAC0ALQAtAC0ALQAtAC0ALQAtAC0ALQAtAC0ALQAtAC0ALQAtAC0ALQAtAC0ALQAtAC0ALQAtAC0ALQAtAFwAbgBQAHIAbwBkAHUAYwB0AHMAOgAgADEAMwA0ACAAKABJAG4AYwBsAHUAZABlACAAbwBuAGwAeQA7ACAAYwBvAG0AYgBpAG4AZQBkACAAZgByAG8AbQAgAG0AYQBpAG4AIAArACAAYgBhAHQAYwBoACAAMQAgACsAIABiAGEAdABjAGgAIAAyACAAdwBvAHIAawBiAG8AbwBrAHMAKQBcAG4AQQByAHIAYQB5AHMAOgAgADUAIAB8ACAAUgBvAHcAcwAgAHAAZQByACAAYQByAHIAYQB5ADoAIAAzADAAIAAoAGYAaQBuAGEAbAAgAGEAcgByAGEAeQA6ACAAMQA0ACkAIAB8ACAAQwBvAGwAdQBtAG4AcwA6ACAAMwAxAFwAbgBcAG4ARQB4AGMAbAB1AGQAZQBkACAAYwBvAGwAdQBtAG4AcwA6ACAASQBuAGMAbAB1AGQAZQAgAG8AcgAgAGUAeABjAGwAdQBkAGUALAAgAEEAbgBhAGwAeQBzAGkAcwAgAGIAYQBzAGUALAAgAEEAbgBhAGwAeQBzAGkAcwAgAHMAbwB1AHIAYwBlACwAIABBAG4AYQBsAHkAcwBpAHMAIABmAGwAYQBnACwAIABOAG8AdABlAHMALAAgAEwAaQBuAGsALAAgAEQAYQB0AGEAIABzAG8AdQByAGMAZQAsACAARQBOAEQAIABSAE8AVwAuAFwAbgBJAG4AZwByAGUAZABpAGUAbgB0ACAAcABlAHIAYwBlAG4AdAAgAHYAYQBsAHUAZQBzACAAYQByAGUAIABlAHYAYQBsAHUAYQB0AGUAZAAgAGQAZQBjAGkAbQBhAGwAIABmAHIAYQBjAHQAaQBvAG4AcwAgACgAPQA0ADYALwAxADAAMAAgAC0APgAgADAALgA0ADYAKQA7ACAAZQBtAHAAdAB5ACAAYwBlAGwAbABzACAAYQByAGUAIABcACIAXAAiAC4AXABuAFwAbgBDAG8AbAB1AG0AbgAgAG8AcgBkAGUAcgAgACgAMwAxACkAOgBcAG4AIAAgADEALgAgAEMAbwBtAHAAYQBuAHkAXABuACAAIAAyAC4AIABQAHIAbwBkAHUAYwB0ACAAbgBhAG0AZQBcAG4AIAAgADMALgAgAFUAbgBpAHQAXABuACAAIAA0AC4AIABEAGUAbgBzAGkAdAB5AFwAbgAgACAANQAuACAAQwBvAG4AdABhAGkAbgBzACAAaQBuAGgAaQBiAGkAdABvAHIAXABuACAAIAA2AC4AIABVAHIAZQBhACAAcwBvAHUAcgBjAGUAXABuACAAIAA3AC4AIABBAG0AbQBvAG4AaQBhACAAcwBvAHUAcgBjAGUAXABuACAAIAA4AC4AIABOACAAZABlAGMAbABhAHIAZQBkAFwAbgAgACAAOQAuACAAUAAgAGQAZQBjAGwAYQByAGUAZABcAG4AIAAgADEAMAAuACAASwAgAGQAZQBjAGwAYQByAGUAZABcAG4AIAAgADEAMQAuACAAUwAgAGQAZQBjAGwAYQByAGUAZABcAG4AIAAgADEAMgAuACAASQBuAGcAcgBlAGQAaQBlAG4AdAAgADEAXABuACAAIAAxADMALgAgAEkAbgBnAHIAZQBkAGkAZQBuAHQAIAAxACAAcABlAHIAYwBlAG4AdABcAG4AIAAgADEANAAuACAASQBuAGcAcgBlAGQAaQBlAG4AdAAgADIAXABuACAAIAAxADUALgAgAEkAbgBnAHIAZQBkAGkAZQBuAHQAIAAyACAAcABlAHIAYwBlAG4AdABcAG4AIAAgADEANgAuACAASQBuAGcAcgBlAGQAaQBlAG4AdAAgADMAXABuACAAIAAxADcALgAgAEkAbgBnAHIAZQBkAGkAZQBuAHQAIAAzACAAcABlAHIAYwBlAG4AdABcAG4AIAAgADEAOAAuACAASQBuAGcAcgBlAGQAaQBlAG4AdAAgADQAXABuACAAIAAxADkALgAgAEkAbgBnAHIAZQBkAGkAZQBuAHQAIAA0ACAAcABlAHIAYwBlAG4AdABcAG4AIAAgADIAMAAuACAASQBuAGcAcgBlAGQAaQBlAG4AdAAgADUAXABuACAAIAAyADEALgAgAEkAbgBnAHIAZQBkAGkAZQBuAHQAIAA1ACAAcABlAHIAYwBlAG4AdABcAG4AIAAgADIAMgAuACAASQBuAGcAcgBlAGQAaQBlAG4AdAAgADYAXABuACAAIAAyADMALgAgAEkAbgBnAHIAZQBkAGkAZQBuAHQAIAA2ACAAcABlAHIAYwBlAG4AdABcAG4AIAAgADIANAAuACAASQBuAGcAcgBlAGQAaQBlAG4AdAAgADcAXABuACAAIAAyADUALgAgAEkAbgBnAHIAZQBkAGkAZQBuAHQAIAA3ACAAcABlAHIAYwBlAG4AdABcAG4AIAAgADIANgAuACAASQBuAGcAcgBlAGQAaQBlAG4AdAAgADgAXABuACAAIAAyADcALgAgAEkAbgBnAHIAZQBkAGkAZQBuAHQAIAA4ACAAcABlAHIAYwBlAG4AdABcAG4AIAAgADIAOAAuACAASQBuAGcAcgBlAGQAaQBlAG4AdAAgADkAXABuACAAIAAyADkALgAgAEkAbgBnAHIAZQBkAGkAZQBuAHQAIAA5ACAAcABlAHIAYwBlAG4AdABcAG4AIAAgADMAMAAuACAASQBuAGcAcgBlAGQAaQBlAG4AdAAgADEAMABcAG4AIAAgADMAMQAuACAASQBuAGcAcgBlAGQAaQBlAG4AdAAgADEAMAAgAHAAZQByAGMAZQBuAHQAXABuACAAIABcAG4ALQAtAC0ALQAtAC0ALQAtAC0ALQAtAC0ALQAtAC0ALQAtAC0ALQAtAC0ALQAtAC0ALQAtAC0ALQAtAC0ALQAtAC0ALQAtAC0ALQAtAC0ALQAtAC0ALQAtAC0ALQAtAC0ALQAtAC0ALQAtAC0ALQAtAC0ALQAtAC0AXABuACoALwBcAG4AXABuAEYAZQByAHQAaQBsAGkAcwBlAHIAXwBQAHIAbwBkAHUAYwB0AHMAXwBEAGEAdABhADEAXABuAD0ATABBAE0AQgBEAEEAKABcAG4AIABNAEEASwBFAEEAUgBSAEEAWQAoADMAMAAsACAAMwAxACwAXABuACAATABBAE0AQgBEAEEAKAByACwAYwAsAFwAbgAgACAASQBOAEQARQBYACgAewBcAG4AXAAiAEMAYQBtAHAAYgBlAGwAbABzACAAZgBlAHIAdABpAGwAaQBzAGUAcgBzACAAQQB1AHMAdAByAGEAbABpAGEAXAAiACwAXAAiAEEAcQB1AGEAIABGAGkAbgBpAHMAaABcACIALABcACIATABcACIALAAxAC4AMgA2ACwAXAAiAFwAIgAsAFwAIgBcACIALABcACIAXAAiACwAMgAuADYALAA0ACwAMgAyAC4ANQAsAFwAIgBcACIALABcACIAUABvAHQAYQBzAHMAaQB1AG0AIAAtACAARwBlAG4AZQByAGkAYwBcACIALAAwAC4AMgAyADUALABcACIAUABoAG8AcwBwAGgAbwByAHUAcwAgAC0AIABHAGUAbgBlAHIAaQBjAFwAIgAsADAALgAwADQALABcACIATgBpAHQAcgBvAGcAZQBuACAALQAgAEcAZQBuAGUAcgBpAGMAXAAiACwAMAAuADAAMgA2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HAHIAbwB3AFwAIgAsAFwAIgBMAFwAIgAsADEALgAyADYALABcACIAXAAiACwAXAAiAFwAIgAsAFwAIgBcACIALAA5AC4ANgAsADUALAAxADAALgA1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AgAEEATgBcACIALABcACIATABcACIALAAxAC4AMgA0ACwAXAAiAFwAIgAsAFwAIgBcACIALABcACIAXAAiACwAMgAyAC4AMwAsAFwAIgBcACI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XAAiACwAXAAiAEwAXAAiACwAMQAuADUALABcACIAXAAiACwAXAAiAFwAIgAsAFwAIgBcACIALAAxADMALgAyACwAXAAiAFwAIgAsAFwAIgBcACIALABcACIAXAAiACwAXAAiAEMAYQBsAGMAaQB1AG0AXAAiACwAMAAuADEANgAy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IAAoAFYASQApAFwAIgAsAFwAIgBMAFwAIgAsADEALgA1ACwAXAAiAFwAIgAsAFwAIgBcACIALABcACIAXAAiACwAMQAzAC4AMgAsAFwAIgBcACIALABcACIAXAAiACwAXAAiAFwAIgAsAFwAIgBDAGEAbABjAGkAdQBtAFwAIgAsADAALgAxADgANw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CAAVQBsAHQAaQBtAGEAdABlAFwAIgAsAFwAIgBMAFwAIgAsADEALgA1ACwAXAAiAFwAIgAsAFwAIgBcACIALABcACIAXAAiACwAMQAzAC4AMgAsAFwAIgBcACIALABcACIAXAAiACwAXAAiAFwAIgAsAFwAIgBDAGEAbABjAGkAdQBtAFwAIgAsADAALgAxADgAMw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UwB0AGEAcgB0AFwAIgAsAFwAIgBMAFwAIgAsADEALgAyADUALABcACIAXAAiACwAXAAiAFwAIgAsAFwAIgBcACIALAAxADAALgAzACwAMQAwACwAMwAuADQ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DAG8AbQBwAGwAZQB0AGUAXAAiACwAXAAiAEwAXAAiACwAMQAuADQAMwAsAFwAIgBcACIALABcACIAXAAiACwAXAAiAFwAIgAsADIALgA1ACwAMwAuADgALAAyADIALgA1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UAbQBlAHIAZwBlAFwAIgAsAFwAIgBMAFwAIgAsADEALgAyADkALABcACIAXAAiACwAXAAiAFwAIgAsAFwAIgBcACIALAAxADAALgA1ACwAOQAuADQALAA0ACwAMwAsAFwAIgBOAGkAdAByAG8AZwBlAG4AIAAtACAARwBlAG4AZQByAGkAYwBcACIALAAwAC4AMQAwADUALABcACIAUABoAG8AcwBwAGgAbwByAHUAcwAgAC0AIABHAGUAbgBlAHIAaQBjAFwAIgAsADAALgAwADkANAAsAFwAIgBQAG8AdABhAHMAcwBpAHUAbQAgAC0AIABHAGUAbgBlAHIAaQBjAFwAIgAsADAALgAwADQALABcACIAUwB1AGwAZgB1AHIAIAAtACAARwBlAG4AZQByAGkAYwBcACIALAAwAC4AMAAz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YAbABvAHUAcgBpAHMAaABcACIALABcACIATABcACIALAAxAC4AMwAyACwAXAAiAFwAIgAsAFwAIgBcACIALABcACIAXAAiACwAOQAuADUALAA0AC4ANwAsADEAMAAuADgALAA4AC4AMQ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7AFwAbgBcACIAQwBhAG0AcABiAGUAbABsAHMAIABmAGUAcgB0AGkAbABpAHMAZQByAHMAIABBAHUAcwB0AHIAYQBsAGkAYQBcACIALABcACIAQgBvAG8AcwB0AC0ASQB0AFwAIgAsAFwAIgBrAGcAXAAiACwAMQAsAFwAIgBcACIALABcACIAXAAiACwAXAAiAFwAIgAsADIANAAsADUALgAyACwAOAAsADUALgAzACwAXAAiAFUAcgBlAGEAXAAiACwAMAAuADUAMgAxADcAMwA5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7AFwAbgBcACIAQwBhAG0AcABiAGUAbABsAHMAIABmAGUAcgB0AGkAbABpAHMAZQByAHMAIABBAHUAcwB0AHIAYQBsAGkAYQBcACIALABcACIAQgByAG8AbgB6AGUAXAAiACwAXAAiAGsAZwBcACIALAAxACwAXAAiAFwAIgAsAFwAIgBcACIALABcACIAXAAiACwAMQA3ACwAMAAuADAANAAsADEAMQAuADYALAAwAC4ANQAsAFwAIgBNAHUAcgBpAGEAdABlACAAbwBmACAAc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7AFwAbgBcACIAQwBhAG0AcABiAGUAbABsAHMAIABmAGUAcgB0AGkAbABpAHMAZQByAHMAIABBAHUAcwB0AHIAYQBsAGkAYQBcACIALABcACIAQwBhAGwAYgBpAHQAIABDAFwAIgAsAFwAIgBMAFwAIgAsADEALgA0ADUALABcACIAXAAiACwAXAAiAFwAIgAsAFwAIgBcACIALABcACIAXAAiACwAXAAiAFwAIgAsAFwAIgBcACIALABcACIAXAAiACwAXAAiAEMAYQBsAGMAaQB1AG0AXAAiACwAMAAuADEAMAA3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DAG8AbQBwAGEAcwBzAFwAIgAsAFwAIgBrAGcAXAAiACwAMQAsAFwAIgBcACIALABcACIAXAAiACwAXAAiAFwAIgAsADEANQAsADYALgA1ACwAMQAyAC4ANQAsADYALABcACIATgBpAHQAcgBvAGcAZQBuACAALQAgAEEAbQBtAG8AbgBpAGEAYwBhAGwAXAAiACwAMAAuADAANwA1ACwAXAAiAE4AaQB0AHIAbwBnAGUAbgAgAC0AIABOAGkAdAByAGEAdABlAFwAIgAsADAALgAwADcANQAsAFwAIgBQAG8AdABhAHMAcwBpAHUAbQAgAC0AIABHAGUAbgBlAHIAaQBjAFwAIgAsADAALgAxADIANQAsAFwAIgBQAGgAbwBzAHAAaABvAHIAdQBzACAALQAgAEcAZQBuAGUAcgBpAGMAXAAiACwAMAAuADAANgA1ACwAXAAiAFMAdQBsAGYAdQByACAALQAgAEcAZQBuAGUAcgBpAGMAXAAiACwAMAAuADAANgAsAFwAIgBcACIALABcACIAXAAiACwAXAAiAFwAIgAsAFwAIgBcACIALABcACIAXAAiACwAXAAiAFwAIgAsAFwAIgBcACIALABcACIAXAAiACwAXAAiAFwAIgAsAFwAIgBcACIAOwBcAG4AXAAiAEMAYQBtAHAAYgBlAGwAbABzACAAZgBlAHIAdABpAGwAaQBzAGUAcgBzACAAQQB1AHMAdAByAGEAbABpAGEAXAAiACwAXAAiAEMAbwBSAG8ATgAgADEAMgAtADAALQAxADAAXAAiACwAXAAiAEwAXAAiACwAMQAuADIAMQA1ACwAXAAiAFwAIgAsAFwAIgBcACIALABcACIAXAAiACwAMQAyACwAXAAiAFwAIgAsADEAMAAsAFwAIgBcACIALABcACIAVQByAGUAYQBcACIALAAwAC4AMQA5ADUANgA1ADIALABcACIAUABvAHQAYQBzAHMAaQB1AG0AIAAtACAARwBlAG4AZQByAGkAYwBcACIALAAwAC4AMQAsAFwAIgBOAGkAdAByAG8AZwBlAG4AIAAtACAARwBlAG4AZQByAGkAYwBcACIALAAwAC4AMAAzACwAXAAiAEIAbwByAG8AbgBcACIALAAwAC4AMAAwADUALABcACIAXAAiACwAXAAiAFwAIgAsAFwAIgBcACIALABcACIAXAAiACwAXAAiAFwAIgAsAFwAIgBcACIALABcACIAXAAiACwAXAAiAFwAIgAsAFwAIgBcACIALABcACIAXAAiACwAXAAiAFwAIgAsAFwAIgBcACIAOwBcAG4AXAAiAEMAYQBtAHAAYgBlAGwAbABzACAAZgBlAHIAdABpAGwAaQBzAGUAcgBzACAAQQB1AHMAdAByAGEAbABpAGEAXAAiACwAXAAiAE0AYQB4AGkAbQB1AG0AIABRAHUAaQBjAGsALQBOAFwAIgAsAFwAIgBrAGcAXAAiACwAMQAsAFwAIgBcACIALABcACIAXAAiACwAXAAiAFwAIgAsADIAMQAuADYANgAsAFwAIgBcACIALABcACIAXAAiACwAMQAzAC4AMgAsAFwAIgBTAHUAbABwAGgAYQB0AGUAIABvAGYAIABhAG0AbQBvAG4AaQBhACAAKABTAE8AQQApAFwAIgAsADAALgA1ADUALABcACIAQQBtAG0AbwBuAGkAdQBtACAAbgBpAHQAcgBhAHQAZQAgACgAQQBOACkAXAAiACwAMAAuADMALABcACIAXAAiACwAXAAiAFwAIgAsAFwAIgBcACIALABcACIAXAAiACwAXAAiAFwAIgAsAFwAIgBcACIALABcACIAXAAiACwAXAAiAFwAIgAsAFwAIgBcACIALABcACIAXAAiACwAXAAiAFwAIgAsAFwAIgBcACIALABcACIAXAAiACwAXAAiAFwAIgAsAFwAIgBcACIALABcACIAXAAiADsAXABuAFwAIgBTAEwAIABUAGUAYwBcACIALABcACIAQwByAG8AcAAgAEIAbwBvAHMAdABlAHIAIABQAEwAVQBTAFwAIgAsAFwAIgBMAFwAIgAsADEALgAzADEAOQAsAFwAIgBcACIALABcACIAXAAiACwAXAAiAFwAIgAsADUALAAxADUALAAyAC4AMQAsAFwAIgBcACIALABcACIAUABoAG8AcwBwAGgAbwByAHUAcwAgAC0AIABHAGUAbgBlAHIAaQBjAFwAIgAsADAALgAxADUALABcACIAQwBhAGwAYwBpAHUAbQBcACIALAAwAC4AMAA0ACwAXAAiAE4AaQB0AHIAbwBnAGUAbgAgAC0AIABBAG0AbQBvAG4AaQBhAGMAYQBsAFwAIgAsADAALgAwADIAOQAsAFwAIgBOAGkAdAByAG8AZwBlAG4AIAAtACAATgBpAHQAcgBhAHQAZQBcACIALAAwAC4AMAAyADEALABcACIAUABvAHQAYQBzAHMAaQB1AG0AIAAtACAARwBlAG4AZQByAGkAYwBcACIALAAwAC4AMAAyADEALABcACIAQwBvAHAAcABlAHIAXAAiACwAMAAuADAAMAA1ACwAXAAiAFoAaQBuAGMAXAAiACwAMAAuADAAMAA0ACwAXAAiAE0AYQBuAGcAYQBuAGUAcwBlAFwAIgAsADAALgAwADAANAAsAFwAIgBNAGEAZwBuAGUAcwBpAHUAbQBcACIALAAwAC4AMAAwADIALABcACIAXAAiACwAXAAiAFwAIgA7AFwAbgBcACIAUgBpAHMAcwBvAC0AQwBoAGUAbQBpAGMAYQBsAFwAIgAsAFwAIgBBAG0AbQBvAG4AaQB1AG0AIABCAGkAYwBhAHIAYgBvAG4AYQB0AGUAXAAiACwAXAAiAGsAZwBcACIALAAxACwAXAAiAFwAIgAsAFwAIgBcACIALABcACIAQwBoAGkAbgBhAFwAIgAsADEANwAuADcALABcACIAXAAiACwAXAAiAFwAIgAsAFwAIgBcACIALABcACIATgBpAHQAcgBvAGcAZQBuACAALQAgAEEAbQBtAG8AbgBpAGEAYwBhAGwAXAAiACwAMAAuADEANwA3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EEAbQBtAG8AbgBpAHUAbQAgAFMAdQBsAGYAYQB0AGUAXAAiACwAXAAiAGsAZwBcACIALAAxACwAXAAiAFwAIgAsAFwAIgBcACIALABcACIAQwBoAGkAbgBhAFwAIgAsADIAMQAsAFwAIgBcACIALABcACIAXAAiACwAMgA0ACwAXAAiAFMAdQBsAGYAdQByACAALQAgAEcAZQBuAGUAcgBpAGMAXAAiACwAMAAuADIANAAsAFwAIgBOAGkAdAByAG8AZwBlAG4AIAAtACAAQQBtAG0AbwBuAGkAYQBjAGEAbABcACIALAAwAC4AMgAxACwAXAAiAFwAIgAsAFwAIgBcACIALABcACIAXAAiACwAXAAiAFwAIgAsAFwAIgBcACIALABcACIAXAAiACwAXAAiAFwAIgAsAFwAIgBcACIALABcACIAXAAiACwAXAAiAFwAIgAsAFwAIgBcACIALABcACIAXAAiACwAXAAiAFwAIgAsAFwAIgBcACIALABcACIAXAAiACwAXAAiAFwAIgA7AFwAbgBcACIAUgBhAHYAZQBuAHMAZABvAHcAbgBcACIALABcACIAQQBtAG0AbwBuAGkAdQBtACAAUwB1AGwAcABoAGEAdABlACAALQAgAEcAcgBhAG4AdQBsAGEAcg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EAGkALQBBAG0AbQBvAG4AaQB1AG0AIABQAGgAbwBzAHAAaABhAHQAZQAgACgARABBAFAAKQBcACIALABcACIAawBnAFwAIgAsADEALABcACIAXAAiACwAXAAiAFwAIgAsAFwAIgBcACIALAAxADgALAAyADAALABcACIAXAAiACwAXAAiAFwAIgAsAFwAIgBEAGkAYQBtAG0AbwBuAGkAdQBtACAAcABoAG8AcwBwAGgAYQB0AGUAIAAoAEQAQQBQ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gBhAHMAYQBsAHQAIABCAG8AbwBTAFMAdABhAFwAIgAsAFwAIgBrAGcAXAAiACwAMQAsAFwAIgBcACIALABcACIAXAAiACwAXAAiAFwAIgAsADgALAAxADQALABcACIAXAAiACwAMgA3AC4ANgAsAFwAIgBTAHUAbABmAHUAcgAgAC0AIABHAGUAbgBlAHIAaQBjAFwAIgAsADAALgAyADcANgAsAFwAIgBQAGgAbwBzAHAAaABvAHIAdQBzACAALQAgAEcAZQBuAGUAcgBpAGMAXAAiACwAMAAuADEANAAsAFwAIgBOAGkAdAByAG8AZwBlAG4AIAAtACAARwBlAG4AZQByAGkAYwBcACIALAAwAC4AMAA4ACwAXAAiAEYAbAB1AG8AcgBpAGQAZQBcACIALAAwAC4AMAAyADQALABcACIAXAAiACwAXAAiAFwAIgAsAFwAIgBcACIALABcACIAXAAiACwAXAAiAFwAIgAsAFwAIgBcACIALABcACIAXAAiACwAXAAiAFwAIgAsAFwAIgBcACIALABcACIAXAAiACwAXAAiAFwAIgAsAFwAIgBcACIAOwBcAG4AXAAiAFMAdQBtAG0AaQB0ACAARgBlAHIAdABpAGwAaQB6AGUAcgBzAFwAIgAsAFwAIgBEAEEAUABTAFoAQwBcACIALABcACIAawBnAFwAIgAsADEALABcACIAXAAiACwAXAAiAFwAIgAsAFwAIgBcACIALAAxADYALgA5ACwAMQA4AC4AMgAsAFwAIgBcACIALAA4ACwAXAAiAFAAaABvAHMAcABoAG8AcgB1AHMAIAAtACAARwBlAG4AZQByAGkAYwBcACIALAAwAC4AMQA4ADIALABcACIATgBpAHQAcgBvAGcAZQBuACAALQAgAEcAZQBuAGUAcgBpAGMAXAAiACwAMAAuADEANgA5ACwAXAAiAFMAdQBsAGYAdQByACAALQAgAEcAZQBuAGUAcgBpAGMAXAAiACwAMAAuADAAOAAsAFwAIgBaAGkAbgBjAFwAIgAsADAALgAwADAAMgAsAFwAIgBDAG8AcABwAGUAcgBcACIALAAwAC4AMAAwADEALABcACIAXAAiACwAXAAiAFwAIgAsAFwAIgBcACIALABcACIAXAAiACwAXAAiAFwAIgAsAFwAIgBcACIALABcACIAXAAiACwAXAAiAFwAIgAsAFwAIgBcACIALABcACIAXAAiADsAXABuAFwAIgBJAG4AYwBpAHQAZQBjACAAUABpAHYAbwB0ACAARgBlAHIAdABpAGwAaQBzAGUAcgBzAFwAIgAsAFwAIgBFAGEAcwB5ACAATgBcACIALABcACIATABcACIALAAxAC4AMwAyACwAXAAiAFwAIgAsAFwAIgBcACIALABcACIAXAAiACwANAAyAC4ANQAsAFwAIgBcACIALABcACIAXAAiACwAXAAiAFwAIgAsAFwAIgBVAHIAZQBhAFwAIgAsADAALgA0ADYANwAzADkAMQAsAFwAIgBOAGkAdAByAG8AZwBlAG4AIAAtACAATgBpAHQAcgBhAHQAZQBcACIALAAwAC4AMQAwADUALABcACIATgBpAHQAcgBvAGcAZQBuACAALQAgAEEAbQBtAG8AbgBpAGEAYwBhAGwAXAAiACwAMAAuADEAMAA1ACwAXAAiAEIAaQB1AHIAZQB0AFwAIgAsADAALgAwADAANgAsAFwAIgBcACIALABcACIAXAAiACwAXAAiAFwAIgAsAFwAIgBcACIALABcACIAXAAiACwAXAAiAFwAIgAsAFwAIgBcACIALABcACIAXAAiACwAXAAiAFwAIgAsAFwAIgBcACIALABcACIAXAAiACwAXAAiAFwAIgA7AFwAbgBcACIAUgBpAHMAcwBvAC0AQwBoAGUAbQBpAGMAYQBsAFwAIgAsAFwAIgBDAGEAbABjAGkAdQBtACAAQQBtAG0AbwBuAGkAdQBtACAAbgBpAHQAcgBhAHQAZQBcACIALABcACIAawBnAFwAIgAsADEALABcACIAXAAiACwAXAAiAFwAIgAsAFwAIgBDAGgAaQBuAGEAXAAiACwANAAwAC4ANQAsAFwAIgBcACIALABcACIAXAAiACwAXAAiAFwAIgAsAFwAIgBOAGkAdAByAG8AZwBlAG4AIAAtACAAQQBtAG0AbwBuAGkAYQBjAGEAbABcACIALAAwAC4AMgA3ACwAXAAiAE4AaQB0AHIAbwBnAGUAbgAgAC0AIABOAGkAdAByAGEAdABlAFwAIgAsADAALgAxADMANQAsAFwAIgBDAGEAbABjAGkAdQBtAFwAIgAsADAALgAxADIALABcACIAXAAiACwAXAAiAFwAIgAsAFwAIgBcACIALABcACIAXAAiACwAXAAiAFwAIgAsAFwAIgBcACIALABcACIAXAAiACwAXAAiAFwAIgAsAFwAIgBcACIALABcACIAXAAiACwAXAAiAFwAIgAsAFwAIgBcACIALABcACIAXAAiACwAXAAiAFwAIgA7AFwAbgBcACIAUwBMACAAVABlAGMAXAAiACwAXAAiAEMAZQBsAGwAQwBBAEwAIABQAGwAdQBzAFwAIgAsAFwAIgBMAFwAIgAsADEALgAxADMAOAAsAFwAIgBcACIALABcACIAXAAiACwAXAAiAFwAIgAsAFwAIgBcACIALABcACIAXAAiACwAXAAiAFwAIgAsAFwAIgBcACIALABcACIAQwBhAGwAYwBpAHUAbQBcACIALAAwAC4AMAA1ADkALABcACIAQwBvAHAAcABlAHIAXAAiACwAMAAuADAAMAAzACwAXAAiAEIAbwByAG8AbgBcACIALAAwAC4AMAAwADE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wBLADUANQBcACIALABcACIAawBnAFwAIgAsADEALABcACIAXAAiACwAXAAiAFwAIgAsAFwAIgBcACIALAAxADMALgA1ACwAMQA1ACwANgAuADIANQAsADEALgAyACwAXAAiAFAAaABvAHMAcABoAG8AcgB1AHMAIAAtACAARwBlAG4AZQByAGkAYwBcACIALAAwAC4AMQA1ACwAXAAiAE4AaQB0AHIAbwBnAGUAbgAgAC0AIABBAG0AbQBvAG4AaQBhAGMAYQBsAFwAIgAsADAALgAxADMANQAsAFwAIgBNAHUAcgBpAGEAdABlACAAbwBmACAAcABvAHQAYQBzAGgAIAAoAE0ATwBQACkAXAAiACwAMAAuADEAMgA1ACwAXAAiAEYAbAB1AG8AcgBpAGQAZQBcACIALAAwAC4AMAAyADMALABcACIAUwB1AGwAZgB1AHIAIAAtACAARwBlAG4AZQByAGkAYwBcACIALAAwAC4AMAAxADIALABcACIAXAAiACwAXAAiAFwAIgAsAFwAIgBcACIALABcACIAXAAiACwAXAAiAFwAIgAsAFwAIgBcACIALABcACIAXAAiACwAXAAiAFwAIgAsAFwAIgBcACIALABcACIAXAAiADsAXABuAFwAIgBTAHcAaQB0AGMAaAAgAEEAZwBcACIALABcACIAQwByAG8AcAAgAEsAXAAiACwAXAAiAEwAXAAiACwAMQAuADIANQAsAFwAIgBcACIALABcACIAXAAiACwAXAAiAFwAIgAsADMALABcACIAXAAiACwAMgAxACwAXAAiAFwAIgAsAFwAIgBQAG8AdABhAHMAcwBpAHUAbQAgAC0AIABHAGUAbgBlAHIAaQBjAFwAIgAsADAALgAyADEALABcACIATgBpAHQAcgBvAGcAZQBuACAALQAgAEcAZQBuAGUAcgBpAGMAXAAiACwAMAAuADAAMwAsAFwAIgBcACIALABcACIAXAAiACwAXAAiAFwAIgAsAFwAIgBcACIALABcACIAXAAiACwAXAAiAFwAIgAsAFwAIgBcACIALABcACIAXAAiACwAXAAiAFwAIgAsAFwAIgBcACIALABcACIAXAAiACwAXAAiAFwAIgAsAFwAIgBcACIALABcACIAXAAiACwAXAAiAFwAIgAsAFwAIgBcACIAOwBcAG4AXAAiAFMAdwBpAHQAYwBoACAAQQBnAFwAIgAsAFwAIgBDAHIAbwBwACAAUwB0AGEAcgB0AGUAcgBcACIALABcACIATABcACIALAAxAC4AMgAsAFwAIgBcACIALABcACIAXAAiACwAXAAiAFwAIgAsADUALAAzACwAOAAsAFwAIgBcACIALABcACIAUABvAHQAYQBzAHMAaQB1AG0AIAAtACAARwBlAG4AZQByAGkAYwBcACIALAAwAC4AMAA4ACwAXAAiAE4AaQB0AHIAbwBnAGUAbgAgAC0AIABHAGUAbgBlAHIAaQBjAFwAIgAsADAALgAwADUALABcACIAUABoAG8AcwBwAGgAbwByAHUAcwAgAC0AIABHAGUAbgBlAHIAaQBjAFwAIgAsADAALgAwADM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AtAEEAb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XABuACAAIAB9ACwAIAByACwAIABjACkAXABuACAAKQApACkAOwBcAG4AXABuAFwAbgBGAGUAcgB0AGkAbABpAHMAZQByAF8AUAByAG8AZAB1AGMAdABzAF8ARABhAHQAYQAyAFwAbgA9AEwAQQBNAEIARABBACgAXABuACAATQBBAEsARQBBAFIAUgBBAFkAKAAzADAALAAgADMAMQAsAFwAbgAgAEwAQQBNAEIARABBACgAcgAsAGMALABcAG4AIAAgAEkATgBEAEUAWAAoAHsAXABuAFwAIgBDAGEAbQBwAGIAZQBsAGwAcwAgAGYAZQByAHQAaQBsAGkAcwBlAHIAcwAgAEEAdQBzAHQAcgBhAGwAaQBhAFwAIgAsAFwAIgBFAG4AYwBhAGwAXAAiACwAXAAiAEwAXAAiACwAMQAuADUALABcACIAXAAiACwAXAAiAFwAIgAsAFwAIgBcACIALAA5ACwAXAAiAFwAIgAsAFwAIgBcACIALAAxADMALgA5ADQALABcACIAUwB1AGwAcABoAGEAdABlACAAbwBmACAAYQBtAG0AbwBuAGkAYQAgACgAUwBPAEEAKQBcACIALAAwAC4ANQA4ADAANgA0ADUALABcACIATQBhAGcAbgBlAHMAaQB1AG0AXAAiACwAMAAuADAAMQAy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TAFMAXAAiACwAXAAiAGsAZwBcACIALAAxACwAXAAiAFwAIgAsAFwAIgBcACIALABcACIAXAAiACwAMQAwACwAMQA3AC4ANQAsAFwAIgBcACIALAAxADIALABcACIAUABoAG8AcwBwAGgAbwByAHUAcwAgAC0AIABHAGUAbgBlAHIAaQBjAFwAIgAsADAALgAxADcANQAsAFwAIgBTAHUAbABmAHUAcgAgAC0AIABHAGUAbgBlAHIAaQBjAFwAIgAsADAALgAxADIALABcACIATgBpAHQAcgBvAGcAZQBuACAALQAgAEEAbQBtAG8AbgBpAGEAYwBhAGwAXAAiACwAMAAuADEALABcACIARgBsAHUAbwByAGkAZABlAFwAIgAsADAALgAwADM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WgBcACIALABcACIAawBnAFwAIgAsADEALABcACIAXAAiACwAXAAiAFwAIgAsAFwAIgBcACIALAAxADEALAAyADEALgA4ACwAXAAiAFwAIgAsADQALABcACIAUABoAG8AcwBwAGgAbwByAHUAcwAgAC0AIABHAGUAbgBlAHIAaQBjAFwAIgAsADAALgAyADEAOAAsAFwAIgBOAGkAdAByAG8AZwBlAG4AIAAtACAARwBlAG4AZQByAGkAYwBcACIALAAwAC4AMQAxACwAXAAiAFMAdQBsAGYAdQByACAALQAgAEcAZQBuAGUAcgBpAGMAXAAiACwAMAAuADAANAAsAFwAIgBGAGwAdQBvAHIAaQBkAGUAXAAiACwAMAAuADAAMwAsAFwAIgBaAGkAbgBjAFwAIgAsADAALgAwADEALABcACIAXAAiACwAXAAiAFwAIgAsAFwAIgBcACIALABcACIAXAAiACwAXAAiAFwAIgAsAFwAIgBcACIALABcACIAXAAiACwAXAAiAFwAIgAsAFwAIgBcACIALABcACIAXAAiADsAXABuAFwAIgBJAG4AYwBpAHQAZQBjACAAUABpAHYAbwB0ACAARgBlAHIAdABpAGwAaQBzAGUAcgBzAFwAIgAsAFwAIgBGAGEAcgBtACAAQQBnACAATABlAGkAYwBoAGgAYQByAGQAdABcACIALABcACIAawBnAFwAIgAsADEALABcACIAXAAiACwAXAAiAFwAIgAsAFwAIgBcACIALAAzADIALgA1ACwANQAuADQALAA2AC4AMgA1ACwAXAAiAFwAIgAsAFwAIgBVAHIAZQBhAFwAIgAsADAALgA2ACwAXAAiAE4AaQB0AHIAbwBnAGUAbgAgAC0AIABBAG0AbQBvAG4AaQBhAGMAYQBsAFwAIgAsADAALgAwADQAOQAsAFwAIgBQAGgAbwBzAHAAaABvAHIAdQBzACAALQAgAEcAZQBuAGUAcgBpAGMAXAAiACwAMAAuADAANQA0ACwAXAAiAE0AdQByAGkAYQB0AGUAIABvAGYAIABwAG8AdABhAHMAaAAgACgATQBPAFAAKQBcACIALAAwAC4AMQAyADUALABcACIAXAAiACwAXAAiAFwAIgAsAFwAIgBcACIALABcACIAXAAiACwAXAAiAFwAIgAsAFwAIgBcACIALABcACIAXAAiACwAXAAiAFwAIgAsAFwAIgBcACIALABcACIAXAAiACwAXAAiAFwAIgAsAFwAIgBcACIAOwBcAG4AXAAiAFIAYQB2AGUAbgBzAGQAbwB3AG4AXAAiACwAXAAiAEYAbABlAHgAaQAtAE4AIABOAEIAUABUAFwAIgAsAFwAIgBrAGcAXAAiACwAMQAsAFwAIgBZAGUAcwBcACIALABcACIAXAAiACwAXAAiAFwAIgAsADQANQAuADUANAAsAFwAIgBcACIALABcACIAXAAiACwAXAAiAFwAIgAsAFwAIgBVAHIAZQBhAFwAIgAsADAALgA5ADk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cAbwBsAGQAIABQAHIAZQBtAGkAdQBtAFwAIgAsAFwAIgBrAGcAXAAiACwAMQAsAFwAIgBcACIALABcACIAXAAiACwAXAAiAFwAIgAsADEANAAuADgANwAsADIALgAyACwAMQA2AC4ANgAsADgALABcACIAQQBtAG0AbwBuAGkAdQBtACAAbgBpAHQAcgBhAHQAZQAgACgAQQBOACkAXAAiACwAMAAuADQANAAxADEANwA2ACwAXAAiAFAAbwB0AGEAcwBzAGkAdQBtACAALQAgAEcAZQBuAGUAcgBpAGMAXAAiACwAMAAuADEANgA2ACwAXAAiAFMAdQBsAGYAdQByACAALQAgAEcAZQBuAGUAcgBpAGMAXAAiACwAMAAuADAAOAAsAFwAIgBQAGgAbwBzAHAAaABvAHIAdQBzACAALQAgAEcAZQBuAGUAcgBpAGMAXAAiACwAMAAuADAAMgAyACwAXAAiAE0AYQBnAG4AZQBzAGkAdQBtAFwAIgAsADAALgAwADEAMgAsAFwAIgBCAG8AcgBvAG4AXAAiACwAMAAuADAAMAAwADIALABcACIAWgBpAG4AYwBcACIALAAwAC4AMAAwADAAMQAsAFwAIgBcACIALABcACIAXAAiACwAXAAiAFwAIgAsAFwAIgBcACIALABcACIAXAAiACwAXAAiAFwAIgA7AFwAbgBcACIAUwBMACAAVABlAGMAXAAiACwAXAAiAEgAaQBnAGgAIABOAFMAXAAiACwAXAAiAEwAXAAiACwAMQAuADIAOQA5ACwAXAAiAFwAIgAsAFwAIgBcACIALABcACIAXAAiACwAMwA4ACwAXAAiAFwAIgAsAFwAIgBcACIALAAyACwAXAAiAFUAcgBlAGEAXAAiACwAMAAuADQANgAwADgANwAsAFwAIgBOAGkAdAByAG8AZwBlAG4AIAAtACAAQQBtAG0AbwBuAGkAYQBjAGEAbABcACIALAAwAC4AMAA5ADIALABcACIATgBpAHQAcgBvAGcAZQBuACAALQAgAE4AaQB0AHIAYQB0AGUAXAAiACwAMAAuADAANwA2ACwAXAAiAFMAdQBsAGYAdQByACAALQAgAEcAZQBuAGUAcgBpAGMAXAAiACwAMAAuADAAMgAsAFwAIgBcACIALABcACIAXAAiACwAXAAiAFwAIgAsAFwAIgBcACIALABcACIAXAAiACwAXAAiAFwAIgAsAFwAIgBcACIALABcACIAXAAiACwAXAAiAFwAIgAsAFwAIgBcACIALABcACIAXAAiACwAXAAiAFwAIgA7AFwAbgBcACIASQBtAHAAYQBjAHQAIABGAGUAcgB0AGkAbABpAHMAZQByAHMAXAAiACwAXAAiAEkAbQBwAGEAYwB0ACAAUwBTAFAAXAAiACwAXAAiAGsAZwBcACIALAAxACwAXAAiAFwAIgAsAFwAIgBcACIALABcACIAXAAiACwAXAAiAFwAIgAsADgALgA4ACwAXAAiAFwAIgAsADEAMQAsAFwAIgBTAGkAbgBnAGwAZQAgAHMAdQBwAGUAcgBwAGgAbwBzAHAAaABhAHQAZQAgACgAUwBTAFAAKQBcACIALAAxACwAXAAiAFwAIgAsAFwAIgBcACIALABcACIAXAAiACwAXAAiAFwAIgAsAFwAIgBcACIALABcACIAXAAiACwAXAAiAFwAIgAsAFwAIgBcACIALABcACIAXAAiACwAXAAiAFwAIgAsAFwAIgBcACIALABcACIAXAAiACwAXAAiAFwAIgAsAFwAIgBcACIALABcACIAXAAiACwAXAAiAFwAIgAsAFwAIgBcACIALABcACIAXAAiADsAXABuAFwAIgBTAHcAaQB0AGMAaAAgAEEAZwBcACIALABcACIASQBuACAAQwByAG8AcABcACIALABcACIATABcACIALAAxAC4AMgAsAFwAIgBcACIALABcACIAXAAiACwAXAAiAFwAIgAsADEAMAAsADEALAAxADEALABcACIAXAAiACwAXAAiAFAAbwB0AGEAcwBzAGkAdQBtACAALQAgAEcAZQBuAGUAcgBpAGMAXAAiACwAMAAuADEAMQAsAFwAIgBOAGkAdAByAG8AZwBlAG4AIAAtACAARwBlAG4AZQByAGkAYwBcACIALAAwAC4AMQAsAFwAIgBQAGgAbwBzAHAAaABvAHIAdQBzACAALQAgAEcAZQBuAGUAcgBpAGMAXAAiACwAMAAuADAAMQAsAFwAIgBcACIALABcACIAXAAiACwAXAAiAFwAIgAsAFwAIgBcACIALABcACIAXAAiACwAXAAiAFwAIgAsAFwAIgBcACIALABcACIAXAAiACwAXAAiAFwAIgAsAFwAIgBcACIALABcACIAXAAiACwAXAAiAFwAIgAsAFwAIgBcACIALABcACIAXAAiADsAXABuAFwAIgBTAHcAaQB0AGMAaAAgAEEAZwBcACIALABcACIASwAyADAAXAAiACwAXAAiAEwAXAAiACwAMQAuADMALABcACIAXAAiACwAXAAiAFwAIgAsAFwAIgBcACIALAAzACwAXAAiAFwAIgAsADIAMgAsAFwAIgBcACIALABcACIAUABvAHQAYQBzAHMAaQB1AG0AIAAtACAARwBlAG4AZQByAGkAYwBcACIALAAwAC4AMgAy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MAG8AdgBlAGwAYQBuAGQAIABBAGcAcgBpAHAAcgBvAGQAdQBjAHQAcwBcACIALABcACIATQBhAHgAaQBtAHUAbQAgAE4ALQBQAGEAYwB0AFwAIgAsAFwAIgBMAFwAIgAsADEALgAxADgANQAsAFwAIgBcACIALABcACIAXAAiACwAXAAiAFwAIgAsADIAMwAuADgALABcACIAXAAiACwAXAAiAFwAIgAsAFwAIgBcACIALABcACIAVQByAGUAYQBcACIALAAwAC4ANQAxADcAMwA5ADEALABcACIAXAAiACwAXAAiAFwAIgAsAFwAIgBcACIALABcACIAXAAiACwAXAAiAFwAIgAsAFwAIgBcACIALABcACIAXAAiACwAXAAiAFwAIgAsAFwAIgBcACIALABcACIAXAAiACwAXAAiAFwAIgAsAFwAIgBcACIALABcACIAXAAiACwAXAAiAFwAIgAsAFwAIgBcACIALABcACIAXAAiACwAXAAiAFwAIgAsAFwAIgBcACIAOwBcAG4AXAAiAFMATAAgAFQAZQBjAFwAIgAsAFwAIgBOAGkAdAByAG8AIABDAG8AbQBiAGkAIABUAEUAXAAiACwAXAAiAEwAXAAiACwAMQAuADIANQA1ACwAXAAiAFwAIgAsAFwAIgBcACIALABcACIAXAAiACwAXAAiAFwAIgAsAFwAIgBcACIALAAwAC4AMQAsADQALgA0ACwAXAAiAFMAdQBsAGYAdQByACAALQAgAEcAZQBuAGUAcgBpAGMAXAAiACwAMAAuADAANAA0ACwAXAAiAFoAaQBuAGMAXAAiACwAMAAuADAAMgAyACwAXAAiAEkAcgBvAG4AXAAiACwAMAAuADAAMgAyACwAXAAiAE0AYQBuAGcAYQBuAGUAcwBlAFwAIgAsADAALgAwADEANgAsAFwAIgBCAG8AcgBvAG4AXAAiACwAMAAuADAAMAA4ACwAXAAiAE0AYQBnAG4AZQBzAGkAdQBtAFwAIgAsADAALgAwADAANwAsAFwAIgBGAHUAbAB2AGkAYwAgAGEAYwBpAGQAIAAoAG8AcgBnAGEAbgBpAGMAKQBcACIALAAwAC4AMAAwADUALABcACIAQwBvAHAAcABlAHIAXAAiACwAMAAuADAAMAAzACwAXAAiAFAAbwB0AGEAcwBzAGkAdQBtACAALQAgAEcAZQBuAGUAcgBpAGMAXAAiACwAMAAuADAAMAAxACwAXAAiAE0AbwBsAHkAYgBkAGUAbgB1AG0AXAAiACwAMAAuADAAMAAwADMAOwBcAG4AXAAiAFMAdwBpAHQAYwBoACAAQQBnAFwAIgAsAFwAIgBQAGEAcwB0AHUAcgBlAE0AQQBYAFgAXAAiACwAXAAiAEwAXAAiACwAMQAuADIAMwAsAFwAIgBcACIALABcACIAXAAiACwAXAAiAFwAIgAsADkALgA3ADEALABcACIAXAAiACwAMwAuADIANQAsADIALgAxADEALABcACIATgBpAHQAcgBvAGcAZQBuACAALQAgAEcAZQBuAGUAcgBpAGMAXAAiACwAMAAuADAAOQA3ADEALABcACIAUABvAHQAYQBzAHMAaQB1AG0AIAAtACAARwBlAG4AZQByAGkAYwBcACIALAAwAC4AMAAzADIANQAsAFwAIgBTAHUAbABmAHUAcgAgAC0AIABHAGUAbgBlAHIAaQBjAFwAIgAsADAALgAwADIAMQAxACwAXAAiAFoAaQBuAGMAXAAiACwAMAAuADAAMQA1ACwAXAAiAEkAcgBvAG4AXAAiACwAMAAuADAAMQAxADEALABcACIATQBhAG4AZwBhAG4AZQBzAGUAXAAiACwAMAAuADAAMQAxADUALABcACIATQBhAGcAbgBlAHMAaQB1AG0AXAAiACwAMAAuADAAMAA0ADUALABcACIAQgBvAHIAbwBuAFwAIgAsADAALgAwADAAMgAsAFwAIgBcACIALABcACIAXAAiACwAXAAiAFwAIgAsAFwAIgBcACIAOwBcAG4AXAAiAEMAYQBtAHAAYgBlAGwAbABzACAAZgBlAHIAdABpAGwAaQBzAGUAcgBzACAAQQB1AHMAdAByAGEAbABpAGEAXAAiACwAXAAiAFAAbABhAHQAaQBuAHUAbQAgAE4AZQByAGcAZQB0AGkAYwBcACIALABcACIAawBnAFwAIgAsADEALABcACIAXAAiACwAXAAiAFwAIgAsAFwAIgBcACIALAAxADAALAAxADAALgA5ACwAMQAwACwANAAuADMANAAsAFwAIgBNAG8AbgBvAGEAbQBtAG8AbgBpAHUAbQAgAHAAaABvAHMAcABoAGEAdABlACAAKABNAEEAUAApAFwAIgAsADAALgA0ADEANwA4ACwAXAAiAEEAbQBtAG8AbgBpAHUAbQAgAG4AaQB0AHIAYQB0AGUAIAAoAEEATgApAFwAIgAsADAALgAxADcAMgA4ACwAXAAiAFAAbwB0AGEAcwBzAGkAdQBtACAAcwB1AGwAcABoAGEAdABlAFwAIgAsADAALgAyADQAMAA5ADYANAAsAFwAIgBEAG8AdQBiAGwAZQAgAHMAdQBwAGUAcgBwAGgAbwBzAHAAaABhAHQAZQBcACIALAAwAC4AMQAsAFwAIgBNAGEAZwBuAGUAcwBpAHUAbQBcACIALAAwAC4AMAAxADIALABcACIAWgBpAG4AYwBcACIALAAwAC4AMAAwADMANgAsAFwAIgBCAG8AcgBvAG4AXAAiACwAMAAuADAAMAAxACwAXAAiAEcAbABhAHoAZQAgAEUAeAB0AGUAbgBkACAARwAzACAARgBsAGUAeABpAFwAIgAsADAALgAwADUAMQA5ACwAXAAiAFwAIgAsAFwAIgBcACIALABcACIAXAAiACwAXAAiAFwAIgA7AFwAbgBcACIASQBtAHAAYQBjAHQAIABGAGUAcgB0AGkAbABpAHMAZQByAHMAXAAiACwAXAAiAFMAdQBsAHAAaABhAHQAZQAgAG8AZgAgAGEAbQBtAG8AbgBpAGEAIAAoAFMATwBBACk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TQBvAG4AbwAtAEEAbQBtAG8AbgBpAHUAbQAgAFAAaABvAHMAcABoAGEAdABlACAAKABNAEEAUAApAFwAIgAsAFwAIgBrAGcAXAAiACwAMQAsAFwAIgBcACIALABcACIAXAAiACwAXAAiAFwAIgAsADEAMAAsADIAMQAuADkALABcACIAXAAiACwAMQAuADU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VQByAGUAYQBcACIALABcACIAawBnAFwAIgAsADEALABcACI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LAG8AYwBoACAARgBlAHIAdABpAGwAaQBzAGUAcgAgAEEAdQBzAHQAcgBhAGwAaQBhAFwAIgAsAFwAIgBNAHUAcgBpAGEAdABlACAAbwBmACAAcABvAHQAYQBzAGgAIAAoAE0ATwBQACkAXAAiACwAXAAiAGsAZwBcACIALAAxACwAXAAiAFwAIgAsAFwAIgBcACIALABcACIAXAAiACwAXAAiAFwAIgAsAFwAIgBcACIALAA1ADAALABcACIAXAAiACwAXAAiAE0AdQByAGkAYQB0AGUAIABvAGYAIABwAG8AdABhAHMAaAAgACgATQBPAFA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UAcgBlAGEAIABBAG0AbQBvAG4AaQB1AG0AIABuAGkAdAByAGEAdABlACAAKABVAEEATgAgADMAMgAtADAALQAwACkAXAAiACwAXAAiAEwAXAAiACwAMQAuADMAMgAsAFwAIgBcACIALABcACIAQwBoAGkAbgBhAFwAIgAsAFwAIgBDAGgAaQBuAGE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ABvAGwAeQBwAGUAcAB0AGkAZABlACAAVQByAGUAYQBcACIALABcACIAawBnAFwAIgAsADEALABcACIAXAAiACwAXAAiAEMAaABpAG4AYQBcACIALABcACIAXAAiACwANAA2ACwAXAAiAFwAIgAsAFwAIgBcACIALABcACIAXAAiACwAXAAiAFUAcgBlAGEAXAAiACwAMQAsAFwAIgBQAG8AbAB5AHAAZQBwAHQAaQBkAGUAIAAoAGEAbQBpAG4AbwAgAGEAYwBpAGQAcwApAFwAIgAsADA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MAQQBMAEMASQBOAEkAVABcACIALABcACIAawBnAFwAIgAsADEALABcACIAXAAiACwAXAAiAFwAIgAsAFwAIgBcACIALAAxADUALgA1ACwAXAAiAFwAIgAsAFwAIgBcACIALABcACIAXAAiACwAXAAiAEMAYQBsAGMAaQB1AG0AIABuAGkAdAByAGEAdABl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MAGkAdgBhACAATgBJAFQAUgBBAEIATwBSAFwAIgAsAFwAIgBrAGcAXAAiACwAMQAsAFwAIgBcACIALABcACIAXAAiACwAXAAiAFwAIgAsADEANQAuADQALABcACIAXAAiACwAXAAiAFwAIgAsAFwAIgBcACIALABcACIAQwBhAGwAYwBpAHUAbQAgAG4AaQB0AHIAYQB0AGUAXAAiACwAMAAuADkAOQAzADUANAA4ACwAXAAiAEIAbwByAG8AbgBcACIALAAwAC4AMAAwADM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QBpAGwAYQAgAEMATwBNAFAATABFAFgAXAAiACwAXAAiAGsAZwBcACIALAAxACwAXAAiAFwAIgAsAFwAIgBcACIALABcACIAXAAiACwAMQAyACwANQAsADEANQAsADgALABcACIATgBpAHQAcgBvAGcAZQBuACAALQAgAE4AaQB0AHIAYQB0AGUAXAAiACwAMAAuADAANQAsAFwAIgBOAGkAdAByAG8AZwBlAG4AIAAtACAAQQBtAG0AbwBuAGkAYQBjAGEAbABcACIALAAwAC4AMAA3ACwAXAAiAFAAaABvAHMAcABoAG8AcgB1AHMAIAAtACAARwBlAG4AZQByAGkAYwBcACIALAAwAC4AMAA1ACwAXAAiAFAAbwB0AGEAcwBzAGkAdQBtACAALQAgAEcAZQBuAGUAcgBpAGMAXAAiACwAMAAuADEANQAsAFwAIgBTAHUAbABmAHUAcgAgAC0AIABHAGUAbgBlAHIAaQBjAFwAIgAsADAALgAwADgALABcACIATQBhAGcAbgBlAHMAaQB1AG0AXAAiACwAMAAuADAAMQA2ACwAXAAiAFoAaQBuAGMAXAAiACwAMAAuADAAMAAwADIALABcACIAQgBvAHIAbwBuAFwAIgAsADAALgAwADAAMAAxADUALABcACIAXAAiACwAXAAiAFwAIgAsAFwAIgBcACIALABcACIAXAAiADsAXABuAFwAIgBZAGEAcgBhACAAQQB1AHMAdAByAGEAbABpAGEAXAAiACwAXAAiAFkAYQByAGEAUgBlAGcAYQAgADkALQAwAC0AMwAwACAAKAAxADQAKQBcACIALABcACIAawBnAFwAIgAsADEALABcACIAXAAiACwAXAAiAFwAIgAsAFwAIgBcACIALAA5ACwAXAAiAFwAIgAsADMAMAAsADEANAAsAFwAIgBQAG8AdABhAHMAcwBpAHUAbQAgAC0AIABHAGUAbgBlAHIAaQBjAFwAIgAsADAALgAzACwAXAAiAFMAdQBsAGYAdQByACAALQAgAEcAZQBuAGUAcgBpAGMAXAAiACwAMAAuADEANAAsAFwAIgBOAGkAdAByAG8AZwBlAG4AIAAtACAATgBpAHQAcgBhAHQAZQBcACIALAAwAC4AMAA0ADUALABcACIATgBpAHQAcgBvAGcAZQBuACAALQAgAEEAbQBtAG8AbgBpAGEAYwBhAGwAXAAiACwAMAAuADAANAA1ACwAXAAiAFwAIgAsAFwAIgBcACIALABcACIAXAAiACwAXAAiAFwAIgAsAFwAIgBcACIALABcACIAXAAiACwAXAAiAFwAIgAsAFwAIgBcACIALABcACIAXAAiACwAXAAiAFwAIgAsAFwAIgBcACIALABcACIAXAAiADsAXABuAFwAIgBZAGEAcgBhACAAQQB1AHMAdAByAGEAbABpAGEAXAAiACwAXAAiAFkAYQByAGEAUgBlAGcAYQAgADEAMwAtADIALQAyADEAXAAiACwAXAAiAGsAZwBcACIALAAxACwAXAAiAFwAIgAsAFwAIgBcACIALABcACIAXAAiACwAMQAzACwAMQAuADcANQAsADIAMQAsADEAMAAuADgALABcACIAUABvAHQAYQBzAHMAaQB1AG0AIAAtACAARwBlAG4AZQByAGkAYwBcACIALAAwAC4AMgAxACwAXAAiAFMAdQBsAGYAdQByACAALQAgAEcAZQBuAGUAcgBpAGMAXAAiACwAMAAuADEAMAA4ACwAXAAiAE4AaQB0AHIAbwBnAGUAbgAgAC0AIABBAG0AbQBvAG4AaQBhAGMAYQBsAFwAIgAsADAALgAwADcANwAsAFwAIgBOAGkAdAByAG8AZwBlAG4AIAAtACAATgBpAHQAcgBhAHQAZQBcACIALAAwAC4AMAA1ADMALABcACIAUABoAG8AcwBwAGgAbwByAHUAcwAgAC0AIABHAGUAbgBlAHIAaQBjAFwAIgAsADAALgAwADEANwA1ACwAXAAiAE0AYQBnAG4AZQBzAGkAdQBtAFwAIgAsADAALgAwADAANAAsAFwAIgBaAGkAbgBjAFwAIgAsADAALgAwADAAMAA4ACwAXAAiAEIAbwByAG8AbgBcACIALAAwAC4AMAAwADAAOAAsAFwAIgBcACIALABcACIAXAAiACwAXAAiAFwAIgAsAFwAIgBcACIAOwBcAG4AXAAiAFkAYQByAGEAIABBAHUAcwB0AHIAYQBsAGkAYQBcACIALABcACIAWQBhAHIAYQBSAGUAZwBhACAAMQA1AC0ANwAtADEAMwAgACgANwBTACkAXAAiACwAXAAiAGsAZwBcACIALAAxACwAXAAiAFwAIgAsAFwAIgBcACIALABcACIAXAAiACwAMQA1ACwANgAuADUALAAxADIALgA1ACwANwAuADIALABcACIATgBpAHQAcgBvAGcAZQBuACAALQAgAE4AaQB0AHIAYQB0AGUAXAAiACwAMAAuADAAOQA1ACwAXAAiAFAAbwB0AGEAcwBzAGkAdQBtACAALQAgAEcAZQBuAGUAcgBpAGMAXAAiACwAMAAuADEAMgA1ACwAXAAiAFMAdQBsAGYAdQByACAALQAgAEcAZQBuAGUAcgBpAGMAXAAiACwAMAAuADAANwAyACwAXAAiAFAAaABvAHMAcABoAG8AcgB1AHMAIAAtACAARwBlAG4AZQByAGkAYwBcACIALAAwAC4AMAA2ADUALABcACIATgBpAHQAcgBvAGcAZQBuACAALQAgAEEAbQBtAG8AbgBpAGEAYwBhAGwAXAAiACwAMAAuADAANQA1ACwAXAAiAE0AYQBnAG4AZQBzAGkAdQBtAFwAIgAsADAALgAwADAANgA2ACwAXAAiAEIAbwByAG8AbgBcACIALAAwAC4AMAAwADEALABcACIAWgBpAG4AYwBcACIALAAwAC4AMAAwADAANgAsAFwAIgBcACIALABcACIAXAAiACwAXAAiAFwAIgAsAFwAIgBcACIAOwBcAG4AXAAiAFkAYQByAGEAIABBAHUAcwB0AHIAYQBsAGkAYQBcACIALABcACIAWQBhAHIAYQBUAGUAcgBhACAAQwBBAEwAQwBJAE4ASQBUACAAQgBcACIALABcACIAawBnAFwAIgAsADEALABcACIAXAAiACwAXAAiAFwAIgAsAFwAIgBcACIALAAxADUALgA1ACwAXAAiAFwAIgAsAFwAIgBcACIALABcACIAXAAiACwAXAAiAEMAYQBsAGMAaQB1AG0AIABuAGkAdAByAGEAdABlAFwAIgAsADEALABcACIAQgBvAHIAbwBuAFwAIgAsADAALgAwADAAMQ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IA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EwATwBOACAAUgBFAEQAXAAiACwAXAAiAGsAZwBcACIALAAxACwAXAAiAFwAIgAsAFwAIgBcACIALABcACIAXAAiACwAMQAyACwANQAuADIALAAyADkALgA5ACwAMQAsAFwAIgBQAG8AdABhAHMAcwBpAHUAbQAgAC0AIABHAGUAbgBlAHIAaQBjAFwAIgAsADAALgAyADkAOQAsAFwAIgBOAGkAdAByAG8AZwBlAG4AIAAtACAATgBpAHQAcgBhAHQAZQBcACIALAAwAC4AMQAwADEALABcACIAUABoAG8AcwBwAGgAbwByAHUAcwAgAC0AIABHAGUAbgBlAHIAaQBjAFwAIgAsADAALgAwADUAMgAsAFwAIgBOAGkAdAByAG8AZwBlAG4AIAAtACAAQQBtAG0AbwBuAGkAYQBjAGEAbABcACIALAAwAC4AMAAxADkALABcACIAUwB1AGwAZgB1AHIAIAAtACAARwBlAG4AZQByAGkAYwBcACIALAAwAC4AMAAxACwAXAAiAE0AYQBnAG4AZQBzAGkAdQBtAFwAIgAsADAALgAwADAANgAsAFwAIgBJAHIAbwBuAFwAIgAsADAALgAwADAAMAA3ACwAXAAiAE0AYQBuAGcAYQBuAGUAcwBlAFwAIgAsADAALgAwADAAMAA0ACwAXAAiAFoAaQBuAGMAXAAiACwAMAAuADAAMAAwADIANQAsAFwAIgBCAG8AcgBvAG4AXAAiACwAMAAuADAAMAAwADIANQA7AFwAbgBcACIAWQBhAHIAYQAgAEEAdQBzAHQAcgBhAGwAaQBhAFwAIgAsAFwAIgBZAGEAcgBhAFQAZQByAGEAIABLAFIASQBTAFQAQQBMAE8ATgAgAFMAUABFAEMASQBBAEwAXAAiACwAXAAiAGsAZwBcACIALAAxACwAXAAiAFwAIgAsAFwAIgBcACIALABcACIAXAAiACwAMQA4ACwANwAuADkALAAxADQALgA5ACwAMgAsAFwAIgBQAG8AdABhAHMAcwBpAHUAbQAgAC0AIABHAGUAbgBlAHIAaQBjAFwAIgAsADAALgAxADQAOQAsAFwAIgBVAHIAZQBhAFwAIgAsADAALgAyADEAMwAwADQAMwAsAFwAIgBQAGgAbwBzAHAAaABvAHIAdQBzACAALQAgAEcAZQBuAGUAcgBpAGMAXAAiACwAMAAuADAANwA5ACwAXAAiAE4AaQB0AHIAbwBnAGUAbgAgAC0AIABOAGkAdAByAGEAdABlAFwAIgAsADAALgAwADQAOQAsAFwAIgBOAGkAdAByAG8AZwBlAG4AIAAtACAAQQBtAG0AbwBuAGkAYQBjAGEAbABcACIALAAwAC4AMAAzADMALABcACIAUwB1AGwAZgB1AHIAIAAtACAARwBlAG4AZQByAGkAYwBcACIALAAwAC4AMAAyACwAXAAiAE0AYQBnAG4AZQBzAGkAdQBtAFwAIgAsADAALgAwADEAOAAsAFwAIgBJAHIAbwBuAFwAIgAsADAALgAwADAAMAA3ACwAXAAiAE0AYQBuAGcAYQBuAGUAcwBlAFwAIgAsADAALgAwADAAMAA0ACwAXAAiAFoAaQBuAGMAXAAiACwAMAAuADAAMAAwADIANQBcAG4AIAAgAH0ALAAgAHIALAAgAGMAKQBcAG4AIAApACkAKQA7AFwAbgBcAG4AXABuAEYAZQByAHQAaQBsAGkAcwBlAHIAXwBQAHIAbwBkAHUAYwB0AHMAXwBEAGEAdABhADMAXABuAD0ATABBAE0AQgBEAEEAKABcAG4AIABNAEEASwBFAEEAUgBSAEEAWQAoADMAMAAsACAAMwAxACwAXABuACAATABBAE0AQgBEAEEAKAByACwAYwAsAFwAbgAgACAASQBOAEQARQBYACgAewBcAG4AXAAiAFkAYQByAGEAIABBAHUAcwB0AHIAYQBsAGkAYQBcACIALABcACIAWQBhAHIAYQBNAGkAbABhACAAMgAxAC0ANwAtADMAKAA0ACkAXAAiACwAXAAiAGsAZwBcACIALAAxACwAXAAiAFwAIgAsAFwAIgBcACIALABcACIAXAAiACwAMgAxACwANwAuADQALAAyAC4ANQAsADQALABcACIATgBpAHQAcgBvAGcAZQBuACAALQAgAE4AaQB0AHIAYQB0AGUAXAAiACwAMAAuADEAMAA1ACwAXAAiAE4AaQB0AHIAbwBnAGUAbgAgAC0AIABBAG0AbQBvAG4AaQBhAGMAYQBsAFwAIgAsADAALgAxADAANQAsAFwAIgBQAGgAbwBzAHAAaABvAHIAdQBzACAALQAgAEcAZQBuAGUAcgBpAGMAXAAiACwAMAAuADAANwA0ACwAXAAiAFMAdQBsAGYAdQByACAALQAgAEcAZQBuAGUAcgBpAGMAXAAiACwAMAAuADAANAAsAFwAIgBQAG8AdABhAHMAcwBpAHUAbQAgAC0AIABHAGUAbgBlAHIAaQBjAFwAIgAsADAALgAwADIANQAsAFwAIgBNAGEAZwBuAGUAcwBpAHUAbQBcACIALAAwAC4AMAAwADQALABcACIAWgBpAG4AYwBcACIALAAwAC4AMAAwADEANQAsAFwAIgBcACIALABcACIAXAAiACwAXAAiAFwAIgAsAFwAIgBcACIALABcACIAXAAiACwAXAAiAFwAIgA7AFwAbgBcACIAWQBhAHIAYQAgAEEAdQBzAHQAcgBhAGwAaQBhAFwAIgAsAFwAIgBZAGEAcgBhAFQAZQByAGEAIABLAFIASQBTAFQAQQBMAE8ATgAgAFMAQwBBAFIATABFAFQAXAAiACwAXAAiAGsAZwBcACIALAAxACwAXAAiAFwAIgAsAFwAIgBcACIALABcACIAXAAiACwANwAuADUALABcACIAXAAiACwAMgA5AC4AOQAsADQALABcACIAUABvAHQAYQBzAHMAaQB1AG0AIAAtACAARwBlAG4AZQByAGkAYwBcACIALAAwAC4AMgA5ADkALABcACIATgBpAHQAcgBvAGcAZQBuACAALQAgAE4AaQB0AHIAYQB0AGUAXAAiACwAMAAuADAANQAyACwAXAAiAFMAdQBsAGYAdQByACAALQAgAEcAZQBuAGUAcgBpAGMAXAAiACwAMAAuADAANAAsAFwAIgBNAGEAZwBuAGUAcwBpAHUAbQBcACIALAAwAC4AMAAyADcALABcACIATgBpAHQAcgBvAGcAZQBuACAALQAgAEEAbQBtAG8AbgBpAGEAYwBhAGwAXAAiACwAMAAuADAAMgAzACwAXAAiAFwAIgAsAFwAIgBcACIALABcACIAXAAiACwAXAAiAFwAIgAsAFwAIgBcACIALABcACIAXAAiACwAXAAiAFwAIgAsAFwAIgBcACIALABcACIAXAAiACwAXAAiAFwAIgA7AFwAbgBcACIAQwBhAG0AcABiAGUAbABsAHMAIABmAGUAcgB0AGkAbABpAHMAZQByAHMAIABBAHUAcwB0AHIAYQBsAGkAYQBcACIALABcACIAUwBvAGwAdQAt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MAbwBsAHUALQBTAGEAb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IAdQBzAHQAaQBjAGEAIABQAGwAdQBzAFwAIgAsAFwAIgBrAGcAXAAiACwAMQAsAFwAIgBcACIALABcACIAXAAiACwAXAAiAFwAIgAsADEAMgAsADUALAAxADQALAA5AC4ANwAsAFwAIgBQAG8AdABhAHMAcwBpAHUAbQAgAC0AIABHAGUAbgBlAHIAaQBjAFwAIgAsADAALgAxADQALABcACIAUwB1AGwAZgB1AHIAIAAtACAARwBlAG4AZQByAGkAYwBcACIALAAwAC4AMAA5ADcALABcACIATgBpAHQAcgBvAGcAZQBuACAALQAgAE4AaQB0AHIAYQB0AGUAXAAiACwAMAAuADAANgAsAFwAIgBOAGkAdAByAG8AZwBlAG4AIAAtACAAQQBtAG0AbwBuAGkAYQBjAGEAbABcACIALAAwAC4AMAA2ACwAXAAiAFAAaABvAHMAcABoAG8AcgB1AHMAIAAtACAARwBlAG4AZQByAGkAYwBcACIALAAwAC4AMAA1ACwAXAAiAEMAYQBsAGMAaQB1AG0AXAAiACwAMAAuADAAMwAxACwAXAAiAE0AYQBnAG4AZQBzAGkAdQBtAFwAIgAsADAALgAwADEAMgAsAFwAIgBaAGkAbgBjAFwAIgAsADAALgAwADAAMQAsAFwAIgBCAG8AcgBvAG4AXAAiACwAMAAuADAAMAAwADIALABcACIAXAAiACwAXAAiAFwAIgA7AFwAbgBcACIAQwBhAG0AcABiAGUAbABsAHMAIABmAGUAcgB0AGkAbABpAHMAZQByAHMAIABBAHUAcwB0AHIAYQBsAGkAYQBcACIALABcACIAUABsAGEAdABpAG4AdQBtACAAUABsAHUAcwBcACIALABcACIAawBnAFwAIgAsADEALABcACIAXAAiACwAXAAiAFwAIgAsAFwAIgBcACIALAAxADAALAAxADEALAAxADAALAA2ACwAXAAiAFAAaABvAHMAcABoAG8AcgB1AHMAIAAtACAARwBlAG4AZQByAGkAYwBcACIALAAwAC4AMQAxACwAXAAiAFAAbwB0AGEAcwBzAGkAdQBtACAALQAgAEcAZQBuAGUAcgBpAGMAXAAiACwAMAAuADEALABcACIAUwB1AGwAZgB1AHIAIAAtACAARwBlAG4AZQByAGkAYwBcACIALAAwAC4AMAA2ACwAXAAiAE4AaQB0AHIAbwBnAGUAbgAgAC0AIABOAGkAdAByAGEAdABlAFwAIgAsADAALgAwADUALABcACIATgBpAHQAcgBvAGcAZQBuACAALQAgAEEAbQBtAG8AbgBpAGEAYwBhAGwAXAAiACwAMAAuADAANQAsAFwAIgBDAGEAbABjAGkAdQBtAFwAIgAsADAALgAwADQAMwAsAFwAIgBNAGEAZwBuAGUAcwBpAHUAbQBcACIALAAwAC4AMAAxADIALABcACIAWgBpAG4AYwBcACIALAAwAC4AMAAwADMANgAsAFwAIgBCAG8AcgBvAG4AXAAiACwAMAAuADAAMAAxACwAXAAiAFwAIgAsAFwAIgBcACIAOwBcAG4AXAAiAEMAYQBtAHAAYgBlAGwAbABzACAAZgBlAHIAdABpAGwAaQBzAGUAcgBzACAAQQB1AHMAdAByAGEAbABpAGEAXAAiACwAXAAiAFQAcgBvAHAAaQBrAGEAXAAiACwAXAAiAGsAZwBcACIALAAxACwAXAAiAFwAIgAsAFwAIgBcACIALABcACIAXAAiACwAMQAxACwAMgAuADYALAAyADAALgA4ACwANAAsAFwAIgBOAGkAdAByAG8AZwBlAG4AIAAtACAATgBpAHQAcgBhAHQAZQBcACIALAAwAC4AMAA1ADUALABcACIATgBpAHQAcgBvAGcAZQBuACAALQAgAEEAbQBtAG8AbgBpAGEAYwBhAGwAXAAiACwAMAAuADAANQA1ACwAXAAiAFAAaABvAHMAcABoAG8AcgB1AHMAIAAtACAARwBlAG4AZQByAGkAYwBcACIALAAwAC4AMAAyADYALABcACIAUABvAHQAYQBzAHMAaQB1AG0AIAAtACAARwBlAG4AZQByAGkAYwBcACIALAAwAC4AMgAwADgALABcACIAUwB1AGwAZgB1AHIAIAAtACAARwBlAG4AZQByAGkAYwBcACIALAAwAC4AMAA0ACwAXAAiAE0AYQBnAG4AZQBzAGkAdQBtAFwAIgAsADAALgAwADIANAAsAFwAIgBcACIALABcACIAXAAiACwAXAAiAFwAIgAsAFwAIgBcACIALABcACIAXAAiACwAXAAiAFwAIgAsAFwAIgBcACIALABcACIAXAAiADsAXABuAFwAIgBDAGEAbQBwAGIAZQBsAGwAcwAgAGYAZQByAHQAaQBsAGkAcwBlAHIAcwAgAEEAdQBzAHQAcgBhAGwAaQBhAFwAIgAsAFwAIgBSAHUAcwB0AGkAYwBhACAATgBlAHIAZwBlAHQAaQBjAFwAIgAsAFwAIgBrAGcAXAAiACwAMQAsAFwAIgBcACIALABcACIAXAAiACwAXAAiAFwAIgAsADEAMgAsADUALgAyACwAMQA0AC4AMQAsADkALgA2ACwAXAAiAFAAbwB0AGEAcwBzAGkAdQBtACAALQAgAEcAZQBuAGUAcgBpAGMAXAAiACwAMAAuADEANAAxACwAXAAiAFMAdQBsAGYAdQByACAALQAgAEcAZQBuAGUAcgBpAGMAXAAiACwAMAAuADAAOQA2ACwAXAAiAE4AaQB0AHIAbwBnAGUAbgAgAC0AIABOAGkAdAByAGEAdABlAFwAIgAsADAALgAwADYALABcACIATgBpAHQAcgBvAGcAZQBuACAALQAgAEEAbQBtAG8AbgBpAGEAYwBhAGwAXAAiACwAMAAuADAANgAsAFwAIgBQAGgAbwBzAHAAaABvAHIAdQBzACAALQAgAEcAZQBuAGUAcgBpAGMAXAAiACwAMAAuADAANQAyACwAXAAiAE0AYQBnAG4AZQBzAGkAdQBtAFwAIgAsADAALgAwADEAMgAsAFwAIgBaAGkAbgBjAFwAIgAsADAALgAwADAAMAA4ACwAXAAiAEkAcgBvAG4AXAAiACwAMAAuADAAMAAwADcALABcACIATQBhAG4AZwBhAG4AZQBzAGUAXAAiACwAMAAuADAAMAAwADYALABcACIAQgBvAHIAbwBuAFwAIgAsADAALgAwADAAMAAyADsAXABuAFwAIgBDAGEAbQBwAGIAZQBsAGwAcwAgAGYAZQByAHQAaQBsAGkAcwBlAHIAcwAgAEEAdQBzAHQAcgBhAGwAaQBhAFwAIgAsAFwAIgBRAHUAaQBjAGsALQBOACAATgBlAHIAZwBlAHQAaQBjAFwAIgAsAFwAIgBrAGcAXAAiACwAMQAsAFwAIgBcACIALABcACIAXAAiACwAXAAiAFwAIgAsADIANQAsAFwAIgBcACIALABcACIAXAAiACwAMQAyAC4AOAAsAFwAIgBTAHUAbABwAGgAYQB0AGUAIABvAGYAIABhAG0AbQBvAG4AaQBhACAAKABTAE8AQQApAFwAIgAsADAALgA1ADMAMwAzADMAMwAsAFwAIgBBAG0AbQBvAG4AaQB1AG0AIABuAGkAdAByAGEAdABlACAAKABBAE4AKQBcACIALAAwAC4ANAAwADkANAA5ADYALABcACIAWgBpAG4AYwBcACIALAAwAC4AMAAwADEALABcACIATQBhAG4AZwBhAG4AZQBzAGUAXAAiACwAMAAuADAAMAAxACwAXAAiAEIAbwByAG8AbgBcACIALAAwAC4AMAAwADAAMQAsAFwAIgBNAG8AbAB5AGIAZABlAG4AdQBtAFwAIgAsADAALgAwADAAMAAwADEALABcACIAXAAiACwAXAAiAFwAIgAsAFwAIgBcACIALABcACIAXAAiACwAXAAiAFwAIgAsAFwAIgBcACIALABcACIAXAAiACwAXAAiAFwAIgA7AFwAbgBcACIARgBlAHIAdABQAHIAbwAgAE0AYQBuAHUAZgBhAGMAdAB1AHIAaQBuAGcAIABQAHQAeQAuACAATAB0AGQALgBcACIALABcACIAKABTAFMAUAApACAAUwBpAG4AZwBsAGUAIABTAHUAcABlAHIAIABGAGUAcgB0AGkAbABpAHMAZQBy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FoAaQBuAGMAUwB0AGEAcgBcACIALABcACIAawBnAFwAIgAsADEALABcACIAXAAiACwAXAAiAFwAIgAsAFwAIgBcACIALAAxADAALAAyADEALgA5ACwAMAAsADIALABcACIATQBvAG4AbwBhAG0AbQBvAG4AaQB1AG0AIABwAGgAbwBzAHAAaABhAHQAZQAgACgATQBBAFAAKQBcACIALAAxACwAXAAiAFoAaQBuAGMAXAAiACwAMAAuADAAMQAsAFwAIgBcACIALABcACIAXAAiACwAXAAiAFwAIgAsAFwAIgBcACIALABcACIAXAAiACwAXAAiAFwAIgAsAFwAIgBcACIALABcACIAXAAiACwAXAAiAFwAIgAsAFwAIgBcACIALABcACIAXAAiACwAXAAiAFwAIgAsAFwAIgBcACIALABcACIAXAAiACwAXAAiAFwAIgAsAFwAIgBcACIAOwBcAG4AXAAiAEIAYQBpAGwAZQB5AHMAIAAoAFMAaQBtAHAAbABvAHQAKQAgAFsAbABpAHMAdABlAGQAIABhAHMAIABJAG0AcABhAGMAdABdAFwAIgAsAFwAIgBBAHAAZQB4ACAARwBhAEkAWABlACAATABvAHcAIABQACAAMgAxAC0AMQAtADYAXAAiACwAXAAiAGsAZwBcACIALAAxACwAXAAiAFwAIgAsAFwAIgBcACIALABcACIAXAAiACwAMgAxACwAMAAuADgANgAsADUALgA4ACwANAAuADIALABcACIATgBpAHQAcgBvAGcAZQBuACAALQAgAEcAZQBuAGUAcgBpAGMAXAAiACwAMAAuADIAMQAsAFwAIgBQAG8AdABhAHMAcwBpAHUAbQAgAC0AIABHAGUAbgBlAHIAaQBjAFwAIgAsADAALgAwADUAOAAsAFwAIgBTAHUAbABmAHUAcgAgAC0AIABHAGUAbgBlAHIAaQBjAFwAIgAsADAALgAwADQAMgAsAFwAIgBQAGgAbwBzAHAAaABvAHIAdQBzACAALQAgAEcAZQBuAGUAcgBpAGMAXAAiACwAMAAuADAAMAA4ADYALABcACIAXAAiACwAXAAiAFwAIgAsAFwAIgBcACIALABcACIAXAAiACwAXAAiAFwAIgAsAFwAIgBcACIALABcACIAXAAiACwAXAAiAFwAIgAsAFwAIgBcACIALABcACIAXAAiACwAXAAiAFwAIgAsAFwAIgBcACIAOwBcAG4AXAAiAEkAbgBjAGkAdABlAGMAIABQAGkAdgBvAHQAIABGAGUAcgB0AGkAbABpAHMAZQByAHMAXAAiACwAXAAiAFMAdQBQAGUAcgBmAGUAYwB0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FsAbABpAHMAdABlAGQAIABhAHMAIABTAHUAbQBtAGkAdABdAFwAIgAsAFwAIgBCAGkAZwAgAE4AXAAiACwAXAAiAGsAZwBcACIALAAxACwAXAAiAFwAIgAsAFwAIgBcACIALABcACIAXAAiACwAOAAyAC4AMwA1ACwAXAAiAFwAIgAsAFwAIgBcACIALABcACIAXAAiACwAXAAiAEEAbQBtAG8AbgBp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QBuAHQAZQBjACAAVQByAGUAYQBcACIALABcACIAawBnAFwAIgAsADEALABcACIAWQBlAHM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CAAKABvAHIAIABSAGEAdgBlAG4AcwBkAG8AdwBuACAALQAgAHMAZQBlACAAbgBvAHQAZQApAFwAIgAsAFwAIgBGAGwAZQB4AGkALQBOACAATgBJACAAbwBuAGwAeQBcACIALABcACIAawBnAFwAIgAsADEALABcACIAWQBlAHMAXAAiACwAXAAiAFwAIgAsAFwAIgBcACIALAA0ADUALgA1ADQALABcACIAXAAiACwAXAAiAFwAIgAsAFwAIgBcACIALABcACIAVQByAGUAYQBcACIALAAwAC4AOQA5ACwAXAAiAFUAcgBlAGEAcwBlAC8AbgBpAHQAcgBpAGYAaQBjAGEAdABpAG8AbgAgAGkAbgBoAGkAYgBpAHQAbwByAFwAIgAsADAALgAwADEALABcACIAXAAiACwAXAAiAFwAIgAsAFwAIgBcACIALABcACIAXAAiACwAXAAiAFwAIgAsAFwAIgBcACIALABcACIAXAAiACwAXAAiAFwAIgAsAFwAIgBcACIALABcACIAXAAiACwAXAAiAFwAIgAsAFwAIgBcACIALABcACIAXAAiACwAXAAiAFwAIgAsAFwAIgBcACIALABcACIAXAAiADsAXABuAFwAIgBOAHUAdAByAGkALQBUAGUAYwBoACAAUwBvAGwAdQB0AGkAbwBuAHMAIAAoAE4AVABTACkAXAAiACwAXAAiAE0AdQByAGkAYQB0AGUAIABPAGYAIABQAG8AdABhAHMAaAAgAE0ATwBQAFwAIgAsAFwAIgBrAGcAXAAiACwAMQAsAFwAIgBcACIALABcACIAXAAiACwAXAAiAFwAIgAsAFwAIgBcACIALABcACIAXAAiACwANQAwACwAXAAiAFwAIgAsAFwAIgBNAHUAcgBpAGEAdABlACAAbwBmACAAcABvAHQAYQBzAGgAIAAoAE0ATwBQACkAXAAiACwAMQAsAFwAIgBcACIALABcACIAXAAiACwAXAAiAFwAIgAsAFwAIgBcACIALABcACIAXAAiACwAXAAiAFwAIgAsAFwAIgBcACIALABcACIAXAAiACwAXAAiAFwAIgAsAFwAIgBcACIALABcACIAXAAiACwAXAAiAFwAIgAsAFwAIgBcACIALABcACIAXAAiACwAXAAiAFwAIgAsAFwAIgBcACIALABcACIAXAAiACwAXAAiAFwAIgA7AFwAbgBcACIATgB1AHQAdQByAGYAXAAiACwAXAAiAE0AQQBQACAATgBVAFQAVQBSAEYAXAAiACwAXAAiAGsAZwBcACIALAAxACwAXAAiAFwAIgAsAFwAIgBcACIALABcACIAXAAiACwAMQAwACwAMgAxAC4AOQAsAFwAIgBcACIALABcACIAXAAi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UQB1AGkAYwBrAC0ATgBcACIALABcACIAawBnAFwAIgAsADEALABcACIAXAAiACwAXAAiAFwAIgAsAFwAIgBcACIALAAyADYALABcACIAXAAiACwAXAAiAFwAIgAsADEAMwAsAFwAIgBTAHUAbABwAGgAYQB0AGUAIABvAGYAIABhAG0AbQBvAG4AaQBhACAAKABTAE8AQQApAFwAIgAsADAALgA1ADQAMQA2ADYANwAsAFwAIgBBAG0AbQBvAG4AaQB1AG0AIABuAGkAdAByAGEAdABlACAAKABBAE4AKQBcACIALAAwAC4ANAAzADMAOQA3ADYALABcACIAXAAiACwAXAAiAFwAIgAsAFwAIgBcACIALABcACIAXAAiACwAXAAiAFwAIgAsAFwAIgBcACIALABcACIAXAAiACwAXAAiAFwAIgAsAFwAIgBcACIALABcACIAXAAiACwAXAAiAFwAIgAsAFwAIgBcACIALABcACIAXAAiACwAXAAiAFwAIgAsAFwAIgBcACIALABcACIAXAAiADsAXABuAFwAIgBTAEwAVABFAEMAIABGAGUAcgB0AGkAbABpAHoAZQByAHMAXAAiACwAXAAiAFUAQQBTAFwAIgAsAFwAIgBMAFwAIgAsADEALgAyADMANQAsAFwAIgBcACIALABcACIAXAAiACwAXAAiAFwAIgAsADIANgAuADYALABcACIAXAAiACwAXAAiAFwAIgAsADYALgA3ACwAXAAiAFUAcgBlAGEAXAAiACwAMAAuADQANQAwADgAMQA1ACwAXAAiAFMAdQBsAHAAaABhAHQAZQAgAG8AZgAgAGEAbQBtAG8AbgBpAGEAIAAoAFMATwBBACkAXAAiACwAMAAuADIANwA5ADEANgA3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UAHIAaQBhAHoAbwBuAGUAIABVAHIAZQBhAFwAIgAsAFwAIgBMAFwAIgAsADEALgAyADgALABcACIAXAAiACwAXAAiAFwAIgAsAFwAIgBcACIALAAwACwAXAAiAFwAIgAsAFwAIgBcACIALABcACIAXAAiACwAXAAiAFUAcgBlAGEAXAAiACwAMAAuADYANQAyADEANwA0ACwAXAAiAFwAIgAsAFwAIgBcACIALABcACIAXAAiACwAXAAiAFwAIgAsAFwAIgBcACIALABcACIAXAAiACwAXAAiAFwAIgAsAFwAIgBcACIALABcACIAXAAiACwAXAAiAFwAIgAsAFwAIgBcACIALABcACIAXAAiACwAXAAiAFwAIgAsAFwAIgBcACIALABcACIAXAAiACwAXAAiAFwAIgAsAFwAIgBcACIALABcACIAXAAiADsAXABuAFwAIgBNAGEAcgBuAGMAbwAgAFsAbABpAHMAdABlAGQAIABhAHMAIABTAEwAVABFAEMAXQBcACIALABcACIAQQBtAG0AbwAgADMANgBOAFwAIgAsAFwAIgBrAGcAXAAiACwAMQAsAFwAIgBcACIALABcACIAXAAiACwAXAAiAFwAIgAsADMANgAsAFwAIgBcACIALABcACIAXAAiACwAOQAuADYALABcACIATgBpAHQAcgBvAGcAZQBuACAALQAgAEcAZQBuAGUAcgBpAGMAXAAiACwAMAAuADMANgAsAFwAIgBTAHUAbABmAHUAcgAgAC0AIABHAGUAbgBlAHIAaQBjAFwAIgAsADAALgAwADkAN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gBpAHMAcwBvACAATABpAHEAdQBpAGQAIABOAFAASwAgACgAMgAwADAALQAyADAAMAAtADIAMAAwACkAXAAiACwAXAAiAEwAXAAiACwAMQAuADMALABcACIAXAAiACwAXAAiAFwAIgAsAFwAIgBcACIALAAyADAALAA4AC4ANwAzACwAMQA2AC4ANgAsAFwAIgBcACIALABcACIATgBpAHQAcgBvAGcAZQBuACAALQAgAEcAZQBuAGUAcgBpAGMAXAAiACwAMAAuADIALABcACIAUABoAG8AcwBwAGgAbwByAHUAcwAgAC0AIABHAGUAbgBlAHIAaQBjAFwAIgAsADAALgAwADgANwAyADgALABcACIAUABvAHQAYQBzAHMAaQB1AG0AIAAtACAARwBlAG4AZQByAGkAYwBcACIALAAwAC4AMQA2ADYAMAAyACwAXAAiAFwAIgAsAFwAIgBcACIALABcACIAXAAiACwAXAAiAFwAIgAsAFwAIgBcACIALABcACIAXAAiACwAXAAiAFwAIgAsAFwAIgBcACIALABcACIAXAAiACwAXAAiAFwAIgAsAFwAIgBcACIALABcACIAXAAiACwAXAAiAFwAIgAsAFwAIgBcACIAOwBcAG4AXAAiAFQAdQByAGYAIABHAHIAbwB1AHAAIABBAHUAcwB0AHIAYQBsAGkAYQAgACgAUwBpAG0AcABsAG8AdAApAFwAIgAsAFwAIgBTAHUAcABlAHIAIABDAGEAbAAgADEANQAtADAALQAxADIAXAAiACwAXAAiAGsAZwBcACIALAAxACwAXAAiAFwAIgAsAFwAIgBcACIALABcACIAXAAiACwAMQA1ACwAXAAiAFwAIgAsADkALgA5ADYALABcACIAXAAiACwAXAAiAE4AaQB0AHIAbwBnAGUAbgAgAC0AIABOAGkAdAByAGEAdABlAFwAIgAsADAALgAwADgANAA3ADMANwAsAFwAIgBQAG8AdABhAHMAcwBpAHUAbQAgAC0AIABHAGUAbgBlAHIAaQBjAFwAIgAsADAALgAwADkAOQA2ADEAMgAsAFwAIgBDAGEAbABjAGkAdQBtACAAbgBpAHQAcgBhAHQAZQBcACIALAAwAC4ANAAyADEAMAA1ADMALABcACIATQBhAGcAbgBlAHMAaQB1AG0AXAAiACwAMAAuADAAMAA1ACwAXAAiAEIAbwByAG8AbgBcACIALAAwAC4AMAAwADAAMgAsAFwAIgBcACIALABcACIAXAAiACwAXAAiAFwAIgAsAFwAIgBcACIALABcACIAXAAiACwAXAAiAFwAIgAsAFwAIgBcACIALABcACIAXAAiACwAXAAiAFwAIgAsAFwAIgBcACIAOwBcAG4AXAAiAEkAbgBjAGkAdABlAGMAIABQAGkAdgBvAHQAIABGAGUAcgB0AGkAbABpAHMAZQByAHMAXAAiACwAXAAiAEMASwAgADgAOABcACIALABcACIAawBnAFwAIgAsADEALABcACIAXAAiACwAXAAiAFwAIgAsAFwAIgBcACIALAAxADUALgAxACwANAAuADQALAAxADEALgA1ACwAMQAzAC4ANgAsAFwAIgBOAGkAdAByAG8AZwBlAG4AIAAtACAARwBlAG4AZQByAGkAYwBcACIALAAwAC4AMQA1ADEALABcACIAUABoAG8AcwBwAGgAbwByAHUAcwAgAC0AIABHAGUAbgBlAHIAaQBjAFwAIgAsADAALgAwADQANAAsAFwAIgBQAG8AdABhAHMAcwBpAHUAbQAgAC0AIABHAGUAbgBlAHIAaQBjAFwAIgAsADAALgAxADEANQAsAFwAIgBTAHUAbABmAHUAcgAgAC0AIABHAGUAbgBlAHIAaQBjAFwAIgAsADAALgAxADMANgAsAFwAIgBcACIALABcACIAXAAiACwAXAAiAFwAIgAsAFwAIgBcACIALABcACIAXAAiACwAXAAiAFwAIgAsAFwAIgBcACIALABcACIAXAAiACwAXAAiAFwAIgAsAFwAIgBcACIALABcACIAXAAiACwAXAAiAFwAIgA7AFwAbgBcACIASQBuAGMAaQB0AGUAYwAgAFAAaQB2AG8AdAAgAEYAZQByAHQAaQBsAGkAcwBlAHIAcwBcACIALABcACIAQwByAG8AcABMAGkAZgB0ACAAMQA1AFwAIgAsAFwAIgBrAGcAXAAiACwAMQAsAFwAIgBcACIALABcACIAXAAiACwAXAAiAFwAIgAsADEANAAuADYALAAxADIALgAxACwAXAAiAFwAIgAsADEAMQAuADYALABcACIATgBpAHQAcgBvAGcAZQBuACAALQAgAEcAZQBuAGUAcgBpAGMAXAAiACwAMAAuADEANAA2ACwAXAAiAFAAaABvAHMAcABoAG8AcgB1AHMAIAAtACAARwBlAG4AZQByAGkAYwBcACIALAAwAC4AMQAyADEALABcACIAUwB1AGwAZgB1AHIAIAAtACAARwBlAG4AZQByAGkAYwBcACIALAAwAC4AMQAxADY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TgBQAEsAUwAgADEAOQAtADEAMwAtADAALQA5AFwAIgAsAFwAIgBrAGcAXAAiACwAMQAsAFwAIgBcACIALABcACIAXAAiACwAXAAiAFwAIgAsADEAOQAsADEAMwAsADAALAA5ACwAXAAiAE4AaQB0AHIAbwBnAGUAbgAgAC0AIABHAGUAbgBlAHIAaQBjAFwAIgAsADAALgAxADkALABcACIAUABoAG8AcwBwAGgAbwByAHUAcwAgAC0AIABHAGUAbgBlAHIAaQBjAFwAIgAsADAALgAxADMALABcACIAUwB1AGwAZgB1AHIAIAAtACAARwBlAG4AZQByAGkAYwBcACIALAAwAC4AMAA5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FAAYQBzAHQAdQByAGUAQgBvAG8AcwB0AGEAXAAiACwAXAAiAGsAZwBcACIALAAxACwAXAAiAFwAIgAsAFwAIgBcACIALABcACIAXAAiACwAMgAzAC4AOAAsADMALgA3ACwAMQAzACwANAAuADEALABcACIATgBpAHQAcgBvAGcAZQBuACAALQAgAEcAZQBuAGUAcgBpAGMAXAAiACwAMAAuADIAMwA4ACwAXAAiAFAAaABvAHMAcABoAG8AcgB1AHMAIAAtACAARwBlAG4AZQByAGkAYwBcACIALAAwAC4AMAAzADcALABcACIAUABvAHQAYQBzAHMAaQB1AG0AIAAtACAARwBlAG4AZQByAGkAYwBcACIALAAwAC4AMQAzACwAXAAiAFMAdQBsAGYAdQByACAALQAgAEcAZQBuAGUAcgBpAGMAXAAiACwAMAAuADAANAAxACwAXAAiAFwAIgAsAFwAIgBcACIALABcACIAXAAiACwAXAAiAFwAIgAsAFwAIgBcACIALABcACIAXAAiACwAXAAiAFwAIgAsAFwAIgBcACIALABcACIAXAAiACwAXAAiAFwAIgAsAFwAIgBcACIALABcACIAXAAiADsAXABuAFwAIgBJAG4AYwBpAHQAZQBjACAAUABpAHYAbwB0ACAARgBlAHIAdABpAGwAaQBzAGUAcgBzAFwAIgAsAFwAIgBHAHIAZQBlAG4AdABvAHAAIABLAFwAIgAsAFwAIgBrAGcAXAAiACwAMQAsAFwAIgBcACIALABcACIAXAAiACwAXAAiAFwAIgAsADMAMgAuADgALABcACIAXAAiACwAMQAxACwAMgAuADkALABcACIAVQByAGUAYQBcACIALAAwAC4ANgA2ADAAOAA3ACwAXAAiAE4AaQB0AHIAbwBnAGUAbgAgAC0AIABBAG0AbQBvAG4AaQBhAGMAYQBsAFwAIgAsADAALgAwADIANAAsAFwAIgBQAG8AdABhAHMAcwBpAHUAbQAgAC0AIABHAGUAbgBlAHIAaQBjAFwAIgAsADAALgAxADEALABcACIAUwB1AGwAZgB1AHIAIAAtACAARwBlAG4AZQByAGkAYwBcACIALAAwAC4AMAAyADkALABcACIAXAAiACwAXAAiAFwAIgAsAFwAIgBcACIALABcACIAXAAiACwAXAAiAFwAIgAsAFwAIgBcACIALABcACIAXAAiACwAXAAiAFwAIgAsAFwAIgBcACIALABcACIAXAAiACwAXAAiAFwAIgAsAFwAIgBcACIAOwBcAG4AXAAiAEkAbgBjAGkAdABlAGMAIABQAGkAdgBvAHQAIABGAGUAcgB0AGkAbABpAHMAZQByAHMAXAAiACwAXAAiAEgAYQB5AEIAbwBvAHMAdABhAFwAIgAsAFwAIgBrAGcAXAAiACwAMQAsAFwAIgBcACIALABcACIAXAAiACwAXAAiAFwAIgAsADEAMQAuADcALAA0AC4ANwAsADIAMwAuADkALAA0AC4ANgAsAFwAIgBOAGkAdAByAG8AZwBlAG4AIAAtACAARwBlAG4AZQByAGkAYwBcACIALAAwAC4AMQAxADcALABcACIAUABoAG8AcwBwAGgAbwByAHUAcwAgAC0AIABHAGUAbgBlAHIAaQBjAFwAIgAsADAALgAwADQANwAsAFwAIgBQAG8AdABhAHMAcwBpAHUAbQAgAC0AIABHAGUAbgBlAHIAaQBjAFwAIgAsADAALgAyADMAOQAsAFwAIgBTAHUAbABmAHUAcgAgAC0AIABHAGUAbgBlAHIAaQBjAFwAIgAsADAALgAwADQANgAsAFwAIgBcACIALABcACIAXAAiACwAXAAiAFwAIgAsAFwAIgBcACIALABcACIAXAAiACwAXAAiAFwAIgAsAFwAIgBcACIALABcACIAXAAiACwAXAAiAFwAIgAsAFwAIgBcACIALABcACIAXAAiACwAXAAiAFwAIgBcAG4AIAAgAH0ALAAgAHIALAAgAGMAKQBcAG4AIAApACkAKQA7AFwAbgBcAG4AXABuAEYAZQByAHQAaQBsAGkAcwBlAHIAXwBQAHIAbwBkAHUAYwB0AHMAXwBEAGEAdABhADQAXABuAD0ATABBAE0AQgBEAEEAKABcAG4AIABNAEEASwBFAEEAUgBSAEEAWQAoADMAMAAsACAAMwAxACwAXABuACAATABBAE0AQgBEAEEAKAByACwAYwAsAFwAbgAgACAASQBOAEQARQBYACgAewBcAG4AXAAiAEkAbQBwAGEAYwB0ACAARgBlAHIAdABpAGwAaQBzAGUAcgBzAFwAIgAsAFwAIgBJAG0AcABhAGMAdAAgAFMAdQBwAGUAcgAgAFAAbwB0AGEAcwBoACAAMQAmADEAXAAiACwAXAAiAGsAZwBcACIALAAxACwAXAAiAFwAIgAsAFwAIgBcACIALABcACIAXAAiACwAXAAiAFwAIgAsADQALgA0ACwAMgA1ACwANQAuADUALABcACIAUwBpAG4AZwBsAGUAIABzAHUAcABlAHIAcABoAG8AcwBwAGgAYQB0AGUAIAAoAFMAUwBQACkAXAAiACwAMAAuADUALABcACIATQB1AHIAaQBhAHQAZQAgAG8AZgAgAHAAbwB0AGEAcwBoACAAKABNAE8AUAApAFwAIgAsADAAL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yACYAMQBcACIALABcACIAawBnAFwAIgAsADEALABcACIAXAAiACwAXAAiAFwAIgAsAFwAIgBcACIALABcACIAXAAiACwANQAuADgANAAsADEANgAuADgALAA3AC4AMgA5ACwAXAAiAFMAaQBuAGcAbABlACAAcwB1AHAAZQByAHAAaABvAHMAcABoAGEAdABlACAAKABTAFMAUAApAFwAIgAsADAALgA2ADYAMwAxADUAOAAsAFwAIgBNAHUAcgBpAGEAdABlACAAbwBmACAAcABvAHQAYQBzAGgAIAAoAE0ATwBQACkAXAAiACwAMAAuADMAMwA2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zACYAMQBcACIALABcACIAawBnAFwAIgAsADEALABcACIAXAAiACwAXAAiAFwAIgAsAFwAIgBcACIALABcACIAXAAiACwANgAuADUAOAAsADEAMgAuADUALAA4AC4AMgAyACwAXAAiAFMAaQBuAGcAbABlACAAcwB1AHAAZQByAHAAaABvAHMAcABoAGEAdABlACAAKABTAFMAUAApAFwAIgAsADAALgA3ADQANwAzADYAOAAsAFwAIgBNAHUAcgBpAGEAdABlACAAbwBmACAAcABvAHQAYQBzAGgAIAAoAE0ATwBQACkAXAAiACwAMAAuADIANQ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NAAmADEAXAAiACwAXAAiAGsAZwBcACIALAAxACwAXAAiAFwAIgAsAFwAIgBcACIALABcACIAXAAiACwAXAAiAFwAIgAsADcALgAwADQALAAxADAALAA4AC4AOAAsAFwAIgBTAGkAbgBnAGwAZQAgAHMAdQBwAGUAcgBwAGgAbwBzAHAAaABhAHQAZQAgACgAUwBTAFAAKQBcACIALAAwAC4AOAAsAFwAIgBNAHUAcgBpAGEAdABlACAAbwBmACAAcABvAHQAYQBzAGgAIAAoAE0ATwBQACkAXAAiACwAMAAuAD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UAJgAxAFwAIgAsAFwAIgBrAGcAXAAiACwAMQAsAFwAIgBcACIALABcACIAXAAiACwAXAAiAFwAIgAsAFwAIgBcACIALAA3AC4AMwAyACwAOAAuADQALAA5AC4AMQA1ACwAXAAiAFMAaQBuAGcAbABlACAAcwB1AHAAZQByAHAAaABvAHMAcABoAGEAdABlACAAKABTAFMAUAApAFwAIgAsADAALgA4ADMAMQA1ADcAOQAsAFwAIgBNAHUAcgBpAGEAdABlACAAbwBmACAAcABvAHQAYQBzAGgAIAAoAE0ATwBQACkAXAAiACwAMAAuADEANgA4ACwAXAAiAFwAIgAsAFwAIgBcACIALABcACIAXAAiACwAXAAiAFwAIg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FwAIgAsAFwAIgBrAGcAXAAiACwAMQAsAFwAIgBcACIALABcACIAXAAiACwAXAAiAFwAIgAsADIAMwAuADkALABcACIAXAAiACwAXAAiAFwAIgAsADEAMAAuADgALABcACIATgBpAHQAcgBvAGcAZQBuACAALQAgAE4AaQB0AHIAYQB0AGUAXAAiACwAMAAuADAANwA0ACwAXAAiAE4AaQB0AHIAbwBnAGUAbgAgAC0AIABBAG0AbQBvAG4AaQBhAGMAYQBsAFwAIgAsADAALgAxADYANQAsAFwAIgBTAHUAbABmAHUAcgAgAC0AIABHAGUAbgBlAHIAaQBjAFwAIgAsADAALgAxADAAOAAsAFwAIgBDAGEAbABjAGkAdQBtAFwAIgAsADAALgAwADQANA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FwAIgAsAFwAIgBrAGcAXAAiACwAMQAsAFwAIgBcACIALABcACIAXAAiACwAXAAiAFwAIgAsADEANwAuADkALABcACIAXAAiACwAMQA1ACwAMwAuADYALABcACIATgBpAHQAcgBvAGcAZQBuACAALQAgAE4AaQB0AHIAYQB0AGUAXAAiACwAMAAuADAANQA1ACwAXAAiAE4AaQB0AHIAbwBnAGUAbgAgAC0AIABBAG0AbQBvAG4AaQBhAGMAYQBsAFwAIgAsADAALgAxADIANAAsAFwAIgBQAG8AdABhAHMAcwBpAHUAbQAgAC0AIABHAGUAbgBlAHIAaQBjAFwAIgAsADAALgAxADUALABcACIAUwB1AGwAZgB1AHIAIAAtACAARwBlAG4AZQByAGkAYwBcACIALAAwAC4AMAAzADYALABcACIAQwBhAGwAYwBpAHUAbQBcACIALAAwAC4AMAA0ADQALABcACIAXAAiACwAXAAiAFwAIg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A1ADAALwA1ADAAIAAoAFMAKQBcACIALABcACIAawBnAFwAIgAsADEALABcACIAXAAiACwAXAAiAFwAIgAsAFwAIgBcACIALAAxADYALgA5ACwAXAAiAFwAIgAsADEANAAuADQALAA4AC4ANwAsAFwAIgBOAGkAdAByAG8AZwBlAG4AIAAtACAATgBpAHQAcgBhAHQAZQBcACIALAAwAC4AMAA1ADIALABcACIATgBpAHQAcgBvAGcAZQBuACAALQAgAEEAbQBtAG8AbgBpAGEAYwBhAGwAXAAiACwAMAAuADEAMQA3ACwAXAAiAFAAbwB0AGEAcwBzAGkAdQBtACAALQAgAEcAZQBuAGUAcgBpAGMAXAAiACwAMAAuADEANAA0ACwAXAAiAFMAdQBsAGYAdQByACAALQAgAEcAZQBuAGUAcgBpAGMAXAAiACwAMAAuADAAOAA3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zADAAXAAiACwAXAAiAGsAZwBcACIALAAxACwAXAAiAFwAIgAsAFwAIgBcACIALABcACIAXAAiACwAMQA4AC4AOAAsADEALAAxADIALgA1ACwAMwAuADcALABcACIATgBpAHQAcgBvAGcAZQBuACAALQAgAE4AaQB0AHIAYQB0AGUAXAAiACwAMAAuADAANQA4ACwAXAAiAE4AaQB0AHIAbwBnAGUAbgAgAC0AIABBAG0AbQBvAG4AaQBhAGMAYQBsAFwAIgAsADAALgAxADMALABcACIAUABoAG8AcwBwAGgAbwByAHUAcwAgAC0AIABHAGUAbgBlAHIAaQBjAFwAIgAsADAALgAwADEALABcACIAUABvAHQAYQBzAHMAaQB1AG0AIAAtACAARwBlAG4AZQByAGkAYwBcACIALAAwAC4AMQAyADUALABcACIAUwB1AGwAZgB1AHIAIAAtACAARwBlAG4AZQByAGkAYwBcACIALAAwAC4AMAAzADc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1ADAAXAAiACwAXAAiAGsAZwBcACIALAAxACwAXAAiAFwAIgAsAFwAIgBcACIALABcACIAXAAiACwAMQA4AC4ANgAsADMALAAxADIALgA1ACwAMQAuADQALABcACIATgBpAHQAcgBvAGcAZQBuACAALQAgAE4AaQB0AHIAYQB0AGUAXAAiACwAMAAuADAANQA4ACwAXAAiAE4AaQB0AHIAbwBnAGUAbgAgAC0AIABBAG0AbQBvAG4AaQBhAGMAYQBsAFwAIgAsADAALgAxADIAOAAsAFwAIgBQAGgAbwBzAHAAaABvAHIAdQBzACAALQAgAEcAZQBuAGUAcgBpAGMAXAAiACwAMAAuADAAMwAsAFwAIgBQAG8AdABhAHMAcwBpAHUAbQAgAC0AIABHAGUAbgBlAHIAaQBjAFwAIgAsADAALgAxADIANQAsAFwAIgBTAHUAbABmAHUAcgAgAC0AIABHAGUAbgBlAHIAaQBjAFwAIgAsADAALgAwADEANAAsAFwAIgBDAGEAbABjAGkAdQBtAFwAIgAsADAALgAwADQANA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BFAHgAdAByAGEAIABLAFwAIgAsAFwAIgBrAGcAXAAiACwAMQAsAFwAIgBcACIALABcACIAXAAiACwAXAAiAFwAIgAsADEANQAuADgALABcACIAXAAiACwAMQA5ACwAMwAuADIALABcACIATgBpAHQAcgBvAGcAZQBuACAALQAgAE4AaQB0AHIAYQB0AGUAXAAiACwAMAAuADAANAA5ACwAXAAiAE4AaQB0AHIAbwBnAGUAbgAgAC0AIABBAG0AbQBvAG4AaQBhAGMAYQBsAFwAIgAsADAALgAxADAAOQAsAFwAIgBQAG8AdABhAHMAcwBpAHUAbQAgAC0AIABHAGUAbgBlAHIAaQBjAFwAIgAsADAALgAxADkALABcACIAUwB1AGwAZgB1AHIAIAAtACAARwBlAG4AZQByAGkAYwBcACIALAAwAC4AMAAzADIALABcACIAQwBhAGwAYwBpAHUAbQBcACIALAAwAC4AMAAzADkALABcACIAXAAiACwAXAAiAFwAIgAsAFwAIgBcACIALABcACIAXAAiACwAXAAiAFwAIgAsAFwAIgBcACIALABcACIAXAAiACwAXAAiAFwAIgAsAFwAIgBcACIALABcACIAXAAiADsAXABuAFwAIgBJAG4AYwBpAHQAZQBjACAAUABpAHYAbwB0ACAARgBlAHIAdABpAGwAaQBzAGUAcgBzAFwAIgAsAFwAIgBEAGEAaQByAHkAIABQAHIAbwBcACIALABcACIAawBnAFwAIgAsADEALABcACIAXAAiACwAXAAiAFwAIgAsAFwAIgBcACIALAAyADUALgA5ACwAMwAuADkALAAxADUALgA5ACwAMAAuADMALABcACIATgBpAHQAcgBvAGcAZQBuACAALQAgAEcAZQBuAGUAcgBpAGMAXAAiACwAMAAuADIANQA5ACwAXAAiAFAAaABvAHMAcABoAG8AcgB1AHMAIAAtACAARwBlAG4AZQByAGkAYwBcACIALAAwAC4AMAAzADkALABcACIAUABvAHQAYQBzAHMAaQB1AG0AIAAtACAARwBlAG4AZQByAGkAYwBcACIALAAwAC4AMQA1ADkALABcACIAUwB1AGwAZgB1AHIAIAAtACAARwBlAG4AZQByAGkAYwBcACIALAAwAC4AMAAwADMALABcACIAXAAiACwAXAAiAFwAIgAsAFwAIgBcACIALABcACIAXAAiACwAXAAiAFwAIgAsAFwAIgBcACIALABcACIAXAAiACwAXAAiAFwAIgAsAFwAIgBcACIALABcACIAXAAiACwAXAAiAFwAIgAsAFwAIgBcACIAOwBcAG4AXAAiAFkAYQByAGEAIABBAHUAcwB0AHIAYQBsAGkAYQBcACIALABcACIAWQBhAHIAYQBNAGkAbABhACAAQQBDAFQAWQBWAEEAIABTAFwAIgAsAFwAIgBrAGcAXAAiACwAMQAsAFwAIgBcACIALABcACIAXAAiACwAXAAiAFwAIgAsADEANQAuADYALAA2AC4AMwA3ACwAMQAyAC4ANAA1ACwAMgAuADYALABcACIATgBpAHQAcgBvAGcAZQBuACAALQAgAE4AaQB0AHIAYQB0AGUAXAAiACwAMAAuADAANQA4ACwAXAAiAE4AaQB0AHIAbwBnAGUAbgAgAC0AIABBAG0AbQBvAG4AaQBhAGMAYQBsAFwAIgAsADAALgAwADkAOAAsAFwAIgBQAGgAbwBzAHAAaABvAHIAdQBzACAALQAgAEcAZQBuAGUAcgBpAGMAXAAiACwAMAAuADAANgAzADcAMQA0ACwAXAAiAFAAbwB0AGEAcwBzAGkAdQBtACAALQAgAEcAZQBuAGUAcgBpAGMAXAAiACwAMAAuADEAMgA0ADUAMQA1ACwAXAAiAFMAdQBsAGYAdQByACAALQAgAEcAZQBuAGUAcgBpAGMAXAAiACwAMAAuADAAMgA2ACwAXAAiAFwAIgAsAFwAIgBcACIALABcACIAXAAiACwAXAAiAFwAIgAsAFwAIgBcACIALABcACIAXAAiACwAXAAiAFwAIgAsAFwAIgBcACIALABcACIAXAAiACwAXAAiAFwAIgA7AFwAbgBcACIAQwBTAEIAUABcACIALABcACIAQQBnAGYAbABvAHcAIABFAHgAdAByAGEAXAAiACwAXAAiAGsAZwBcACIALAAxACwAXAAiAFwAIgAsAFwAIgBcACIALABcACIAXAAiACwAMQAxAC4AMQA1ACwAMQA3AC4ANQAyACwAXAAiAFwAIgAsADMALgA2ACwAXAAiAE0AbwBuAG8AYQBtAG0AbwBuAGkAdQBtACAAcABoAG8AcwBwAGgAYQB0AGUAIAAoAE0AQQBQACkAXAAiACwAMAAuADgALABcACIAUwB1AGwAcABoAGEAdABlACAAbwBmACAAYQBtAG0AbwBuAGkAYQAgACgAUwBPAEEAKQBcACIALAAwAC4AMQA1ACwAXAAiAEMAbwBwAHAAZQByAFwAIgAsAFwAIgBOAG8AIABkAGEAdABhAFwAIgAsAFwAIgBNAG8AbAB5AGIAZABlAG4AdQBtAFwAIgAsAFwAIgBOAG8AIABkAGEAdABhAFwAIgAsAFwAIgBaAGkAbgBjAFwAIgAsAFwAIgBOAG8AIABkAGEAdABhAFwAIgAsAFwAIgBcACIALABcACIAXAAiACwAXAAiAFwAIgAsAFwAIgBcACIALABcACIAXAAiACwAXAAiAFwAIgAsAFwAIgBcACIALABcACIAXAAiACwAXAAiAFwAIgAsAFwAIgBcACIAOwBcAG4AXAAiAEMAUwBCAFAAXAAiACwAXAAiAFMAdQBwAGUAcgAgACYAIABQAG8AdABhAHMAaAAgADMAOgAxAFwAIgAsAFwAIgBrAGcAXAAiACwAMQAsAFwAIgBcACIALABcACIAXAAiACwAXAAiAFwAIgAsAFwAIgBcACIALAA1AC4ANQAsADEANQAsADYALgA4ADgALABcACIAUwBpAG4AZwBsAGUAIABzAHUAcABlAHIAcABoAG8AcwBwAGgAYQB0AGUAIAAoAFMAUwBQACkAXAAiACwAMAAuADYAMgA1ACwAXAAiAE0AdQByAGkAYQB0AGUAIABvAGYAIABwAG8AdABhAHMAaAAgACgATQBPAFAAKQBcACIALAAwAC4AMwAsAFwAIgBcACIALABcACIAXAAiACwAXAAiAFwAIgAsAFwAIgBcACIALABcACIAXAAiACwAXAAiAFwAIgAsAFwAIgBcACIALABcACIAXAAiACwAXAAiAFwAIgAsAFwAIgBcACIALABcACIAXAAiACwAXAAiAFwAIgAsAFwAIgBcACIALABcACIAXAAiACwAXAAiAFwAIgAsAFwAIgBcACIAOwBcAG4AXAAiAFkAYQByAGEAXAAiACwAXAAiAFkAYQByAGEAQgBlAGwAYQAgAEMAQQBOAC0AMgA3AFwAIgAsAFwAIgBrAGcAXAAiACwAMQAsAFwAIgBcACIALABcACIAXAAiACwAXAAiAFwAIgAsADIANwAsAFwAIgBcACIALABcACIAXAAiACwAXAAiAFwAIgAsAFwAIgBDAGEAbABjAGkAdQBtACAAYQBtAG0AbwBuAGkAdQBtACAAbgBpAHQAcgBhAHQAZQAgACgAQwBBAE4AK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DAGEAbAAtAEcAcgBhAG4AIABBAGYAdABlAHIAZwByAGEAegBlAFwAIgAsAFwAIgBrAGcAXAAiACwAMQAsAFwAIgBcACIALABcACIAXAAiACwAXAAiAFwAIgAsADIAMAAuADYALAAzACwANwAuADUALAAzAC4AOAAsAFwAIgBOAGkAdAByAG8AZwBlAG4AIAAtACAATgBpAHQAcgBhAHQAZQBcACIALAAwAC4AMAA2ADQALABcACIATgBpAHQAcgBvAGcAZQBuACAALQAgAEEAbQBtAG8AbgBpAGEAYwBhAGwAXAAiACwAMAAuADEANAAyACwAXAAiAFAAaABvAHMAcABoAG8AcgB1AHMAIAAtACAARwBlAG4AZQByAGkAYwBcACIALAAwAC4AMAAzACwAXAAiAFAAbwB0AGEAcwBzAGkAdQBtACAALQAgAEcAZQBuAGUAcgBpAGMAXAAiACwAMAAuADAANwA1ACwAXAAiAFMAdQBsAGYAdQByACAALQAgAEcAZQBuAGUAcgBpAGMAXAAiACwAMAAuADAAMwA4ACwAXAAiAEMAYQBsAGMAaQB1AG0AXAAiACwAMAAuADAANAA0ACwAXAAiAFwAIgAsAFwAIgBcACIALABcACIAXAAiACwAXAAiAFwAIgAsAFwAIgBcACIALABcACIAXAAiACwAXAAiAFwAIgAsAFwAIgBcACIAOwBcAG4AXAAiAEkAbgBjAGkAdABlAGMAIABQAGkAdgBvAHQAIABGAGUAcgB0AGkAbABpAHMAZQByAHMAXAAiACwAXAAiAEMAYQBsAC0ARwByAGEAbgAgAFAAcgBvAGQAcgBlAHMAcwBcACIALABcACIAawBnAFwAIgAsADEALABcACIAXAAiACwAXAAiAFwAIgAsAFwAIgBcACIALAAxADcALgA4ACwAMQAsADEANQAsADIALgA1ACwAXAAiAE4AaQB0AHIAbwBnAGUAbgAgAC0AIABOAGkAdAByAGEAdABlAFwAIgAsADAALgAwADUANQAsAFwAIgBOAGkAdAByAG8AZwBlAG4AIAAtACAAQQBtAG0AbwBuAGkAYQBjAGEAbABcACIALAAwAC4AMQAyADMALABcACIAUABoAG8AcwBwAGgAbwByAHUAcwAgAC0AIABHAGUAbgBlAHIAaQBjAFwAIgAsADAALgAwADEALABcACIAUABvAHQAYQBzAHMAaQB1AG0AIAAtACAARwBlAG4AZQByAGkAYwBcACIALAAwAC4AMQA1ACwAXAAiAFMAdQBsAGYAdQByACAALQAgAEcAZQBuAGUAcgBpAGMAXAAiACwAMAAuADAAMgA1ACwAXAAiAEMAYQBsAGMAaQB1AG0AXAAiACwAMAAuADAANAA0ACwAXAAiAFwAIgAsAFwAIgBcACIALABcACIAXAAiACwAXAAiAFwAIgAsAFwAIgBcACIALABcACIAXAAiACwAXAAiAFwAIgAsAFwAIgBcACIAOwBcAG4AXAAiAFcAZQBuAGcAZgB1ACAAQQB1AHMAdAByAGEAbABpAGEAXAAiACwAXAAiAFcAZQBuAGcAZgB1ACAAUAByAGkAbQBlAFoAaQBuAGMAIAAxADAAXAAiACwAXAAiAGsAZwBcACIALAAxACwAXAAiAFwAIgAsAFwAIgBcACIALABcACIAXAAiACwAMQAwACwAMgAyACwAXAAiAFwAIgAsADEALgA1ACwAXAAiAE4AaQB0AHIAbwBnAGUAbgAgAC0AIABHAGUAbgBlAHIAaQBjAFwAIgAsADAALgAxACwAXAAiAFAAaABvAHMAcABoAG8AcgB1AHMAIAAtACAARwBlAG4AZQByAGkAYwBcACIALAAwAC4AMgAyACwAXAAiAFMAdQBsAGYAdQByACAALQAgAEcAZQBuAGUAcgBpAGMAXAAiACwAMAAuADAAMQA1ACwAXAAiAFoAaQBuAGMAXAAiACwAMAAuADAAMQAsAFwAIgBcACIALABcACIAXAAiACwAXAAiAFwAIgAsAFwAIgBcACIALABcACIAXAAiACwAXAAiAFwAIgAsAFwAIgBcACIALABcACIAXAAiACwAXAAiAFwAIgAsAFwAIgBcACIALABcACIAXAAiACwAXAAiAFwAIgA7AFwAbgBcACIAVwBlAG4AZwBmAHUAIABBAHUAcwB0AHIAYQBsAGkAYQBcACIALABcACIAVwBlAG4AZwBmAHUAIABQAGEAcwB0AHUAcgBlACAASwBpAG4AZwBcACIALABcACIAawBnAFwAIgAsADEALABcACIAXAAiACwAXAAiAFwAIgAsAFwAIgBcACIALABcACIAXAAiACwAMQA1AC4ANwAsAFwAIgBcACIALAA0AC4ANgAsAFwAIgBQAGgAbwBzAHAAaABvAHIAdQBzACAALQAgAEcAZQBuAGUAcgBpAGMAXAAiACwAMAAuADEANQA3ACwAXAAiAFMAdQBsAGYAdQByACAALQAgAEcAZQBuAGUAcgBpAGMAXAAiACwAMAAuADAANAA2ACwAXAAiAEMAYQBsAGMAaQB1AG0AXAAiACwAMAAuADEANAAsAFwAIgBcACIALABcACIAXAAiACwAXAAiAFwAIgAsAFwAIgBcACIALABcACIAXAAiACwAXAAiAFwAIgAsAFwAIgBcACIALABcACIAXAAiACwAXAAiAFwAIgAsAFwAIgBcACIALABcACIAXAAiACwAXAAiAFwAIgAsAFwAIgBcACIALABcACIAXAAiADsAXABuAFwAIgBXAGUAbgBnAGYAdQAgAEEAdQBzAHQAcgBhAGwAaQBhAFwAIgAsAFwAIgBXAGUAbgBnAGYAdQAgAFMAdQBTAHQAYQBpAG4AXAAiACwAXAAiAGsAZwBcACIALAAxACwAXAAiAFwAIgAsAFwAIgBcACIALABcACIAXAAiACwAXAAiAFwAIgAsAFwAIgBcACIALABcACIAXAAiACwAOQAwACwAXAAiAFMAdQBsAGYAdQByACAALQAgAEcAZQBuAGUAcgBpAGMAXAAiACwAMAAuADkALABcACIAXAAiACwAXAAiAFwAIgAsAFwAIgBcACIALABcACIAXAAiACwAXAAiAFwAIgAsAFwAIgBcACIALABcACIAXAAiACwAXAAiAFwAIgAsAFwAIgBcACIALABcACIAXAAiACwAXAAiAFwAIgAsAFwAIgBcACIALABcACIAXAAiACwAXAAiAFwAIgAsAFwAIgBcACIALABcACIAXAAiACwAXAAiAFwAIgAsAFwAIgBcACIAOwBcAG4AXAAiAFcAZQBuAGcAZgB1ACAAQQB1AHMAdAByAGEAbABpAGEAXAAiACwAXAAiAFcAZQBuAGcAZgB1ACAAUwBsAGEAbQBcACIALABcACIAawBnAFwAIgAsADEALABcACIAXAAiACwAXAAiAFwAIgAsAFwAIgBcACIALAAxADkALgA1ACwAMAAuADcALABcACIAXAAiACwAMgAzACwAXAAiAE4AaQB0AHIAbwBnAGUAbgAgAC0AIABHAGUAbgBlAHIAaQBjAFwAIgAsADAALgAxADkANQAsAFwAIgBQAGgAbwBzAHAAaABvAHIAdQBzACAALQAgAEcAZQBuAGUAcgBpAGMAXAAiACwAMAAuADAAMAA3ACwAXAAiAFMAdQBsAGYAdQByACAALQAgAEcAZQBuAGUAcgBpAGMAXAAiACwAMAAuADIAMwAsAFwAIgBcACIALABcACIAXAAiACwAXAAiAFwAIgAsAFwAIgBcACIALABcACIAXAAiACwAXAAiAFwAIgAsAFwAIgBcACIALABcACIAXAAiACwAXAAiAFwAIgAsAFwAIgBcACIALABcACIAXAAiACwAXAAiAFwAIgAsAFwAIgBcACIALABcACIAXAAiADsAXABuAFwAIgBXAGUAbgBnAGYAdQAgAEEAdQBzAHQAcgBhAGwAaQBhAFwAIgAsAFwAIgBXAGUAbgBnAGYAdQAgAFAAcgBpAG0AZQAgAE0AUwBaAFwAIgAsAFwAIgBrAGcAXAAiACwAMQAsAFwAIgBcACIALABcACIAXAAiACwAXAAiAFwAIgAsADEAMAAsADEAOAAsAFwAIgBcACIALAA4ACwAXAAiAE4AaQB0AHIAbwBnAGUAbgAgAC0AIABHAGUAbgBlAHIAaQBjAFwAIgAsADAALgAxACwAXAAiAFAAaABvAHMAcABoAG8AcgB1AHMAIAAtACAARwBlAG4AZQByAGkAYwBcACIALAAwAC4AMQA4ACwAXAAiAFMAdQBsAGYAdQByACAALQAgAEcAZQBuAGUAcgBpAGMAXAAiACwAMAAuADAAOAAsAFwAIgBaAGkAbgBjAFwAIgAsADAALgAwADAANQAsAFwAIgBcACIALABcACIAXAAiACwAXAAiAFwAIgAsAFwAIgBcACIALABcACIAXAAiACwAXAAiAFwAIgAsAFwAIgBcACIALABcACIAXAAiACwAXAAiAFwAIgAsAFwAIgBcACIALABcACIAXAAiACwAXAAiAFwAIgA7AFwAbgBcACIAVwBlAG4AZwBmAHUAIABBAHUAcwB0AHIAYQBsAGkAYQBcACIALABcACIAVwBlAG4AZwBmAHUAIAA5AC0AMgAwAC0AMAAtADEAMAAgAE0AQQBQACAAUwB1AFMAdABhAGkAbgBcACIALABcACIAawBnAFwAIgAsADEALABcACIAXAAiACwAXAAiAFwAIgAsAFwAIgBcACIALAA5ACwAMQA5AC4AOAAsADAALAAxADAALgA0ACwAXAAiAE4AaQB0AHIAbwBnAGUAbgAgAC0AIABHAGUAbgBlAHIAaQBjAFwAIgAsADAALgAwADkALABcACIAUABoAG8AcwBwAGgAbwByAHUAcwAgAC0AIABHAGUAbgBlAHIAaQBjAFwAIgAsADAALgAxADkAOAAsAFwAIgBTAHUAbABmAHUAcgAgAC0AIABHAGUAbgBlAHIAaQBjAFwAIgAsADAALgAxADAANAAsAFwAIgBcACIALABcACIAXAAiACwAXAAiAFwAIgAsAFwAIgBcACIALABcACIAXAAiACwAXAAiAFwAIgAsAFwAIgBcACIALABcACIAXAAiACwAXAAiAFwAIgAsAFwAIgBcACIALABcACIAXAAiACwAXAAiAFwAIgAsAFwAIgBcACIALABcACIAXAAiADsAXABuAFwAIgBXAGUAbgBnAGYAdQAgAEEAdQBzAHQAcgBhAGwAaQBhAFwAIgAsAFwAIgBXAGUAbgBnAGYAdQAgADEANQAtADEANwAtADAALQAxADUAIABEAEEAUAAgAFMAdQBTAHQAYQBpAG4AXAAiACwAXAAiAGsAZwBcACIALAAxACwAXAAiAFwAIgAsAFwAIgBcACIALABcACIAXAAiACwAMQA1AC4AMgAsADEANgAuADkALAAwACwAMQA1AC4AMgAsAFwAIgBOAGkAdAByAG8AZwBlAG4AIAAtACAARwBlAG4AZQByAGkAYwBcACIALAAwAC4AMQA1ADIALABcACIAUABoAG8AcwBwAGgAbwByAHUAcwAgAC0AIABHAGUAbgBlAHIAaQBjAFwAIgAsADAALgAxADYAOQAsAFwAIgBTAHUAbABmAHUAcgAgAC0AIABHAGUAbgBlAHIAaQBjAFwAIgAsADAALgAxADUAMgAsAFwAIgBcACIALABcACIAXAAiACwAXAAiAFwAIgAsAFwAIgBcACIALABcACIAXAAiACwAXAAiAFwAIgAsAFwAIgBcACIALABcACIAXAAiACwAXAAiAFwAIgAsAFwAIgBcACIALABcACIAXAAiACwAXAAiAFwAIgAsAFwAIgBcACIALABcACIAXAAiADsAXABuAFwAIgBXAGUAbgBnAGYAdQAgAEEAdQBzAHQAcgBhAGwAaQBhAFwAIgAsAFwAIgBXAGUAbgBnAGYAdQAgADEANgAtADEAOAAtADAALQAxADAAIABEAEEAUAAgAFMAdQBTAHQAYQBpAG4AXAAiACwAXAAiAGsAZwBcACIALAAxACwAXAAiAFwAIgAsAFwAIgBcACIALABcACIAXAAiACwAMQA2AC4AMgAsADEAOAAsADAALAAxADAALgA0ACwAXAAiAE4AaQB0AHIAbwBnAGUAbgAgAC0AIABHAGUAbgBlAHIAaQBjAFwAIgAsADAALgAxADYAMgAsAFwAIgBQAGgAbwBzAHAAaABvAHIAdQBzACAALQAgAEcAZQBuAGUAcgBpAGMAXAAiACwAMAAuADEAOAAsAFwAIgBTAHUAbABmAHUAcgAgAC0AIABHAGUAbgBlAHIAaQBjAFwAIgAsADAALgAxADAANAAsAFwAIgBcACIALABcACIAXAAiACwAXAAiAFwAIgAsAFwAIgBcACIALABcACIAXAAiACwAXAAiAFwAIgAsAFwAIgBcACIALABcACIAXAAiACwAXAAiAFwAIgAsAFwAIgBcACIALABcACIAXAAiACwAXAAiAFwAIgAsAFwAIgBcACIALABcACIAXAAiADsAXABuAFwAIgBXAGUAbgBnAGYAdQAgAEEAdQBzAHQAcgBhAGwAaQBhAFwAIgAsAFwAIgBXAGUAbgBnAGYAdQAgADUALQAxADUALQAwAC0ANgAgAEYAYQBzAHQAIABTAHQAYQByAHQAIABMAGUAZwB1AG0AZQBcACIALABcACIAawBnAFwAIgAsADEALABcACIAXAAiACwAXAAiAFwAIgAsAFwAIgBcACIALAA1ACwAMQA1AC4ANAAsADAALAA2AC4AMwAsAFwAIgBOAGkAdAByAG8AZwBlAG4AIAAtACAARwBlAG4AZQByAGkAYwBcACIALAAwAC4AMAA1ACwAXAAiAFAAaABvAHMAcABoAG8AcgB1AHMAIAAtACAARwBlAG4AZQByAGkAYwBcACIALAAwAC4AMQA1ADQALABcACIAUwB1AGwAZgB1AHIAIAAtACAARwBlAG4AZQByAGkAYwBcACIALAAwAC4AMAA2ADMALABcACIAXAAiACwAXAAiAFwAIgAsAFwAIgBcACIALABcACIAXAAiACwAXAAiAFwAIgAsAFwAIgBcACIALABcACIAXAAiACwAXAAiAFwAIgAsAFwAIgBcACIALABcACIAXAAiACwAXAAiAFwAIgAsAFwAIgBcACIALABcACIAXAAiACwAXAAiAFwAIgA7AFwAbgBcACIAVwBlAG4AZwBmAHUAIABBAHUAcwB0AHIAYQBsAGkAYQBcACIALABcACIAVwBlAG4AZwBmAHUAIAA5AC0AMgAwAC0AMAAtADEAMAAgAFAAcgBpAG0AZQBaAGkAbgBjAFwAIgAsAFwAIgBrAGcAXAAiACwAMQAsAFwAIgBcACIALABcACIAXAAiACwAXAAiAFwAIgAsADkALAAxADkALgA4ACwAMAAsADEAMAAuADQALABcACIATgBpAHQAcgBvAGcAZQBuACAALQAgAEcAZQBuAGUAcgBpAGMAXAAiACwAMAAuADAAOQAsAFwAIgBQAGgAbwBzAHAAaABvAHIAdQBzACAALQAgAEcAZQBuAGUAcgBpAGMAXAAiACwAMAAuADEAOQA4ACwAXAAiAFMAdQBsAGYAdQByACAALQAgAEcAZQBuAGUAcgBpAGMAXAAiACwAMAAuADEAMAA0ACwAXAAiAFoAaQBuAGMAXAAiACwAMAAuADAAMAA5ACwAXAAiAFwAIgAsAFwAIgBcACIALABcACIAXAAiACwAXAAiAFwAIgAsAFwAIgBcACIALABcACIAXAAiACwAXAAiAFwAIgAsAFwAIgBcACIALABcACIAXAAiACwAXAAiAFwAIgAsAFwAIgBcACIALABcACIAXAAiADsAXABuAFwAIgBXAGUAbgBnAGYAdQAgAEEAdQBzAHQAcgBhAGwAaQBhAFwAIgAsAFwAIgBXAGUAbgBnAGYAdQAgADEAMgAtADEAOAAtADAALQA2ACAAUAByAGkAbQBlAFoAaQBuAGMAXAAiACwAXAAiAGsAZwBcACIALAAxACwAXAAiAFwAIgAsAFwAIgBcACIALABcACIAXAAiACwAMQAxAC4AOQAsADEANwAuADYALAAwACwANQAuADkALABcACIATgBpAHQAcgBvAGcAZQBuACAALQAgAEcAZQBuAGUAcgBpAGMAXAAiACwAMAAuADEAMQA5ACwAXAAiAFAAaABvAHMAcABoAG8AcgB1AHMAIAAtACAARwBlAG4AZQByAGkAYwBcACIALAAwAC4AMQA3ADYALABcACIAUwB1AGwAZgB1AHIAIAAtACAARwBlAG4AZQByAGkAYwBcACIALAAwAC4AMAA1ADkALABcACIAWgBpAG4AYwBcACIALAAwAC4AMAAwADgALABcACIAXAAiACwAXAAiAFwAIgAsAFwAIgBcACIALABcACIAXAAiACwAXAAiAFwAIgAsAFwAIgBcACIALABcACIAXAAiACwAXAAiAFwAIgAsAFwAIgBcACIALABcACIAXAAiACwAXAAiAFwAIgAsAFwAIgBcACIAOwBcAG4AXAAiAFcAZQBuAGcAZgB1ACAAQQB1AHMAdAByAGEAbABpAGEAXAAiACwAXAAiAFcAZQBuAGcAZgB1ACAAMQA0AC0AMQAzAC0AMAAtADEAMQAgAFAAcgBpAG0AZQBaAGkAbgBjAFwAIgAsAFwAIgBrAGcAXAAiACwAMQAsAFwAIgBcACIALABcACIAXAAiACwAXAAiAFwAIgAsADEANAAuADEALAAxADIALgA4ACwAMAAsADEAMAAuADcALABcACIATgBpAHQAcgBvAGcAZQBuACAALQAgAEcAZQBuAGUAcgBpAGMAXAAiACwAMAAuADEANAAxACwAXAAiAFAAaABvAHMAcABoAG8AcgB1AHMAIAAtACAARwBlAG4AZQByAGkAYwBcACIALAAwAC4AMQAyADgALABcACIAUwB1AGwAZgB1AHIAIAAtACAARwBlAG4AZQByAGkAYwBcACIALAAwAC4AMQAwADcALABcACIAWgBpAG4AYwBcACIALAAwAC4AMAAwADYALABcACIAXAAiACwAXAAiAFwAIgAsAFwAIgBcACIALABcACIAXAAiACwAXAAiAFwAIgAsAFwAIgBcACIALABcACIAXAAiACwAXAAiAFwAIgAsAFwAIgBcACIALABcACIAXAAiACwAXAAiAFwAIgAsAFwAIgBcACIAXABuACAAIAB9ACwAIAByACwAIABjACkAXABuACAAKQApACkAOwBcAG4AXABuAFwAbgBGAGUAcgB0AGkAbABpAHMAZQByAF8AUAByAG8AZAB1AGMAdABzAF8ARABhAHQAYQA1AFwAbgA9AEwAQQBNAEIARABBACgAXABuACAATQBBAEsARQBBAFIAUgBBAFkAKAAxADQALAAgADMAMQAsAFwAbgAgAEwAQQBNAEIARABBACgAcgAsAGMALABcAG4AIAAgAEkATgBEAEUAWAAoAHsAXABuAFwAIgBXAGUAbgBnAGYAdQAgAEEAdQBzAHQAcgBhAGwAaQBhAFwAIgAsAFwAIgBXAGUAbgBnAGYAdQAgADEAOQAtADEAMwAtADAALQA3ACAAUAByAGkAbQBlAFoAaQBuAGMAXAAiACwAXAAiAGsAZwBcACIALAAxACwAXAAiAFwAIgAsAFwAIgBcACIALABcACIAXAAiACwAMQA4AC4ANgAsADEAMgAuADcALAAwACwANgAuADgALABcACIATgBpAHQAcgBvAGcAZQBuACAALQAgAEcAZQBuAGUAcgBpAGMAXAAiACwAMAAuADEAOAA2ACwAXAAiAFAAaABvAHMAcABoAG8AcgB1AHMAIAAtACAARwBlAG4AZQByAGkAYwBcACIALAAwAC4AMQAyADcALABcACIAUwB1AGwAZgB1AHIAIAAtACAARwBlAG4AZQByAGkAYwBcACIALAAwAC4AMAA2ADgALABcACIAWgBpAG4AYwBcACIALAAwAC4AMAAwADYALABcACIAXAAiACwAXAAiAFwAIgAsAFwAIgBcACIALABcACIAXAAiACwAXAAiAFwAIgAsAFwAIgBcACIALABcACIAXAAiACwAXAAiAFwAIgAsAFwAIgBcACIALABcACIAXAAiACwAXAAiAFwAIgAsAFwAIgBcACIAOwBcAG4AXAAiAFcAZQBuAGcAZgB1ACAAQQB1AHMAdAByAGEAbABpAGEAXAAiACwAXAAiAFcAZQBuAGcAZgB1ACAAQgBvAG8AcwB0AGUAcgAgAEsAXAAiACwAXAAiAGsAZwBcACIALAAxACwAXAAiAFwAIgAsAFwAIgBcACIALABcACIAXAAiACwAMwAyACwAMAAsADEAMQAsADMALABcACIATgBpAHQAcgBvAGcAZQBuACAALQAgAEcAZQBuAGUAcgBpAGMAXAAiACwAMAAuADMAMgAsAFwAIgBQAG8AdABhAHMAcwBpAHUAbQAgAC0AIABHAGUAbgBlAHIAaQBjAFwAIgAsADAALgAxADEALABcACIAUwB1AGwAZgB1AHIAIAAtACAARwBlAG4AZQByAGkAYwBcACIALAAwAC4AMAAz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FIAaQBjAGgAIAAxAFwAIgAsAFwAIgBrAGcAXAAiACwAMQAsAFwAIgBcACIALABcACIAXAAiACwAXAAiAFwAIgAsADMAMQAsADYALAAwACwANgAsAFwAIgBOAGkAdAByAG8AZwBlAG4AIAAtACAARwBlAG4AZQByAGkAYwBcACIALAAwAC4AMwAxACwAXAAiAFAAaABvAHMAcABoAG8AcgB1AHMAIAAtACAARwBlAG4AZQByAGkAYwBcACIALAAwAC4AMAA2ACwAXAAiAFMAdQBsAGYAdQByACAALQAgAEcAZQBuAGUAcgBpAGMAXAAiACwAMAAuADAANg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HAHIAYQBzAHMAIABEAEEAUABcACIALABcACIAawBnAFwAIgAsADEALABcACIAXAAiACwAXAAiAFwAIgAsAFwAIgBcACIALAAyADEALAA0ACwAOAAsADcALABcACIATgBpAHQAcgBvAGcAZQBuACAALQAgAEcAZQBuAGUAcgBpAGMAXAAiACwAMAAuADIAMQAsAFwAIgBQAGgAbwBzAHAAaABvAHIAdQBzACAALQAgAEcAZQBuAGUAcgBpAGMAXAAiACwAMAAuADAANAAsAFwAIgBQAG8AdABhAHMAcwBpAHUAbQAgAC0AIABHAGUAbgBlAHIAaQBjAFwAIgAsADAALgAwADgALABcACIAUwB1AGwAZgB1AHIAIAAtACAARwBlAG4AZQByAGkAYwBcACIALAAwAC4AMAA3ACwAXAAiAFwAIgAsAFwAIgBcACIALABcACIAXAAiACwAXAAiAFwAIgAsAFwAIgBcACIALABcACIAXAAiACwAXAAiAFwAIgAsAFwAIgBcACIALABcACIAXAAiACwAXAAiAFwAIgAsAFwAIgBcACIALABcACIAXAAiADsAXABuAFwAIgBXAGUAbgBnAGYAdQAgAEEAdQBzAHQAcgBhAGwAaQBhAFwAIgAsAFwAIgBXAGUAbgBnAGYAdQAgAEEAZgB0AGUAcgBnAHIAYQB6AGUAXAAiACwAXAAiAGsAZwBcACIALAAxACwAXAAiAFwAIgAsAFwAIgBcACIALABcACIAXAAiACwAMgAzACwAMAAsADIANQAsADAALABcACIATgBpAHQAcgBvAGcAZQBuACAALQAgAEcAZQBuAGUAcgBpAGMAXAAiACwAMAAuADIAMwAsAFwAIgBQAG8AdABhAHMAcwBpAHUAbQAgAC0AIABHAGUAbgBlAHIAaQBjAFwAIgAsADAALgAyADU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aQBkAGUAZAByAGUAcwBzAFwAIgAsAFwAIgBrAGcAXAAiACwAMQAsAFwAIgBcACIALABcACIAXAAiACwAXAAiAFwAIgAsADIANQAsADQALAAxADMALAA0ACwAXAAiAE4AaQB0AHIAbwBnAGUAbgAgAC0AIABHAGUAbgBlAHIAaQBjAFwAIgAsADAALgAyADUALABcACIAUABoAG8AcwBwAGgAbwByAHUAcwAgAC0AIABHAGUAbgBlAHIAaQBjAFwAIgAsADAALgAwADQALABcACIAUABvAHQAYQBzAHMAaQB1AG0AIAAtACAARwBlAG4AZQByAGkAYwBcACIALAAwAC4AMQAz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QAGEAcwB0AHUAcgBlACAAQgBvAG8AcwB0AGUAcgBcACIALABcACIAawBnAFwAIgAsADEALABcACIAXAAiACwAXAAiAFwAIgAsAFwAIgBcACIALAAxADMALAA1ACwAMgA0ACwANQAsAFwAIgBOAGkAdAByAG8AZwBlAG4AIAAtACAARwBlAG4AZQByAGkAYwBcACIALAAwAC4AMQAzACwAXAAiAFAAaABvAHMAcABoAG8AcgB1AHMAIAAtACAARwBlAG4AZQByAGkAYwBcACIALAAwAC4AMAA1ACwAXAAiAFAAbwB0AGEAcwBzAGkAdQBtACAALQAgAEcAZQBuAGUAcgBpAGMAXAAiACwAMAAuADIANAAsAFwAIgBTAHUAbABmAHUAcgAgAC0AIABHAGUAbgBlAHIAaQBjAFwAIgAsADAALgAwADUALABcACIAXAAiACwAXAAiAFwAIgAsAFwAIgBcACIALABcACIAXAAiACwAXAAiAFwAIgAsAFwAIgBcACIALABcACIAXAAiACwAXAAiAFwAIgAsAFwAIgBcACIALABcACIAXAAiACwAXAAiAFwAIgAsAFwAIgBcACIAOwBcAG4AXAAiAFcAZQBuAGcAZgB1ACAAQQB1AHMAdAByAGEAbABpAGEAXAAiACwAXAAiAFcAZQBuAGcAZgB1ACAARABBAFAAIABIAGEAeQAgAEIAbwBvAHMAdABlAHIAXAAiACwAXAAiAGsAZwBcACIALAAxACwAXAAiAFwAIgAsAFwAIgBcACIALABcACIAXAAiACwAMQAxACwANQAsADIANAAsADQALABcACIATgBpAHQAcgBvAGcAZQBuACAALQAgAEcAZQBuAGUAcgBpAGMAXAAiACwAMAAuADEAMQAsAFwAIgBQAGgAbwBzAHAAaABvAHIAdQBzACAALQAgAEcAZQBuAGUAcgBpAGMAXAAiACwAMAAuADAANQAsAFwAIgBQAG8AdABhAHMAcwBpAHUAbQAgAC0AIABHAGUAbgBlAHIAaQBjAFwAIgAsADAALgAyADQ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E0AQQBQACAASABhAHkAIABCAG8AbwBzAHQAZQByAFwAIgAsAFwAIgBrAGcAXAAiACwAMQAsAFwAIgBcACIALABcACIAXAAiACwAXAAiAFwAIgAsADEAMQAsADgALAAyADAALAA2ACwAXAAiAE4AaQB0AHIAbwBnAGUAbgAgAC0AIABHAGUAbgBlAHIAaQBjAFwAIgAsADAALgAxADEALABcACIAUABoAG8AcwBwAGgAbwByAHUAcwAgAC0AIABHAGUAbgBlAHIAaQBjAFwAIgAsADAALgAwADgALABcACIAUABvAHQAYQBzAHMAaQB1AG0AIAAtACAARwBlAG4AZQByAGkAYwBcACIALAAwAC4AMgAsAFwAIgBTAHUAbABmAHUAcgAgAC0AIABHAGUAbgBlAHIAaQBjAFwAIgAsADAALgAwADYALABcACIAXAAiACwAXAAiAFwAIgAsAFwAIgBcACIALABcACIAXAAiACwAXAAiAFwAIgAsAFwAIgBcACIALABcACIAXAAiACwAXAAiAFwAIgAsAFwAIgBcACIALABcACIAXAAiACwAXAAiAFwAIgAsAFwAIgBcACIAOwBcAG4AXAAiAFcAZQBuAGcAZgB1ACAAQQB1AHMAdAByAGEAbABpAGEAXAAiACwAXAAiAFcAZQBuAGcAZgB1ACAARgBvAGQAZABlAHIAIABCAG8AbwBzAHQAZQByAFwAIgAsAFwAIgBrAGcAXAAiACwAMQAsAFwAIgBcACIALABcACIAXAAiACwAXAAiAFwAIgAsADkALAA0ACwANQAsADEANQAsAFwAIgBOAGkAdAByAG8AZwBlAG4AIAAtACAARwBlAG4AZQByAGkAYwBcACIALAAwAC4AMAA5ACwAXAAiAFAAaABvAHMAcABoAG8AcgB1AHMAIAAtACAARwBlAG4AZQByAGkAYwBcACIALAAwAC4AMAA0ACwAXAAiAFAAbwB0AGEAcwBzAGkAdQBtACAALQAgAEcAZQBuAGUAcgBpAGMAXAAiACwAMAAuADAANQAsAFwAIgBTAHUAbABmAHUAcgAgAC0AIABHAGUAbgBlAHIAaQBjAFwAIgAsADAALgAxADUALABcACIAXAAiACwAXAAiAFwAIgAsAFwAIgBcACIALABcACIAXAAiACwAXAAiAFwAIgAsAFwAIgBcACIALABcACIAXAAiACwAXAAiAFwAIgAsAFwAIgBcACIALABcACIAXAAiACwAXAAiAFwAIgAsAFwAIgBcACIAOwBcAG4AXAAiAEMAUwBCAFAAXAAiACwAXAAiAEsALQBUAGkAbABsACAARQB4AHQAcgBhAFwAIgAsAFwAIgBrAGcAXAAiACwAMQAsAFwAIgBcACIALABcACIAXAAiACwAXAAiAFwAIgAsADEAMAAuADcAMwAsADEAMAAuADkANQAsADEAMQAuADMANQAsADYALgA1ADUALABcACIATQBvAG4AbwBhAG0AbQBvAG4AaQB1AG0AIABwAGgAbwBzAHAAaABhAHQAZQAgACgATQBBAFAAKQBcACIALAAwAC4ANQAsAFwAIgBTAHUAbABwAGgAYQB0AGUAIABvAGYAIABhAG0AbQBvAG4AaQBhACAAKABTAE8AQQApAFwAIgAsADAALgAyADcAMwAsAFwAIgBNAHUAcgBpAGEAdABlACAAbwBmACAAcABvAHQAYQBzAGgAIAAoAE0ATwBQACkAXAAiACwAMAAuADIAMgA3ACwAXAAiAEMAbwBwAHAAZQByAFwAIgAsAFwAIgBOAG8AIABkAGEAdABhAFwAIgAsAFwAIgBaAGkAbgBjAFwAIgAsAFwAIgBOAG8AIABkAGEAdABhAFwAIgAsAFwAIgBcACIALABcACIAXAAiACwAXAAiAFwAIgAsAFwAIgBcACIALABcACIAXAAiACwAXAAiAFwAIgAsAFwAIgBcACIALABcACIAXAAiACwAXAAiAFwAIgAsAFwAIgBcACIAOwBcAG4AXAAiAEMAUwBCAFAAXAAiACwAXAAiAEEAZwByAGEAcwAgAEUAeAB0AHIAYQBcACIALABcACIAawBnAFwAIgAsADEALABcACIAXAAiACwAXAAiAFwAIgAsAFwAIgBcACIALAAxADYALgA5ADUALAA4AC4AMAA2ACwAXAAiAFwAIgAsADEANQAuADEANwAsAFwAIgBTAHUAbABwAGgAYQB0AGUAIABvAGYAIABhAG0AbQBvAG4AaQBhACAAKABTAE8AQQApAFwAIgAsADAALgA2ADMAMgAsAFwAIgBNAG8AbgBvAGEAbQBtAG8AbgBpAHUAbQAgAHAAaABvAHMAcABoAGEAdABlACAAKABNAEEAUAApAFwAIgAsADAALgAzADYAOAAsAFwAIgBaAGkAbgBjAFwAIgAsAFwAIgBOAG8AIABkAGEAdABhAFwAIgAsAFwAIgBDAG8AcABwAGUAcgBcACIALABcACIATgBvACAAZABhAHQAYQBcACIALABcACIATQBvAGwAeQBiAGQAZQBuAHUAbQBcACIALABcACIATgBvACAAZABhAHQAYQBcACIALABcACIAQwBvAGIAYQBsAHQAXAAiACwAXAAiAE4AbwAgAGQAYQB0AGEAXAAiACwAXAAiAFwAIgAsAFwAIgBcACIALABcACIAXAAiACwAXAAiAFwAIgAsAFwAIgBcACIALABcACIAXAAiACwAXAAiAFwAIgAsAFwAIgBcACIAOwBcAG4AXAAiAEMAUwBCAFAAXAAiACwAXAAiAFMAdQBwAGUAcgAgAEMAbwBwAHAAZQByACAAWgBpAG4AYwAgAE0AbwBsAHkAXAAiACwAXAAiAGsAZwBcACIALAAxACwAXAAiAFwAIgAsAFwAIgBcACIALABcACIAXAAiACwAXAAiAFwAIgAsADgALgA4ACwAXAAiAFwAIgAsADEAMQAsAFwAIgBTAGkAbgBnAGwAZQAgAHMAdQBwAGUAcgBwAGgAbwBzAHAAaABhAHQAZQAgACgAUwBTAFAAKQBcACIALAAxACwAXAAiAEMAbwBwAHAAZQByAFwAIgAsADAALgAwADAANgAsAFwAIgBaAGkAbgBjAFwAIgAsADAALgAwADAAMwAsAFwAIgBNAG8AbAB5AGIAZABlAG4AdQBtAFwAIgAsADAALgAwADAAMAA2ACwAXAAiAFwAIgAsAFwAIgBcACIALABcACIAXAAiACwAXAAiAFwAIgAsAFwAIgBcACIALABcACIAXAAiACwAXAAiAFwAIgAsAFwAIgBcACIALABcACIAXAAiACwAXAAiAFwAIgAsAFwAIgBcACIALABcACIAXAAiADsAXABuAFwAIgBDAFMAQgBQAFwAIgAsAFwAIgBGAGwAZQB4AGkALQBOAFwAIgAsAFwAIgBMAFwAIgAsADEALgAzADIALABcACIAXAAiACwAXAAiAFwAIgAsAFwAIg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A7AFwAbgBcAG4AXABuAFwAbgAiAH0ALAB7ACIAcABhAHQAaAAiADoAIgAvAHAAcgBvAGoAZQBjAHQAcwAvAEUAbABlAGMAdAByAGkAYwBpAHQAeQBfAEUAcQB1AGEAdABpAG8AbgBzACIALAAiAHQAZQB4AHQAIgA6ACIALwAqAFwAbgA9AD0APQA9AD0APQA9AD0APQA9AD0APQA9AD0APQA9AD0APQA9AD0APQA9AD0APQA9AD0APQA9AD0APQA9AD0APQA9AD0APQA9AD0APQA9AD0APQA9AD0APQA9AD0APQA9AD0APQA9AD0APQA9AD0APQA9AD0APQA9AD0APQA9AD0APQA9AD0APQA9AD0APQA9AD0APQA9AFwAbgAxADQAOgAgAEUAbABlAGMAdAByAGkAYwBpAHQAeQBcAG4APQA9AD0APQA9AD0APQA9AD0APQA9AD0APQA9AD0APQA9AD0APQA9AD0APQA9AD0APQA9AD0APQA9AD0APQA9AD0APQA9AD0APQA9AD0APQA9AD0APQA9AD0APQA9AD0APQA9AD0APQA9AD0APQA9AD0APQA9AD0APQA9AD0APQA9AD0APQA9AD0APQA9AD0APQA9AD0APQBcAG4AMQA0AC4AMQAuADEAIABQAHUAcgBjAGgAYQBzAGUAZAAgAEUAbABlAGMAdAByAGkAYwBpAHQAeQAgACgATABvAGMAYQB0AGkAbwBuAC0AQgBhAHMAZQBkACkAXABuADEANAAuADEALgAyACAAUAB1AHIAYwBoAGEAcwBlAGQAIABFAGwAZQBjAHQAcgBpAGMAaQB0AHkAIAAoAE0AYQByAGsAZQB0AC0AQgBhAHMAZQBkAC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QAXwAxAF8AMQBfAF8AMQBfAEwAbwBjAGEAdABpAG8AbgBCAGEAcwBlAGQAUwBjAG8AcABlAEUAbABlAGMAdAByAGkAYwBpAHQAeQBFAG0AaQBzAHMAaQBvAG4AcwBcAG4ATABvAGMAYQB0AGkAbwBuAC0AYgBhAHMAZQBkACAAUwBjAG8AcABlACAAMgAgAGUAbQBpAHMAcwBpAG8AbgBzACAAZgByAG8AbQAgAHAAdQByAGMAaABhAHMAZQBkACAAZQBsAGUAYwB0AHIAaQBjAGkAdAB5AFwAbgBFAF8AMgBlAGwAZQBjAFwAbgB0ACAAQwBPADIAZQBcAG4ARQBfAHsAMgAsAGUAbABlAGMAfQA9AFEAXwB7AGUAbABlAGMAfQBcAFwAdABpAG0AZQBzACAARQBGAF8AewAyACwAZQBsAGUAYwB9AFwAXAB0AGkAbQBlAHMAIAAxADAAXgB7AC0AMwB9AFwAbgBRAF8AZQBsAGUAYwAgAD0AIABhAG0AbwB1AG4AdAAgAG8AZgAgAGUAbABlAGMAdAByAGkAYwBpAHQAeQAgAHAAdQByAGMAaABhAHMAZQBkACAAZgByAG8AbQAgAHQAaABlACAAZwByAGkAZAAgACgAawBXAGgAKQBcAG4ARQBGAF8AMgBlAGwAZQBjACAAPQAgAGwAbwBjAGEAdABpAG8AbgAtAGIAYQBzAGUAZAAgAFMAYwBvAHAAZQAgADI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QBfAF8AMQBfAEwAbwBjAGEAdABpAG8AbgBCAGEAcwBlAGQAUwBjAG8AcABlAEUAbABlAGMAdAByAGkAYwBpAHQAeQBFAG0AaQBzAHMAaQBvAG4AcwBcAG4AIAAgAD0ATABBAE0AQgBEAEEAKABcAG4AIAAgACAAIABRAF8AZQBsAGUAYwAsACAARQBGAF8AMgBlAGwAZQBjACwAXABuACAAIAAgACAAUQBfAGUAbABlAGMAIAAqACAARQBGAF8AMgBlAGwAZQBjACAAKgAgADEAMAAgAF4AIAAtADMAXABuACAAIAApADsAXABuAFwAbgBWAEUARQBSAEcAXwAxADQAXwAxAF8AMQBfAF8AMQBfAEwAbwBjAGEAdABpAG8AbgBCAGEAcwBlAGQAUwBjAG8AcABlAEUAbABlAGMAdAByAGkAYwBpAHQAeQBFAG0AaQBzAHMAaQBvAG4AcwBfAFQAaQB0AGwAZQBcAG4AIAAgAD0ATABBAE0AQgBEAEEAKABcACIATABvAGMAYQB0AGkAbwBuAC0AYgBhAHMAZQBkACAAUwBjAG8AcABlACAAMgAgAGUAbQBpAHMAcwBpAG8AbgBzACAAZgByAG8AbQAgAHAAdQByAGMAaABhAHMAZQBkACAAZQBsAGUAYwB0AHIAaQBjAGkAdAB5AFwAIgApADsAXABuAFwAbgBWAEUARQBSAEcAXwAxADQAXwAxAF8AMQBfAF8AMQBfAEwAbwBjAGEAdABpAG8AbgBCAGEAcwBlAGQAUwBjAG8AcABlAEUAbABlAGMAdAByAGkAYwBpAHQAeQBFAG0AaQBzAHMAaQBvAG4AcwBfAFYAYQByAGkAYQBiAGwAZQBcAG4AIAAgAD0ATABBAE0AQgBEAEEAKABcACIARQBfADIAZQBsAGUAYwBcACIAKQA7AFwAbgBcAG4AVgBFAEUAUgBHAF8AMQA0AF8AMQBfADEAXwBfADEAXwBMAG8AYwBhAHQAaQBvAG4AQgBhAHMAZQBkAFMAYwBvAHAAZQBFAGwAZQBjAHQAcgBpAGMAaQB0AHkARQBtAGkAcwBzAGkAbwBuAHMAXwBVAG4AaQB0AFwAbgAgACAAPQBMAEEATQBCAEQAQQAoAFwAIgB0ACAAQwBPADIAZQBcACIAKQA7AFwAbgBcAG4AVgBFAEUAUgBHAF8AMQA0AF8AMQBfADEAXwBfADEAXwBMAG8AYwBhAHQAaQBvAG4AQgBhAHMAZQBkAFMAYwBvAHAAZQBFAGwAZQBjAHQAcgBpAGMAaQB0AHkARQBtAGkAcwBzAGkAbwBuAHMAXwBTAG8AdQByAGMAZQBcAG4AIAAgAD0ATABBAE0AQgBEAEEAKABcACIAVgBFAEUAUgBHACAAMgAwADIANgA6ACAAMQA0AC4AMQAuADEALAAgAEUAcQB1AGEAdABpAG8AbgAgACgAMQApAFwAIgApADsAXABuAFwAbgBWAEUARQBSAEcAXwAxADQAXwAxAF8AMQBfAF8AMQBfAEwAbwBjAGEAdABpAG8AbgBCAGEAcwBlAGQAUwBjAG8AcABlAEUAbABlAGMAdAByAGkAYwBpAHQAeQBFAG0AaQBzAHMAaQBvAG4AcwBfAE4ASQBSAFIAZQBmAGUAcgBlAG4AYwBlAFwAbgAgACAAPQBMAEEATQBCAEQAQQAoAFwAIgBcACIAKQA7AFwAbgBcAG4AVgBFAEUAUgBHAF8AMQA0AF8AMQBfADEAXwBfADEAXwBMAG8AYwBhAHQAaQBvAG4AQgBhAHMAZQBkAFMAYwBvAHAAZQBFAGwAZQBjAHQAcgBpAGMAaQB0AHkARQBtAGkAcwBzAGkAbwBuAHMAXwBMAGEAdABlAHgARQBxAHUAYQB0AGkAbwBuAFwAbgAgACAAPQBMAEEATQBCAEQAQQAoAFwAIgBFAF8AewAyACwAZQBsAGUAYwB9AD0AUQBfAHsAZQBsAGUAYwB9AFwAXAB0AGkAbQBlAHMAIABFAEYAXwB7ADIALABlAGwAZQBjAH0AXABcAHQAaQBtAGUAcwAgADEAMABeAHsALQAzAH0AXAAiACkAOwBcAG4AXABuAFYARQBFAFIARwBfADEANABfADEAXwAxAF8AXwAxAF8ATABvAGMAYQB0AGkAbwBuAEIAYQBzAGUAZABTAGMAbwBwAGUARQBsAGUAYwB0AHIAaQBjAGkAdAB5AEUAbQBpAHMAcwBpAG8AbgBz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gBlAGwAZQBjAFwAIgAsACAAXAAiAGwAbwBjAGEAdABpAG8AbgAtAGIAYQBzAGUAZAAgAFMAYwBvAHAAZQAgADIAIABlAG0AaQBzAHMAaQBvAG4AIABmAGEAYwB0AG8AcgAgAGYAbwByACAAZQBsAGUAYwB0AHIAaQBjAGkAdAB5AFwAIgAsACAAXAAiAGsAZwAgAEMATwAyAGUALwBrAFcAaABcACIALAAgAFwAIgBDAG8AbgBzAHQAYQBuAHQAXAAiADsAXABuACAAIAAgACAAIAAgACAAIAAgACAAXAAiAGcAXAAiACwAIABcACIARwByAGkAZAAgAGUAbABlAGMAdAByAGkAYwBpAHQAeQAgAHcAYQBzACAAcAB1AHIAYwBoAGEAcwBlAGQAIABmAHIAbwBtAFwAIgAsACAAXAAiAFwAIgAsACAAXAAiAEkAbgBwAHUAdABcACIAXABuACAAIAAgACAAIAAgACAAIAB9ACwAIAByACwAIABjACkAXABuACAAIAAgACAAIAAgACkAXABuACAAIAAgACAAKQBcAG4AIAAgACkAOwBcAG4AXABuAFYARQBFAFIARwBfADEANABfADEAXwAxAF8AXwAxAF8ATABvAGMAYQB0AGkAbwBuAEIAYQBzAGUAZABTAGMAbwBwAGUARQBsAGUAYwB0AHIAaQBjAGkAdAB5AEUAbQBpAHMAcwBpAG8AbgBzAF8AVgBhAHIAaQBhAHQAaQBvAG4AXABuACAAIAA9AEwAQQBNAEIARABBACgAXAAiAEEAZABkAGUAZAAgAGcAIAB2AGEAcgBpAGEAYgBsAGUAIAB0AG8AIABjAGEAcAB0AHUAcgBlACAAdwBoAGkAYwBoACAAZwByAGkAZAAgAGUAbABlAGMAdAByAGkAYwBpAHQAeQAgAHcAYQBzACAAcAB1AHIAYwBoAGEAcwBlAGQAIABmAHIAbwBtAFwAIgApADsAXABuAFwAbgAvACoAXABuAC0ALQAtAC0ALQAtAC0ALQAtAC0ALQAtAC0ALQAtAC0ALQAtAC0ALQAtAC0ALQAtAC0ALQAtAC0ALQAtAC0ALQAtAC0ALQAtAC0ALQBcAG4AVgBFAEUAUgBHAF8AMQA0AF8AMQBfADIAXwBfADEAXwBNAGEAcgBrAGUAdABCAGEAcwBlAGQAUwBjAG8AcABlAEUAbABlAGMAdAByAGkAYwBpAHQAeQBFAG0AaQBzAHMAaQBvAG4AcwBcAG4ATQBhAHIAawBlAHQALQBiAGEAcwBlAGQAIABTAGMAbwBwAGUAIAAyACAAZQBtAGkAcwBzAGkAbwBuAHMAIABmAHIAbwBtACAAcAB1AHIAYwBoAGEAcwBlAGQAIABlAGwAZQBjAHQAcgBpAGMAaQB0AHkAXABuAEUAXwAyAGUAbABlAGMAXABuAHQAIABDAE8AMgBlAFwAbgBFAF8AewAyACwAZQBsAGUAYwB9AD0AKAAoAFEAXwB7AGUAbABlAGMAfQBcAFwAdABpAG0AZQBzACgAMQAtACgAUgBQAFAAKwBKAFIAUABQACkAKQApAC0AKAAoAFIARQBDAF8AewBzAHUAcgByAGUAbgBkAGUAcgBlAGQAfQAtAFIARQBDAF8AewBvAG4AcwBpAHQAZQB9ACkAXABcAHQAaQBtAGUAcwAgADEAMABeAHsALQAzAH0AKQApAFwAXAB0AGkAbQBlAHMAIABFAEYAXwB7AFIATQBGADIALABlAGwAZQBjAH0AXABcAHQAaQBtAGUAcwAgADEAMABeAHsALQAzAH0AXABuAFEAXwBlAGwAZQBjACAAPQAgAGEAbQBvAHUAbgB0ACAAbwBmACAAZQBsAGUAYwB0AHIAaQBjAGkAdAB5ACAAcAB1AHIAYwBoAGEAcwBlAGQAIABmAHIAbwBtACAAdABoAGUAIABnAHIAaQBkACAAKABrAFcAaAApAFwAbgBSAFAAUAAgAD0AIABSAGUAbgBlAHcAYQBiAGwAZQAgAFAAbwB3AGUAcgAgAFAAZQByAGMAZQBuAHQAYQBnAGUAIAB1AG4AZABlAHIAIAB0AGgAZQAgAEwAYQByAGcAZQAtAHMAYwBhAGwAZQAgAFIAZQBuAGUAdwBhAGIAbABlACAARQBuAGUAcgBnAHkAIABUAGEAcgBnAGUAdAAgACgATABSAEUAVAApACAAZgBvAHIAIAB0AGgAZQAgAGEAcABwAGwAaQBjAGEAYgBsAGUAIABwAGUAcgBpAG8AZAAgACgAcABlAHIAIABjAGUAbgB0ACkAXABuAEoAUgBQAFAAIAA9ACAAagB1AHIAaQBzAGQAaQBjAHQAaQBvAG4AYQBsACAAcgBlAG4AZQB3AGEAYgBsAGUAIABwAG8AdwBlAHIAIABwAGUAcgBjAGUAbgB0AGEAZwBlACAAZgBvAHIAIAB0AGgAZQAgAGEAcABwAGwAaQBjAGEAYgBsAGUAIABwAGUAcgBpAG8AZAAgACgAbwBuAGwAeQAgAGEAcABwAGwAaQBlAHMAIAB0AG8AIAB0AGgAZQAgAEEAQwBUACkAIAAoAHAAZQByACAAYwBlAG4AdAApAFwAbgBSAEUAQwBfAHMAdQByAHIAZQBuAGQAZQByAGUAZAAgAD0AIABuAHUAbQBiAGUAcgAgAG8AZgAgAGUAbABpAGcAaQBiAGwAZQAgAFIAZQBuAGUAdwBhAGIAbABlACAARQBuAGUAcgBnAHkAIABDAGUAcgB0AGkAZgBpAGMAYQB0AGUAcwAgAHYAbwBsAHUAbgB0AGEAcgBpAGwAeQAgAHMAdQByAHIAZQBuAGQAZQByAGUAZAAgAGkAbgAgAHQAaABlACAAcgBlAHAAbwByAHQAaQBuAGcAIAB5AGUAYQByACAAZQBxAHUAaQB2AGEAbABlAG4AdAAgAHQAbwAgAG0AZQBnAGEAdwBhAHQAdAAgAGgAbwB1AHIAcwAgACgATQBXAGgAKQBcAG4AUgBFAEMAXwBvAG4AcwBpAHQAZQAgAD0AIABuAHUAbQBiAGUAcgAgAG8AZgAgAGUAbABpAGcAaQBiAGwAZQAgAFIAZQBuAGUAdwBhAGIAbABlACAARQBuAGUAcgBnAHkAIABDAGUAcgB0AGkAZgBpAGMAYQB0AGUAcwAgAHQAaABhAHQAIABoAGEAdgBlACAAYgBlAGUAbgAgAG8AcgAgAHcAaQBsAGwAIABiAGUAIABpAHMAcwB1AGUAZAAgAGYAbwByACAAZQBsAGUAYwB0AHIAaQBjAGkAdAB5ACAAcAByAG8AZAB1AGMAZQBkACAAbwBuAC0AcwBpAHQAZQAgAGQAdQByAGkAbgBnACAAdABoAGUAIAB5AGUAYQByACAAYQBuAGQAIABjAG8AbgBzAHUAbQBlAGQAIABiAHkAIAB0AGgAZQAgAGUAbgB0AGkAdAB5ACAAZQBxAHUAaQB2AGEAbABlAG4AdAAgAHQAbwAgAG0AZQBnAGEAdwBhAHQAdAAgAGgAbwB1AHIAcwAgACgATQBXAGgAKQBcAG4ARQBGAF8AUgBNAEYAMgBlAGwAZQBjACAAPQAgAFMAYwBvAHAAZQAgADIAIAByAGUAcwBpAGQAdQBhAGwAIABtAGkAeA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yAF8AXwAxAF8ATQBhAHIAawBlAHQAQgBhAHMAZQBkAFMAYwBvAHAAZQBFAGwAZQBjAHQAcgBpAGMAaQB0AHkARQBtAGkAcwBzAGkAbwBuAHM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LQAzACkAKQAgACoAIABFAEYAXwBSAE0ARgAyAGUAbABlAGMAIAAqACAAMQAwACAAXgAgAC0AMwBcAG4AIAAgACkAOwBcAG4AXABuAFYARQBFAFIARwBfADEANABfADEAXwAyAF8AXwAxAF8ATQBhAHIAawBlAHQAQgBhAHMAZQBkAFMAYwBvAHAAZQBFAGwAZQBjAHQAcgBpAGMAaQB0AHkARQBtAGkAcwBzAGkAbwBuAHMAVgBhAHIAaQBhAHQAaQBvAG4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MwApACkAIAAqACAARQBGAF8AUgBNAEYAMgBlAGwAZQBjACAAKgAgADEAMAAgAF4AIAAtADMAXABuACAAIAApADsAXABuAFwAbgBWAEUARQBSAEcAXwAxADQAXwAxAF8AMgBfAF8AMQBfAE0AYQByAGsAZQB0AEIAYQBzAGUAZABTAGMAbwBwAGUARQBsAGUAYwB0AHIAaQBjAGkAdAB5AEUAbQBpAHMAcwBpAG8AbgBzAF8AVABpAHQAbABlAFwAbgAgACAAPQBMAEEATQBCAEQAQQAoAFwAIgBNAGEAcgBrAGUAdAAtAGIAYQBzAGUAZAAgAFMAYwBvAHAAZQAgADIAIABlAG0AaQBzAHMAaQBvAG4AcwAgAGYAcgBvAG0AIABwAHUAcgBjAGgAYQBzAGUAZAAgAGUAbABlAGMAdAByAGkAYwBpAHQAeQBcACIAKQA7AFwAbgBcAG4AVgBFAEUAUgBHAF8AMQA0AF8AMQBfADIAXwBfADEAXwBNAGEAcgBrAGUAdABCAGEAcwBlAGQAUwBjAG8AcABlAEUAbABlAGMAdAByAGkAYwBpAHQAeQBFAG0AaQBzAHMAaQBvAG4AcwBfAFYAYQByAGkAYQBiAGwAZQBcAG4AIAAgAD0ATABBAE0AQgBEAEEAKABcACIARQBfADIAZQBsAGUAYwBcACIAKQA7AFwAbgBcAG4AVgBFAEUAUgBHAF8AMQA0AF8AMQBfADIAXwBfADEAXwBNAGEAcgBrAGUAdABCAGEAcwBlAGQAUwBjAG8AcABlAEUAbABlAGMAdAByAGkAYwBpAHQAeQBFAG0AaQBzAHMAaQBvAG4AcwBfAFUAbgBpAHQAXABuACAAIAA9AEwAQQBNAEIARABBACgAXAAiAHQAIABDAE8AMgBlAFwAIgApADsAXABuAFwAbgBWAEUARQBSAEcAXwAxADQAXwAxAF8AMgBfAF8AMQBfAE0AYQByAGsAZQB0AEIAYQBzAGUAZABTAGMAbwBwAGUARQBsAGUAYwB0AHIAaQBjAGkAdAB5AEUAbQBpAHMAcwBpAG8AbgBzAF8AUwBvAHUAcgBjAGUAXABuACAAIAA9AEwAQQBNAEIARABBACgAXAAiAFYARQBFAFIARwAgADIAMAAyADYAOgAgADEANAAuADEALgAyACwAIABFAHEAdQBhAHQAaQBvAG4AIAAoADEAKQBcACIAKQA7AFwAbgBcAG4AVgBFAEUAUgBHAF8AMQA0AF8AMQBfADIAXwBfADEAXwBNAGEAcgBrAGUAdABCAGEAcwBlAGQAUwBjAG8AcABlAEUAbABlAGMAdAByAGkAYwBpAHQAeQBFAG0AaQBzAHMAaQBvAG4AcwBfAE4ASQBSAFIAZQBmAGUAcgBlAG4AYwBlAFwAbgAgACAAPQBMAEEATQBCAEQAQQAoAFwAIgBcACIAKQA7AFwAbgBcAG4AVgBFAEUAUgBHAF8AMQA0AF8AMQBfADIAXwBfADEAXwBNAGEAcgBrAGUAdABCAGEAcwBlAGQAUwBjAG8AcABlAEUAbABlAGMAdAByAGkAYwBpAHQAeQBFAG0AaQBzAHMAaQBvAG4Acw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LQAzAH0AKQApACAAXABcAHQAaQBtAGUAcwAgAEUARgBfAHsAUgBNAEYAMgAsAGUAbABlAGMAfQAgAFwAXAB0AGkAbQBlAHMAIAAxADAAXgB7AC0AMwB9AFwAIgApADsAXABuAFwAbgBWAEUARQBSAEcAXwAxADQAXwAxAF8AMgBfAF8AMQBfAE0AYQByAGsAZQB0AEIAYQBzAGUAZABTAGMAbwBwAGUARQBsAGUAYwB0AHIAaQBjAGkAdAB5AEUAbQBpAHMAcwBpAG8AbgBzAFYAYQByAGkAYQB0AGkAbwBu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zAH0AKQApACAAXABcAHQAaQBtAGUAcwAgAEUARgBfAHsAUgBNAEYAMgAsAGUAbABlAGMAfQAgAFwAXAB0AGkAbQBlAHMAIAAxADAAXgB7AC0AMwB9AFwAIgApADsAXABuAFwAbgBWAEUARQBSAEcAXwAxADQAXwAxAF8AMgBfAF8AMQBfAE0AYQByAGsAZQB0AEIAYQBzAGUAZABTAGMAbwBwAGUARQBsAGUAYwB0AHIAaQBjAGkAdAB5AEUAbQBpAHMAcwBpAG8AbgBz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UgBlAG4AZQB3AGEAYgBsAGUAIABQAG8AdwBlAHIAIABQAGUAcgBjAGUAbgB0AGEAZwBlACAAdQBuAGQAZQByACAAdABoAGUAIABMAGEAcgBnAGUALQBzAGMAYQBsAGUAIABSAGUAbgBlAHcAYQBiAGwAZQAgAEUAbgBlAHIAZwB5ACAAVABhAHIAZwBlAHQAIAAoAEwAUgBFAFQAKQBcACIALAAgAFwAIgBwAGUAcgAgAGMAZQBuAHQ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IAAoAEEAQwBUACAAbwBuAGwAeQApAFwAIgAsACAAXAAiAHAAZQByACAAYwBlAG4AdABcACIALAAgAFwAIgBJAG4AcAB1AHQAXAAiADsAXABuACAAIAAgACAAIAAgACAAIAAgACAAXAAiAFIARQBDAF8AcwB1AHIAcgBlAG4AZABlAHIAZQBkAFwAIgAsACAAXAAiAFIAZQBuAGUAdwBhAGIAbABlACAARQBuAGUAcgBnAHkAIABDAGUAcgB0AGkAZgBpAGMAYQB0AGUAcwAgAHYAbwBsAHUAbgB0AGEAcgBpAGwAeQAgAHMAdQByAHIAZQBuAGQAZQByAGUAZAAgAGkAbgAgAHQAaABlACAAcgBlAHAAbwByAHQAaQBuAGcAIAB5AGUAYQByAFwAIgAsACAAXAAiAE0AVwBoAFwAIgAsACAAXAAiAEkAbgBwAHUAdABcACIAOwBcAG4AIAAgACAAIAAgACAAIAAgACAAIABcACIAUgBFAEMAXwBvAG4AcwBpAHQAZQBcACIALAAgAFwAIgBSAGUAbgBlAHcAYQBiAGwAZQAgAEUAbgBlAHIAZwB5ACAAQwBlAHIAdABpAGYAaQBjAGEAdABlAHMAIABpAHMAcwB1AGUAZAAgAGYAbwByACAAZQBsAGUAYwB0AHIAaQBjAGkAdAB5ACAAcAByAG8AZAB1AGMAZQBkACAAbwBuAC0AcwBpAHQAZQAgAGQAdQByAGkAbgBnACAAdABoAGUAIAB5AGUAYQByACAAYQBuAGQAIABjAG8AbgBzAHUAbQBlAGQAIABiAHkAIAB0AGgAZQAgAGUAbgB0AGkAdAB5AFwAIgAsACAAXAAiAE0AVwBoAFwAIgAsACAAXAAiAEkAbgBwAHUAdABcACIAOwBcAG4AIAAgACAAIAAgACAAIAAgACAAIABcACIARQBGAF8AUgBNAEYAMgBlAGwAZQBjAFwAIgAsACAAXAAiAFMAYwBvAHAAZQAgADI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0AF8AMQBfADIAXwBfADEAXwBNAGEAcgBrAGUAdABCAGEAcwBlAGQAUwBjAG8AcABlAEUAbABlAGMAdAByAGkAYwBpAHQAeQBFAG0AaQBzAHMAaQBvAG4Acw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AnAE4AYQB0AHUAcgBhAGwAIABnAGEAcwAgAGQAaQBzAHQAcgBpAGIAdQB0AGUAZAAgAGkAbgAgAGEAIABwAGkAcABlAGwAaQBuAGUAIAAtACAARwBpAGcAYQBqAG8AdQBsAGUAcwAnACAAYQBuAGQAIAAnAFQAbwB3AG4AIABnAGEAcwAgAC0AIABHAGkAZwBhAGoAbwB1AGwAZQBzAC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AnAEMAJ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CcATgBFAC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AnAE4ARQAn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DAALAAgAFwAIgBcACIAOwBcAG4AIAAgACAAIAAgACAAIAAgAFwAIgBJAG4AYwBpAG4AZQByAGEAdABpAG8AbgBcACIALAAgAFwAIgBHAHIAZQBlAG4AIAB3AGEAcwB0AGUAIAAoAGkAbgBjAGwAdQBkAGkAbgBnACAAYwByAG8AcAAgAHIAZQBzAGkAZAB1AGUAcwAgAG8AcgAgAHAAcgB1AG4AaQBuAGcAcwApAFwAIgAsACAAMAAsACAAXAAiAFwAIgA7AFwAbgAgACAAIAAgACAAIAAgACAAXAAiAEkAbgBjAGkAbgBlAHIAYQB0AGkAbwBuAFwAIgAsACAAXAAiAFcAbwBvAGQAXAAiACwAIAAwACwAIABcACIAXAAiADsAXABuACAAIAAgACAAIAAgACAAIABcACIASQBuAGMAaQBuAGUAcgBhAHQAaQBvAG4AXAAiACwAIABcACIAU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AwAC4AMAA0ADYALAAgAFwAIgBcACIAOwBcAG4AIAAgACAAIAAgACAAIAAgAFwAIgBDAG8AbQBwAG8AcwB0AGkAbgBnAFwAIgAsACAAXAAiAEcAcgBlAGUAbgAgAHcAYQBzAHQAZQAgACgAaQBuAGMAbAB1AGQAaQBuAGcAIABjAHIAbwBwACAAcgBlAHMAaQBkAHUAZQBzACAAbwByACAAcAByAHUAbgBpAG4AZwBzACkAXAAiACwAIAAwAC4AMAA0ADYALAAgAFwAIgBcACIAOwBcAG4AIAAgACAAIAAgACAAIAAgAFwAIgBDAG8AbQBwAG8AcwB0AGkAbgBnAFwAIgAsACAAXAAiAFcAbwBvAGQAXAAiACwAIAAwAC4AMAA0ADYALAAgAFwAIgBcACIAOwBcAG4AIAAgACAAIAAgACAAIAAgAFwAIgBDAG8AbQBwAG8AcwB0AGkAbgBnAFwAIgAsACAAXAAiAFMAbAB1AGQAZwBlAFwAIgAsACAAMAAuADAANAA2ACwAIABcACIAXAAiADsAXABuACAAIAAgACAAIAAgACAAIABcACIAQwBvAG0AcABvAHMAdABpAG4AZwBcACIALAAgAFwAIgBQAGEAcABlAHIAIABhAG4AZAAgAGMAYQByAGQAYgBvAGEAcgBkAFwAIgAsACAAMAAuADAANAA2ACwAIABcACIAXAAiADsAXABuAFwAbgAgACAAIAAgACAAIAAgACAAXAAiAEEAbgBhAGUAcgBvAGIAaQBjACAAZABpAGcAZQBzAHQAaQBvAG4AXAAiACwAIABcACIAQQBsAGwAIABvAHIAZwBhAG4AaQBjACAAdwBhAHMAdABlAFwAIgAsACAAMAAuADAAMgA4ACwAIABcACIATgBHAEEARgAgADIAMAAyADUAIABUAGEAYgBsAGUAIAAxADkAXAAiADsAXABuACAAIAAgACAAIAAgACAAIABcACIAQQBuAGEAZQByAG8AYgBpAGMAIABkAGkAZwBlAHMAdABpAG8AbgBcACIALAAgAFwAIgBGAG8AbwBkACAAdwBhAHMAdABlACAAKABpAG4AYwBsAHUAZABpAG4AZwAgAGEAbgBpAG0AYQBsACAAYwBhAHIAYwBhAHMAcwBlAHMALAAgAHMAcABvAGkAbABlAGQAIABhAG4AaQBtAGEAbAAgAGYAZQBlAGQAIABvAHIAIABjAHIAbwBwACkAXAAiACwAIAAwAC4AMAAyADgALAAgAFwAIgBcACIAOwBcAG4AIAAgACAAIAAgACAAIAAgAFwAIgBBAG4AYQBlAHIAbwBiAGkAYwAgAGQAaQBnAGUAcwB0AGkAbwBuAFwAIgAsACAAXAAiAEcAcgBlAGUAbgAgAHcAYQBzAHQAZQAgACgAaQBuAGMAbAB1AGQAaQBuAGcAIABjAHIAbwBwACAAcgBlAHMAaQBkAHUAZQBzACAAbwByACAAcAByAHUAbgBpAG4AZwBzACkAXAAiACwAIAAwAC4AMAAyADgALAAgAFwAIgBcACIAOwBcAG4AIAAgACAAIAAgACAAIAAgAFwAIgBBAG4AYQBlAHIAbwBiAGkAYwAgAGQAaQBnAGUAcwB0AGkAbwBuAFwAIgAsACAAXAAiAFcAbwBvAGQAXAAiACwAIAAwAC4AMAAyADgALAAgAFwAIgBcACIAOwBcAG4AIAAgACAAIAAgACAAIAAgAFwAIgBBAG4AYQBlAHIAbwBiAGkAYwAgAGQAaQBnAGUAcwB0AGkAbwBuAFwAIgAsACAAXAAiAFMAbAB1AGQAZwBlAFwAIgAsACAAMAAuADAAMgA4ACwAIABcACIAXAAiADsAXABuACAAIAAgACAAIAAgACAAIABcACIAQQBuAGEAZQByAG8AYgBpAGMAIABkAGkAZwBlAHMAdABpAG8AbgBcACIALAAgAFwAIgBQAGEAcABlAHIAIABhAG4AZAAgAGMAYQByAGQAYgBvAGEAcgBkAFwAIgAsACAAMAAuADAAMgA4ACwAIABcACIAXAAiAFwAbgAgACAAIAAgACAAIAB9ACwAIAByACwAIABjACkAXABuACkAKQApADsAXABuAFwAbgBXAGEAcwB0AGUAXwBFAG0AaQBzAHMAaQBvAG4ARgBhAGMAdABvAHIAcwBGAG8AcgBXAGEAcwB0AGUAVAByAGUAYQB0AG0AZQBuAHQAXwBWAGEAcgBpAGEAdABpAG8AbgBcAG4APQBMAEEATQBCAEQAQQAoAFwAbgAgACAATQBBAEsARQBBAFIAUgBBAFkAKAA3ACwAIAAxACwAXABuACAAIAAgACAATABBAE0AQgBEAEEAKAByACwAYwAsAFwAbgAgACAAIAAgACAAIABJAE4ARABFAFgAKAB7AFwAbgAgACAAIAAgACAAIAAgACAAXAAiAFYAQQBSAEkAQQBUAEkATwBOACAATwBOACAAUwBPAFUAUgBDAEUAOgBcACIAOwBcAG4AIAAgACAAIAAgACAAIAAgAFwAIgBGAGkAeABlAGQAIAB0AHkAcABvACAAJwBwAGEAcABlAHIAIABhAG4AZAAgAGMAYQByAGIAbwBhAHIAZAAnACAAdABvACAAJwBwAGEAcABlAHIAIABhAG4AZAAgAGMAYQByAGQAYgBvAGEAcgBkACcAXAAiADsAXABuACAAIAAgACAAIAAgACAAIABcACIARgBpAHgAZQBkACAAdAB5AHAAbwAgACcAcAByAHUAbgBuAGkAbgBnAHMAJwAgAHQAbwAgACcAcAByAHUAbgBpAG4AZwBzACcAXAAiADsAXABuACAAIAAgACAAIAAgACAAIABcACIAQQBkAGQAZQBkACAARQBGACAAcwBvAHUAcgBjAGUAIABjAG8AbAB1AG0AbgAgAHcAaQB0AGgAIABzAHAAZQBjAGkAZgBpAGMAIAByAGUAZgBlAHIAZQBuAGMAZQBzAFwAIgA7AFwAbgAgACAAIAAgACAAIAAgACAAXAAiAEEAZABkAGUAZAAgAHMAdQBiAC0AYwBhAHQAZQBnAG8AcgBpAGUAcwAgAGYAbwByACAAJwBJAG4AYwBpAG4AZQByAGEAdABpAG8AbgA6ACAARgBvAG8AZAAgAHcAYQBzAHQAZQAsACAAZwByAGUAZQBuACAAdwBhAHMAdABlACwAIAB3AG8AbwBkACwAIABzAGwAdQBkAGcAZQAnACAAaQBuACAAbwByAGQAZQByACAAdABvACAAdQBzAGUAIAB2AG8AbAB1AG0AZQAgAHQAbwAgAG0AYQBzAHMAIABjAG8AbgB2AGUAcgBzAGkAbwBuACAAZgBhAGMAdABvAHIAIAB2AGEAbAB1AGUAcwBcACIAOwBcAG4AIAAgACAAIAAgACAAIAAgAFwAIgBBAGQAZABlAGQAIABzAHUAYgAtAGMAYQB0AGUAZwBvAHIAaQBlAHMAIABmAG8AcgAgACcAQwBvAG0AcABvAHMAdABpAG4AZwA6ACAAQQBsAGwAIABvAHIAZwBhAG4AaQBjACAAdwBhAHMAdABlACcAIABpAG4AIABvAHIAZABlAHIAIAB0AG8AIAB1AHMAZQAgAHYAbwBsAHUAbQBlACAAdABvACAAbQBhAHMAcwAgAGMAbwBuAHYAZQByAHMAaQBvAG4AIABmAGEAYwB0AG8AcgAgAHYAYQBsAHUAZQBzAFwAIgA7AFwAbgAgACAAIAAgACAAIAAgACAAXAAiAEEAZABkAGUAZAAgAHMAdQBiAC0AYwBhAHQAZQBnAG8AcgBpAGUAcwAgAGYAbwByACAAJwBBAG4AYQBlAHIAbwBiAGkAYwAgAGQAaQBnAGUAcwB0AGkAbwBuADoAIABBAGwAbAAgAG8AcgBnAGEAbgBpAGMAIAB3AGEAcwB0AGUAJwAgAGkAbgAgAG8AcgBkAGUAcgAgAHQAbwAgAHUAcwBlACAAdgBvAGwAdQBtAGUAIAB0AG8AIABtAGEAcwBzACAAYwBvAG4AdgBlAHIAcwBpAG8AbgAgAGYAYQBjAHQAbwByACAAdgBhAGwAdQBlAHM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BBAC4ANAAuADEALgAyADoAIABWAG8AbAB1AG0AZQAgAHQAbwAgAG0AYQBzAHMAIABjAG8AbgB2AGUAcgBzAGkAbwBuACAAZgBhAGMAdABvAHIAIABmAG8AcgAgAHYAYQByAGkAbwB1AHMAIAB3AGEAcwB0AGUAIAB0AHkAcABlAHMAIAAoAHQALwBtADMAKQAgACgAVgBUAE0AdwApAFwAbgA9AD0APQA9AD0APQA9AD0APQA9AD0APQA9AD0APQA9AD0APQA9AD0APQA9AD0APQA9AD0APQA9AD0APQA9AD0APQA9AD0APQA9AD0APQA9AD0APQA9AD0APQA9AD0APQA9AD0APQA9AD0APQA9AD0APQA9AD0APQA9AD0APQA9AD0APQA9AD0APQA9AD0APQA9AD0APQA9AFwAbgAqAC8AXABuAFwAbgBXAGEAcwB0AGUAXwBXAGEAcwB0AGUAVgBvAGwAdQBtAGUAVABvAE0AYQBzAHMAQwBvAG4AdgBlAHIAcwBpAG8AbgBfAFQAaQB0AGwAZQBcAG4APQBMAEEATQBCAEQAQQAoACgAXAAiAFYAbwBsAHUAbQBlACAAdABvACAAbQBhAHMAcwAgAGMAbwBuAHYAZQByAHMAaQBvAG4AIABmAGEAYwB0AG8AcgAgAGYAbwByACAAdgBhAHIAaQBvAHUAcwAgAHcAYQBzAHQAZQAgAHQAeQBwAGUAcwBcACIAKQApADsAXABuAFwAbgBXAGEAcwB0AGUAXwBXAGEAcwB0AGUAVgBvAGwAdQBtAGUAVABvAE0AYQBzAHMAQwBvAG4AdgBlAHIAcwBpAG8AbgBfAFYAYQByAGkAYQBiAGwAZQBcAG4APQBMAEEATQBCAEQAQQAoACgAXAAiAFYAVABNAHcAXAAiACkAKQA7AFwAbgBcAG4AVwBhAHMAdABlAF8AVwBhAHMAdABlAFYAbwBsAHUAbQBlAFQAbwBNAGEAcwBzAEMAbwBuAHYAZQByAHMAaQBvAG4AXwBVAG4AaQB0AFwAbgA9AEwAQQBNAEIARABBACgAKABcACIAdAAvAG0AMwBcACIAKQApADsAXABuAFwAbgBXAGEAcwB0AGUAXwBXAGEAcwB0AGUAVgBvAGwAdQBtAGUAVABvAE0AYQBzAHMAQwBvAG4AdgBlAHIAcwBpAG8AbgBfAFMAbwB1AHIAYwBlAFwAbgA9AEwAQQBNAEIARABBACgAKABcACIAVgBFAEUAUgBHACAAMgAwADIANgA6ACAAVABhAGIAbABlACAAQQAuADQALgAxAC4AMgBcACIAKQApADsAXABuAFwAbgBXAGEAcwB0AGUAXwBXAGEAcwB0AGUAVgBvAGwAdQBtAGUAVABvAE0AYQBzAHMAQwBvAG4AdgBlAHIAcwBpAG8AbgBfAEQAYQB0AGEAXABuAD0ATABBAE0AQgBEAEEAKABcAG4AIAAgAE0AQQBLAEUAQQBSAFIAQQBZACgAMQAyACwAIAAyACwAXABuACAAIAAgACAATABBAE0AQgBEAEEAKAByACwAYwAsAFwAbgAgACAAIAAgACAAIABJAE4ARABFAFgAKAB7AFwAbgAgACAAIAAgACAAIAAgACAAXAAiAFcAYQBzAHQAZQAgAHQAeQBwAGUAIAB3AFwAIgAsACAAXAAiAFYAVABNAHcAXAAiADsAXABuACAAIAAgACAAIAAgACAAIABcACIARgBvAG8AZAAgAHcAYQBzAHQAZQAgACgAaQBuAGMAbAB1AGQAaQBuAGcAIABhAG4AaQBtAGEAbAAgAGMAYQByAGMAYQBzAHMAZQBzACwAIABzAHAAbwBpAGwAZQBkACAAYQBuAGkAbQBhAGwAIABmAGUAZQBkACAAbwByACAAYwByAG8AcAApAFwAIgAsACAAMAAuADUAMAA7AFwAbgAgACAAIAAgACAAIAAgACAAXAAiAFAAYQBwAGUAcgAgAGEAbgBkACAAYwBhAHIAZABiAG8AYQByAGQAXAAiACwAIAAwAC4AMAA5ADsAXABuACAAIAAgACAAIAAgACAAIABcACIARwByAGUAZQBuACAAdwBhAHMAdABlACAAKABpAG4AYwBsAHUAZABpAG4AZwAgAGMAcgBvAHAAIAByAGUAcwBpAGQAdQBlAHMAIABvAHIAIABwAHIAdQBuAGkAbgBnAHMAKQBcACIALAAgADAALgAyADQAOwBcAG4AIAAgACAAIAAgACAAIAAgAFwAIgBXAG8AbwBkAFwAIgAsACAAMAAuADEANQA7AFwAbgAgACAAIAAgACAAIAAgACAAXAAiAFQAZQB4AHQAaQBsAGUAcwBcACIALAAgADAALgAxADQAOwBcAG4AIAAgACAAIAAgACAAIAAgAFwAIgBTAGwAdQBkAGcAZQBcACIALAAgADAALgA3ADIAOwBcAG4AIAAgACAAIAAgACAAIAAgAFwAIgBSAHUAYgBiAGUAcgAgAGEAbgBkACAAbABlAGEAdABoAGUAcgBcACIALAAgADAALgAxADQAOwBcAG4AIAAgACAAIAAgACAAIAAgAFwAIgBJAG4AZQByAHQAIAB3AGEAcwB0AGUAIAAoAGkAbgBjAGwAdQBkAGkAbgBnACAAYwBvAG4AYwByAGUAdABlACwAIABtAGUAdABhAGwALAAgAHAAbABhAHMAdABpAGMAIABvAHIAIABnAGwAYQBzAHMAKQBcACIALAAgADAALgA0ADIAOwBcAG4AIAAgACAAIAAgACAAIAAgAFwAIgBNAHUAbgBpAGMAaQBwAGEAbAAgAHMAbwBsAGkAZAAgAHcAYQBzAHQAZQBcACIALAAgADAALgAzADYAOwBcAG4AIAAgACAAIAAgACAAIAAgAFwAIgBDAG8AbQBtAGUAcgBjAGkAYQBsACAAYQBuAGQAIABpAG4AZAB1AHMAdAByAGkAYQBsACAAdwBhAHMAdABlAFwAIgAsACAAMAAuADMAMwA7AFwAbgAgACAAIAAgACAAIAAgACAAXAAiAEMAbwBuAHMAdAByAHUAYwB0AGkAbwBuACAAYQBuAGQAIABkAGUAbQBvAGwAaQB0AGkAbwBuACAAdwBhAHMAdABlAFwAIgAsACAAMAAuADMAOQBcAG4AIAAgACAAIAAgACAAfQAsACAAcgAsACAAYwApAFwAbgApACkAKQA7AFwAbgBcAG4AVwBhAHMAdABlAF8AVwBhAHMAdABlAFYAbwBsAHUAbQBlAFQAbwBNAGEAcwBzAEMAbwBuAHYAZQByAHMAaQBvAG4AXwBWAGEAcgBpAGEAdABpAG8AbgBcAG4APQBMAEEATQBCAEQAQQAoACgAXAAiAFYAQQBSAEkAQQBUAEkATwBOACAATwBGACAAUwBPAFUAUgBDAEUAOgAgAEMAaABhAG4AZwBlAGQAIABjAG8AbAB1AG0AbgAgAGgAZQBhAGQAZQByACAAQwBGAHcAIAB0AG8AIABWAFQATQB3ACAAdABvACAAbQBhAHQAYwBoACAAdABpAHQAbABlACAAdgBhAHIAaQBhAGIAbABlAC4AXAAiACkAKQA7AFwAbgBcAG4AXABuACIAfQAsAHsAIgBwAGEAdABoACIAOgAiAC8AcAByAG8AagBlAGMAdABzAC8AQQBnAFIAZQBzAGkAZAB1AGUAXwBFAHEAdQBhAHQAaQBvAG4AcwBfAEMAcgBvAHAAUgBlAHMAaQBkAHUAZQAiACwAIgB0AGUAeAB0ACIAOgAiAC8AKgAgAFwAbgAtAC0ALQAtAC0ALQAtAC0ALQAtAC0ALQAtAC0ALQAtAC0ALQAtAC0ALQAtAC0ALQAtAC0ALQAtAC0ALQAtAC0ALQAtAC0ALQAtAC0AXABuAFYARQBFAFIARwBfADYAXwAxAF8AMQBfADEAXwBfADEAXwBfAE4AaQB0AHIAbwB1AHMATwB4AGkAZABlAEUAbQBpAHMAcwBpAG8AbgBzAEYAcgBvAG0AQwByAG8AcABSAGUAcwBpAGQAdQBlAHMAXABuAE4AaQB0AHIAbwB1AHMAIABvAHgAaQBkAGUAIABlAG0AaQBzAHMAaQBvAG4AcwAgAGYAcgBvAG0AIAB0AGgAZQAgAHIAZQB0AHUAcgBuACAAbwBmACAAYwByAG8AcAAgAHIAZQBzAGkAZAB1AGUAcwAgAGEAYwByAG8AcwBzACAAYQBsAGwAIABjAHIAbwBwAHMAIABjACAAdABvACAAdABoAGUAIABzAG8AaQBsAFwAbgBFAFwAbgB0ACAATgAyAE8AXABuAEUAPQBcAFwAcwB1AG0AXwB7AGMAfQB7AE0AXwB7AGMAfQBcAFwAdABpAG0AZQBzACAARQBGAF8AewBOAH0AXABcAHQAaQBtAGUAcwAgAEMAXwB7AGcALABOADIATwB9AFwAXAB0AGkAbQBlAHMAIAAxADAAXgB7AC0AMwB9AH0AXABuAE0AYwAgAD0AIABtAGEAcwBzACAAbwBmACAAbgBpAHQAcgBvAGcAZQBuACAAaQBuACAAYwByAG8AcAAgAGMAIAByAGUAcwBpAGQAdQBlAHMAIAByAGUAdAB1AHIAbgBlAGQAIAB0AG8AIAB0AGgAZQAgAHMAbwBpAGwAIAAoAGsAZwAgAE4AKQBcAG4ARQBGAE4AaQAgAD0AIABlAG0AaQBzAHMAaQBvAG4AIABmAGEAYwB0AG8AcgAgAGYAbwByACAAYwByAG8AcAAgAHIAZQBzAGkAZAB1AGUAcwAgAHIAZQB0AHUAcgBuAGUAZAAgAHQAbwAgAHQAaABlACAAcwBvAGkAbAAgACgAawBnACAATgAyAE8ALQBOAC8AawBnACAATgApAFwAbgBDAGc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xAF8AMQBfADEAXwBfADEAXwBfAE4AaQB0AHIAbwB1AHMATwB4AGkAZABlAEUAbQBpAHMAcwBpAG8AbgBzAEYAcgBvAG0AQwByAG8AcABSAGUAcwBpAGQAdQBlAHMAXABuACAAIAA9AEwAQQBNAEIARABBACgAXABuACAAIAAgACAATQBfAGMALAAgAEUARgBfAE4AaQAsACAAQwBfAE4AMgBPACwAXABuACAAIAAgACAATQBfAGMAIAAqACAARQBGAF8ATgBpACAAKgAgAEMAXwBOADIATwAgACoAIAAxADAAXgAoAC0AMwApAFwAbgAgACAAKQBcAG4AOwBcAG4AXABuAFYARQBFAFIARwBfADYAXwAxAF8AMQBfADEAXwBfADEAXwBfAE4AaQB0AHIAbwB1AHMATwB4AGkAZABlAEUAbQBpAHMAcwBpAG8AbgBzAEYAcgBvAG0AQwByAG8AcABSAGUAcwBpAGQAdQBlAHMAXwBGAHUAbgBjAHQAaQBvAG4ATgBhAG0AZQBcAG4AIAAgAD0ATABBAE0AQgBEAEEAKABcACIAVgBFAEUAUgBHAF8ANgBfADEAXwAxAF8AMQBfAF8AMQBfAF8ATgBpAHQAcgBvAHUAcwBPAHgAaQBkAGUARQBtAGkAcwBzAGkAbwBuAHMARgByAG8AbQBDAHIAbwBwAFIAZQBzAGkAZAB1AGUAcwBcACIAKQA7AFwAbgBcAG4AVgBFAEUAUgBHAF8ANgBfADEAXwAxAF8AMQBfAF8AMQBfAF8ATgBpAHQAcgBvAHUAcwBPAHgAaQBkAGUARQBtAGkAcwBzAGkAbwBuAHMARgByAG8AbQBDAHIAbwBwAFIAZQBzAGkAZAB1AGUAcwBfAFQAaQB0AGwAZQBcAG4AIAAgAD0ATABBAE0AQgBEAEEAKABcACIATgBpAHQAcgBvAHUAcwAgAG8AeABpAGQAZQAgAGUAbQBpAHMAcwBpAG8AbgBzACAAZgByAG8AbQAgAHQAaABlACAAcgBlAHQAdQByAG4AIABvAGYAIABjAHIAbwBwACAAcgBlAHMAaQBkAHUAZQBzACAAYQBjAHIAbwBzAHMAIABhAGwAbAAgAGMAcgBvAHAAcwAgAGMAIAB0AG8AIAB0AGgAZQAgAHMAbwBpAGwAXAAiACkAOwBcAG4AXABuAFYARQBFAFIARwBfADYAXwAxAF8AMQBfADEAXwBfADEAXwBfAE4AaQB0AHIAbwB1AHMATwB4AGkAZABlAEUAbQBpAHMAcwBpAG8AbgBzAEYAcgBvAG0AQwByAG8AcABSAGUAcwBpAGQAdQBlAHMAXwBWAGEAcgBpAGEAYgBsAGUAXABuACAAIAA9AEwAQQBNAEIARABBACgAXAAiAEUAXAAiACkAOwBcAG4AXABuAFYARQBFAFIARwBfADYAXwAxAF8AMQBfADEAXwBfADEAXwBfAE4AaQB0AHIAbwB1AHMATwB4AGkAZABlAEUAbQBpAHMAcwBpAG8AbgBzAEYAcgBvAG0AQwByAG8AcABSAGUAcwBpAGQAdQBlAHMAXwBVAG4AaQB0AFwAbgAgACAAPQBMAEEATQBCAEQAQQAoAFwAIgB0ACAATgAyAE8AXAAiACkAOwBcAG4AXABuAFYARQBFAFIARwBfADYAXwAxAF8AMQBfADEAXwBfADEAXwBfAE4AaQB0AHIAbwB1AHMATwB4AGkAZABlAEUAbQBpAHMAcwBpAG8AbgBzAEYAcgBvAG0AQwByAG8AcABSAGUAcwBpAGQAdQBlAHMAXwBTAG8AdQByAGMAZQBcAG4AIAAgAD0ATABBAE0AQgBEAEEAKABcACIAVgBFAEUAUgBHACAAMgAwADIANgA6ACAANgAuADEALgAxAC4AMQAsACAARQBxAHUAYQB0AGkAbwBuACAAKAAxACkAXAAiACkAOwBcAG4AXABuAFYARQBFAFIARwBfADYAXwAxAF8AMQBfADEAXwBfADEAXwBfAE4AaQB0AHIAbwB1AHMATwB4AGkAZABlAEUAbQBpAHMAcwBpAG8AbgBzAEYAcgBvAG0AQwByAG8AcABSAGUAcwBpAGQAdQBlAHMAXwBOAEkAUgBSAGUAZgBlAHIAZQBuAGMAZQBcAG4AIAAgAD0ATABBAE0AQgBEAEEAKABcACIAXAAiACkAOwBcAG4AXABuAFYARQBFAFIARwBfADYAXwAxAF8AMQBfADEAXwBfADEAXwBfAE4AaQB0AHIAbwB1AHMATwB4AGkAZABlAEUAbQBpAHMAcwBpAG8AbgBzAEYAcgBvAG0AQwByAG8AcABSAGUAcwBpAGQAdQBlAHMAXwBMAGEAdABlAHgARQBxAHUAYQB0AGkAbwBuAFwAbgAgACAAPQBMAEEATQBCAEQAQQAoAFwAIgBFAD0AXABcAHMAdQBtAFwAXABuAG8AbABpAG0AaQB0AHMAXwBjAFwAXABsAGUAZgB0ACgATQBfAHsAYwB9AFwAXAB0AGkAbQBlAHMAIABFAEYAXwB7AE4AfQBcAFwAcgBpAGcAaAB0ACkAXABcAHQAaQBtAGUAcwAgAEMAXwB7AGcALABOADIATwB9AFwAXAB0AGkAbQBlAHMAIAAxADAAXgB7AC0AMwB9AFwAIgApADsAXABuAFwAbgBWAEUARQBSAEcAXwA2AF8AMQBfADEAXwAxAF8AXwAxAF8AXwBOAGkAdAByAG8AdQBzAE8AeABpAGQAZQBFAG0AaQBzAHMAaQBvAG4AcwBGAHIAbwBtAEMAcgBvAHA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YwBcACIALABcACIAbQBhAHMAcwAgAG8AZgAgAG4AaQB0AHIAbwBnAGUAbgAgAGkAbgAgAGMAcgBvAHAAIABjACAAcgBlAHMAaQBkAHUAZQBzACAAcgBlAHQAdQByAG4AZQBkACAAdABvACAAdABoAGUAIABzAG8AaQBsAFwAIgAsACAAXAAiAGsAZwAgAE4AXAAiACwAIABcACIAQwBhAGwAYwB1AGwAYQB0AGUAZAAgAGYAcgBvAG0AIAA2AC4AMQAuADEALgAxACAAKAAyACkAXAAiADsAXABuACAAIAAgACAAIAAgACAAIAAgACAAXAAiAEUARgBfAE4AaQBcACIALABcACIAZQBtAGkAcwBzAGkAbwBuACAAZgBhAGMAdABvAHIAIABmAG8AcgAgAGMAcgBvAHAAIAByAGUAcwBpAGQAdQBlAHMAIAByAGUAdAB1AHIAbgBlAGQAIAB0AG8AIAB0AGgAZQAgAHMAbwBpAGw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EAXwAxAF8AMQBfAF8AMgBfAF8ATQBhAHMAcwBPAGYATgBpAHQAcgBvAGcAZQBuAEkAbgBDAHIAbwBwAFIAZQBzAGkAZAB1AGUAcwBcAG4ATQBhAHMAcwAgAG8AZgAgAG4AaQB0AHIAbwBnAGUAbgAgAGkAbgAgAGMAcgBvAHAAIAByAGUAcwBpAGQAdQBlAHMAIAByAGUAdAB1AHIAbgBlAGQAIAB0AG8AIAB0AGgAZQAgAHMAbwBpAGwAXABuAE0AYwBcAG4AawBnACAATgBcAG4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G4AUABjACAAPQAgAGEAbgBuAHUAYQBsACAAcAByAG8AZAB1AGMAdABpAG8AbgAgAG8AZgAgAGMAcgBvAHAAIABjACAAKABrAGcAKQBcAG4AUgBBAEcAYwAgAD0AIAByAGUAcwBpAGQAdQBlACAAdABvACAAYwByAG8AcAAgAHIAYQB0AGkAbwAgAGYAbwByACAAYwByAG8AcAAgAGMAIAAoAGQAaQBtAGUAbgBzAGkAbwBuAGwAZQBzAHMAKQBcAG4AUgBCAEcAYwAgAD0AIABiAGUAbABvAHcAIABnAHIAbwB1AG4AZAAtAHIAZQBzAGkAZAB1AGUAIAB0AG8AIABhAGIAbwB2AGUAIABnAHIAbwB1AG4AZAAgAHIAZQBzAGkAZAB1AGUAIAByAGEAdABpAG8AIABmAG8AcgAgAGMAcgBvAHAAIABjACAAKABkAGkAbQBlAG4AcwBpAG8AbgBsAGUAcwBzACkAXABuAEYAYwAgAD0AIABmAHIAYQBjAHQAaQBvAG4AIABvAGYAIABjAHIAbwBwACAAcgBlAHMAaQBkAHUAZQAgAHQAaABhAHQAIABpAHMAIABiAHUAcgBuAHQAIABmAG8AcgAgAGMAcgBvAHAAIABjACAAKABkAGkAbQBlAG4AcwBpAG8AbgBsAGUAcwBzACkAXABuAEYARgBPAEQAYwAgAD0AIABmAHIAYQBjAHQAaQBvAG4AIABvAGYAIAB0AGgAZQAgAGMAcgBvAHAAIAByAGUAcwBpAGQAdQBlACAAdABoAGEAdAAgAGkAcwAgAHIAZQBtAG8AdgBlAGQAIABmAG8AcgAgAGMAcgBvAHAAIABjACAAKABkAGkAbQBlAG4AcwBpAG8AbgBsAGUAcwBzACkAXABuAEQATQBjACAAPQAgAGQAcgB5ACAAbQBhAHQAdABlAHIAIABjAG8AbgB0AGUAbgB0ACAAbwBmACAAYwByAG8AcAAgAGMAIAAoAGsAZwAgAGQAcgB5ACAAdwBlAGkAZwBoAHQALwBrAGcAIABjAHIAbwBwACAAcgBlAHMAaQBkAHUAZQApAFwAbgBOAEMAQQBHAGMAIAA9ACAAbgBpAHQAcgBvAGcAZQBuACAAYwBvAG4AdABlAG4AdAAgAG8AZgAgAGEAYgBvAHYAZQAtAGcAcgBvAHUAbgBkACAAYwByAG8AcAAgAHIAZQBzAGkAZAB1AGUAIABvAGYAIABjAHIAbwBwACAAYwAgACgAawBnACAATgAvAGsAZwAgAEQATQApAFwAbgBOAEMAQgBHAGMAIAA9ACAAbgBpAHQAcgBvAGcAZQBuACAAYwBvAG4AdABlAG4AdAAgAG8AZgAgAGIAZQBsAG8AdwAtAGcAcgBvAHUAbgBkACAAYwByAG8AcAAgAHIAZQBzAGkAZAB1AGUAIABvAGYAIABjAHIAbwBwACAAYwAgACgAawBnACAATgAvAGsAZwAgAEQATQApAFwAbgBjACAAPQAgAEMAcgBvAHAAIAB0AHkAcABlAFwAbgAtAC0ALQAtAC0ALQAtAC0ALQAtAC0ALQAtAC0ALQAtAC0ALQAtAC0ALQAtAC0ALQAtAC0ALQAtAC0ALQAtAC0ALQAtAC0ALQAtAC0AXABuACoALwBcAG4AXABuAFYARQBFAFIARwBfADYAXwAxAF8AMQBfADEAXwBfADIAXwBfAE0AYQBzAHMATwBmAE4AaQB0AHIAbwBnAGUAbgBJAG4AQwByAG8AcABSAGUAcwBpAGQAdQBlAHMAXABuACAAIAA9AEwAQQBNAEIARABBACgAXABuACAAIAAgACAAUABfAGMALAAgAFIAXwBBAEcAYwAsACAARgBfAGMALAAgAEYARgBPAEQAXwBjACwAIABEAE0AXwBjACwAIABOAEMAXwBBAEcAYwAsACAAUgBfAEIARwBjACwAIABOAEMAXwBCAEcAYwAsAFwAbgAgACAAIAAgACgAUABfAGMAIAAqACAAUgBfAEEARwBjACAAKgAgACgAMQAgAC0AIABGAF8AYwAgAC0AIABGAEYATwBEAF8AYwApACAAKgAgAEQATQBfAGMAIAAqACAATgBDAF8AQQBHAGMAKQAgACsAIAAoAFAAXwBjACAAKgAgAFIAXwBBAEcAYwAgACoAIABSAF8AQgBHAGMAIAAqACAARABNAF8AYwAgACoAIABOAEMAXwBCAEcAYwApAFwAbgAgACAAKQBcAG4AOwBcAG4AXABuAFYARQBFAFIARwBfADYAXwAxAF8AMQBfADEAXwBfADIAXwBfAE0AYQBzAHMATwBmAE4AaQB0AHIAbwBnAGUAbgBJAG4AQwByAG8AcABSAGUAcwBpAGQAdQBlAHMAXwBUAGkAdABsAGUAXABuACAAIAA9AEwAQQBNAEIARABBACgAXAAiAE0AYQBzAHMAIABvAGYAIABuAGkAdAByAG8AZwBlAG4AIABpAG4AIABjAHIAbwBwACAAcgBlAHMAaQBkAHUAZQBzACAAcgBlAHQAdQByAG4AZQBkACAAdABvACAAdABoAGUAIABzAG8AaQBsAFwAIgApADsAXABuAFwAbgBWAEUARQBSAEcAXwA2AF8AMQBfADEAXwAxAF8AXwAyAF8AXwBNAGEAcwBzAE8AZgBOAGkAdAByAG8AZwBlAG4ASQBuAEMAcgBvAHAAUgBlAHMAaQBkAHUAZQBzAF8AVgBhAHIAaQBhAGIAbABlAFwAbgAgACAAPQBMAEEATQBCAEQAQQAoAFwAIgBNAF8AYwBcACIAKQA7AFwAbgBcAG4AVgBFAEUAUgBHAF8ANgBfADEAXwAxAF8AMQBfAF8AMgBfAF8ATQBhAHMAcwBPAGYATgBpAHQAcgBvAGcAZQBuAEkAbgBDAHIAbwBwAFIAZQBzAGkAZAB1AGUAcwBfAFUAbgBpAHQAXABuACAAIAA9AEwAQQBNAEIARABBACgAXAAiAGsAZwAgAE4AXAAiACkAOwBcAG4AXABuAFYARQBFAFIARwBfADYAXwAxAF8AMQBfADEAXwBfADIAXwBfAE0AYQBzAHMATwBmAE4AaQB0AHIAbwBnAGUAbgBJAG4AQwByAG8AcABSAGUAcwBpAGQAdQBlAHMAXwBTAG8AdQByAGMAZQBcAG4AIAAgAD0ATABBAE0AQgBEAEEAKABcACIAVgBFAEUAUgBHACAAMgAwADIANgA6ACAANgAuADEALgAxAC4AMQAsACAARQBxAHUAYQB0AGkAbwBuACAAKAAyACkAXAAiACkAOwBcAG4AXABuAFYARQBFAFIARwBfADYAXwAxAF8AMQBfADEAXwBfADIAXwBfAE0AYQBzAHMATwBmAE4AaQB0AHIAbwBnAGUAbgBJAG4AQwByAG8AcABSAGUAcwBpAGQAdQBlAHMAXwBOAEkAUgBSAGUAZgBlAHIAZQBuAGMAZQBcAG4AIAAgAD0ATABBAE0AQgBEAEEAKABcACIAXAAiACkAOwBcAG4AXABuAFYARQBFAFIARwBfADYAXwAxAF8AMQBfADEAXwBfADIAXwBfAE0AYQBzAHMATwBmAE4AaQB0AHIAbwBnAGUAbgBJAG4AQwByAG8AcABSAGUAcwBpAGQAdQBlAHMAXwBMAGEAdABlAHgARQBxAHUAYQB0AGkAbwBuAFwAbgAgACAAPQBMAEEATQBCAEQAQQAoAFwAIgBNAF8AewBjAH0APQAoAFAAXwB7AGMAfQBcAFwAdABpAG0AZQBzACAAUgBfAHsAQQBHAGMAfQBcAFwAdABpAG0AZQBzACgAMQAtAEYAXwB7AGMAfQAtAEYARgBPAEQAXwB7AGMAfQApAFwAXAB0AGkAbQBlAHMAIABEAE0AXwB7AGMAfQBcAFwAdABpAG0AZQBzACAATgBDAF8AewBBAEcAYwB9ACkAKwAoAFAAXwB7AGMAfQBcAFwAdABpAG0AZQBzACAAUgBfAHsAQQBHAGMAfQBcAFwAdABpAG0AZQBzACAAUgBfAHsAQgBHAGMAfQBcAFwAdABpAG0AZQBzACAARABNAF8AewBjAH0AXABcAHQAaQBtAGUAcwAgAE4AQwBfAHsAQgBHAGMAfQApAFwAIgApADsAXABuAFwAbgBWAEUARQBSAEcAXwA2AF8AMQBfADEAXwAxAF8AXwAyAF8AXwBNAGEAcwBzAE8AZgBOAGkAdAByAG8AZwBlAG4ASQBuAEMAcgBvAHAAUgBlAHMAaQBkAHUAZQBzAF8AQQByAGcAdQBtAGUAbgB0AHM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8AbgBzAHQAYQBuAHQAXAAiADsAXABuACAAIAAgACAAIAAgACAAIAAgACAAXAAiAEQATQBfAGMAXAAiACwAXAAiAGQAcgB5ACAAbQBhAHQAdABlAHIAIABjAG8AbgB0AGUAbgB0ACAAbwBmACAAYwByAG8AcAAgAGMAXAAiACwAIABcACIAawBnACAAZAByAHkAIAB3AGUAaQBnAGgAdAAvAGsAZwAgAGMAcgBvAHAAIAByAGUAcwBpAGQAdQBlAFwAIgAsACAAXAAiAEMAbwBuAHMAdABhAG4AdABcACIAOwBcAG4AIAAgACAAIAAgACAAIAAgACAAIABcACIATgBDAF8AQQBHAGMAXAAiACwAXAAiAG4AaQB0AHIAbwBnAGUAbgAgAGMAbwBuAHQAZQBuAHQAIABvAGYAIABhAGIAbwB2AGUALQBnAHIAbwB1AG4AZAAgAGMAcgBvAHAAIAByAGUAcwBpAGQAdQBlACAAbwBmACAAYwByAG8AcAAgAGMAXAAiACwAIABcACIAawBnACAATgAvAGsAZwAgAEQATQBcACIALAAgAFwAIgBDAG8AbgBzAHQAYQBuAHQAXAAiADsAXABuACAAIAAgACAAIAAgACAAIAAgACAAXAAiAE4AQwBfAEIARwBjAFwAIgAsAFwAIgBuAGkAdAByAG8AZwBlAG4AIABjAG8AbgB0AGUAbgB0ACAAbwBmACAAYgBlAGwAbwB3AC0AZwByAG8AdQBuAGQAIABjAHIAbwBwACAAcgBlAHMAaQBkAHUAZQAgAG8AZgAgAGMAcgBvAHAAIABjAFwAIgAsACAAXAAiAGsAZwAgAE4ALwBrAGcAIABEAE0AXAAiACwAIABcACIAQwBvAG4AcwB0AGEAbgB0AFwAIgA7AFwAbgAgACAAIAAgACAAIAAgACAAIAAgAFwAIgBjAFwAIgAsAFwAIgBDAHIAbwBwACAAdAB5AHAAZQBcACIALAAgAFwAIgBcACIALAAgAFwAIgBJAG4AcAB1AHQAXAAiADsAXABuACAAIAAgACAAIAAgACAAIAAgACAAXAAiAFMAdABhAHQAZQBcACIALABcACIAUwB0AGEAdABlACAAbwByACAAdABlAHIAcgBpAHQAbwByAHkAXAAiACwAIABcACIAXAAiACwAIABcACIASQBuAHAAdQB0AFwAIgBcAG4AIAAgACAAIAAgACAAIAAgAH0ALAAgAHIALAAgAGMAKQBcAG4AIAAgACAAIAAgACAAKQBcAG4AIAAgACAAIAApAFwAbgAgACAAKQA7AFwAbgBcAG4AVgBFAEUAUgBHAF8ANgBfADEAXwAxAF8AMQBfAF8AMgBfAF8ATQBhAHMAcwBPAGYATgBpAHQAcgBvAGcAZQBuAEkAbgBDAHIAbwBwAFIAZQBzAGkAZAB1AGUAcwBfAEEAcgBnAHUAbQBlAG4AdABzAF8ATQBlAHQAaABvAGQAMgBcAG4AIAAgAD0ATABBAE0AQgBEAEEAKABcAG4AIAAgACAAIABNAEEASwBFAEEAUgBSAEEAWQAoADEAMAAsACAANAAsACAAXABuACAAIAAgACAAIAAgAEwAQQBNAEIARABBACgAcgAsAGMALAAgAFwAbgAgACAAIAAgACAAIAAgACAASQBOAEQARQBYACgAe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FwAIgAsACAAXAAiAEMAbwBuAHMAdABhAG4AdABcACIAOwBcAG4AIAAgACAAIAAgACAAIAAgACAAIABcACIARgBfAGMAXAAiACwAXAAiAGYAcgBhAGMAdABpAG8AbgAgAG8AZgAgAGMAcgBvAHAAIAByAGUAcwBpAGQAdQBlACAAdABoAGEAdAAgAGkAcwAgAGIAdQByAG4AdAAgAGYAbwByACAAYwByAG8AcAAgAGMAXAAiACwAIABcACIAZgByAGEAYwB0AGkAbwBuAFwAIgAsACAAXAAiAEkAbgBwAHUAdABcACIAOwBcAG4AIAAgACAAIAAgACAAIAAgACAAIABcACIARgBGAE8ARABfAGMAXAAiACwAXAAiAGYAcgBhAGMAdABpAG8AbgAgAG8AZgAgAHQAaABlACAAYwByAG8AcAAgAHIAZQBzAGkAZAB1AGUAIAB0AGgAYQB0ACAAaQBzACAAcgBlAG0AbwB2AGUAZAAgAGYAbwByACAAYwByAG8AcAAgAGMAXAAiACwAIABcACIAZgByAGEAYwB0AGkAbwBuAFwAIgAsACAAXAAiAEMAYQBsAGMAdQBsAGEAdABlAGQAIABmAHIAbwBtACAANgAuADEALgAxAC4AMgAgACgAMQAp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IAXwBfADEAXwBfAEYAcgBhAGMAdABpAG8AbgBPAGYAQwByAG8AcABSAGUAcwBpAGQAdQBlAFIAZQBtAG8AdgBlAGQAQgBhAGwAZQBkAFwAbgBGAHIAYQBjAHQAaQBvAG4AIABvAGYAIABjAHIAbwBwACAAcgBlAHMAaQBkAHUAZQAgAHQAaABhAHQAIABpAHMAIAByAGUAbQBvAHYAZQBkACAAZgBvAHIAIABjAHIAbwBwACAAYwAsACAAYwBhAGwAYwB1AGwAYQB0AGUAZAAgAHcAaABlAHIAZQAgAHIAZQBzAGkAZAB1AGUAcwAgAGEAcgBlACAAYgBhAGwAZQBkAFwAbgBGAEYATwBEAGMAXABuAGQAaQBtAGUAbgBzAGkAbwBuAGwAZQBzAHMAXABuAEYARgBPAEQAXwB7AGMAfQA9AFwAXABmAHIAYQBjAHsAQgBcAFwAdABpAG0AZQBzACAATQBfAHsAQgB9AH0AewBQAF8AewBjAH0AXABcAHQAaQBtAGUAcwAgAFIAXwB7AEEARwAsAGMAfQB9AFwAbgBCACAAPQAgAG4AdQBtAGIAZQByACAAbwBmACAAYgBhAGwAZQBzACAAZwBlAG4AZQByAGEAdABlAGQAIAAoAG4AdQBtAGIAZQByACkAXABuAE0AQgAgAD0AIABtAGEAcwBzACAAbwBmACAAZQBhAGMAaAAgAGIAYQBsAGUAIAAoAGsAZwApAFwAbgBQAGMAIAA9ACAAYQBuAG4AdQBhAGwAIABwAHIAbwBkAHUAYwB0AGkAbwBuACAAbwBmACAAYwByAG8AcAAgAGMAIAAoAGsAZwApAFwAbgBSAEEARwBjACAAPQAgAHIAZQBzAGkAZAB1AGUAIAB0AG8AIABjAHIAbwBwACAAcgBhAHQAaQBvACAAZgBvAHIAIABjAHIAbwBwACAAYwAgACgAZgByAGEAYwB0AGkAbwBuACkAXABuAGMAIAA9ACAAQwByAG8AcAAgAHQAeQBwAGUAXABuAC0ALQAtAC0ALQAtAC0ALQAtAC0ALQAtAC0ALQAtAC0ALQAtAC0ALQAtAC0ALQAtAC0ALQAtAC0ALQAtAC0ALQAtAC0ALQAtAC0ALQBcAG4AKgAvAFwAbgBcAG4AVgBFAEUAUgBHAF8ANgBfADEAXwAxAF8AMgBfAF8AMQBfAF8ARgByAGEAYwB0AGkAbwBuAE8AZgBDAHIAbwBwAFIAZQBzAGkAZAB1AGUAUgBlAG0AbwB2AGUAZABCAGEAbABlAGQAXABuACAAIAA9AEwAQQBNAEIARABBACgAXABuACAAIAAgACAAQgAsACAATQBfAEIALAAgAFAAXwBjACwAIABSAF8AQQBHAGMALABcAG4AIAAgACAAIABJAEYARQBSAFIATwBSACgAKABCACAAKgAgAE0AXwBCACkAIAAvACAAKABQAF8AYwAgACoAIABSAF8AQQBHAGMAKQAsACAAMAApAFwAbgAgACAAKQBcAG4AOwBcAG4AXABuAFYARQBFAFIARwBfADYAXwAxAF8AMQBfADIAXwBfADEAXwBfAEYAcgBhAGMAdABpAG8AbgBPAGYAQwByAG8AcABSAGUAcwBpAGQAdQBlAFIAZQBtAG8AdgBlAGQAQgBhAGwAZQBkAF8AVABpAHQAbABlAFwAbgAgACAAPQBMAEEATQBCAEQAQQAoAFwAIgBGAHIAYQBjAHQAaQBvAG4AIABvAGYAIABjAHIAbwBwACAAcgBlAHMAaQBkAHUAZQAgAHQAaABhAHQAIABpAHMAIAByAGUAbQBvAHYAZQBkACAAZgBvAHIAIABjAHIAbwBwACAAYwAsACAAYwBhAGwAYwB1AGwAYQB0AGUAZAAgAHcAaABlAHIAZQAgAHIAZQBzAGkAZAB1AGUAcwAgAGEAcgBlACAAYgBhAGwAZQBkAFwAIgApADsAXABuAFwAbgBWAEUARQBSAEcAXwA2AF8AMQBfADEAXwAyAF8AXwAxAF8AXwBGAHIAYQBjAHQAaQBvAG4ATwBmAEMAcgBvAHAAUgBlAHMAaQBkAHUAZQBSAGUAbQBvAHYAZQBkAEIAYQBsAGUAZABfAFYAYQByAGkAYQBiAGwAZQBcAG4AIAAgAD0ATABBAE0AQgBEAEEAKABcACIARgBGAE8ARABfAGMAXAAiACkAOwBcAG4AXABuAFYARQBFAFIARwBfADYAXwAxAF8AMQBfADIAXwBfADEAXwBfAEYAcgBhAGMAdABpAG8AbgBPAGYAQwByAG8AcABSAGUAcwBpAGQAdQBlAFIAZQBtAG8AdgBlAGQAQgBhAGwAZQBkAF8AVQBuAGkAdABcAG4AIAAgAD0ATABBAE0AQgBEAEEAKABcACIAZgByAGEAYwB0AGkAbwBuAFwAIgApADsAXABuAFwAbgBWAEUARQBSAEcAXwA2AF8AMQBfADEAXwAyAF8AXwAxAF8AXwBGAHIAYQBjAHQAaQBvAG4ATwBmAEMAcgBvAHAAUgBlAHMAaQBkAHUAZQBSAGUAbQBvAHYAZQBkAEIAYQBsAGUAZABfAFMAbwB1AHIAYwBlAFwAbgAgACAAPQBMAEEATQBCAEQAQQAoAFwAIgBWAEUARQBSAEcAIAAyADAAMgA2ADoAIAA2AC4AMQAuADEALgAyACwAIABFAHEAdQBhAHQAaQBvAG4AIAAoADEAKQBcACIAKQA7AFwAbgBcAG4AVgBFAEUAUgBHAF8ANgBfADEAXwAxAF8AMgBfAF8AMQBfAF8ARgByAGEAYwB0AGkAbwBuAE8AZgBDAHIAbwBwAFIAZQBzAGkAZAB1AGUAUgBlAG0AbwB2AGUAZABCAGEAbABlAGQAXwBOAEkAUgBSAGUAZgBlAHIAZQBuAGMAZQBcAG4AIAAgAD0ATABBAE0AQgBEAEEAKABcACIAXAAiACkAOwBcAG4AXABuAFYARQBFAFIARwBfADYAXwAxAF8AMQBfADIAXwBfADEAXwBfAEYAcgBhAGMAdABpAG8AbgBPAGYAQwByAG8AcABSAGUAcwBpAGQAdQBlAFIAZQBtAG8AdgBlAGQAQgBhAGwAZQBkAF8ATABhAHQAZQB4AEUAcQB1AGEAdABpAG8AbgBcAG4AIAAgAD0ATABBAE0AQgBEAEEAKABcACIARgBGAE8ARABfAHsAYwB9AD0AXABcAGYAcgBhAGMAewBCAFwAXAB0AGkAbQBlAHMAIABNAF8AewBCAH0AfQB7AFAAXwB7AGMAfQBcAFwAdABpAG0AZQBzACAAUgBfAHsAQQBHACwAYwB9AH0AXAAiACkAOwBcAG4AXABuAFYARQBFAFIARwBfADYAXwAxAF8AMQBfADIAXwBfADEAXwBfAEYAcgBhAGMAdABpAG8AbgBPAGYAQwByAG8AcABSAGUAcwBpAGQAdQBlAFIAZQBtAG8AdgBlAGQAQgBhAGwAZQBkAF8AQQByAGcAdQBtAGUAbgB0AHMAXABuACAAIAA9AEwAQQBNAEIARABBACgAXABuACAAIAAgACAATQBBAEsARQBBAFIAUgBBAFkAKAA1ACwAIAA0ACwAIABcAG4AIAAgACAAIAAgACAATABBAE0AQgBEAEEAKAByACwAYwAsACAAXABuACAAIAAgACAAIAAgACAAIABJAE4ARABFAFgAKAB7AFwAbgAgACAAIAAgACAAIAAgACAAIAAgAFwAIgBCAFwAIgAsAFwAIgBuAHUAbQBiAGUAcgAgAG8AZgAgAGIAYQBsAGUAcwAgAGcAZQBuAGUAcgBhAHQAZQBkAFwAIgAsACAAXAAiAFwAIgAsACAAXAAiAEkAbgBwAHUAdABcACIAOwBcAG4AIAAgACAAIAAgACAAIAAgACAAIABcACIATQBfAEIAXAAiACwAXAAiAG0AYQBzAHMAIABvAGYAIABlAGEAYwBoACAAYgBhAGwAZQBcACIALAAgAFwAIgBrAGcAXAAiACwAIABcACIASQBuAHAAdQB0AFwAIgA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BWAEUARQBSAEcAXwA2AF8AMQBfADEAXwAyAF8AXwAxAF8AXwBGAHIAYQBjAHQAaQBvAG4ATwBmAEMAcgBvAHAAUgBlAHMAaQBkAHUAZQBSAGUAbQBvAHYAZQBkAEIAYQBsAGUAZABfAFYAYQByAGkAYQB0AGkAbwBuAFwAbgAgACAAPQBMAEEATQBCAEQAQQAoAFwAIgBcACIAKQA7AFwAbgBcAG4AXABuAFwAbgAvACoAIABcAG4ALQAtAC0ALQAtAC0ALQAtAC0ALQAtAC0ALQAtAC0ALQAtAC0ALQAtAC0ALQAtAC0ALQAtAC0ALQAtAC0ALQAtAC0ALQAtAC0ALQAtAFwAbgBWAEUARQBSAEcAXwA2AF8AMQBfADEAXwAyAF8AXwAxAGEAXwBfAEYAcgBhAGMAdABpAG8AbgBPAGYAQwByAG8AcABSAGUAcwBpAGQAdQBlAFIAZQBtAG8AdgBlAGQAXABuAEYAcgBhAGMAdABpAG8AbgAgAG8AZgAgAGMAcgBvAHAAIAByAGUAcwBpAGQAdQBlACAAdABoAGEAdAAgAGkAcwAgAHIAZQBtAG8AdgBlAGQAIABmAG8AcgAgAGMAcgBvAHAAIABjAFwAbgBGAEYATwBEAGMAXABuAGQAaQBtAGUAbgBzAGkAbwBuAGwAZQBzAHMAXABuAFwAbgAtAC0ALQAtAC0ALQAtAC0ALQAtAC0ALQAtAC0ALQAtAC0ALQAtAC0ALQAtAC0ALQAtAC0ALQAtAC0ALQAtAC0ALQAtAC0ALQAtAC0AXABuACoALwBcAG4AXABuAC8AKgBcAG4AVgBFAEUAUgBHAF8ANgBfADEAXwAxAF8AMgBfAF8AMQBhAF8AXwBGAHIAYQBjAHQAaQBvAG4ATwBmAEMAcgBvAHAAUgBlAHMAaQBkAHUAZQBSAGUAbQBvAHYAZQBkAFwAbgAgACAAPQBMAEEATQBCAEQAQQAoAFwAbgAgACAAIAAgAEYARgBPAEQAXwBjAGIAYQBsAGUAZAAsACAARgBGAE8ARABfAGMAbwB0AGgAZQByACwAXABuACAAIAAgACAARgBGAE8ARABfAGMAYgBhAGwAZQBkACAAKwAgAEYARgBPAEQAXwBjAG8AdABoAGUAcgBcAG4AIAAgACkAXABuADsAXABuAFwAbgBWAEUARQBSAEcAXwA2AF8AMQBfADEAXwAyAF8AXwAxAGEAXwBfAEYAcgBhAGMAdABpAG8AbgBPAGYAQwByAG8AcABSAGUAcwBpAGQAdQBlAFIAZQBtAG8AdgBlAGQAXwBUAGkAdABsAGUAXABuACAAIAA9AEwAQQBNAEIARABBACgAXAAiAEYAcgBhAGMAdABpAG8AbgAgAG8AZgAgAGMAcgBvAHAAIAByAGUAcwBpAGQAdQBlACAAdABoAGEAdAAgAGkAcwAgAHIAZQBtAG8AdgBlAGQAIABmAG8AcgAgAGMAcgBvAHAAIABjAFwAIgApADsAXABuAFwAbgBWAEUARQBSAEcAXwA2AF8AMQBfADEAXwAyAF8AXwAxAGEAXwBfAEYAcgBhAGMAdABpAG8AbgBPAGYAQwByAG8AcABSAGUAcwBpAGQAdQBlAFIAZQBtAG8AdgBlAGQAXwBWAGEAcgBpAGEAYgBsAGUAXABuACAAIAA9AEwAQQBNAEIARABBACgAXAAiAEYARgBPAEQAXwBjAFwAIgApADsAXABuAFwAbgBWAEUARQBSAEcAXwA2AF8AMQBfADEAXwAyAF8AXwAxAGEAXwBfAEYAcgBhAGMAdABpAG8AbgBPAGYAQwByAG8AcABSAGUAcwBpAGQAdQBlAFIAZQBtAG8AdgBlAGQAXwBVAG4AaQB0AFwAbgAgACAAPQBMAEEATQBCAEQAQQAoAFwAIgBkAGkAbQBlAG4AcwBpAG8AbgBsAGUAcwBzAFwAIgApADsAXABuAFwAbgBWAEUARQBSAEcAXwA2AF8AMQBfADEAXwAyAF8AXwAxAGEAXwBfAEYAcgBhAGMAdABpAG8AbgBPAGYAQwByAG8AcABSAGUAcwBpAGQAdQBlAFIAZQBtAG8AdgBlAGQAXwBTAG8AdQByAGMAZQBcAG4AIAAgAD0ATABBAE0AQgBEAEEAKABcACIAXAAiACkAOwBcAG4AXABuAFYARQBFAFIARwBfADYAXwAxAF8AMQBfADIAXwBfADEAYQBfAF8ARgByAGEAYwB0AGkAbwBuAE8AZgBDAHIAbwBwAFIAZQBzAGkAZAB1AGUAUgBlAG0AbwB2AGUAZABfAE4ASQBSAFIAZQBmAGUAcgBlAG4AYwBlAFwAbgAgACAAPQBMAEEATQBCAEQAQQAoAFwAIgBcACIAKQA7AFwAbgBcAG4AVgBFAEUAUgBHAF8ANgBfADEAXwAxAF8AMgBfAF8AMQBhAF8AXwBGAHIAYQBjAHQAaQBvAG4ATwBmAEMAcgBvAHAAUgBlAHMAaQBkAHUAZQBSAGUAbQBvAHYAZQBkAF8ATABhAHQAZQB4AEUAcQB1AGEAdABpAG8AbgBcAG4AIAAgAD0ATABBAE0AQgBEAEEAKABcACIARgBGAE8ARABfAHsAYwB9ACAAPQAgAEYARgBPAEQAXwB7AGMALABiAGEAbABlAGQAfQAgACsAIABGAEYATwBEAF8AewBjACwAbwB0AGgAZQByAH0AXAAiACkAOwBcAG4AXABuAFYARQBFAFIARwBfADYAXwAxAF8AMQBfADIAXwBfADEAYQBfAF8ARgByAGEAYwB0AGkAbwBuAE8AZgBDAHIAbwBwAFIAZQBzAGkAZAB1AGUAUgBlAG0AbwB2AGUAZABfAEEAcgBnAHUAbQBlAG4AdABzAFwAbgAgACAAPQBMAEEATQBCAEQAQQAoAFwAbgAgACAAIAAgAE0AQQBLAEUAQQBSAFIAQQBZACgAMgAsACAANAAsACAAXABuACAAIAAgACAAIAAgAEwAQQBNAEIARABBACgAcgAsAGMALAAgAFwAbgAgACAAIAAgACAAIAAgACAASQBOAEQARQBYACgAewBcAG4AIAAgACAAIAAgACAAIAAgACAAIABcACIARgBGAE8ARABfAGMAYgBhAGwAZQBkAFwAIgAsAFwAIgBGAHIAYQBjAHQAaQBvAG4AIABvAGYAIABjAHIAbwBwACAAcgBlAHMAaQBkAHUAZQAgAHQAaABhAHQAIABpAHMAIAByAGUAbQBvAHYAZQBkACAAZgBvAHIAIABjAHIAbwBwACAAYwAsACAAYwBhAGwAYwB1AGwAYQB0AGUAZAAgAHcAaABlAHIAZQAgAHIAZQBzAGkAZAB1AGUAcwAgAGEAcgBlACAAYgBhAGwAZQBkAFwAIgAsACAAXAAiAGYAcgBhAGMAdABpAG8AbgBcACIALAAgAFwAIgBDAGEAbABjAHUAbABhAHQAZQBkACAAZgByAG8AbQAgADYALgAxAC4AMQAuADIALAAgACgAMQApAFwAIgA7AFwAbgAgACAAIAAgACAAIAAgACAAIAAgAFwAIgBGAEYATwBEAF8AYwBvAHQAaABlAHIAXAAiACwAXAAiAEYAcgBhAGMAdABpAG8AbgAgAG8AZgAgAGMAcgBvAHAAIAByAGUAcwBpAGQAdQBlACAAdABoAGEAdAAgAGkAcwAgAHIAZQBtAG8AdgBlAGQAIABmAG8AcgAgAGMAcgBvAHAAIABjACwAIABjAGEAbABjAHUAbABhAHQAZQBkACAAdwBoAGUAcgBlACAAcgBlAHMAaQBkAHUAZQBzACAAYQByAGUAIAByAGUAbQBvAHYAZQBkACAAYgB5ACAAbwB0AGgAZQByACAAbQBlAGEAbgBzAFwAIgAsACAAXAAiAGYAcgBhAGMAdABpAG8AbgBcACIALAAgAFwAIgBJAG4AcAB1AHQAXAAiAFwAbgAgACAAIAAgACAAIAAgACAAfQAsACAAcgAsACAAYwApAFwAbgAgACAAIAAgACAAIAApAFwAbgAgACAAIAAgACkAXABuACAAIAApADsAXABuAFwAbgBWAEUARQBSAEcAXwA2AF8AMQBfADEAXwAyAF8AXwAxAGEAXwBfAEYAcgBhAGMAdABpAG8AbgBPAGYAQwByAG8AcABSAGUAcwBpAGQAdQBlAFIAZQBtAG8AdgBlAGQAXwBWAGEAcgBpAGEAdABpAG8AbgBcAG4AIAAgAD0ATABBAE0AQgBEAEEAKABcACIAVgBBAFIASQBBAFQASQBPAE4AIABGAFIATwBNACAAUwBPAFUAUgBDAEUAOgAgAEEAZABkAGUAZAAgAHQAaABpAHMAIABlAHEAdQBhAHQAaQBvAG4AIAB0AG8AIABhAGMAYwBvAG0AbQBvAGQAYQB0AGUAIAB1AHMAZQByAC0AZABlAGYAaQBuAGUAZAAgAHIAZQBzAGkAZAB1AGUAIAByAGUAbQBvAHYAYQBsACAAbwB0AGgAZQByACAAdABoAGEAbgAgAGIAYQBsAGkAbgBnAC4AXAAiACkAOwBcAG4AIAAgACoALwAiAH0ALAB7ACIAcABhAHQAaAAiADoAIgAvAHAAcgBvAGoAZQBjAHQAcwAvAEEAZwBSAGUAcwBpAGQAdQBlAF8ARQBxAHUAYQB0AGkAbwBuAHMAXwBQAGEAcwB0AHUAcgBlAFIAZQBzAGkAZAB1AGUAIgAsACIAdABlAHgAdAAiADoAIgAvACoAIABcAG4ALQAtAC0ALQAtAC0ALQAtAC0ALQAtAC0ALQAtAC0ALQAtAC0ALQAtAC0ALQAtAC0ALQAtAC0ALQAtAC0ALQAtAC0ALQAtAC0ALQAtAFwAbgBWAEUARQBSAEcAXwA2AF8AMgBfADEAXwAxAF8AXwAxAF8AXwBOAGkAdAByAG8AdQBzAE8AeABpAGQAZQBFAG0AaQBzAHMAaQBvAG4AcwBGAHIAbwBtAFAAYQBzAHQAdQByAGUAUgBlAHMAaQBkAHUAZQBzAFwAbgBOAGkAdAByAG8AdQBzACAAbwB4AGkAZABlACAAZQBtAGkAcwBzAGkAbwBuAHMAIABmAHIAbwBtACAAdABoAGUAIAByAGUAdAB1AHIAbgAgAG8AZgAgAHAAYQBzAHQAdQByAGUAIAByAGUAcwBpAGQAdQBlAHMAIABmAHIAbwBtACAAYQBsAGwAIABwAGEAcwB0AHUAcgBlACAAdAB5AHAAZQBzACAAdABvACAAdABoAGUAIABzAG8AaQBsAFwAbgBFAE4AMgBPAFwAbgB0ACAATgAyAE8AXABuAEUAXwB7AE4AMgBPAH0APQBcAFwAcwB1AG0AXwB7AHAAfQBcAFwAbABlAGYAdAAoAE0AXwBwAFwAXAB0AGkAbQBlAHMAIABFAEYAXwB7AE4AaQB9AFwAXAB0AGkAbQBlAHMAIABDAF8AewBOADIATwB9AFwAXAB0AGkAbQBlAHMAewAxADAAfQBeAHsALQAzAH0AXABcAHIAaQBnAGgAdAApAFwAbgBNAHAAIAA9ACAAbQBhAHMAcwAgAG8AZgAgAG4AaQB0AHIAbwBnAGUAbgAgAGkAbgAgAHAAYQBzAHQAdQByAGUAIABwACAAcgBlAHMAaQBkAHUAZQBzACAAcgBlAHQAdQByAG4AZQBkACAAdABvACAAdABoAGUAIABzAG8AaQBsACAAKABrAGcAIABOACkAXABuAEUARgBOAGkAIAA9ACAAZQBtAGkAcwBzAGkAbwBuACAAZgBhAGMAdABvAHIAIABmAG8AcgAgAGMAcgBvAHAAIAByAGUAcwBpAGQAdQBlAHMAIAByAGUAdAB1AHIAbgBlAGQAIAB0AG8AIAB0AGgAZQAgAHMAbwBpAGwAIABpAG4AIABjAGwAaQBtAGEAdABlACAAegBvAG4AZQAgAGk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HAAIAA9ACAAUABhAHMAdAB1AHIAZQAgAHQAeQBwAGUAXABuAGkAIAA9ACAAQwBsAGkAbQBhAHQAZQAgAHoAbwBuAGUAXABuAC0ALQAtAC0ALQAtAC0ALQAtAC0ALQAtAC0ALQAtAC0ALQAtAC0ALQAtAC0ALQAtAC0ALQAtAC0ALQAtAC0ALQAtAC0ALQAtAC0ALQBcAG4AKgAvAFwAbgBcAG4AVgBFAEUAUgBHAF8ANgBfADIAXwAxAF8AMQBfAF8AMQBfAF8ATgBpAHQAcgBvAHUAcwBPAHgAaQBkAGUARQBtAGkAcwBzAGkAbwBuAHMARgByAG8AbQBQAGEAcwB0AHUAcgBlAFIAZQBzAGkAZAB1AGUAcwBcAG4AIAAgAD0ATABBAE0AQgBEAEEAKABcAG4AIAAgACAAIABNAF8AcAAsACAARQBGAF8ATgBpACwAIABDAF8ATgAyAE8ALABcAG4AIAAgACAAIAAoAE0AXwBwACAAKgAgAEUARgBfAE4AaQApACAAKgAgAEMAXwBOADIATwAgACoAIAAxADAAXgAoAC0AMwApAFwAbgAgACAAKQA7AFwAbgBcAG4AVgBFAEUAUgBHAF8ANgBfADIAXwAxAF8AMQBfAF8AMQBfAF8ATgBpAHQAcgBvAHUAcwBPAHgAaQBkAGUARQBtAGkAcwBzAGkAbwBuAHMARgByAG8AbQBQAGEAcwB0AHUAcgBlAFIAZQBzAGkAZAB1AGUAcwBfAFQAaQB0AGwAZQBcAG4AIAAgAD0ATABBAE0AQgBEAEEAKABcACIATgBpAHQAcgBvAHUAcwAgAG8AeABpAGQAZQAgAGUAbQBpAHMAcwBpAG8AbgBzACAAZgByAG8AbQAgAHQAaABlACAAcgBlAHQAdQByAG4AIABvAGYAIABwAGEAcwB0AHUAcgBlACAAcgBlAHMAaQBkAHUAZQBzACAAZgByAG8AbQAgAGEAbABsACAAcABhAHMAdAB1AHIAZQAgAHQAeQBwAGUAcwAgAHQAbwAgAHQAaABlACAAcwBvAGkAbABcACIAKQA7AFwAbgBcAG4AVgBFAEUAUgBHAF8ANgBfADIAXwAxAF8AMQBfAF8AMQBfAF8ATgBpAHQAcgBvAHUAcwBPAHgAaQBkAGUARQBtAGkAcwBzAGkAbwBuAHMARgByAG8AbQBQAGEAcwB0AHUAcgBlAFIAZQBzAGkAZAB1AGUAcwBfAFYAYQByAGkAYQBiAGwAZQBcAG4AIAAgAD0ATABBAE0AQgBEAEEAKABcACIARQBOADIATwBcACIAKQA7AFwAbgBcAG4AVgBFAEUAUgBHAF8ANgBfADIAXwAxAF8AMQBfAF8AMQBfAF8ATgBpAHQAcgBvAHUAcwBPAHgAaQBkAGUARQBtAGkAcwBzAGkAbwBuAHMARgByAG8AbQBQAGEAcwB0AHUAcgBlAFIAZQBzAGkAZAB1AGUAcwBfAFUAbgBpAHQAXABuACAAIAA9AEwAQQBNAEIARABBACgAXAAiAHQAIABOADIATwBcACIAKQA7AFwAbgBcAG4AVgBFAEUAUgBHAF8ANgBfADIAXwAxAF8AMQBfAF8AMQBfAF8ATgBpAHQAcgBvAHUAcwBPAHgAaQBkAGUARQBtAGkAcwBzAGkAbwBuAHMARgByAG8AbQBQAGEAcwB0AHUAcgBlAFIAZQBzAGkAZAB1AGUAcwBfAFMAbwB1AHIAYwBlAFwAbgAgACAAPQBMAEEATQBCAEQAQQAoAFwAIgBWAEUARQBSAEcAIAAyADAAMgA2ADoAIAA2AC4AMgAuADEALgAxACwAIABFAHEAdQBhAHQAaQBvAG4AIAAoADEAKQBcACIAKQA7AFwAbgBcAG4AVgBFAEUAUgBHAF8ANgBfADIAXwAxAF8AMQBfAF8AMQBfAF8ATgBpAHQAcgBvAHUAcwBPAHgAaQBkAGUARQBtAGkAcwBzAGkAbwBuAHMARgByAG8AbQBQAGEAcwB0AHUAcgBlAFIAZQBzAGkAZAB1AGUAcwBfAE4ASQBSAFIAZQBmAGUAcgBlAG4AYwBlAFwAbgAgACAAPQBMAEEATQBCAEQAQQAoAFwAIgBcACIAKQA7AFwAbgBcAG4AVgBFAEUAUgBHAF8ANgBfADIAXwAxAF8AMQBfAF8AMQBfAF8ATgBpAHQAcgBvAHUAcwBPAHgAaQBkAGUARQBtAGkAcwBzAGkAbwBuAHMARgByAG8AbQBQAGEAcwB0AHUAcgBlAFIAZQBzAGkAZAB1AGUAcwBfAEwAYQB0AGUAeABFAHEAdQBhAHQAaQBvAG4AXABuACAAIAA9AEwAQQBNAEIARABBACgAXAAiAEUAXwB7AE4AMgBPAH0APQBcAFwAcwB1AG0AXABcAG4AbwBsAGkAbQBpAHQAcwBfAHAAXABcAGwAZQBmAHQAKABNAF8AcABcAFwAdABpAG0AZQBzACAARQBGAF8AewBOAGkAfQBcAFwAcgBpAGcAaAB0ACkAXABcAHQAaQBtAGUAcwAgAEMAXwB7AE4AMgBPAH0AXABcAHQAaQBtAGUAcwB7ADEAMAB9AF4AewAtADMAf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HAAXAAiACwAXAAiAG0AYQBzAHMAIABvAGYAIABuAGkAdAByAG8AZwBlAG4AIABpAG4AIABwAGEAcwB0AHUAcgBlACAAcAAgAHIAZQBzAGkAZAB1AGUAcwAgAHIAZQB0AHUAcgBuAGUAZAAgAHQAbwAgAHQAaABlACAAcwBvAGkAbABcACIALAAgAFwAIgBrAGcAIABOAFwAIgAsACAAXAAiAEMAYQBsAGMAdQBsAGEAdABlAGQAIABmAHIAbwBtACAANgAuADIALgAxAC4AMQAgACgAMgApAFwAIgA7AFwAbgAgACAAIAAgACAAIAAgACAAIAAgAFwAIgBFAEYAXwBOAGkAXAAiACwAXAAiAGUAbQBpAHMAcwBpAG8AbgAgAGYAYQBjAHQAbwByACAAZgBvAHIAIABjAHIAbwBwACAAcgBlAHMAaQBkAHUAZQBzACAAcgBlAHQAdQByAG4AZQBkACAAdABvACAAdABoAGUAIABzAG8AaQBsACAAaQBuACAAYwBsAGkAbQBhAHQAZQAgAHoAbwBuAGUAIABp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HAAXAAiACwAXAAiAFAAYQBzAHQAdQByAGU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F8AcAAgAD0AIABhAHIAZQBhACAAbwBmACAAcABhAHMAdAB1AHIAZQAgAHIAZQBuAGUAdwBlAGQAIABvAHIAIAByAGUAbQBvAHYAZQBkACAAKABoAGEAKQBcAG4AWQBwACAAPQAgAGEAdgBlAHIAYQBnAGUAIAB5AGkAZQBsAGQAIABvAGYAIABwAGEAcwB0AHUAcgBlACAAYwByAG8AcAAgACgAdAAgAEQATQAvAGgAYQApAFwAbgBOAEMAQQBHAHAAIAA9ACAATgAgAGMAbwBuAHQAZQBuAHQAIABvAGYAIABhAGIAbwB2AGUALQBnAHIAbwB1AG4AZAAgAHAAYQBzAHQAdQByAGUAIAByAGUAcwBpAGQAdQBlACAAKABrAGcAIABOAC8AawBnACAARABNACkAXABuAFIAXwBCAEcAcAAgAD0AIABiAGUAbABvAHcALQBnAHIAbwB1AG4AZAAgAHIAZQBzAGkAZAB1AGUAIAB0AG8AIABhAGIAbwB2AGUALQBnAHIAbwB1AG4AZAAgAHIAZQBzAGkAZAB1AGUAIAByAGEAdABpAG8AIABmAG8AcgAgAHAAYQBzAHQAdQByAGUAIABjAHIAbwBwACAAKABkAGkAbQBlAG4AcwBpAG8AbgBsAGUAcwBzACkAXABuAE4AQwBf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fAHAALAAgAFkAXwBwACwAIABGAEYATwBEAF8AcAAsACAATgBDAF8AQQBHAHAALAAgAFIAXwBCAEcAcAAsACAATgBDAF8AQgBHAHAALABcAG4AIAAgACAAIAAoAEEAXwBwACAAKgAgACgAWQBfAHAAIAAqACAAMQAwAF4AKAAtADMAKQApACAAKgAgACgAMQAgAC0AIABGAEYATwBEAF8AcAApACAAKgAgAE4AQwBfAEEARwBwACkAIAArACAAKABBAF8AcAAgACoAIAAoAFkAXwBwACAAKgAgADEAMABeACgALQAzACkAKQAgACoAIABSAF8AQgBHAHAAIAAqACAATgBDAF8AQgBHAHAAKQBcAG4AIAAgACkAOwBcAG4AXABuAFYARQBFAFIARwBfADYAXwAyAF8AMQBfADEAXwBfADIAXwBfAE0AYQBzAHMATwBmAE4AaQB0AHIAbwBnAGUAbgBJAG4AUABhAHMAdAB1AHIAZQBSAGUAcwBpAGQAdQBlAHMAXwBUAGkAdABsAGUAXABuACAAIAA9AEwAQQBNAEIARABBACgAXAAiAE0AYQBzAHMAIABvAGYAIABuAGkAdAByAG8AZwBlAG4AIABpAG4AIABwAGEAcwB0AHUAcgBlACAAcgBlAHMAaQBkAHUAZQBzACAAcgBlAHQAdQByAG4AZQBkACAAdABvACAAdABoAGUAIABzAG8AaQBsAFwAIgApADsAXABuAFwAbgBWAEUARQBSAEcAXwA2AF8AMgBfADEAXwAxAF8AXwAyAF8AXwBNAGEAcwBzAE8AZgBOAGkAdAByAG8AZwBlAG4ASQBuAFAAYQBzAHQAdQByAGUAUgBlAHMAaQBkAHUAZQBzAF8AVgBhAHIAaQBhAGIAbABlAFwAbgAgACAAPQBMAEEATQBCAEQAQQAoAFwAIgBNAHAAXAAiACkAOwBcAG4AXABuAFYARQBFAFIARwBfADYAXwAyAF8AMQBfADEAXwBfADIAXwBfAE0AYQBzAHMATwBmAE4AaQB0AHIAbwBnAGUAbgBJAG4AUABhAHMAdAB1AHIAZQBSAGUAcwBpAGQAdQBlAHMAXwBVAG4AaQB0AFwAbgAgACAAPQBMAEEATQBCAEQAQQAoAFwAIgBrAGcAIABOAFwAIgApADsAXABuAFwAbgBWAEUARQBSAEcAXwA2AF8AMgBfADEAXwAxAF8AXwAyAF8AXwBNAGEAcwBzAE8AZgBOAGkAdAByAG8AZwBlAG4ASQBuAFAAYQBzAHQAdQByAGUAUgBlAHMAaQBkAHUAZQBzAF8AUwBvAHUAcgBjAGUAXABuACAAIAA9AEwAQQBNAEIARABBACgAXAAiAFYARQBFAFIARwAgADIAMAAyADYAOgAgADYALgAyAC4AMQAuADEALAAgAEUAcQB1AGEAdABpAG8AbgAgACgAMgApAFwAIgApADsAXABuAFwAbgBWAEUARQBSAEcAXwA2AF8AMgBfADEAXwAxAF8AXwAyAF8AXwBNAGEAcwBzAE8AZgBOAGkAdAByAG8AZwBlAG4ASQBuAFAAYQBzAHQAdQByAGUAUgBlAHMAaQBkAHUAZQBzAF8ATgBJAFIAUgBlAGYAZQByAGUAbgBjAGUAXABuACAAIAA9AEwAQQBNAEIARABBACgAXAAiAFwAIgApADsAXABuAFwAbgBWAEUARQBSAEcAXwA2AF8AMgBfADEAXwAxAF8AXwAyAF8AXwBNAGEAcwBzAE8AZgBOAGkAdAByAG8AZwBlAG4ASQBuAFAAYQBzAHQAdQByAGUAUgBlAHMAaQBkAHUAZQBzAF8ATABhAHQAZQB4AEUAcQB1AGEAdABpAG8AbgBcAG4AIAAgAD0ATABBAE0AQgBEAEEAKABcACIATQBfAHAAIAA9ACAAKABBAF8AcAAgAFwAXAB0AGkAbQBlAHMAIA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CIAKQA7AFwAbgBcAG4AVgBFAEUAUgBHAF8ANgBfADIAXwAxAF8AMQBfAF8AMgBfAF8ATQBhAHMAcwBPAGYATgBpAHQAcgBvAGcAZQBuAEkAbgBQAGEAcwB0AHUAcgBlAFIAZQBzAGkAZAB1AGUAcwBfAEEAcgBnAHUAbQBlAG4AdABz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MAbwBuAHMAdABhAG4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YARQBFAFIARwBfADYAXwAyAF8AMQBfADEAXwBfADIAXwBfAE0AYQBzAHMATwBmAE4AaQB0AHIAbwBnAGUAbgBJAG4AUABhAHMAdAB1AHIAZQBSAGUAcwBpAGQAdQBlAHMAXwBBAHIAZwB1AG0AZQBuAHQAcwBfAE0AZQB0AGgAbwBkADI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SQBuAHAAdQ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XABuAFwAbg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F8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f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F8AbABlAGEAYwBoAGMAcAAsACAARQBGAF8AbABlAGEAYwBoACwAIABDAF8ATgAyAE8ALABcAG4AIAAgACAAIAAoAE0AXwBsAGUAYQBjAGgAYwBwACAAKgAgAEUARgBfAGwAZQBhAGMAaAApACAAKgAgAEMAX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ABcAG4AbwBsAGkAbQBpAHQAcwBfAGMAXABcAHMAdQBtAFwAXABuAG8AbABpAG0AaQB0AHMAXwBwACgATQBfAHsAbABlAGEAYwBoACwAYwBwAH0AXABcAHQAaQBtAGUAcwAgAEUARgBfAHsAbABlAGEAYwBoAH0AXABcAHQAaQBtAGUAcwAgAEM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0ACwAIABcAG4AIAAgACAAIAAgACAATABBAE0AQgBEAEEAKAByACwAYwAsACAAXABuACAAIAAgACAAIAAgACAAIABJAE4ARABFAFgAKAB7AFwAbgAgACAAIAAgACAAIAAgACAAIAAgAFwAIgBNAF8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BcACIALAAgAFwAIgBrAGcAIABOAFwAIgAsACAAXAAiAEMAYQBsAGMAdQBsAGEAdABlAGQAIABmAHIAbwBtACAANgAuADMALgAxAC4AMQ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fAGwAZQBhAGMAaABjAHAAXABuAGsAZwAgAE4AXABuAE0AXwB7AGwAZQBhAGMAaAAsAGMAcAB9AD0ATQBfAHsAYwBwAH0AXABcAHQAaQBtAGUAcwAgAEYAcgBhAGMAVwBFAFQAXwB7AGoAfQBcAFwAdABpAG0AZQBzACAARgByAGEAYwBMAEUAQQBDAEgAXABuAE0AXw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fAGMAcAAsACAARgByAGEAYwBXAEUAVABfAGoALAAgAEYAcgBhAGMATABFAEEAQwBIACwAXABuACAAIAAgACAATQBfAGMAcAAgACoAIABGAHIAYQBjAFcARQBUAF8Aa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Xw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q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NAAsACAAXABuACAAIAAgACAAIAAgAEwAQQBNAEIARABBACgAcgAsAGMALAAgAFwAbgAgACAAIAAgACAAIAAgACAASQBOAEQARQBYACgAewBcAG4AIAAgACAAIAAgACAAIAAgACAAIABcACIATQBfAGMAcABcACIALABcACIAbQBhAHMAcwAgAG8AZgAgAG4AaQB0AHIAbwBnAGUAbgAgAGkAbgAgAGMAcgBvAHAAIAByAGUAcwBpAGQAdQBlAHMAIABjACAAbwByACAAcABhAHMAdAB1AHIAZQAgAHIAZQBzAGkAZAB1AGUAcwAgAHAAIABhAHAAcABsAGkAZQBkACAAdABvACAAcwBvAGkAbABzAFwAIgAsACAAXAAiAGsAZwAgAE4AXAAiACwAIABcACIAQwBhAGwAYwAgAGYAcgBvAG0AIAA2AC4AMQAuADEALgAxACAAKAAyACkAIABhAG4AZAAgADYALgAyAC4AMQAuADEAIAAoADIAKQBcACIAOwBcAG4AIAAgACAAIAAgACAAIAAgACAAIABcACIARgByAGEAYwBXAEUAVABfAGo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TABvAGMAYQB0AGkAbwBuACAAaQBuACAAbABlAGEAYwBoAGkAbgBnACAAegBvAG4AZQBcACIALAAgAFwAIgBcACIALAAgAFwAIgBJAG4AcAB1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DsAXABuACAAIAAgACAAIAAgACAAIAAgACAAXAAiAGkAcgBcACIALAAgAFwAIgBJAHIAcgBpAGcAYQB0AGkAbwBuACAAdAB5AHAAZQBcACIALAAgAFwAIgBcACIALAAgAFwAIgBJAG4AcAB1AHQAXAAiAFwAbgAgACAAIAAgACAAIAAgACAAfQAsACAAcgAsACAAYwApAFwAbgAgACAAIAAgACAAIAApAFwAbgAgACAAIAAgACkAXABuACAAIAApADsAXABuAFwAbgAgACAAVgBFAEUAUgBHAF8ANgBfADMAXwAxAF8AMQBfAF8AMgBfAF8ATQBhAHMAcwBPAGYATgBpAHQAcgBvAGcAZQBuAEwAbwBzAHQAVABoAHIAbwB1AGcAaABMAGUAYQBjAGgAaQBuAGcAQQBuAGQAUgB1AG4AbwBmAGYAXwBWAGEAcgBpAGEAdABpAG8AbgBcAG4AIAAgAD0ATABBAE0AQgBEAEEAKABcACIAXAAiACkAOwBcAG4AXABuAFwAbgBcAG4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XwBiAHUAcgBuAGMAIAA9ACAAbQBhAHMAcwAgAG8AZgAgAHIAZQBzAGkAZAB1AGUAIABiAHUAcgBuAHQAIABmAG8AcgAgAGMAcgBvAHAAIAB0AHkAcABlACAAYwAgACgAawBnACkAXABuAEMAQwBfAGMAIAA9ACAAYwBhAHIAYgBvAG4AIABtAGEAcwBzACAAZgByAGEAYwB0AGkAbwBuACAAaQBuACAAdABoAGUAIAByAGUAcwBpAGQAdQBlAHMAIABvAGYAIABjAHIAbwBwACAAdAB5AHAAZQAgAGMAIAAoAGQAaQBtAGUAbgBzAGkAbwBuAGwAZQBzAHMAKQBcAG4ARQBGAF8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XwBiAHUAcgBuAGMALAAgAEMAQwBfAGMALAAgAEUARgBfAEMASAA0ACwAIABDAF8AQwBIADQALABcAG4AIAAgACAAIAAoAE0AXwBiAHUAcgBuAGMAIAAqACAAQwBDAF8AYwApACAAKgAgAEUARgBf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wAXABuAG8AbABpAG0AaQB0AHMAXwBjACgATQBfAHsAYgB1AHIAbgAsAGMAfQBcAFwAdABpAG0AZQBzACAAQwBDAF8AewBjAH0AKQBcAFwAdABpAG0AZQBzACAARQBGAF8AewBDAEgANAB9AFwAXAB0AGkAbQBlAHMAIABDAF8AewBDAEgANAB9AFwAXAB0AGkAbQBlAHMAIAAxADAAXgB7AC0AMwB9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MAQwBfAGMAXAAiACwAXAAiAGMAYQByAGIAbwBuACAAbQBhAHMAcwAgAGYAcgBhAGMAdABpAG8AbgAgAGkAbgAgAHQAaABlACAAcgBlAHMAaQBkAHUAZQBzACAAbwBmACAAYwByAG8AcAAgAHQAeQBwAGUAIABjAFwAIgAsACAAXAAiAGYAcgBhAGMAdABpAG8AbgBcACIALAAgAFwAIgBDAG8AbgBzAHQAYQBuAHQAXAAiADsAXABuACAAIAAgACAAIAAgACAAIAAgACAAXAAiAEUARgBfAEMASAA0AFwAIgAsAFwAIgBlAG0AaQBzAHMAaQBvAG4AIABmAGEAYwB0AG8AcgAgAGYAbwByACAAbQBlAHQAaABhAG4AZQAgAGYAcgBvAG0AIABiAHUAcgBuAGkAbgBnACAAbwBmACAAYwByAG8AcAAgAHIAZQBzAGkAZAB1AGUAcwBcACIALAAgAFwAIgBrAGcAIABDAEgANAAgAC8AIABrAGcAIABDAEgANAAgAGIAdQByAG4AdABcACIALAAgAFwAIgBDAG8AbgBzAHQAYQBuAHQAXAAiADsAXABuACAAIAAgACAAIAAgACAAIAAgACAAXAAiAEMAXwBDAEgANABcACIALABcACIAZgBhAGMAdABvAHIAIAB0AG8AIABjAG8AbgB2AGUAcgB0ACAAZQBsAGUAbQBlAG4AdABhAGwAIABtAGEAcwBzACAAbwBmACAAbQBlAHQAaABhAG4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gBfAF8ATgBpAHQAcgBvAHUAcwBPAHgAaQBkAGUARQBtAGkAcwBzAGkAbwBuAHMARgByAG8AbQBCAHUAcgBuAGkAbgBnAE8AZgBDAHIAbwBwAFIAZQBzAGkAZAB1AGUAcwBcAG4ATgBpAHQAcgBvAHUAcwAgAG8AeABpAGQAZQAgAGUAbQBpAHMAcwBpAG8AbgBzACAAZgByAG8AbQAgAHQAaABlACAAYgB1AHIAbgBpAG4AZwAgAG8AZgAgAGMAcgBvAHAAIAByAGUAcwBpAGQAdQBlAHMAXABuAEUATgAyAE8AXABuAHQAIABOADIATwBcAG4ARQBfAHsATgAyAE8AfQA9AFwAXABzAHUAbQBfAHsAYwB9ACgATQBfAHsAYgB1AHIAbgAsAGMAfQBcAFwAdABpAG0AZQBzACAATgBDAF8AewBBAEcAYwB9AFwAXAB0AGkAbQBlAHMAIABFAEYAXwB7AE4AMgBPAH0AXABcAHQAaQBtAGUAcwAgAEMAXwB7AE4AMgBPAH0AXABcAHQAaQBtAGUAcwAgADEAMABeAHsALQAzAH0AKQBcAG4ATQBfAGIAdQByAG4AYwAgAD0AIABtAGEAcwBzACAAbwBmACAAcgBlAHMAaQBkAHUAZQAgAGIAdQByAG4AdAAgAGYAbwByACAAYwByAG8AcAAgAHQAeQBwAGUAIABjACAAKABrAGcAKQBcAG4ATgBDAF8AQQBHAGMAIAA9ACAAbgBpAHQAcgBvAGcAZQBuACAAYwBvAG4AdABlAG4AdAAgAGkAbgAgAHQAaABlACAAYQBiAG8AdgBlAC0AZwByAG8AdQBuAGQAIAByAGUAcwBpAGQAdQBlACAAbwBmACAAYwByAG8AcAAgAHQAeQBwAGUAIABjACAAKABrAGcAIABOAC8AawBnACAARABNACkAXABuAEUARgBfAE4AMgBPACAAPQAgAGUAbQBpAHMAcwBpAG8AbgAgAGYAYQBjAHQAbwByACAAZgBvAHIAIABuAGkAdAByAG8AdQBzACAAbwB4AGkAZABlACAAZgByAG8AbQAgAGIAdQByAG4AaQBuAGcAIABvAGYAIABjAHIAbwBwACAAcgBlAHMAaQBkAHUAZQBzACAAKABrAGcAIABOADIATwAvAGsAZwAgAE4AMgBPACAAYgB1AHIAbgB0ACkAXABuAEMAX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gBfAF8ATgBpAHQAcgBvAHUAcwBPAHgAaQBkAGUARQBtAGkAcwBzAGkAbwBuAHMARgByAG8AbQBCAHUAcgBuAGkAbgBnAE8AZgBDAHIAbwBwAFIAZQBzAGkAZAB1AGUAcwBcAG4AIAAgAD0ATABBAE0AQgBEAEEAKABcAG4AIAAgACAAIABNAF8AYgB1AHIAbgBjACwAIABOAEMAXwBBAEcAYwAsACAARQBGAF8ATgAyAE8ALAAgAEMAXwBOADIATwAsAFwAbgAgACAAIAAgACgATQBfAGIAdQByAG4AYwAgACoAIABOAEMAXwBBAEcAYwApACAAKgAgAEUARgBfAE4AMgBPACAAKgAgAEMAXwBOADIATwAgACoAIAAxADAAXgAoAC0AMwApAFwAbgAgACAAKQA7AFwAbgBcAG4AVgBFAEUAUgBHAF8ANgBfADQAXwAxAF8AMQBfAF8AMgBfAF8ATgBpAHQAcgBvAHUAcwBPAHgAaQBkAGUARQBtAGkAcwBzAGkAbwBuAHMARgByAG8AbQBCAHUAcgBuAGkAbgBnAE8AZgBDAHIAbwBwAFIAZQBzAGkAZAB1AGUAcwBfAEYAdQBuAGMAdABpAG8AbgBOAGEAbQBlAFwAbgAgACAAPQBMAEEATQBCAEQAQQAoAFwAIgBWAEUARQBSAEcAXwA2AF8ANABfADEAXwAxAF8AXwAyAF8AXwBOAGkAdAByAG8AdQBzAE8AeABpAGQAZQBFAG0AaQBzAHMAaQBvAG4AcwBGAHIAbwBtAEIAdQByAG4AaQBuAGcATwBmAEMAcgBvAHAAUgBlAHMAaQBkAHUAZQBzAFwAIgApADsAXABuAFwAbgBWAEUARQBSAEcAXwA2AF8ANABfADEAXwAxAF8AXwAyAF8AXwBOAGkAdAByAG8AdQBzAE8AeABpAGQAZQBFAG0AaQBzAHMAaQBvAG4AcwBGAHIAbwBtAEIAdQByAG4AaQBuAGcATwBmAEMAcgBvAHAAUgBlAHMAaQBkAHUAZQBzAF8AVABpAHQAbABlAFwAbgAgACAAPQBMAEEATQBCAEQAQQAoAFwAIgBOAGkAdAByAG8AdQBzACAAbwB4AGkAZABlACAAZQBtAGkAcwBzAGkAbwBuAHMAIABmAHIAbwBtACAAdABoAGUAIABiAHUAcgBuAGkAbgBnACAAbwBmACAAYwByAG8AcAAgAHIAZQBzAGkAZAB1AGUAcwBcACIAKQA7AFwAbgBcAG4AVgBFAEUAUgBHAF8ANgBfADQAXwAxAF8AMQBfAF8AMgBfAF8ATgBpAHQAcgBvAHUAcwBPAHgAaQBkAGUARQBtAGkAcwBzAGkAbwBuAHMARgByAG8AbQBCAHUAcgBuAGkAbgBnAE8AZgBDAHIAbwBwAFIAZQBzAGkAZAB1AGUAcwBfAFYAYQByAGkAYQBiAGwAZQBcAG4AIAAgAD0ATABBAE0AQgBEAEEAKABcACIARQBOADIATwBcACIAKQA7AFwAbgBcAG4AVgBFAEUAUgBHAF8ANgBfADQAXwAxAF8AMQBfAF8AMgBfAF8ATgBpAHQAcgBvAHUAcwBPAHgAaQBkAGUARQBtAGkAcwBzAGkAbwBuAHMARgByAG8AbQBCAHUAcgBuAGkAbgBnAE8AZgBDAHIAbwBwAFIAZQBzAGkAZAB1AGUAcwBfAFUAbgBpAHQAXABuACAAIAA9AEwAQQBNAEIARABBACgAXAAiAHQAIABOADIATwBcACIAKQA7AFwAbgBcAG4AVgBFAEUAUgBHAF8ANgBfADQAXwAxAF8AMQBfAF8AMgBfAF8ATgBpAHQAcgBvAHUAcwBPAHgAaQBkAGUARQBtAGkAcwBzAGkAbwBuAHMARgByAG8AbQBCAHUAcgBuAGkAbgBnAE8AZgBDAHIAbwBwAFIAZQBzAGkAZAB1AGUAcwBfAFMAbwB1AHIAYwBlAFwAbgAgACAAPQBMAEEATQBCAEQAQQAoAFwAIgBWAEUARQBSAEcAIAAyADAAMgA2ADoAIAA2AC4ANAAuADEALgAxACwAIABFAHEAdQBhAHQAaQBvAG4AIAAoADIAKQBcACIAKQA7AFwAbgBcAG4AVgBFAEUAUgBHAF8ANgBfADQAXwAxAF8AMQBfAF8AMgBfAF8ATgBpAHQAcgBvAHUAcwBPAHgAaQBkAGUARQBtAGkAcwBzAGkAbwBuAHMARgByAG8AbQBCAHUAcgBuAGkAbgBnAE8AZgBDAHIAbwBwAFIAZQBzAGkAZAB1AGUAcwBfAE4ASQBSAFIAZQBmAGUAcgBlAG4AYwBlAFwAbgAgACAAPQBMAEEATQBCAEQAQQAoAFwAIgBcACIAKQA7AFwAbgBcAG4AVgBFAEUAUgBHAF8ANgBfADQAXwAxAF8AMQBfAF8AMgBfAF8ATgBpAHQAcgBvAHUAcwBPAHgAaQBkAGUARQBtAGkAcwBzAGkAbwBuAHMARgByAG8AbQBCAHUAcgBuAGkAbgBnAE8AZgBDAHIAbwBwAFIAZQBzAGkAZAB1AGUAcwBfAEwAYQB0AGUAeABFAHEAdQBhAHQAaQBvAG4AXABuACAAIAA9AEwAQQBNAEIARABBACgAXAAiAEUAXwB7AE4AMgBPAH0APQBcAFwAcwB1AG0AXABcAG4AbwBsAGkAbQBpAHQAcwBfAGMAKABNAF8AewBiAHUAcgBuACwAYwB9AFwAXAB0AGkAbQBlAHMAIABOAEMAXwB7AEEARwBjAH0AKQBcAFwAdABpAG0AZQBzACAARQBGAF8AewBOADIATwB9AFwAXAB0AGkAbQBlAHMAIABDAF8AewBOADIATwB9AFwAXAB0AGkAbQBlAHMAIAAxADAAXgB7AC0AMwB9AFwAIgApADsAXABuAFwAbgBWAEUARQBSAEcAXwA2AF8ANABfADEAXwAxAF8AXwAyAF8AXwBOAGkAdAByAG8AdQBzAE8AeABpAGQ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OAEMAXwBBAEcAYwBcACIALABcACIAbgBpAHQAcgBvAGcAZQBuACAAYwBvAG4AdABlAG4AdAAgAGkAbgAgAHQAaABlACAAYQBiAG8AdgBlAC0AZwByAG8AdQBuAGQAIAByAGUAcwBpAGQAdQBlACAAbwBmACAAYwByAG8AcAAgAHQAeQBwAGUAIABjAFwAIgAsACAAXAAiAGsAZwAgAE4ALwBrAGcAIABEAE0AXAAiACwAIABcACIAQwBvAG4AcwB0AGEAbgB0AFwAIgA7AFwAbgAgACAAIAAgACAAIAAgACAAIAAgAFwAIgBFAEYAXwBOADIATwBcACIALABcACIAZQBtAGkAcwBzAGkAbwBuACAAZgBhAGMAdABvAHIAIABmAG8AcgAgAG4AaQB0AHIAbwB1AHMAIABvAHgAaQBkAGUAIABmAHIAbwBtACAAYgB1AHIAbgBpAG4AZwAgAG8AZgAgAGMAcgBvAHAAIAByAGUAcwBpAGQAdQBlAHMAXAAiACwAIABcACIAawBnACAATgAyAE8ALwBrAGcAIABOADIATwAgAGIAdQByAG4Ad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wBfAF8ATQBhAHMAcwBPAGYAQwByAG8AcABSAGUAcwBpAGQAdQBlAEIAdQByAG4AdABcAG4ATQBhAHMAcwAgAG8AZgAgAHIAZQBzAGkAZAB1AGUAIABvAGYAIABjAHIAbwBwACAAYwAgAGIAdQByAG4AdABcAG4ATQBfAGIAdQByAG4AYwBcAG4AawBnAFwAbgBNAF8AewBiAHUAcgBuACwAYwB9AD0AUABfAHsAYwB9AFwAXAB0AGkAbQBlAHMAIABSAF8AewBBAEcAYwB9AFwAXAB0AGkAbQBlAHMAIABTAF8AewBjAH0AXABcAHQAaQBtAGUAcwAgAEQATQBfAHsAYwB9AFwAXAB0AGkAbQBlAHMAIABaAF8AewBjAH0AXABcAHQAaQBtAGUAcwAgAEYAXwB7AGMAfQBcAG4AUABfAGMAIAA9ACAAYQBuAG4AdQBhAGwAIABwAHIAbwBkAHUAYwB0AGkAbwBuACAAbwBmACAAYwByAG8AcAAgAHQAeQBwAGUAIABjACAAKABrAGcAKQBcAG4AUgBfAEEARwBjACAAPQAgAHIAZQBzAGkAZAB1AGUAIAB0AG8AIABjAHIAbwBwACAAcgBhAHQAaQBvACAAbwBmACAAYwByAG8AcAAgAHQAeQBwAGUAIABjACAAKABrAGcAIABjAHIAbwBwACAAcgBlAHMAaQBkAHUAZQAvAGsAZwAgAGMAcgBvAHAAKQBcAG4AUwBfAGMAIAA9ACAAZgByAGEAYwB0AGkAbwBuACAAbwBmACAAcgBlAHMAaQBkAHUAZQBzACAAbwBmACAAYwByAG8AcAAgAHQAeQBwAGUAIABjACAAcgBlAG0AYQBpAG4AaQBuAGcAIABhAHQAIABiAHUAcgBuAGkAbgBnACAAKABkAGkAbQBlAG4AcwBpAG8AbgBsAGUAcwBzACkAXABuAEQATQBfAGMAIAA9ACAAZAByAHkAIABtAGEAdAB0AGUAcgAgAGMAbwBuAHQAZQBuAHQAIABvAGYAIABjAHIAbwBwACAAdAB5AHAAZQAgAGMAIAAoAGsAZwAgAGQAcgB5ACAAdwBlAGkAZwBoAHQALwBrAGcAIABjAHIAbwBwACAAcgBlAHMAaQBkAHUAZQApAFwAbgBaAF8AYwAgAD0AIABiAHUAcgBuAGkAbgBnACAAZQBmAGYAaQBjAGkAZQBuAGMAeQAgACgAcgBhAHQAaQBvACAAbwBmACAAZgB1AGUAbAAgAGIAdQByAG4AdAAgAHQAbwAgAGYAdQBlAGwAIABsAG8AYQBkACkAIABvAGYAIABjAHIAbwBwACAAdAB5AHAAZQAgAGMAIAAoAGQAaQBtAGUAbgBzAGkAbwBuAGwAZQBzAHMAKQBcAG4ARgBfAGMAIAA9ACAAZgByAGEAYwB0AGkAbwBuACAAbwBmACAAdABoAGUAIABhAG4AbgB1AGEAbAAgAHAAcgBvAGQAdQBjAHQAaQBvAG4AIABvAGYAIABjAHIAbwBwACAAdAB5AHAAZQAgAGMAIAB0AGgAYQB0ACAAaQBzACAAYgB1AHIAbgB0ACAAKABkAGkAbQBlAG4AcwBpAG8AbgBsAGUAcwBzACkAXABuAGMAIAA9ACAAQwByAG8AcAAgAHQAeQBwAGUAXABuAC0ALQAtAC0ALQAtAC0ALQAtAC0ALQAtAC0ALQAtAC0ALQAtAC0ALQAtAC0ALQAtAC0ALQAtAC0ALQAtAC0ALQAtAC0ALQAtAC0ALQBcAG4AKgAvAFwAbgBcAG4AVgBFAEUAUgBHAF8ANgBfADQAXwAxAF8AMQBfAF8AMwBfAF8ATQBhAHMAcwBPAGYAQwByAG8AcABSAGUAcwBpAGQAdQBlAEIAdQByAG4AdABcAG4AIAAgAD0ATABBAE0AQgBEAEEAKABcAG4AIAAgACAAIABQAF8AYwAsACAAUgBfAEEARwBjACwAIABTAF8AYwAsACAARABNAF8AYwAsACAAWgBfAGMALAAgAEYAXwBjACwAXABuACAAIAAgACAAUABfAGMAIAAqACAAUgBfAEEARwBjACAAKgAgAFMAXwBjACAAKgAgAEQATQBfAGMAIAAqACAAWgBfAGMAIAAqACAARgBfAGMAXABuACAAIAApADsAXABuAFwAbgBWAEUARQBSAEcAXwA2AF8ANABfADEAXwAxAF8AXwAzAF8AXwBNAGEAcwBzAE8AZgBDAHIAbwBwAFIAZQBzAGkAZAB1AGUAQgB1AHIAbgB0AF8ARgB1AG4AYwB0AGkAbwBuAE4AYQBtAGUAXABuACAAIAA9AEwAQQBNAEIARABBACgAXAAiAFYARQBFAFIARwBfADYAXwA0AF8AMQBfADEAXwBfADMAXwBfAE0AYQBzAHMATwBmAEMAcgBvAHAAUgBlAHMAaQBkAHUAZQBCAHUAcgBuAHQAXAAiACkAOwBcAG4AXABuAFYARQBFAFIARwBfADYAXwA0AF8AMQBfADEAXwBfADMAXwBfAE0AYQBzAHMATwBmAEMAcgBvAHAAUgBlAHMAaQBkAHUAZQBCAHUAcgBuAHQAXwBUAGkAdABsAGUAXABuACAAIAA9AEwAQQBNAEIARABBACgAXAAiAE0AYQBzAHMAIABvAGYAIAByAGUAcwBpAGQAdQBlACAAbwBmACAAYwByAG8AcAAgAGMAIABiAHUAcgBuAHQAXAAiACkAOwBcAG4AXABuAFYARQBFAFIARwBfADYAXwA0AF8AMQBfADEAXwBfADMAXwBfAE0AYQBzAHMATwBmAEMAcgBvAHAAUgBlAHMAaQBkAHUAZQBCAHUAcgBuAHQAXwBWAGEAcgBpAGEAYgBsAGUAXABuACAAIAA9AEwAQQBNAEIARABBACgAXAAiAE0AXwBiAHUAcgBuAGMAXAAiACkAOwBcAG4AXABuAFYARQBFAFIARwBfADYAXwA0AF8AMQBfADEAXwBfADMAXwBfAE0AYQBzAHMATwBmAEMAcgBvAHAAUgBlAHMAaQBkAHUAZQBCAHUAcgBuAHQAXwBVAG4AaQB0AFwAbgAgACAAPQBMAEEATQBCAEQAQQAoAFwAIgBrAGcAXAAiACkAOwBcAG4AXABuAFYARQBFAFIARwBfADYAXwA0AF8AMQBfADEAXwBfADMAXwBfAE0AYQBzAHMATwBmAEMAcgBvAHAAUgBlAHMAaQBkAHUAZQBCAHUAcgBuAHQAXwBTAG8AdQByAGMAZQBcAG4AIAAgAD0ATABBAE0AQgBEAEEAKABcACIAVgBFAEUAUgBHACAAMgAwADIANgA6ACAANgAuADQALgAxAC4AMQAsACAARQBxAHUAYQB0AGkAbwBuACAAKAAzACkAXAAiACkAOwBcAG4AXABuAFYARQBFAFIARwBfADYAXwA0AF8AMQBfADEAXwBfADMAXwBfAE0AYQBzAHMATwBmAEMAcgBvAHAAUgBlAHMAaQBkAHUAZQBCAHUAcgBuAHQAXwBOAEkAUgBSAGUAZgBlAHIAZQBuAGMAZQBcAG4AIAAgAD0ATABBAE0AQgBEAEEAKABcACIAXAAiACkAOwBcAG4AXABuAFYARQBFAFIARwBfADYAXwA0AF8AMQBfADEAXwBfADMAXwBfAE0AYQBzAHMATwBmAEMAcgBvAHAAUgBlAHMAaQBkAHUAZQBCAHUAcgBuAHQAXwBMAGEAdABlAHgARQBxAHUAYQB0AGkAbwBuAFwAbgAgACAAPQBMAEEATQBCAEQAQQAoAFwAIgBNAF8AewBiAHUAcgBuACwAYwB9AD0AUABfAHsAYwB9AFwAXAB0AGkAbQBlAHMAIABSAF8AewBBAEcAYwB9AFwAXAB0AGkAbQBlAHMAIABTAF8AewBjAH0AXABcAHQAaQBtAGUAcwAgAEQATQBfAHsAYwB9AFwAXAB0AGkAbQBlAHMAIABaAF8AewBjAH0AXABcAHQAaQBtAGUAcwAgAEYAXwB7AGMAfQBcACIAKQA7AFwAbgBcAG4AVgBFAEUAUgBHAF8ANgBfADQAXwAxAF8AMQBfAF8AMwBfAF8ATQBhAHMAcwBPAGYAQwByAG8AcABSAGUAcwBpAGQAdQBlAEIAdQByAG4AdABfAEEAcgBnAHUAbQBlAG4AdABzAFwAbgAgACAAPQBMAEEATQBCAEQAQQAoAFwAbgAgACAAIAAgAE0AQQBLAEUAQQBSAFIAQQBZACgANwAsACAANAAsAFwAbgAgACAAIAAgACAAIABMAEEATQBCAEQAQQAoAHIALABjACwAXABuACAAIAAgACAAIAAgACAAIABJAE4ARABFAFgAKAB7AFwAbgAgACAAIAAgACAAIAAgACAAIAAgAFwAIgBQAF8AYwBcACIALABcACIAYQBuAG4AdQBhAGwAIABwAHIAbwBkAHUAYwB0AGkAbwBuACAAbwBmACAAYwByAG8AcAAgAHQAeQBwAGUAIABjAFwAIgAsACAAXAAiAGsAZwBcACIALAAgAFwAIgBJAG4AcAB1AHQAXAAiADsAXABuACAAIAAgACAAIAAgACAAIAAgACAAXAAiAFIAXwBBAEcAYwBcACIALABcACIAcgBlAHMAaQBkAHUAZQAgAHQAbwAgAGMAcgBvAHAAIAByAGEAdABpAG8AIABvAGYAIABjAHIAbwBwACAAdAB5AHAAZQAgAGMAXAAiACwAIABcACIAawBnACAAYwByAG8AcAAgAHIAZQBzAGkAZAB1AGUALwBrAGcAIABjAHIAbwBwAFwAIgAsACAAXAAiAEMAbwBuAHMAdABhAG4AdABcACIAOwBcAG4AIAAgACAAIAAgACAAIAAgACAAIABcACIAUwBfAGMAXAAiACwAXAAiAGYAcgBhAGMAdABpAG8AbgAgAG8AZgAgAHIAZQBzAGkAZAB1AGUAcwAgAG8AZgAgAGMAcgBvAHAAIAB0AHkAcABlACAAYwAgAHIAZQBtAGEAaQBuAGkAbgBnACAAYQB0ACAAYgB1AHIAbgBpAG4AZwBcACIALAAgAFwAIgBmAHIAYQBjAHQAaQBvAG4AXAAiACwAIABcACIAQwBvAG4AcwB0AGEAbgB0AFwAIgA7AFwAbgAgACAAIAAgACAAIAAgACAAIAAgAFwAIgBEAE0AXwBjAFwAIgAsAFwAIgBkAHIAeQAgAG0AYQB0AHQAZQByACAAYwBvAG4AdABlAG4AdAAgAG8AZgAgAGMAcgBvAHAAIAB0AHkAcABlACAAYwBcACIALAAgAFwAIgBrAGcAIABkAHIAeQAgAHcAZQBpAGcAaAB0AC8AawBnACAAYwByAG8AcAAgAHIAZQBzAGkAZAB1AGUAXAAiACwAIABcACIAQwBvAG4AcwB0AGEAbgB0AFwAIgA7AFwAbgAgACAAIAAgACAAIAAgACAAIAAgAFwAIgBaAF8AYwBcACIALABcACIAYgB1AHIAbgBpAG4AZwAgAGUAZgBmAGkAYwBpAGUAbgBjAHkAIAAoAHIAYQB0AGkAbwAgAG8AZgAgAGYAdQBlAGwAIABiAHUAcgBuAHQAIAB0AG8AIABmAHUAZQBsACAAbABvAGEAZAApACAAbwBmACAAYwByAG8AcAAgAHQAeQBwAGUAIABjAFwAIgAsACAAXAAiAFwAIgAsACAAXAAiAEMAbwBuAHMAdABhAG4AdABcACIAOwBcAG4AIAAgACAAIAAgACAAIAAgACAAIABcACIARgBfAGMAXAAiACwAXAAiAGYAcgBhAGMAdABpAG8AbgAgAG8AZgAgAHQAaABlACAAYQBuAG4AdQBhAGwAIABwAHIAbwBkAHUAYwB0AGkAbwBuACAAbwBmACAAYwByAG8AcAAgAHQAeQBwAGUAIABjACAAdABoAGEAdAAgAGkAcwAgAGIAdQByAG4AdABcACIALAAgAFwAIgBmAHIAYQBjAHQAaQBvAG4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IgB9ACwAewAiAHAAYQB0AGgAIgA6ACIALwBwAHIAbwBqAGUAYwB0AHMALwBBAGcAcgBlAHMAaQBkAHUAZQBfAFMAbwB1AHIAYwBlAEQAYQB0AGEAIgAsACIAdABlAHgAdAAiADoAIgAvACoAXABuAD0APQA9AD0APQA9AD0APQA9AD0APQA9AD0APQA9AD0APQA9AD0APQA9AD0APQA9AD0APQA9AD0APQA9AD0APQA9AD0APQA9AD0APQA9AD0APQA9AD0APQA9AD0APQA9AD0APQA9AD0APQA9AD0APQA9AD0APQA9AD0APQA9AD0APQA9AD0APQA9AD0APQA9AD0APQA9AD0AXABuAEMAcgBvAHAAIABwAHUAcgBwAG8AcwBlACAAYQBuAGQAIAB5AGkAZQBsAGQAXABuAD0APQA9AD0APQA9AD0APQA9AD0APQA9AD0APQA9AD0APQA9AD0APQA9AD0APQA9AD0APQA9AD0APQA9AD0APQA9AD0APQA9AD0APQA9AD0APQA9AD0APQA9AD0APQA9AD0APQA9AD0APQA9AD0APQA9AD0APQA9AD0APQA9AD0APQA9AD0APQA9AD0APQA9AD0APQA9AD0AXABuACoALwBcAG4AXABuAEMAcgBvAHAAUAB1AHIAcABvAHMAZQBBAG4AZABZAGkAZQBsAGQAXwBUAGkAdABsAGUAXABuAD0ATABBAE0AQgBEAEEAKAAoAFwAIgBDAHIAbwBwACAAcAB1AHIAcABvAHMAZQAgAGEAbgBkACAAeQBpAGUAbABkAFwAIgApACkAOwBcAG4AXABuAEMAcgBvAHAAUAB1AHIAcABvAHMAZQBBAG4AZABZAGkAZQBsAGQAXwBEAGEAdABhAFwAbgA9AEwAQQBNAEIARABBACgAXABuACAAIABNAEEASwBFAEEAUgBSAEEAWQAoADQALAAgADgALABcAG4AIAAgACAAIABMAEEATQBCAEQAQQAoAHIALABjACwAXABuACAAIAAgACAAIAAgAEkATgBEAEUAWAAoAHsAXABuACAAIAAgACAAIAAgACAAIABcACIAUAB1AHIAcABvAHMAZQBcACIALAAgAFwAIgBQAGUAcgAgAGgAZQBjAHQAYQByAGUAIAB1AG4AaQB0AFwAIgAsACAAXAAiAGgAYQByAHYAZQBzAHQAIAB0AGUAcgBtAFwAIgAsACAAXAAiAGgAYQByAHYAZQBzAHQAIABlAG4AZABwAG8AaQBuAHQAXAAiACwAIABcACIASABhAHIAdgBlAHMAdAAgAHUAaQB0AFwAIgAsACAAXAAiAFkAaQBlAGwAZAAgAG4AbwB0AGUAXAAiACwAIABcACIAUgBlAHMAaQBkAHUAZQAgAGMAcgBvAHAAIAByAGEAdABpAG8AIABuAG8AdABlAFwAIgAsACAAXAAiAFQAbwB0AGEAbAAgAHAAcgBvAGQAdQBjAHQAaQBvAG4AIABuAG8AdABlAFwAIgA7AFwAbgAgACAAIAAgACAAIAAgACAAXAAiAEMAYQBzAGgAIABnAHIAYQBpAG4AIABjAHIAbwBwAFwAIgAsACAAXAAiAGcAcgBhAGkAbgBcACIALAAgAFwAIgB5AGkAZQBsAGQAXAAiACwAIABcACIAaABhAHIAdgBlAHMAdABcACIALAAgAFwAIgBnAHIAYQBpAG4AXAAiACwAIABcACIAWQBpAGUAbABkACAAaQBzACAAdABoAGUAIABnAHIAYQBpAG4AIABoAGEAcgB2AGUAcwB0AGUAZAAgAGYAcgBvAG0AIAB0AGgAZQAgAHAAbABhAG4AdABcACIALAAgAFwAIgBSAGUAcwBpAGQAdQBlACAAdABvACAAYwByAG8AcAAgAHIAYQB0AGkAbwAgAGkAcwAgAHAAcgBvAHYAaQBkAGUAZAAgAGYAcgBvAG0AIABkAGUAZgBhAHUAbAB0ACAAdgBhAGwAdQBlAHMAXAAiACwAIABcACIAVABvAHQAYQBsACAAcAByAG8AZAB1AGMAdABpAG8AbgAgAGkAcwAgAHQAaABlACAAdABvAHQAYQBsACAAZwByAGEAaQBuACAAaABhAHIAdgBlAHMAdABlAGQAXAAiADsAXABuACAAIAAgACAAIAAgACAAIABcACIAQwBhAHMAaAAgAGMAcgBvAHAAIABmAG8AcgAgAGgAYQB5AC8AcwBpAGwAYQBnAGUAXAAiACwAIABcACIAYQBiAG8AdgBlACAAZwByAG8AdQBuAGQAIABiAGkAbwBtAGEAcwBzAFwAIgAsACAAXAAiAHkAaQBlAGwAZABcACIALAAgAFwAIgBoAGEAcgB2AGUAcwB0AFwAIgAsACAAXAAiAHAAbABhAG4AdAAgAGIAaQBvAG0AYQBzAHMAXAAiACwAIABcACIAWQBpAGUAbABkACAAaQBzACAAdABoAGUAIAB3AGgAbwBsAGUAIABwAGwAYQBuAHQAIABoAGEAcgB2AGUAcwB0AGUAZAAgAGYAbwByACAAaABhAHkALwBzAGkAbABhAGcAZQBcACIALAAgAFwAIgBSAGUAcwBpAGQAdQBlACAAdABvACAAYwByAG8AcAAgAHIAYQB0AGkAbwAgAGkAcwAgADAAIABhAHMAcwB1AG0AaQBuAGcAIAB0AGgAZQAgAHcAaABvAGwAZQAgAHAAbABhAG4AdAAgAGkAcwAgAGgAYQByAHYAZQBzAHQAZQBkACAAZgBvAHIAIABoAGEAeQAvAHMAaQBsAGEAZwBlAFwAIgAsACAAXAAiAFQAbwB0AGEAbAAgAHAAcgBvAGQAdQBjAHQAaQBvAG4AIABpAHMAIAB0AGgAZQAgAHQAbwB0AGEAbAAgAHcAaABvAGwAZQAgAHAAbABhAG4AdAAgAGIAaQBvAG0AYQBzAHMAIABoAGEAcgB2AGUAcwB0AGUAZAAgAGEAcwAgAGgAYQB5AC8AcwBpAGwAYQBnAGUAXAAiADsAXABuACAAIAAgACAAIAAgACAAIABcACIAQwBvAHYAZQByACAAYwByAG8AcABcACIALAAgAFwAIgBhAGIAbwB2AGUAIABnAHIAbwB1AG4AZAAgAGIAaQBvAG0AYQBzAHMAXAAiACwAIABcACIAbQBhAHMAcwBcACIALAAgAFwAIgBlAG4AZAAgAG8AZgAgAGMAcgBvAHAAIABjAHkAYwBsAGUAXAAiACwAIABcACIAYQBiAG8AdgBlACAAZwByAG8AdQBuAGQAIABiAGkAbwBtAGEAcwBzAFwAIgAsACAAXAAiAFkAaQBlAGwAZAAgAGkAcwAgAHQAaABlACAAdwBoAG8AbABlACAAcABsAGEAbgB0ACAAawBlAHAAdAAgAGEAcwAgAGMAbwB2AGUAcgAgAGMAcgBvAHAAXAAiACwAIABcACIAUgBlAHMAaQBkAHUAZQAgAHQAbwAgAGMAcgBvAHAAIAByAGEAdABpAG8AIABpAHMAIAAxACAAYQBzAHMAdQBtAGkAbgBnACAAdABoAGUAIAB3AGgAbwBsAGUAIABwAGwAYQBuAHQAIABpAHMAIABrAGUAcAB0ACAAYQBzACAAYwBvAHYAZQByACAAYwByAG8AcABcACIALAAgAFwAIgBUAG8AdABhAGwAIABwAHIAbwBkAHUAYwB0AGkAbwBuACAAaQBzACAAdABoAGUAIAB0AG8AdABhAGwAIAB3AGgAbwBsAGUAIABwAGwAYQBuAHQAIABiAGkAbwBtAGEAcwBzACAAawBlAHAAdAAgAGEAcwAgAGMAbwB2AGUAcgAgAGMAcgBvAHA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MAcgBvAHAAIABhAHQAdAByAGkAYgB1AHQAZQBzAFwAbgA9AD0APQA9AD0APQA9AD0APQA9AD0APQA9AD0APQA9AD0APQA9AD0APQA9AD0APQA9AD0APQA9AD0APQA9AD0APQA9AD0APQA9AD0APQA9AD0APQA9AD0APQA9AD0APQA9AD0APQA9AD0APQA9AD0APQA9AD0APQA9AD0APQA9AD0APQA9AD0APQA9AD0APQA9AD0APQA9AFwAbgAqAC8AXABuAFwAbgBDAHIAbwBwAEEAdAB0AHIAaQBiAHUAdABlAHMAXwBUAGkAdABsAGUAXABuAD0ATABBAE0AQgBEAEEAKAAoAFwAIgBUAGEAYgBsAGUAIABBAC4AMgAuADEALgAxADoAIABDAHIAbwBwACAAYQB0AHQAcgBpAGIAdQB0AGUAcwBcACIAKQApADsAXABuAFwAbgBDAHIAbwBwAEEAdAB0AHIAaQBiAHUAdABlAHMAXwBEAGUAcwBjAHIAaQBwAHQAaQBvAG4AXABuAD0ATABBAE0AQgBEAEEAKAAoAFwAIgBDAHIAbwBwACAAYQB0AHQAcgBpAGIAdQB0AGUAcwBcACIAKQApADsAXABuAFwAbgBDAHIAbwBwAEEAdAB0AHIAaQBiAHUAdABlAHMAXwBTAG8AdQByAGMAZQBcAG4APQBMAEEATQBCAEQAQQAoACgAXAAiAFYARQBFAFIARwAgADIAMAAyADYAOgAgAFQAYQBiAGwAZQAgAEEALgAyAC4AMQAuADEAOgAgAEMAcgBvAHAAIABhAHQAdAByAGkAYgB1AHQAZQBzAFwAIgApACkAOwBcAG4AXABuAEMAcgBvAHAAQQB0AHQAcgBpAGIAdQB0AGUAcwBfAEQAYQB0AGEAXABuAD0ATABBAE0AQgBEAEEAKABcAG4AIAAgAE0AQQBLAEUAQQBSAFIAQQBZACgAMgAwACwAIAA5ACwAXABuACAAIAAgACAATABBAE0AQgBEAEEAKAByACwAYwAsAFwAbgAgACAAIAAgACAAIABJAE4ARABFAFgAKAB7AFwAbgAgACAAIAAgACAAIAAgACAAXAAiAEMAcgBvAHAAIAB0AHkAcABlAFwAIgAsACAAXAAiAFIAZQBzAGkAZAB1AGUAOgAgAEMAcgBvAHAAIAByAGEAdABpAG8AXAAiACwAIABcACIAQgBlAGwAbwB3AC0AZwByAG8AdQBuAGQAOgAgAGEAYgBvAHYAZQAtAGcAcgBvAHUAbgBkACAAcgBlAHMAaQBkAHUAZQAgAHIAYQB0AGkAbwBcACIALAAgAFwAIgBEAHIAeQAgAG0AYQB0AHQAZQByACAAYwBvAG4AdABlAG4AdABcACIALAAgAFwAIgBDAGEAcgBiAG8AbgAgAGYAcgBhAGMAdABpAG8AbgAgAGkAbgAgAGQAcgB5ACAAbQBhAHQAdABlAHIAXAAiACwAIABcACIATgAgAGMAbwBuAHQAZQBuAHQAIABhAGIAbwB2AGUALQBnAHIAbwB1AG4AZABcACIALAAgAFwAIgBOACAAYwBvAG4AdABlAG4AdAAgAGIAZQBsAG8AdwAtAGcAcgBvAHUAbgBkAFwAIgAsACAAXAAiAEYAcgBhAGMAdABpAG8AbgAgAG8AZgAgAHIAZQBzAGkAZAB1AGUAIAByAGUAbQBhAGkAbgBpAG4AZwAgAGEAdAAgAHQAaQBtAGUAIABvAGYAIABiAHUAcgBuAGkAbgBnAFwAIgAsACAAXAAiAEIAdQByAG4AaQBuAGcAIABlAGYAZgBpAGMAaQBlAG4AYwB5AHQAXAAiADsAXABuACAAIAAgACAAIAAgACAAIABcACIAYwBcACIALAAgAFwAIgBSAEEARwBjAFwAIgAsACAAXAAiAFIAQgBHAGMAXAAiACwAIABcACIARABNAGMAXAAiACwAIABcACIAQwBDAGMAXAAiACwAIABcACIATgBDAEEARwBjAFwAIgAsACAAXAAiAE4AQwBCAEcAYwBcACIALAAgAFwAIgBTAGMAXAAiACwAIABcACIAWgBjAFwAIgA7AFwAbgAgACAAIAAgACAAIAAgACAAXAAiAFcAaABlAGEAdABcACIALAAgADEALgA1ADAALAAgADAALgAyADkALAAgADAALgA4ADgALAAgADAALgA0ADAALAAgADAALgAwADAANgAsACAAMAAuADAAMQAwACwAIAAwAC4ANQAsACAAMAAuADkAMAA7AFwAbgAgACAAIAAgACAAIAAgACAAXAAiAEIAYQByAGwAZQB5AFwAIgAsACAAMQAuADIANAAsACAAMAAuADMAMgAsACAAMAAuADgAOAAsACAAMAAuADQAMAAsACAAMAAuADAAMAA3ACwAIAAwAC4AMAAxADAALAAgADAALgA1ACwAIAAwAC4AOAA1ADsAXABuACAAIAAgACAAIAAgACAAIABcACIATQBhAGkAegBlAFwAIgAsACAAMAAuADgAMQAsACAAMAAuADMAOQAsACAAMAAuADgANQAsACAAMAAuADQAMgAsACAAMAAuADAAMAA1ACwAIAAwAC4AMAAwADcALAAgADEALgAwACwAIAAwAC4AOAAwADsAXABuACAAIAAgACAAIAAgACAAIABcACIATwBhAHQAcwBcACIALAAgADEALgA0ADIALAAgADAALgA0ADMALAAgADAALgA4ADgALAAgADAALgA0ADAALAAgADAALgAwADAANgAsACAAMAAuADAAMQAwACwAIAAwAC4ANQAsACAAMAAuADgANQA7AFwAbgAgACAAIAAgACAAIAAgACAAXAAiAFIAaQBjAGUAXAAiACwAIAAxAC4AMwAxACwAIAAwAC4AMQA2ACwAIAAwAC4AOAAwACwAIAAwAC4ANAAyACwAIAAwAC4AMAAwADcALAAgADAALgAwADEAMAAsACAAMQAuADAALAAgADAALgA4ADAAOwBcAG4AIAAgACAAIAAgACAAIAAgAFwAIgBTAG8AcgBnAGgAdQBtAFwAIgAsACAAMQAuADUAMAAsACAAMAAuADIAMgAsACAAMAAuADgAMAAsACAAMAAuADQAMAAsACAAMAAuADAAMAA4ACwAIAAwAC4AMAAwADcALAAgADAALgA1ACwAIAAwAC4AOAA1ADsAXABuACAAIAAgACAAIAAgACAAIABcACIAVAByAGkAdABpAGMAYQBsAGUAXAAiACwAIAAxAC4ANQAwACwAIAAwAC4ANAAyACwAIAAwAC4AOAA4ACwAIAAwAC4ANAAwACwAIAAwAC4AMAAwADYALAAgADAALgAwADEAMAAsACAAMAAuADUALAAgADAALgA4ADUAOwBcAG4AIAAgACAAIAAgACAAIAAgAFwAIgBPAHQAaABlAHIAIABjAGUAcgBlAGEAbABzAFwAIgAsACAAMQAuADQANgAsACAAMAAuADMANgAsACAAMAAuADgAOAAsACAAMAAuADQAMAAsACAAMAAuADAAMAA2ACwAIAAwAC4AMAAxADAALAAgADAALgA1ACwAIAAwAC4AOAA1ADsAXABuACAAIAAgACAAIAAgACAAIABcACIAUAB1AGwAcwBlAHMAXAAiACwAIAAxAC4AMwA3ACwAIAAwAC4ANQAxACwAIAAwAC4AOAA3ACwAIAAwAC4ANAAwACwAIAAwAC4AMAAwADkALAAgADAALgAwADEAMAAsACAAMAAuADUALAAgADAALgA4ADUAOwBcAG4AIAAgACAAIAAgACAAIAAgAFwAIgBUAHUAYgBlAHIAcwAgAGEAbgBkACAAcgBvAG8AdABzAFwAIgAsACAAMAAuADMANAAsACAAMAAuADQAMwAsACAAMAAuADIANQAsACAAMAAuADQAMAAsACAAMAAuADAAMgAwACwAIAAwAC4AMAAxADAALAAgAFwAIgBuAC8AYQBcACIALAAgADAALgA4ADUAOwBcAG4AIAAgACAAIAAgACAAIAAgAFwAIgBQAGUAYQBuAHUAdABzAFwAIgAsACAAMQAuADAANwAsACAAMAAuADIAMAAsACAAMAAuADgAMAAsACAAMAAuADQAMgAsACAAMAAuADAAMQA2ACwAIAAwAC4AMAAxADQALAAgADAALgA1ACwAIAAwAC4AOAA1ADsAXABuACAAIAAgACAAIAAgACAAIABcACIAUwB1AGcAYQByACAAYwBhAG4AZQBcACIALAAgADAALgAyADUALAAgADAALgA0ADUALAAgADAALgAyADAALAAgADAALgA0ADAALAAgADAALgAwADAANQAsACAAMAAuADAAMAA3ACwAIAAxAC4AMAAsACAAMAAuADgAMAA7AFwAbgAgACAAIAAgACAAIAAgACAAXAAiAEMAbwB0AHQAbwBuAFwAIgAsACAAMQAuADkAMAAsACAAMAAuADMAMAAsACAAMAAuADkAMAAsACAAMAAuADQAMAAsACAAMAAuADAAMQAsACAAMAAuADAAMQAsACAAXAAiAG4ALwBhAFwAIgAsACAAMAAuADgANQA7AFwAbgAgACAAIAAgACAAIAAgACAAXAAiAEgAbwBwAHMAXAAiACwAIAAxAC4ANQAwACwAIAAwAC4AMgA5ACwAIAAwAC4AOAA4ACwAIAAwAC4ANAAwACwAIAAwAC4AMAAwADYALAAgAFwAIgBuAC8AYQBcACIALAAgAFwAIgBuAC8AYQBcACIALAAgADAALgA4ADUAOwBcAG4AIAAgACAAIAAgACAAIAAgAFwAIgBPAGkAbABzAGUAZQBkAHMAXAAiACwAIAAyAC4AMAA4ACwAIAAwAC4AMwAzACwAIAAwAC4AOQA2ACwAIAAwAC4ANAAwACwAIAAwAC4AMAAwADkALAAgADAALgAwADEAMAAsACAAMAAuADUALAAgADAALgA4ADUAOwBcAG4AIAAgACAAIAAgACAAIAAgAFwAIgBGAG8AcgBhAGcAZQAgAGMAcgBvAHAAcwBcACIALAAgADEALgAzADQALAAgADAALgAzADcALAAgADAALgA4ADgALAAgADAALgA0ADAALAAgADAALgAwADAANgAsACAAMAAuADAAMQAwACwAIABcACIAbgAvAGEAXAAiACwAIAAwAC4AOAA1ADsAXABuACAAIAAgACAAIAAgACAAIABcACIATwB0AGgAZQByACAAYQBuAG4AdQBhAGwAIABjAHIAbwBwAHMAXAAiACwAIAAxAC4AMAAwACwAIAAwAC4AMgAyACwAIAAwAC4AOAA1ACwAIAAwAC4ANAAwACwAIAAwAC4AMAAwADgALAAgADAALgAwADAAOQAsACAAXAAiAG4ALwBhAFwAIgAsACAAXAAiAG4ALwBhAFwAIgA7AFwAbgAgACAAIAAgACAAIAAgACAAXAAiAE8AdABoAGUAcgAgAHAAZQByAGUAbgBuAGkAYQBsACAAYwByAG8AcABzAFwAIgAsACAAMQAuADUALAAgADAALgAyADkALAAgADAALgA4ADgALAAgADAALgA0ACwAIAAwAC4AMAAwADYALAAgAFwAIgBuAC8AYQBcACIALAAgAFwAIgBuAC8AYQBcACIALAAgAFwAIgBuAC8AYQBcACIAXABuACAAIAAgACAAIAAgAH0ALAAgAHIALAAgAGMAKQBcAG4AKQApACkAOwBcAG4AXABuAEMAcgBvAHAAQQB0AHQAcgBpAGIAdQB0AGUAcwBfAFYAYQByAGkAYQB0AGkAbwBuAFwAbgA9AEwAQQBNAEIARABBACgAKABcACIAVgBBAFIASQBBAFQASQBPAE4AIABGAFIATwBNACAAUwBPAFUAUgBDAEUAOgAgACcATgAvAEEAJwAgAHYAYQBsAHUAZQBzACAAcABhAHMAcwBlAGQAIABhAHMAIAB6AGUAcgBvACAAZgBvAHIAIABjAGEAbABjAHUAbABhAHQAaQBvAG4AcwAuAFwAIgApACkAOwBcAG4AXABuAC8AKgBcAG4APQA9AD0APQA9AD0APQA9AD0APQA9AD0APQA9AD0APQA9AD0APQA9AD0APQA9AD0APQA9AD0APQA9AD0APQA9AD0APQA9AD0APQA9AD0APQA9AD0APQA9AD0APQA9AD0APQA9AD0APQA9AD0APQA9AD0APQA9AD0APQA9AD0APQA9AD0APQA9AD0APQA9AD0APQA9AD0APQBcAG4AQwByAG8AcAAgAGEAdAB0AHIAaQBiAHUAdABlAHMAIAAtACAARgByAGEAYwB0AGkAbwBuACAAcgBlAG0AbwB2AGUAZAAgACgARgBGAE8ARABjACkAXABuAD0APQA9AD0APQA9AD0APQA9AD0APQA9AD0APQA9AD0APQA9AD0APQA9AD0APQA9AD0APQA9AD0APQA9AD0APQA9AD0APQA9AD0APQA9AD0APQA9AD0APQA9AD0APQA9AD0APQA9AD0APQA9AD0APQA9AD0APQA9AD0APQA9AD0APQA9AD0APQA9AD0APQA9AD0APQA9AD0AXABuACoALwBcAG4AXABuAEMAcgBvAHAARgByAGEAYwB0AGkAbwBuAFIAZQBtAG8AdgBlAGQAXwBUAGkAdABsAGUAXABuAD0ATABBAE0AQgBEAEEAKAAoAFwAIgBUAGEAYgBsAGUAIABBAC4AMgAuADEALgAyADoAIABDAHIAbwBwACAAYQB0AHQAcgBpAGIAdQB0AGUAcwAgAC0AIABGAHIAYQBjAHQAaQBvAG4AIAByAGUAbQBvAHYAZQBkACAAKABGAEYATwBEAGMAKQBcACIAKQApADsAXABuAFwAbgBDAHIAbwBwAEYAcgBhAGMAdABpAG8AbgBSAGUAbQBvAHYAZQBkAF8ARABlAHMAYwByAGkAcAB0AGkAbwBuAFwAbgA9AEwAQQBNAEIARABBACgAKABcACIAQwByAG8AcAAgAGEAdAB0AHIAaQBiAHUAdABlAHMAIAAtACAARgByAGEAYwB0AGkAbwBuACAAcgBlAG0AbwB2AGUAZAAgACgARgBGAE8ARABjACkAXAAiACkAKQA7AFwAbgBcAG4AQwByAG8AcABGAHIAYQBjAHQAaQBvAG4AUgBlAG0AbwB2AGUAZABfAFMAbwB1AHIAYwBlAFwAbgA9AEwAQQBNAEIARABBACgAKABcACIAVgBFAEUAUgBHACAAMgAwADIANgA6ACAAVABhAGIAbABlACAAQQAuADIALgAxAC4AMgA6ACAAQwByAG8AcAAgAGEAdAB0AHIAaQBiAHUAdABlAHMAIAAtACAARgByAGEAYwB0AGkAbwBuACAAcgBlAG0AbwB2AGUAZAAgACgARgBGAE8ARABjACkAXAAiACkAKQA7AFwAbgBcAG4AQwByAG8AcABGAHIAYQBjAHQAaQBvAG4AUgBlAG0AbwB2AGUAZABfAEQAYQB0AGEAXABuAD0ATABBAE0AQgBEAEEAKABcAG4AIAAgAE0AQQBLAEUAQQBSAFIAQQBZACgAMQA3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EAbABsACAAcwB0AGEAdABlAHMAXAAiACwAIAAwAC4AMAA2ADsAXABuACAAIAAgACAAIAAgACAAIABcACIAVAB1AGIAZQByAHMAIABhAG4AZAAgAHIAbwBvAHQAcwBcACIALAAgAFwAIgBBAGwAbAAgAHMAdABhAHQAZQBzAFwAIgAsACAAMQA7AFwAbgAgACAAIAAgACAAIAAgACAAXAAiAEMAbwB0AHQAbwBuAFwAIgAsACAAXAAiAEEAbABsACAAcwB0AGEAdABlAHMAXAAiACwAIAAwADsAXABuACAAIAAgACAAIAAgACAAIABcACIASABvAHAAcwBcACIALAAgAFwAIgBBAGwAbAAgAHMAdABhAHQAZQBzAFwAIgAsACAAMAA7AFwAbgAgACAAIAAgACAAIAAgACAAXAAiAEYAbwByAGEAZwBlACAAYwByAG8AcABzAFwAIgAsACAAXAAiAEEAbABsACAAcwB0AGEAdABlAHMAXAAiACwAIAAwAC4AOAA7AFwAbgAgACAAIAAgACAAIAAgACAAXAAiAFMAdQBnAGEAcgAgAEMAYQBuAGUAXAAiACwAIABcACIATgBTAFcAXAAiACwAIAAwADsAXABuACAAIAAgACAAIAAgACAAIABcACIAUwB1AGcAYQByACAAQwBhAG4AZQBcACIALAAgAFwAIgBRAEwARABcACIALAAgADAALgAwADMAOwBcAG4AIAAgACAAIAAgACAAIAAgAFwAIgBTAHUAZwBhAHIAIABDAGEAbgBlAFwAIgAsACAAXAAiAFcAQQBcACIALAAgADAAOwBcAG4AIAAgACAAIAAgACAAIAAgAFwAIgBBAGwAbAAgAG8AdABoAGUAcgAgAGMAcgBvAHAAIAB0AHkAcABlAHMAXAAiACwAIABcACIATgBTAFcAXAAiACwAIAAwAC4AMAA1ADsAXABuACAAIAAgACAAIAAgACAAIABcACIAQQBsAGwAIABvAHQAaABlAHIAIABjAHIAbwBwACAAdAB5AHAAZQBzAFwAIgAsACAAXAAiAFYASQBDAFwAIgAsACAAMAAuADAANwA7AFwAbgAgACAAIAAgACAAIAAgACAAXAAiAEEAbABsACAAbwB0AGgAZQByACAAYwByAG8AcAAgAHQAeQBwAGUAcwBcACIALAAgAFwAIgBRAEwARABcACIALAAgADAALgAwADQAOwBcAG4AIAAgACAAIAAgACAAIAAgAFwAIgBBAGwAbAAgAG8AdABoAGUAcgAgAGMAcgBvAHAAIAB0AHkAcABlAHMAXAAiACwAIABcACIAUwBBAFwAIgAsACAAMAAuADAAOQA7AFwAbgAgACAAIAAgACAAIAAgACAAXAAiAEEAbABsACAAbwB0AGgAZQByACAAYwByAG8AcAAgAHQAeQBwAGUAcwBcACIALAAgAFwAIgBXAEEAXAAiACwAIAAwAC4AMQAxADsAXABuACAAIAAgACAAIAAgACAAIABcACIAQQBsAGwAIABvAHQAaABlAHIAIABjAHIAbwBwACAAdAB5AHAAZQBzAFwAIgAsACAAXAAiAFQAQQBTAFwAIgAsACAAMAAuADEANgA7AFwAbgAgACAAIAAgACAAIAAgACAAXAAiAEEAbABsACAAbwB0AGgAZQByACAAYwByAG8AcAAgAHQAeQBwAGUAcwBcACIALAAgAFwAIgBOAFQAXAAiACwAIAAwAC4AMAAxADsAXABuACAAIAAgACAAIAAgACAAIABcACIAQQBsAGwAIABvAHQAaABlAHIAIABjAHIAbwBwACAAdAB5AHAAZQBzAFwAIgAsACAAXAAiAEEAQwBUAFwAIgAsACAAMAAuADAAMABcAG4AIAAgACAAIAAgACAAfQAsACAAcgAsACAAYwApAFwAbgApACkAKQA7AFwAbgBcAG4AQwByAG8AcABGAHIAYQBjAHQAaQBvAG4AUgBlAG0AbwB2AGUAZABfAEMAdQBzAHQAbwBtAGkAcwBlAGQARABhAHQAYQBcAG4APQBMAEEATQBCAEQAQQAoAFwAbgAgACAATQBBAEsARQBBAFIAUgBBAFkAKAAxADQAN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OAFMAVwBcACIALAAgADAALgAwADYAOwBcAG4AIAAgACAAIAAgACAAIAAgAFwAIgBSAGkAYwBlAFwAIgAsACAAXAAiAFYASQBDAFwAIgAsACAAMAAuADAANgA7AFwAbgAgACAAIAAgACAAIAAgACAAXAAiAFIAaQBjAGUAXAAiACwAIABcACIAUQBMAEQAXAAiACwAIAAwAC4AMAA2ADsAXABuACAAIAAgACAAIAAgACAAIABcACIAUgBpAGMAZQBcACIALAAgAFwAIgBTAEEAXAAiACwAIAAwAC4AMAA2ADsAXABuACAAIAAgACAAIAAgACAAIABcACIAUgBpAGMAZQBcACIALAAgAFwAIgBXAEEAXAAiACwAIAAwAC4AMAA2ADsAXABuACAAIAAgACAAIAAgACAAIABcACIAUgBpAGMAZQBcACIALAAgAFwAIgBUAEEAUwBcACIALAAgADAALgAwADYAOwBcAG4AIAAgACAAIAAgACAAIAAgAFwAIgBSAGkAYwBlAFwAIgAsACAAXAAiAE4AVABcACIALAAgADAALgAwADYAOwBcAG4AIAAgACAAIAAgACAAIAAgAFwAIgBSAGkAYwBlAFwAIgAsACAAXAAiAEEAQwBUAFwAIgAsACAAMAAuADAANgA7AFwAbgAgACAAIAAgACAAIAAgACAAXAAiAFQAdQBiAGUAcgBzACAAYQBuAGQAIAByAG8AbwB0AHMAXAAiACwAIABcACIATgBTAFcAXAAiACwAIAAxADsAXABuACAAIAAgACAAIAAgACAAIABcACIAVAB1AGIAZQByAHMAIABhAG4AZAAgAHIAbwBvAHQAcwBcACIALAAgAFwAIgBWAEkAQwBcACIALAAgADEAOwBcAG4AIAAgACAAIAAgACAAIAAgAFwAIgBUAHUAYgBlAHIAcwAgAGEAbgBkACAAcgBvAG8AdABzAFwAIgAsACAAXAAiAFEATABEAFwAIgAsACAAMQA7AFwAbgAgACAAIAAgACAAIAAgACAAXAAiAFQAdQBiAGUAcgBzACAAYQBuAGQAIAByAG8AbwB0AHMAXAAiACwAIABcACIAUwBBAFwAIgAsACAAMQA7AFwAbgAgACAAIAAgACAAIAAgACAAXAAiAFQAdQBiAGUAcgBzACAAYQBuAGQAIAByAG8AbwB0AHMAXAAiACwAIABcACIAVwBBAFwAIgAsACAAMQA7AFwAbgAgACAAIAAgACAAIAAgACAAXAAiAFQAdQBiAGUAcgBzACAAYQBuAGQAIAByAG8AbwB0AHMAXAAiACwAIABcACIAVABBAFMAXAAiACwAIAAxADsAXABuACAAIAAgACAAIAAgACAAIABcACIAVAB1AGIAZQByAHMAIABhAG4AZAAgAHIAbwBvAHQAcwBcACIALAAgAFwAIgBOAFQAXAAiACwAIAAxADsAXABuACAAIAAgACAAIAAgACAAIABcACIAVAB1AGIAZQByAHMAIABhAG4AZAAgAHIAbwBvAHQAcwBcACIALAAgAFwAIgBBAEMAVABcACIALAAgADEAOwBcAG4AIAAgACAAIAAgACAAIAAgAFwAIgBDAG8AdAB0AG8AbgBcACIALAAgAFwAIgBOAFMAVwBcACIALAAgADAAOwBcAG4AIAAgACAAIAAgACAAIAAgAFwAIgBDAG8AdAB0AG8AbgBcACIALAAgAFwAIgBWAEkAQwBcACIALAAgADAAOwBcAG4AIAAgACAAIAAgACAAIAAgAFwAIgBDAG8AdAB0AG8AbgBcACIALAAgAFwAIgBRAEwARABcACIALAAgADAAOwBcAG4AIAAgACAAIAAgACAAIAAgAFwAIgBDAG8AdAB0AG8AbgBcACIALAAgAFwAIgBTAEEAXAAiACwAIAAwADsAXABuACAAIAAgACAAIAAgACAAIABcACIAQwBvAHQAdABvAG4AXAAiACwAIABcACIAVwBBAFwAIgAsACAAMAA7AFwAbgAgACAAIAAgACAAIAAgACAAXAAiAEMAbwB0AHQAbwBuAFwAIgAsACAAXAAiAFQAQQBTAFwAIgAsACAAMAA7AFwAbgAgACAAIAAgACAAIAAgACAAXAAiAEMAbwB0AHQAbwBuAFwAIgAsACAAXAAiAE4AVABcACIALAAgADAAOwBcAG4AIAAgACAAIAAgACAAIAAgAFwAIgBDAG8AdAB0AG8AbgBcACIALAAgAFwAIgBBAEMAVABcACIALAAgADAAOwBcAG4AIAAgACAAIAAgACAAIAAgAFwAIgBIAG8AcABzAFwAIgAsACAAXAAiAE4AUwBXAFwAIgAsACAAMAA7AFwAbgAgACAAIAAgACAAIAAgACAAXAAiAEgAbwBwAHMAXAAiACwAIABcACIAVgBJAEMAXAAiACwAIAAwADsAXABuACAAIAAgACAAIAAgACAAIABcACIASABvAHAAcwBcACIALAAgAFwAIgBRAEwARABcACIALAAgADAAOwBcAG4AIAAgACAAIAAgACAAIAAgAFwAIgBIAG8AcABzAFwAIgAsACAAXAAiAFMAQQBcACIALAAgADAAOwBcAG4AIAAgACAAIAAgACAAIAAgAFwAIgBIAG8AcABzAFwAIgAsACAAXAAiAFcAQQBcACIALAAgADAAOwBcAG4AIAAgACAAIAAgACAAIAAgAFwAIgBIAG8AcABzAFwAIgAsACAAXAAiAFQAQQBTAFwAIgAsACAAMAA7AFwAbgAgACAAIAAgACAAIAAgACAAXAAiAEgAbwBwAHMAXAAiACwAIABcACIATgBUAFwAIgAsACAAMAA7AFwAbgAgACAAIAAgACAAIAAgACAAXAAiAEgAbwBwAHMAXAAiACwAIABcACIAQQBDAFQAXAAiACwAIAAwADsAXABuACAAIAAgACAAIAAgACAAIABcACIARgBvAHIAYQBnAGUAIABjAHIAbwBwAHMAXAAiACwAIABcACIATgBTAFcAXAAiACwAIAAwAC4AOAA7AFwAbgAgACAAIAAgACAAIAAgACAAXAAiAEYAbwByAGEAZwBlACAAYwByAG8AcABzAFwAIgAsACAAXAAiAFYASQBDAFwAIgAsACAAMAAuADgAOwBcAG4AIAAgACAAIAAgACAAIAAgAFwAIgBGAG8AcgBhAGcAZQAgAGMAcgBvAHAAcwBcACIALAAgAFwAIgBRAEwARABcACIALAAgADAALgA4ADsAXABuACAAIAAgACAAIAAgACAAIABcACIARgBvAHIAYQBnAGUAIABjAHIAbwBwAHMAXAAiACwAIABcACIAUwBBAFwAIgAsACAAMAAuADgAOwBcAG4AIAAgACAAIAAgACAAIAAgAFwAIgBGAG8AcgBhAGcAZQAgAGMAcgBvAHAAcwBcACIALAAgAFwAIgBXAEEAXAAiACwAIAAwAC4AOAA7AFwAbgAgACAAIAAgACAAIAAgACAAXAAiAEYAbwByAGEAZwBlACAAYwByAG8AcABzAFwAIgAsACAAXAAiAFQAQQBTAFwAIgAsACAAMAAuADgAOwBcAG4AIAAgACAAIAAgACAAIAAgAFwAIgBGAG8AcgBhAGcAZQAgAGMAcgBvAHAAcwBcACIALAAgAFwAIgBOAFQAXAAiACwAIAAwAC4AOAA7AFwAbgAgACAAIAAgACAAIAAgACAAXAAiAEYAbwByAGEAZwBlACAAYwByAG8AcABzAFwAIgAsACAAXAAiAEEAQwBUAFwAIgAsACAAMAAuADgAOwBcAG4AIAAgACAAIAAgACAAIAAgAFwAIgBTAHUAZwBhAHIAIABDAGEAbgBlAFwAIgAsACAAXAAiAE4AUwBXAFwAIgAsACAAMAA7AFwAbgAgACAAIAAgACAAIAAgACAAXAAiAFMAdQBnAGEAcgAgAEMAYQBuAGUAXAAiACwAIABcACIAVgBJAEMAXAAiACwAIABcACIATgAvAEEAXAAiADsAXABuACAAIAAgACAAIAAgACAAIABcACIAUwB1AGcAYQByACAAQwBhAG4AZQBcACIALAAgAFwAIgBRAEwARABcACIALAAgADAALgAwADMAOwBcAG4AIAAgACAAIAAgACAAIAAgAFwAIgBTAHUAZwBhAHIAIABDAGEAbgBlAFwAIgAsACAAXAAiAFMAQQBcACIALAAgAFwAIgBOAC8AQQBcACIAOwBcAG4AIAAgACAAIAAgACAAIAAgAFwAIgBTAHUAZwBhAHIAIABDAGEAbgBlAFwAIgAsACAAXAAiAFcAQQBcACIALAAgADAAOwBcAG4AIAAgACAAIAAgACAAIAAgAFwAIgBTAHUAZwBhAHIAIABDAGEAbgBlAFwAIgAsACAAXAAiAFQAQQBTAFwAIgAsACAAXAAiAE4ALwBBAFwAIgA7AFwAbgAgACAAIAAgACAAIAAgACAAXAAiAFMAdQBnAGEAcgAgAEMAYQBuAGUAXAAiACwAIABcACIATgBUAFwAIgAsACAAXAAiAE4ALwBBAFwAIgA7AFwAbgAgACAAIAAgACAAIAAgACAAXAAiAFMAdQBnAGEAcgAgAEMAYQBuAGUAXAAiACwAIABcACIAQQBDAFQAXAAiACwAIABcACIATgAvAEEAXAAiADsAXABuACAAIAAgACAAIAAgACAAIABcACIAVwBoAGUAYQB0AFwAIgAsACAAXAAiAE4AUwBXAFwAIgAsACAAMAAuADAANQA7AFwAbgAgACAAIAAgACAAIAAgACAAXAAiAFcAaABlAGEAdABcACIALAAgAFwAIgBWAEkAQwBcACIALAAgADAALgAwADcAOwBcAG4AIAAgACAAIAAgACAAIAAgAFwAIgBXAGgAZQBhAHQAXAAiACwAIABcACIAUQBMAEQAXAAiACwAIAAwAC4AMAA0ADsAXABuACAAIAAgACAAIAAgACAAIABcACIAVwBoAGUAYQB0AFwAIgAsACAAXAAiAFMAQQBcACIALAAgADAALgAwADkAOwBcAG4AIAAgACAAIAAgACAAIAAgAFwAIgBXAGgAZQBhAHQAXAAiACwAIABcACIAVwBBAFwAIgAsACAAMAAuADEAMQA7AFwAbgAgACAAIAAgACAAIAAgACAAXAAiAFcAaABlAGEAdABcACIALAAgAFwAIgBUAEEAUwBcACIALAAgADAALgAxADYAOwBcAG4AIAAgACAAIAAgACAAIAAgAFwAIgBXAGgAZQBhAHQAXAAiACwAIABcACIATgBUAFwAIgAsACAAMAAuADAAMQA7AFwAbgAgACAAIAAgACAAIAAgACAAXAAiAFcAaABlAGEAdABcACIALAAgAFwAIgBBAEMAVABcACIALAAgADAALgAwADAAOwBcAG4AIAAgACAAIAAgACAAIAAgAFwAIgBCAGEAcgBsAGUAeQBcACIALAAgAFwAIgBOAFMAVwBcACIALAAgADAALgAwADUAOwBcAG4AIAAgACAAIAAgACAAIAAgAFwAIgBCAGEAcgBsAGUAeQBcACIALAAgAFwAIgBWAEkAQwBcACIALAAgADAALgAwADcAOwBcAG4AIAAgACAAIAAgACAAIAAgAFwAIgBCAGEAcgBsAGUAeQBcACIALAAgAFwAIgBRAEwARABcACIALAAgADAALgAwADQAOwBcAG4AIAAgACAAIAAgACAAIAAgAFwAIgBCAGEAcgBsAGUAeQBcACIALAAgAFwAIgBTAEEAXAAiACwAIAAwAC4AMAA5ADsAXABuACAAIAAgACAAIAAgACAAIABcACIAQgBhAHIAbABlAHkAXAAiACwAIABcACIAVwBBAFwAIgAsACAAMAAuADEAMQA7AFwAbgAgACAAIAAgACAAIAAgACAAXAAiAEIAYQByAGwAZQB5AFwAIgAsACAAXAAiAFQAQQBTAFwAIgAsACAAMAAuADEANgA7AFwAbgAgACAAIAAgACAAIAAgACAAXAAiAEIAYQByAGwAZQB5AFwAIgAsACAAXAAiAE4AVABcACIALAAgADAALgAwADEAOwBcAG4AIAAgACAAIAAgACAAIAAgAFwAIgBCAGEAcgBsAGUAeQBcACIALAAgAFwAIgBBAEMAVABcACIALAAgADAALgAwADAAOwBcAG4AIAAgACAAIAAgACAAIAAgAFwAIgBNAGEAaQB6AGUAXAAiACwAIABcACIATgBTAFcAXAAiACwAIAAwAC4AMAA1ADsAXABuACAAIAAgACAAIAAgACAAIABcACIATQBhAGkAegBlAFwAIgAsACAAXAAiAFYASQBDAFwAIgAsACAAMAAuADAANwA7AFwAbgAgACAAIAAgACAAIAAgACAAXAAiAE0AYQBpAHoAZQBcACIALAAgAFwAIgBRAEwARABcACIALAAgADAALgAwADQAOwBcAG4AIAAgACAAIAAgACAAIAAgAFwAIgBNAGEAaQB6AGUAXAAiACwAIABcACIAUwBBAFwAIgAsACAAMAAuADAAOQA7AFwAbgAgACAAIAAgACAAIAAgACAAXAAiAE0AYQBpAHoAZQBcACIALAAgAFwAIgBXAEEAXAAiACwAIAAwAC4AMQAxADsAXABuACAAIAAgACAAIAAgACAAIABcACIATQBhAGkAegBlAFwAIgAsACAAXAAiAFQAQQBTAFwAIgAsACAAMAAuADEANgA7AFwAbgAgACAAIAAgACAAIAAgACAAXAAiAE0AYQBpAHoAZQBcACIALAAgAFwAIgBOAFQAXAAiACwAIAAwAC4AMAAxADsAXABuACAAIAAgACAAIAAgACAAIABcACIATQBhAGkAegBlAFwAIgAsACAAXAAiAEEAQwBUAFwAIgAsACAAMAAuADAAMAA7AFwAbgAgACAAIAAgACAAIAAgACAAXAAiAE8AYQB0AHMAXAAiACwAIABcACIATgBTAFcAXAAiACwAIAAwAC4AMAA1ADsAXABuACAAIAAgACAAIAAgACAAIABcACIATwBhAHQAcwBcACIALAAgAFwAIgBWAEkAQwBcACIALAAgADAALgAwADcAOwBcAG4AIAAgACAAIAAgACAAIAAgAFwAIgBPAGEAdABzAFwAIgAsACAAXAAiAFEATABEAFwAIgAsACAAMAAuADAANAA7AFwAbgAgACAAIAAgACAAIAAgACAAXAAiAE8AYQB0AHMAXAAiACwAIABcACIAUwBBAFwAIgAsACAAMAAuADAAOQA7AFwAbgAgACAAIAAgACAAIAAgACAAXAAiAE8AYQB0AHMAXAAiACwAIABcACIAVwBBAFwAIgAsACAAMAAuADEAMQA7AFwAbgAgACAAIAAgACAAIAAgACAAXAAiAE8AYQB0AHMAXAAiACwAIABcACIAVABBAFMAXAAiACwAIAAwAC4AMQA2ADsAXABuACAAIAAgACAAIAAgACAAIABcACIATwBhAHQAcwBcACIALAAgAFwAIgBOAFQAXAAiACwAIAAwAC4AMAAxADsAXABuACAAIAAgACAAIAAgACAAIABcACIATwBhAHQAcwBcACIALAAgAFwAIgBBAEMAVABcACIALAAgADAALgAwADAAOwBcAG4AIAAgACAAIAAgACAAIAAgAFwAIgBTAG8AcgBnAGgAdQBtAFwAIgAsACAAXAAiAE4AUwBXAFwAIgAsACAAMAAuADAANQA7AFwAbgAgACAAIAAgACAAIAAgACAAXAAiAFMAbwByAGcAaAB1AG0AXAAiACwAIABcACIAVgBJAEMAXAAiACwAIAAwAC4AMAA3ADsAXABuACAAIAAgACAAIAAgACAAIABcACIAUwBvAHIAZwBoAHUAbQBcACIALAAgAFwAIgBRAEwARABcACIALAAgADAALgAwADQAOwBcAG4AIAAgACAAIAAgACAAIAAgAFwAIgBTAG8AcgBnAGgAdQBtAFwAIgAsACAAXAAiAFMAQQBcACIALAAgADAALgAwADkAOwBcAG4AIAAgACAAIAAgACAAIAAgAFwAIgBTAG8AcgBnAGgAdQBtAFwAIgAsACAAXAAiAFcAQQBcACIALAAgADAALgAxADEAOwBcAG4AIAAgACAAIAAgACAAIAAgAFwAIgBTAG8AcgBnAGgAdQBtAFwAIgAsACAAXAAiAFQAQQBTAFwAIgAsACAAMAAuADEANgA7AFwAbgAgACAAIAAgACAAIAAgACAAXAAiAFMAbwByAGcAaAB1AG0AXAAiACwAIABcACIATgBUAFwAIgAsACAAMAAuADAAMQA7AFwAbgAgACAAIAAgACAAIAAgACAAXAAiAFMAbwByAGcAaAB1AG0AXAAiACwAIABcACIAQQBDAFQAXAAiACwAIAAwAC4AMAAwADsAXABuACAAIAAgACAAIAAgACAAIABcACIAVAByAGkAdABpAGMAYQBsAGUAXAAiACwAIABcACIATgBTAFcAXAAiACwAIAAwAC4AMAA1ADsAXABuACAAIAAgACAAIAAgACAAIABcACIAVAByAGkAdABpAGMAYQBsAGUAXAAiACwAIABcACIAVgBJAEMAXAAiACwAIAAwAC4AMAA3ADsAXABuACAAIAAgACAAIAAgACAAIABcACIAVAByAGkAdABpAGMAYQBsAGUAXAAiACwAIABcACIAUQBMAEQAXAAiACwAIAAwAC4AMAA0ADsAXABuACAAIAAgACAAIAAgACAAIABcACIAVAByAGkAdABpAGMAYQBsAGUAXAAiACwAIABcACIAUwBBAFwAIgAsACAAMAAuADAAOQA7AFwAbgAgACAAIAAgACAAIAAgACAAXAAiAFQAcgBpAHQAaQBjAGEAbABlAFwAIgAsACAAXAAiAFcAQQBcACIALAAgADAALgAxADEAOwBcAG4AIAAgACAAIAAgACAAIAAgAFwAIgBUAHIAaQB0AGkAYwBhAGwAZQBcACIALAAgAFwAIgBUAEEAUwBcACIALAAgADAALgAxADYAOwBcAG4AIAAgACAAIAAgACAAIAAgAFwAIgBUAHIAaQB0AGkAYwBhAGwAZQBcACIALAAgAFwAIgBOAFQAXAAiACwAIAAwAC4AMAAxADsAXABuACAAIAAgACAAIAAgACAAIABcACIAVAByAGkAdABpAGMAYQBsAGUAXAAiACwAIABcACIAQQBDAFQAXAAiACwAIAAwAC4AMAAwADsAXABuACAAIAAgACAAIAAgACAAIABcACIATwB0AGgAZQByACAAYwBlAHIAZQBhAGwAcwBcACIALAAgAFwAIgBOAFMAVwBcACIALAAgADAALgAwADUAOwBcAG4AIAAgACAAIAAgACAAIAAgAFwAIgBPAHQAaABlAHIAIABjAGUAcgBlAGEAbABzAFwAIgAsACAAXAAiAFYASQBDAFwAIgAsACAAMAAuADAANwA7AFwAbgAgACAAIAAgACAAIAAgACAAXAAiAE8AdABoAGUAcgAgAGMAZQByAGUAYQBsAHMAXAAiACwAIABcACIAUQBMAEQAXAAiACwAIAAwAC4AMAA0ADsAXABuACAAIAAgACAAIAAgACAAIABcACIATwB0AGgAZQByACAAYwBlAHIAZQBhAGwAcwBcACIALAAgAFwAIgBTAEEAXAAiACwAIAAwAC4AMAA5ADsAXABuACAAIAAgACAAIAAgACAAIABcACIATwB0AGgAZQByACAAYwBlAHIAZQBhAGwAcwBcACIALAAgAFwAIgBXAEEAXAAiACwAIAAwAC4AMQAxADsAXABuACAAIAAgACAAIAAgACAAIABcACIATwB0AGgAZQByACAAYwBlAHIAZQBhAGwAcwBcACIALAAgAFwAIgBUAEEAUwBcACIALAAgADAALgAxADYAOwBcAG4AIAAgACAAIAAgACAAIAAgAFwAIgBPAHQAaABlAHIAIABjAGUAcgBlAGEAbABzAFwAIgAsACAAXAAiAE4AVABcACIALAAgADAALgAwADEAOwBcAG4AIAAgACAAIAAgACAAIAAgAFwAIgBPAHQAaABlAHIAIABjAGUAcgBlAGEAbABzAFwAIgAsACAAXAAiAEEAQwBUAFwAIgAsACAAMAAuADAAMAA7AFwAbgAgACAAIAAgACAAIAAgACAAXAAiAFAAdQBsAHMAZQBzAFwAIgAsACAAXAAiAE4AUwBXAFwAIgAsACAAMAAuADAANQA7AFwAbgAgACAAIAAgACAAIAAgACAAXAAiAFAAdQBsAHMAZQBzAFwAIgAsACAAXAAiAFYASQBDAFwAIgAsACAAMAAuADAANwA7AFwAbgAgACAAIAAgACAAIAAgACAAXAAiAFAAdQBsAHMAZQBzAFwAIgAsACAAXAAiAFEATABEAFwAIgAsACAAMAAuADAANAA7AFwAbgAgACAAIAAgACAAIAAgACAAXAAiAFAAdQBsAHMAZQBzAFwAIgAsACAAXAAiAFMAQQBcACIALAAgADAALgAwADkAOwBcAG4AIAAgACAAIAAgACAAIAAgAFwAIgBQAHUAbABzAGUAcwBcACIALAAgAFwAIgBXAEEAXAAiACwAIAAwAC4AMQAxADsAXABuACAAIAAgACAAIAAgACAAIABcACIAUAB1AGwAcwBlAHMAXAAiACwAIABcACIAVABBAFMAXAAiACwAIAAwAC4AMQA2ADsAXABuACAAIAAgACAAIAAgACAAIABcACIAUAB1AGwAcwBlAHMAXAAiACwAIABcACIATgBUAFwAIgAsACAAMAAuADAAMQA7AFwAbgAgACAAIAAgACAAIAAgACAAXAAiAFAAdQBsAHMAZQBzAFwAIgAsACAAXAAiAEEAQwBUAFwAIgAsACAAMAAuADAAMAA7AFwAbgAgACAAIAAgACAAIAAgACAAXAAiAFAAZQBhAG4AdQB0AHMAXAAiACwAIABcACIATgBTAFcAXAAiACwAIAAwAC4AMAA1ADsAXABuACAAIAAgACAAIAAgACAAIABcACIAUABlAGEAbgB1AHQAcwBcACIALAAgAFwAIgBWAEkAQwBcACIALAAgADAALgAwADcAOwBcAG4AIAAgACAAIAAgACAAIAAgAFwAIgBQAGUAYQBuAHUAdABzAFwAIgAsACAAXAAiAFEATABEAFwAIgAsACAAMAAuADAANAA7AFwAbgAgACAAIAAgACAAIAAgACAAXAAiAFAAZQBhAG4AdQB0AHMAXAAiACwAIABcACIAUwBBAFwAIgAsACAAMAAuADAAOQA7AFwAbgAgACAAIAAgACAAIAAgACAAXAAiAFAAZQBhAG4AdQB0AHMAXAAiACwAIABcACIAVwBBAFwAIgAsACAAMAAuADEAMQA7AFwAbgAgACAAIAAgACAAIAAgACAAXAAiAFAAZQBhAG4AdQB0AHMAXAAiACwAIABcACIAVABBAFMAXAAiACwAIAAwAC4AMQA2ADsAXABuACAAIAAgACAAIAAgACAAIABcACIAUABlAGEAbgB1AHQAcwBcACIALAAgAFwAIgBOAFQAXAAiACwAIAAwAC4AMAAxADsAXABuACAAIAAgACAAIAAgACAAIABcACIAUABlAGEAbgB1AHQAcwBcACIALAAgAFwAIgBBAEMAVABcACIALAAgADAALgAwADAAOwBcAG4AIAAgACAAIAAgACAAIAAgAFwAIgBPAGkAbABzAGUAZQBkAHMAXAAiACwAIABcACIATgBTAFcAXAAiACwAIAAwAC4AMAA1ADsAXABuACAAIAAgACAAIAAgACAAIABcACIATwBpAGwAcwBlAGUAZABzAFwAIgAsACAAXAAiAFYASQBDAFwAIgAsACAAMAAuADAANwA7AFwAbgAgACAAIAAgACAAIAAgACAAXAAiAE8AaQBsAHMAZQBlAGQAcwBcACIALAAgAFwAIgBRAEwARABcACIALAAgADAALgAwADQAOwBcAG4AIAAgACAAIAAgACAAIAAgAFwAIgBPAGkAbABzAGUAZQBkAHMAXAAiACwAIABcACIAUwBBAFwAIgAsACAAMAAuADAAOQA7AFwAbgAgACAAIAAgACAAIAAgACAAXAAiAE8AaQBsAHMAZQBlAGQAcwBcACIALAAgAFwAIgBXAEEAXAAiACwAIAAwAC4AMQAxADsAXABuACAAIAAgACAAIAAgACAAIABcACIATwBpAGwAcwBlAGUAZABzAFwAIgAsACAAXAAiAFQAQQBTAFwAIgAsACAAMAAuADEANgA7AFwAbgAgACAAIAAgACAAIAAgACAAXAAiAE8AaQBsAHMAZQBlAGQAcwBcACIALAAgAFwAIgBOAFQAXAAiACwAIAAwAC4AMAAxADsAXABuACAAIAAgACAAIAAgACAAIABcACIATwBpAGwAcwBlAGUAZABzAFwAIgAsACAAXAAiAEEAQwBUAFwAIgAsACAAMAAuADAAMAA7AFwAbgAgACAAIAAgACAAIAAgACAAXAAiAE8AdABoAGUAcgAgAGEAbgBuAHUAYQBsACAAYwByAG8AcABzAFwAIgAsACAAXAAiAE4AUwBXAFwAIgAsACAAMAAuADAANQA7AFwAbgAgACAAIAAgACAAIAAgACAAXAAiAE8AdABoAGUAcgAgAGEAbgBuAHUAYQBsACAAYwByAG8AcABzAFwAIgAsACAAXAAiAFYASQBDAFwAIgAsACAAMAAuADAANwA7AFwAbgAgACAAIAAgACAAIAAgACAAXAAiAE8AdABoAGUAcgAgAGEAbgBuAHUAYQBsACAAYwByAG8AcABzAFwAIgAsACAAXAAiAFEATABEAFwAIgAsACAAMAAuADAANAA7AFwAbgAgACAAIAAgACAAIAAgACAAXAAiAE8AdABoAGUAcgAgAGEAbgBuAHUAYQBsACAAYwByAG8AcABzAFwAIgAsACAAXAAiAFMAQQBcACIALAAgADAALgAwADkAOwBcAG4AIAAgACAAIAAgACAAIAAgAFwAIgBPAHQAaABlAHIAIABhAG4AbgB1AGEAbAAgAGMAcgBvAHAAcwBcACIALAAgAFwAIgBXAEEAXAAiACwAIAAwAC4AMQAxADsAXABuACAAIAAgACAAIAAgACAAIABcACIATwB0AGgAZQByACAAYQBuAG4AdQBhAGwAIABjAHIAbwBwAHMAXAAiACwAIABcACIAVABBAFMAXAAiACwAIAAwAC4AMQA2ADsAXABuACAAIAAgACAAIAAgACAAIABcACIATwB0AGgAZQByACAAYQBuAG4AdQBhAGwAIABjAHIAbwBwAHMAXAAiACwAIABcACIATgBUAFwAIgAsACAAMAAuADAAMQA7AFwAbgAgACAAIAAgACAAIAAgACAAXAAiAE8AdABoAGUAcgAgAGEAbgBuAHUAYQBsACAAYwByAG8AcABzAFwAIgAsACAAXAAiAEEAQwBUAFwAIgAsACAAMAAuADAAMAA7AFwAbgAgACAAIAAgACAAIAAgACAAXAAiAE8AdABoAGUAcgAgAHAAZQByAGUAbgBuAGkAYQBsACAAYwByAG8AcABzAFwAIgAsACAAXAAiAE4AUwBXAFwAIgAsACAAMAAuADAANQA7AFwAbgAgACAAIAAgACAAIAAgACAAXAAiAE8AdABoAGUAcgAgAHAAZQByAGUAbgBuAGkAYQBsACAAYwByAG8AcABzAFwAIgAsACAAXAAiAFYASQBDAFwAIgAsACAAMAAuADAANwA7AFwAbgAgACAAIAAgACAAIAAgACAAXAAiAE8AdABoAGUAcgAgAHAAZQByAGUAbgBuAGkAYQBsACAAYwByAG8AcABzAFwAIgAsACAAXAAiAFEATABEAFwAIgAsACAAMAAuADAANAA7AFwAbgAgACAAIAAgACAAIAAgACAAXAAiAE8AdABoAGUAcgAgAHAAZQByAGUAbgBuAGkAYQBsACAAYwByAG8AcABzAFwAIgAsACAAXAAiAFMAQQBcACIALAAgADAALgAwADkAOwBcAG4AIAAgACAAIAAgACAAIAAgAFwAIgBPAHQAaABlAHIAIABwAGUAcgBlAG4AbgBpAGEAbAAgAGMAcgBvAHAAcwBcACIALAAgAFwAIgBXAEEAXAAiACwAIAAwAC4AMQAxADsAXABuACAAIAAgACAAIAAgACAAIABcACIATwB0AGgAZQByACAAcABlAHIAZQBuAG4AaQBhAGwAIABjAHIAbwBwAHMAXAAiACwAIABcACIAVABBAFMAXAAiACwAIAAwAC4AMQA2ADsAXABuACAAIAAgACAAIAAgACAAIABcACIATwB0AGgAZQByACAAcABlAHIAZQBuAG4AaQBhAGwAIABjAHIAbwBwAHMAXAAiACwAIABcACIATgBUAFwAIgAsACAAMAAuADAAMQA7AFwAbgAgACAAIAAgACAAIAAgACAAXAAiAE8AdABoAGUAcgAgAHAAZQByAGUAbgBuAGkAYQBsACAAYwByAG8AcABzAFwAIgAsACAAXAAiAEEAQwBUAFwAIgAsACAAMAAuADAAMABcAG4AIAAgACAAIAAgACAAfQAsACAAcgAsACAAYwApAFwAbgApACkAKQA7AFwAbgBcAG4AQwByAG8AcABGAHIAYQBjAHQAaQBvAG4AUgBlAG0AbwB2AGUAZABfAFYAYQByAGkAYQB0AGkAbwBuAFwAbgA9AEwAQQBNAEIARABBACgAKABcACIAVgBBAFIASQBBAFQASQBPAE4AIABPAEYAIABTAE8AVQBSAEMARQAgAEQAQQBUAEEAOgAgAFMAcABsAGkAdAAgACcAQQBsAGwAIABvAHQAaABlAHIAIABjAHIAbwBwACAAdAB5AHAAZQBzACcAIABpAG4AdABvACAAaQBuAGQAaQB2AGkAZAB1AGEAbAAgAGMAcgBvAHAAIAB0AHkAcABlAHMAIABmAG8AcgAgAGUAYQBjAGgAIABzAHQAYQB0AGUALgAgAEwAaQBzAHQAZQBkACAAYQBsAGwAIABzAHQAYQB0AGUAcwAgAGYAbwByACAAUwB1AGcAYQByACAAQwBhAG4AZQAsACAAdwBpAHQAaAAgACcATgAvAEEAJwAgAGYAbwByACAAcwB0AGEAdABlAHMAIAB3AGgAZQByAGUAIABpAHQAIABpAHMAIABuAG8AdAAgAGcAcgBvAHcAbgAuAFwAIgApACkAOwBcAG4AXABuAFwAbgAvACoAXABuAD0APQA9AD0APQA9AD0APQA9AD0APQA9AD0APQA9AD0APQA9AD0APQA9AD0APQA9AD0APQA9AD0APQA9AD0APQA9AD0APQA9AD0APQA9AD0APQA9AD0APQA9AD0APQA9AD0APQA9AD0APQA9AD0APQA9AD0APQA9AD0APQA9AD0APQA9AD0APQA9AD0APQA9AD0APQA9AD0AXABuAFAAYQBzAHQAdQByAGUAIABhAHQAdAByAGkAYgB1AHQAZQBzAFwAbgA9AD0APQA9AD0APQA9AD0APQA9AD0APQA9AD0APQA9AD0APQA9AD0APQA9AD0APQA9AD0APQA9AD0APQA9AD0APQA9AD0APQA9AD0APQA9AD0APQA9AD0APQA9AD0APQA9AD0APQA9AD0APQA9AD0APQA9AD0APQA9AD0APQA9AD0APQA9AD0APQA9AD0APQA9AD0APQA9AFwAbgAqAC8AXABuAFwAbgBQAGEAcwB0AHUAcgBlAEEAdAB0AHIAaQBiAHUAdABlAHMAXwBUAGkAdABsAGUAXABuAD0ATABBAE0AQgBEAEEAKAAoAFwAIgBUAGEAYgBsAGUAIABBAC4AMgAuADEALgAzACAAUABhAHMAdAB1AHIAZQAgAGEAdAB0AHIAaQBiAHUAdABlAHMAXAAiACkAKQA7AFwAbgBcAG4AUABhAHMAdAB1AHIAZQBBAHQAdAByAGkAYgB1AHQAZQBzAF8ARABlAHMAYwByAGkAcAB0AGkAbwBuAFwAbgA9AEwAQQBNAEIARABBACgAKABcACIAUABhAHMAdAB1AHIAZQAgAGEAdAB0AHIAaQBiAHUAdABlAHMAXAAiACkAKQA7AFwAbgBcAG4AUABhAHMAdAB1AHIAZQBBAHQAdAByAGkAYgB1AHQAZQBzAF8AUwBvAHUAcgBjAGUAXABuAD0ATABBAE0AQgBEAEEAKAAoAFwAIgBWAEUARQBSAEcAIAAyADAAMgA2ADoAIABUAGEAYgBsAGUAIABBAC4AMgAuADEALgAzADoAIABQAGEAcwB0AHUAcgBlACAAYQB0AHQAcgBpAGIAdQB0AGUAcwBcACIAKQApADsAXABuAFwAbgBQAGEAcwB0AHUAcgBlAEEAdAB0AHIAaQBiAHUAdABlAHMAXwBEAGEAdABhAFwAbgA9AEwAQQBNAEIARABBACgAXABuACAAIABNAEEASwBFAEEAUgBSAEEAWQAoADYALAAgADYALABcAG4AIAAgACAAIABMAEEATQBCAEQAQQAoAHIALABjACwAXABuACAAIAAgACAAIAAgAEkATgBEAEUAWAAoAHsAXABuACAAIAAgACAAIAAgACAAIABcACIAUABhAHMAdAB1AHIAZQAgAHQAeQBwAGUAXAAiACwAIABcACIAQQB2AGUAcgBhAGcAZQAgAFkAaQBlAGwAZAAgACgAdAAgAEQATQAgAGgAYQApACAAWQBwAFwAIgAsACAAXAAiAEIAZQBsAG8AdwAtAGcAcgBvAHUAbgBkADoAIABhAGIAbwB2AGUALQBnAHIAbwB1AG4AZAAgAHIAZQBzAGkAZAB1AGUAIAByAGEAdABpAG8AIABSAEIARwBwAFwAIgAsACAAXAAiAE4AIABjAG8AbgB0AGUAbgB0ACAAQQBiAG8AdgBlAC0AZwByAG8AdQBuAGQAIABOAEMAQQBHAHAAXAAiACwAIABcACIATgAgAGMAbwBuAHQAZQBuAHQAIABCAGUAbABvAHcALQBnAHIAbwB1AG4AZAAgAE4AQwBCAEcAcABcACIALAAgAFwAIgBGAHIAYQBjAHQAaQBvAG4AIABvAGYAIABwAGEAcwB0AHUAcgBlACAAeQBpAGUAbABkACAAdABoAGEAdAAgAGkAcwAgAHIAZQBtAG8AdgBlAGQAIABGAEYATwBEAHAAXAAiADsAXABuACAAIAAgACAAIAAgACAAIABcACIAQQBuAG4AdQBhAGwAIABnAHIAYQBzAHMAXAAiACwAIAA0AC4ANAAxACwAIAAwAC4ANAAsACAAMAAuADAAMQA1ACwAIAAwAC4AMAAxADIALAAgADAALgA4ADsAXABuACAAIAAgACAAIAAgACAAIABcACIARwByAGEAcwBzACAAYwBsAG8AdgBlAHIAIABtAGkAeAB0AHUAcgBlAFwAIgAsACAAOAAuADMANAAsACAAMAAuADgALAAgADAALgAwADIANQAsACAAMAAuADAAMQA2ACwAIAAwAC4AOAA7AFwAbgAgACAAIAAgACAAIAAgACAAXAAiAEwAdQBjAGUAcgBuAGUAXAAiACwAIAA4AC4ANgAyACwAIAAwAC4ANAAsACAAMAAuADAAMgA3ACwAIAAwAC4AMAAxADkALAAgADAALgA4ADsAXABuACAAIAAgACAAIAAgACAAIABcACIATwB0AGgAZQByACAAbABlAGcAdQBtAGUAXAAiACwAIAA1AC4ANgAyACwAIAAwAC4ANAAsACAAMAAuADAAMgA3ACwAIAAwAC4AMAAyADIALAAgADAALgA4ADsAXABuACAAIAAgACAAIAAgACAAIABcACIAUABlAHIAZQBuAG4AaQBhAGwAIABwAGEAcwB0AHUAcgBlAFwAIgAsACAAOAAuADMANQAsACAAMAAuADgALAAgADAALgAwADEANQAsACAAMAAuADAAMQAyACwAIAAwAC4AOA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NQAuADMAMQAgAEIAdQByAG4AaQBuAGcAIABvAGYAIABhAGcAcgBpAGMAdQBsAHQAdQByAGEAbAAgAHIAZQBzAGkAZAB1AGUAcwAgAC0AIABFAEYAcwBcAG4APQA9AD0APQA9AD0APQA9AD0APQA9AD0APQA9AD0APQA9AD0APQA9AD0APQA9AD0APQA9AD0APQA9AD0APQA9AD0APQA9AD0APQA9AD0APQA9AD0APQA9AD0APQA9AD0APQA9AD0APQA9AD0APQA9AD0APQA9AD0APQA9AD0APQA9AD0APQA9AD0APQA9AD0APQA9AD0APQBcAG4AKgAvAFwAbgBcAG4AQgB1AHIAbgBpAG4AZwBPAGYAQQBnAHIAaQBjAHUAbAB0AHUAcgBhAGwAUgBlAHMAaQBkAHUAZQBzAEUARgBzAF8AVABpAHQAbABlAFwAbgA9AEwAQQBNAEIARABBACgAKABcACIAVABhAGIAbABlACAANQAuADMAMQAgAEIAdQByAG4AaQBuAGcAIABvAGYAIABhAGcAcgBpAGMAdQBsAHQAdQByAGEAbAAgAHIAZQBzAGkAZAB1AGUAcwAgAC0AIABFAEYAcwBcACIAKQApADsAXABuAFwAbgBCAHUAcgBuAGkAbgBnAE8AZgBBAGcAcgBpAGMAdQBsAHQAdQByAGEAbABSAGUAcwBpAGQAdQBlAHMARQBGAHMAXwBEAGUAcwBjAHIAaQBwAHQAaQBvAG4AXABuAD0ATABBAE0AQgBEAEEAKAAoAFwAIgBCAHUAcgBuAGkAbgBnACAAbwBmACAAYQBnAHIAaQBjAHUAbAB0AHUAcgBhAGwAIAByAGUAcwBpAGQAdQBlAHMAIAAtACAARQBGAHMAXAAiACkAKQA7AFwAbgBcAG4AQgB1AHIAbgBpAG4AZwBPAGYAQQBnAHIAaQBjAHUAbAB0AHUAcgBhAGwAUgBlAHMAaQBkAHUAZQBzAEUARgBzAF8AUwBvAHUAcgBjAGUAXABuAD0ATABBAE0AQgBEAEEAKAAoAFwAIgBOAGEAdABpAG8AbgBhAGwAIABJAG4AdgBlAG4AdABvAHIAeQAgAFIAZQBwAG8AcgB0ACAAMgAwADIAMwAgAHYAbwBsAHUAbQBlACAAMgA6ACAAVABhAGIAbABlACAANQAuADMAMQA6ACAAQgB1AHIAbgBpAG4AZwAgAG8AZgAgAGEAZwByAGkAYwB1AGwAdAB1AHIAYQBsACAAcgBlAHMAaQBkAHUAZQBzACAALQAgAEUARgBzAFwAIgApACkAOwBcAG4AXABuAEIAdQByAG4AaQBuAGcATwBmAEEAZwByAGkAYwB1AGwAdAB1AHIAYQBsAFIAZQBzAGkAZAB1AGUAcwBFAEYAcwBfAEQAYQB0AGEAXABuAD0ATABBAE0AQgBEAEEAKABcAG4AIAAgAE0AQQBLAEUAQQBSAFIAQQBZACgANgAsACAAMwAsAFwAbgAgACAAIAAgAEwAQQBNAEIARABBACgAcgAsAGMALABcAG4AIAAgACAAIAAgACAASQBOAEQARQBYACgAewBcAG4AIAAgACAAIAAgACAAIAAgAFwAIgBHAGEAcwAgAHMAcABlAGMAaQBlAHMAXAAiACwAIABcACIARQBtAGkAcwBzAGkAbwBuACAAZgBhAGMAdABvAHIAIABFAEYAZwAgACgARwBnACAAZQBsAGUAbQBlAG4AdAAgAGkAbgAgAHMAcABlAGMAaQBlAHMALwAgAEcAZwAgAGUAbABlAG0AZQBuAHQAIABpAG4AIABmAHUAZQBsACAAYgB1AHIAbgB0ACkAXAAiACwAIABcACIARQBsAGUAbQBlAG4AdABhAGwAIAB0AG8AIABtAG8AbABlAGMAdQBsAGEAcgAgAG0AYQBzAHMAIABjAG8AbgB2AGUAcgBzAGkAbwBuACAAZgBhAGMAdABvAHIAIAAoAEMAZwApAFwAIgA7AFwAbgAgACAAIAAgACAAIAAgACAAXAAiAEMASAA0AFwAIgAsACAAMAAuADAAMAAzADUALAAgAFwAIgAxADYALwAxADIAXAAiADsAXABuACAAIAAgACAAIAAgACAAIABcACIATgAyAE8AXAAiACwAIAAwAC4AMAAwADcANgAsACAAXAAiADQANAAvADIAOABcACIAOwBcAG4AIAAgACAAIAAgACAAIAAgAFwAIgBOAE8AeABcACIALAAgADAALgAyADEAMAAwACwAIABcACIANAA2AC8AMQA0AFwAIgA7AFwAbgAgACAAIAAgACAAIAAgACAAXAAiAEMATwBcACIALAAgADAALgAwADcAOAAwACwAIABcACIAMgA4AC8AMQAyAFwAIgA7AFwAbgAgACAAIAAgACAAIAAgACAAXAAiAE4ATQBWAE8AQwBcACIALAAgADAALgAwADAAOQAxACwAIABcACIAMQA0AC8AMQAyAFwAIgBcAG4AIAAgACAAIAAgACAAfQAsACAAcgAsACAAYwApAFwAbgApACkAKQA7AFwAbgBcAG4AXABuAC8AKgAgAFwAbgAtAC0ALQAtAC0ALQAtAC0ALQAtAC0ALQAtAC0ALQAtAC0ALQAtAC0ALQAtAC0ALQAtAC0ALQAtAC0ALQAtAC0ALQAtAC0ALQAtAC0AXABuAE4AMgBPAEUARgBPAHIAZwBhAG4AaQBjAEYAZQByAHQAaQBsAGkAcwBlAHIAXABuAFYARQBFAFIARwAgADIAMAAyADYAOgAgAFQAYQBiAGwAZQAgAEEALgAyAC4AMQAuADQAIABFAG0AaQBzAHMAaQBvAG4AIABmAGEAYwB0AG8AcgAgAGYAbwByACAAbwByAGcAYQBuAGkAYwAgAGYAZQByAHQAaQBsAGkAcwBlAHIAIABhAG4AZAAgAGMAcgBvAHAAIAByAGUAcwBpAGQAdQBlAHMAIAByAGUAdAB1AHIAbgBlAGQAIAB0AG8AIAB0AGgAZQAgAHMAbwBpAGwAXABuAC0ALQAtAC0ALQAtAC0ALQAtAC0ALQAtAC0ALQAtAC0ALQAtAC0ALQAtAC0ALQAtAC0ALQAtAC0ALQAtAC0ALQAtAC0ALQAtAC0ALQBcAG4AKgAvAFwAbgBcAG4ATgAyAE8ARQBGAE8AcgBnAGEAbgBpAGMARgBlAHIAdABpAGwAaQBzAGUAcg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OADIATwBFAEYATwByAGcAYQBuAGkAYwBGAGUAcgB0AGkAbABpAHMAZQByAF8AVQBuAGkAdABcAG4AIAAgAD0ATABBAE0AQgBEAEEAKABcACIAawBnACAATgAyAE8AIAAtACAATgAgAC8AIABrAGcAIABOAFwAIgApADsAXABuAFwAbgBOADIATwBFAEYATwByAGcAYQBuAGkAYwBGAGUAcgB0AGkAbABpAHMAZQByAF8AUwBvAHUAcgBjAGUAXABuACAAIAA9AEwAQQBNAEIARABBACgAXAAiAFYARQBFAFIARwAgADIAMAAyADYAOgAgAFQAYQBiAGwAZQAgAEEALgAyAC4AMQAuADQAXAAiACkAOwBcAG4AXABuAE4AMgBPAEUARgBPAHIAZwBhAG4AaQBjAEYAZQByAHQAaQBsAGkAcwBlAHIAXwBOAEkAUgBSAGUAZgBlAHIAZQBuAGMAZQBcAG4AIAAgAD0ATABBAE0AQgBEAEEAKABcACIASQBQAEMAQwAgADIAMAAxADkAIABSAGUAZgBpAG4AZQBtAGUAbgB0ACAAVgBvAGwAdQBtAGUAIAA0ACAAVABhAGIAbABlACAAMQAxAC4AMQAgAFsAMQAsACAAcAAuACAAMQAxAF0AXAAiACkAOwBcAG4AXABuAE4AMgBPAEUARgBPAHIAZwBhAG4AaQBjAEYAZQByAHQAaQBsAGkAcwBlAHIAXwBEAGEAdABhAFwAbgAgACAAPQBMAEEATQBCAEQAQQAoAFwAbgAgACAAIAAgAE0AQQBLAEUAQQBSAFIAQQBZACgAMwAsACAAMgAsACAAXABuACAAIAAgACAAIAAgAEwAQQBNAEIARABBACgAcgAsAGMALAAgAFwAbgAgACAAIAAgACAAIAAgACAASQBOAEQARQBYACgAewBcAG4AIAAgACAAIAAgACAAIAAgACAAIABcACIAQwBsAGkAbQBhAHQAZQAgAHoAbwBuAGUAIABpAFwAIgAsACAAXAAiAEUARgAgAGkAIABOADIATwBcACIAOwBcAG4AIAAgACAAIAAgACAAIAAgACAAIAAgACAAXAAiAFcAZQB0ACAAYwBsAGkAbQBhAHQAZQAgAHoAbwBuAGUAXAAiACwAIAAwAC4AMAAwADYAOwBcAG4AIAAgACAAIAAgACAAIAAgACAAIAAgACAAXAAiAEQAcgB5ACAAYwBsAGkAbQBhAHQAZQAgAHoAbwBuAGUAXAAiACwAIAAwAC4AMAAwADUAXABuACAAIAAgACAAIAAgACAAIAB9ACwAIAByACwAIABjACkAXABuACAAIAAgACAAIAAgACkAXABuACAAIAAgACAAKQBcAG4AIAAgACkAOwBcAG4AXABuAFwAbgBcAG4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JwB1AG4AaQB0AHMAJwAgAHQAbwAgACcAawBnACcAIABhAHMAIABFAEYAIABkAGEAdABhACAAaQBzACAAaQBuACAAawBnAC4AXAAiACkAOwBcAG4AIAAgAFwAbgBcAG4ALwAqAFwAbgAtAC0ALQAtAC0ALQAtAC0ALQAtAC0ALQAtAC0ALQAtAC0ALQAtAC0ALQAtAC0ALQAtAC0ALQAtAC0ALQAtAC0ALQAtAC0ALQAtAC0AXABuAFYARQBFAFIARwBfADEANQBfADkAXwAxAF8AMQBfAF8AMQBfAEUAbQBpAHMAcwBpAG8AbgBzAEYAcgBvAG0AUAB1AHIAYwBoAGEAcwBlAGQARwByAG8AdwBNAGUAZABpAGEAXABuAEUAbQBiAGUAZABkAGUAZAAgAGUAbQBpAHMAcwBpAG8AbgBzACAAZgByAG8AbQAgAHUAcwBlACAAbwBmACAAZwByAG8AdwAgAG0AZQBkAGkAYQAgAHAAcgBvAGQAdQBjAHQAcwBcAG4ARQBcAG4AdAAgAEMATwAyAGUAXABuAEUAPQBcAFwAcwB1AG0AXABcAG4AbwBsAGkAbQBpAHQAcwBfAGcAXABcAGwAZQBmAHQAKABRAF8AZwBcAFwAdABpAG0AZQBzACAARQBGAF8AZwBcAFwAcgBpAGcAaAB0ACkAXABcAHQAaQBtAGUAcwAgADEAMABeAHsALQAzAH0AXABuAFEAXwBnACAAPQAgAHQAbwB0AGEAbAAgAHEAdQBhAG4AdABpAHQAeQAgAG8AZgAgAGcAcgBvAHcAIABtAGUAZABpAGEAIAB0AHkAcABlACAAZwBcAG4ARQBGAF8AZwAgAD0AIABlAG0AaQBzAHMAaQBvAG4AIABmAGEAYwB0AG8AcgAgAGYAbwByACAAZwByAG8AdwAgAG0AZQBkAGkAYQAgAHQAeQBwAGUAIABnAFwAbgAtAC0ALQAtAC0ALQAtAC0ALQAtAC0ALQAtAC0ALQAtAC0ALQAtAC0ALQAtAC0ALQAtAC0ALQAtAC0ALQAtAC0ALQAtAC0ALQAtAC0AXABuACoALwBcAG4AXABuAFYARQBFAFIARwBfADEANQBfADkAXwAxAF8AMQBfAF8AMQBfAEUAbQBpAHMAcwBpAG8AbgBzAEYAcgBvAG0AUAB1AHIAYwBoAGEAcwBlAGQARwByAG8AdwBNAGUAZABpAGEAXABuACAAIAA9AEwAQQBNAEIARABBACgAXABuACAAIAAgACAAUQBfAGcALAAgAEUARgBfAGcALABcAG4AIAAgACAAIAAoAFEAXwBnACAAKgAgAEUARgBfAGcAKQAgACoAIAAxADAAIABeACAALQAzAFwAbgAgACAAKQA7AFwAbgBcAG4AVgBFAEUAUgBHAF8AMQA1AF8AOQBfADEAXwAxAF8AXwAxAF8ARQBtAGkAcwBzAGkAbwBuAHMARgByAG8AbQBQAHUAcgBjAGgAYQBzAGUAZABHAHIAbwB3AE0AZQBkAGkAYQBfAFQAaQB0AGwAZQBcAG4AIAAgAD0ATABBAE0AQgBEAEEAKABcACIARQBtAGIAZQBkAGQAZQBkACAAZQBtAGkAcwBzAGkAbwBuAHMAIABmAHIAbwBtACAAdQBzAGUAIABvAGYAIABnAHIAbwB3ACAAbQBlAGQAaQBhACAAcAByAG8AZAB1AGMAdABzAFwAIgApADsAXABuAFwAbgBWAEUARQBSAEcAXwAxADUAXwA5AF8AMQBfADEAXwBfADEAXwBFAG0AaQBzAHMAaQBvAG4AcwBGAHIAbwBtAFAAdQByAGMAaABhAHMAZQBkAEcAcgBvAHcATQBlAGQAaQBhAF8AVgBhAHIAaQBhAGIAbABlAFwAbgAgACAAPQBMAEEATQBCAEQAQQAoAFwAIgBFAFwAIgApADsAXABuAFwAbgBWAEUARQBSAEcAXwAxADUAXwA5AF8AMQBfADEAXwBfADEAXwBFAG0AaQBzAHMAaQBvAG4AcwBGAHIAbwBtAFAAdQByAGMAaABhAHMAZQBkAEcAcgBvAHcATQBlAGQAaQBhAF8AVQBuAGkAdABcAG4AIAAgAD0ATABBAE0AQgBEAEEAKABcACIAdAAgAEMATwAyAGUAXAAiACkAOwBcAG4AXABuAFYARQBFAFIARwBfADEANQBfADkAXwAxAF8AMQBfAF8AMQBfAEUAbQBpAHMAcwBpAG8AbgBzAEYAcgBvAG0AUAB1AHIAYwBoAGEAcwBlAGQARwByAG8AdwBNAGUAZABpAGEAXwBTAG8AdQByAGMAZQBcAG4AIAAgAD0ATABBAE0AQgBEAEEAKABcACIAVgBFAEUAUgBHACAAMgAwADIANgA6ACAAMQA1AC4AOQAuADEALgAxACwAIABFAHEAdQBhAHQAaQBvAG4AIAAoADEAKQBcACIAKQA7AFwAbgBcAG4AVgBFAEUAUgBHAF8AMQA1AF8AOQBfADEAXwAxAF8AXwAxAF8ARQBtAGkAcwBzAGkAbwBuAHMARgByAG8AbQBQAHUAcgBjAGgAYQBzAGUAZABHAHIAbwB3AE0AZQBkAGkAYQBfAE4ASQBSAFIAZQBmAGUAcgBlAG4AYwBlAFwAbgAgACAAPQBMAEEATQBCAEQAQQAoAFwAIgBcACIAKQA7AFwAbgBcAG4AVgBFAEUAUgBHAF8AMQA1AF8AOQBfADEAXwAxAF8AXwAxAF8ARQBtAGkAcwBzAGkAbwBuAHMARgByAG8AbQBQAHUAcgBjAGgAYQBzAGUAZABHAHIAbwB3AE0AZQBkAGkAYQBfAEwAYQB0AGUAeABFAHEAdQBhAHQAaQBvAG4AXABuACAAIAA9AEwAQQBNAEIARABBACgAXAAiAEUAPQBcAFwAcwB1AG0AXABcAG4AbwBsAGkAbQBpAHQAcwBfAGcAXABcAGwAZQBmAHQAKABRAF8AZwBcAFwAdABpAG0AZQBzACAARQBGAF8AZwBcAFwAcgBpAGcAaAB0ACkAXABcAHQAaQBtAGUAcwAgADEAMABeAHsALQAzAH0AXAAiACkAOwBcAG4AXABuAFYARQBFAFIARwBfADEANQBfADkAXwAxAF8AMQBfAF8AMQBfAEUAbQBpAHMAcwBpAG8AbgBzAEYAcgBvAG0AUAB1AHIAYwBoAGEAcwBlAGQARwByAG8AdwBNAGUAZABpAGEAXwBBAHIAZwB1AG0AZQBuAHQAcwBcAG4AIAAgAD0ATABBAE0AQgBEAEEAKABcAG4AIAAgACAAIABNAEEASwBFAEEAUgBSAEEAWQAoADMALAAgADQALABcAG4AIAAgACAAIAAgACAATABBAE0AQgBEAEEAKAByACwAYwAsAFwAbgAgACAAIAAgACAAIAAgACAASQBOAEQARQBYACgAewBcAG4AIAAgACAAIAAgACAAIAAgACAAIABcACIAUQBfAGcAXAAiACwAIABcACIAdABvAHQAYQBsACAAcQB1AGEAbgB0AGkAdAB5ACAAbwBmACAAZwByAG8AdwAgAG0AZQBkAGkAYQAgAHQAeQBwAGUAIABnAFwAIgAsACAAXAAiAGsAZwAgAG8AcgAgAG0AMwBcACIALAAgAFwAIgBJAG4AcAB1AHQAXAAiADsAXABuACAAIAAgACAAIAAgACAAIAAgACAAXAAiAEUARgBfAGcAXAAiACwAIABcACIAZQBtAGkAcwBzAGkAbwBuACAAZgBhAGMAdABvAHIAIABmAG8AcgAgAGcAcgBvAHcAIABtAGUAZABpAGEAIAB0AHkAcABlACAAZwBcACIALAAgAFwAIgBrAGcAIABDAE8AMgBlAC8AawBnACAAbwByACAAawBnACAAQwBPADIAZQAvAG0AMwBcACIALAAgAFwAIgBDAG8AbgBzAHQAYQBuAHQAXAAiADsAXABuACAAIAAgACAAIAAgACAAIAAgACAAXAAiAGcAXAAiACwAIABcACIAZwByAG8AdwAgAG0AZQBkAGkAY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ABfADEAXwAxAF8AXwAxAF8ATwB0AGgAZQByAFAAdQByAGMAaABhAHMAZQBkAEcAbwBvAGQAcwBBAG4AZABTAGUAcgB2AGkAYwBlAHMAXABuAE8AdABoAGUAcgAgAHAAdQByAGMAaABhAHMAZQBkACAAZwBvAG8AZABzACAAYQBuAGQAIABzAGUAcgB2AGkAYwBlAHMAIABnAGUAbgBlAHIAaQBjACAAZQBzAHQAaQBtAGEAdABlAFwAbgBlAG0AaQBzAHMAaQBvAG4AcwBcAG4AdAAgAEMATwAyAGUAXABuAGUAbQBpAHMAcwBpAG8AbgBzAD0AYQBjAHQAaQB2AGkAdAB5AF8AZABhAHQAYQBcAFwAdABpAG0AZQBzACAAZQBtAGkAcwBzAGkAbwBuAF8AZgBhAGMAdABvAHIAXABuAGEAYwB0AGkAdgBpAHQAeQBfAGQAYQB0AGEAIAA9ACAAbQBlAGEAcwB1AHIAZQBkACAAYQBjAHQAaQB2AGkAdAB5ACAAZgBvAHIAIAB0AGgAZQAgAHAAdQByAGMAaABhAHMAZQBkACAAZwBvAG8AZAAgAG8AcgAgAHMAZQByAHYAaQBjAGUAXABuAGUAbQBpAHMAcwBpAG8AbgBfAGYAYQBjAHQAbwByACAAPQAgAGwAaQBmAGUAYwB5AGMAbABlACAAZQBtAGkAcwBzAGkAbwBuAHMAIABwAGUAcgAgAHUAbgBpAHQAIABvAGYAIABhAGMAdABpAHYAaQB0AHkAXABuAC0ALQAtAC0ALQAtAC0ALQAtAC0ALQAtAC0ALQAtAC0ALQAtAC0ALQAtAC0ALQAtAC0ALQAtAC0ALQAtAC0ALQAtAC0ALQAtAC0ALQBcAG4AKgAvAFwAbgBcAG4AVgBFAEUAUgBHAF8AMQA1AF8AMQAwAF8AMQBfADEAXwBfADEAXwBPAHQAaABlAHIAUAB1AHIAYwBoAGEAcwBlAGQARwBvAG8AZABzAEEAbgBkAFMAZQByAHYAaQBjAGUAcwBcAG4AIAAgAD0ATABBAE0AQgBEAEEAKABcAG4AIAAgACAAIABhAGMAdABpAHYAaQB0AHkAXwBkAGEAdABhACwAIABlAG0AaQBzAHMAaQBvAG4AXwBmAGEAYwB0AG8AcgAsAFwAbgAgACAAIAAgAGEAYwB0AGkAdgBpAHQAeQBfAGQAYQB0AGEAIAAqACAAZQBtAGkAcwBzAGkAbwBuAF8AZgBhAGMAdABvAHIAXABuACAAIAApADsAXABuAFwAbgBWAEUARQBSAEcAXwAxADUAXwAxADAAXwAxAF8AMQBfAF8AMQBfAE8AdABoAGUAcgBQAHUAcgBjAGgAYQBzAGUAZABHAG8AbwBkAHMAQQBuAGQAUwBlAHIAdgBpAGMAZQBzAF8AVABpAHQAbABlAFwAbgAgACAAPQBMAEEATQBCAEQAQQAoAFwAIgBPAHQAaABlAHIAIABwAHUAcgBjAGgAYQBzAGUAZAAgAGcAbwBvAGQAcwAgAGEAbgBkACAAcwBlAHIAdgBpAGMAZQBzACAAZwBlAG4AZQByAGkAYwAgAGUAcwB0AGkAbQBhAHQAZQBcACIAKQA7AFwAbgBcAG4AVgBFAEUAUgBHAF8AMQA1AF8AMQAwAF8AMQBfADEAXwBfADEAXwBPAHQAaABlAHIAUAB1AHIAYwBoAGEAcwBlAGQARwBvAG8AZABzAEEAbgBkAFMAZQByAHYAaQBjAGUAcwBfAFYAYQByAGkAYQBiAGwAZQBcAG4AIAAgAD0ATABBAE0AQgBEAEEAKABcACIAZQBtAGkAcwBzAGkAbwBuAHMAXAAiACkAOwBcAG4AXABuAFYARQBFAFIARwBfADEANQBfADEAMABfADEAXwAxAF8AXwAxAF8ATwB0AGgAZQByAFAAdQByAGMAaABhAHMAZQBkAEcAbwBvAGQAcwBBAG4AZABTAGUAcgB2AGkAYwBlAHMAXwBVAG4AaQB0AFwAbgAgACAAPQBMAEEATQBCAEQAQQAoAFwAIgB0ACAAQwBPADIAZQBcACIAKQA7AFwAbgBcAG4AVgBFAEUAUgBHAF8AMQA1AF8AMQAwAF8AMQBfADEAXwBfADEAXwBPAHQAaABlAHIAUAB1AHIAYwBoAGEAcwBlAGQARwBvAG8AZABzAEEAbgBkAFMAZQByAHYAaQBjAGUAcwBfAFMAbwB1AHIAYwBlAFwAbgAgACAAPQBMAEEATQBCAEQAQQAoAFwAIgBWAEUARQBSAEcAIAAyADAAMgA2ADoAIAAxADUALgAxADAALAAgAGcAZQBuAGUAcgBpAGMAIABwAGwAYQBjAGUAaABvAGwAZABlAHIAIABlAHEAdQBhAHQAaQBvAG4AXAAiACkAOwBcAG4AXABuAFYARQBFAFIARwBfADEANQBfADEAMABfADEAXwAxAF8AXwAxAF8ATwB0AGgAZQByAFAAdQByAGMAaABhAHMAZQBkAEcAbwBvAGQAcwBBAG4AZABTAGUAcgB2AGkAYwBlAHMAXwBOAEkAUgBSAGUAZgBlAHIAZQBuAGMAZQBcAG4AIAAgAD0ATABBAE0AQgBEAEEAKABcACIAXAAiACkAOwBcAG4AXABuAFYARQBFAFIARwBfADEANQBfADEAMABfADEAXwAxAF8AXwAxAF8ATwB0AGgAZQByAFAAdQByAGMAaABhAHMAZQBkAEcAbwBvAGQAcwBBAG4AZABTAGUAcgB2AGkAYwBlAHMAXwBMAGEAdABlAHgARQBxAHUAYQB0AGkAbwBuAFwAbgAgACAAPQBMAEEATQBCAEQAQQAoAFwAIgBlAG0AaQBzAHMAaQBvAG4AcwA9AGEAYwB0AGkAdgBpAHQAeQBcAFwAXwBkAGEAdABhAFwAXAB0AGkAbQBlAHMAIABlAG0AaQBzAHMAaQBvAG4AXABcAF8AZgBhAGMAdABvAHIAXAAiACkAOwBcAG4AXABuAFYARQBFAFIARwBfADEANQBfADEAMABfADEAXwAxAF8AXwAxAF8ATwB0AGgAZQByAFAAdQByAGMAaABhAHMAZQBkAEcAbwBvAGQAcwBBAG4AZABTAGUAcgB2AGkAYwBlAHMAXwBBAHIAZwB1AG0AZQBuAHQAcwBcAG4AIAAgAD0ATABBAE0AQgBEAEEAKABcAG4AIAAgACAAIABNAEEASwBFAEEAUgBSAEEAWQAoADIALAAgADQALABcAG4AIAAgACAAIAAgACAATABBAE0AQgBEAEEAKAByACwAYwAsAFwAbgAgACAAIAAgACAAIAAgACAASQBOAEQARQBYACgAewBcAG4AIAAgACAAIAAgACAAIAAgACAAIABcACIAYQBjAHQAaQB2AGkAdAB5AF8AZABhAHQAYQBcACIALAAgAFwAIgBtAGUAYQBzAHUAcgBlAGQAIABhAGMAdABpAHYAaQB0AHkAIABmAG8AcgAgAHQAaABlACAAcAB1AHIAYwBoAGEAcwBlAGQAIABnAG8AbwBkACAAbwByACAAcwBlAHIAdgBpAGMAZQBcACIALAAgAFwAIgB2AGEAcgBpAGUAcwBcACIALAAgAFwAIgBJAG4AcAB1AHQAXAAiADsAXABuACAAIAAgACAAIAAgACAAIAAgACAAXAAiAGUAbQBpAHMAcwBpAG8AbgBfAGYAYQBjAHQAbwByAFwAIgAsACAAXAAiAGwAaQBmAGUAYwB5AGMAbABlACAAZQBtAGkAcwBzAGkAbwBuAHMAIABwAGUAcgAgAHUAbgBpAHQAIABvAGYAIABhAGMAdABpAHYAaQB0AHkAXAAiACwAIABcACIAdgBhAHIAaQBlAH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xAF8AVABvAHQAYQBsAFUAcABzAHQAcgBlAGEAbQBFAG0AaQBzAHMAaQBvAG4AcwBGAHIAbwBtAEYAdQBlAGwAXABuAFQAbwB0AGEAbAAgAHUAcABzAHQAcgBlAGEAbQAgAGUAbQBpAHMAcwBpAG8AbgBzACAAZgByAG8AbQAgAHMAYwBvAHAAZQAgADEAIABmAHUAZQBsACAAYwBvAG4AcwB1AG0AcAB0AGkAbwBuAFwAbgBFAFwAbgB0ACAAQwBPADIAZQBcAG4ARQA9AFwAXABzAHUAbQBcAFwAbgBvAGwAaQBtAGkAdABzAF8AcQBFAF8AewBXAFQAVAAsAHQAcgBhAG4AcwAsAHEAfQArAFwAXABzAHUAbQBcAFwAbgBvAGwAaQBtAGkAdABzAF8AcQBFAF8AewBXAFQAVAAsAFMAQwAsAHEAfQBcAG4ARQBfAFcAVABUAHQAcgBhAG4AcwBxACAAPQAgAHUAcABzAHQAcgBlAGEAbQAgAGUAbQBpAHMAcwBpAG8AbgBzACAAZgByAG8AbQAgAHMAYwBvAHAAZQAgADEAIAB0AHIAYQBuAHMAcABvAHIAdAAgAGYAdQBlAGwAIAB1AHMAZQBcAG4ARQBfAFcAVABUAFMAQwBxACAAPQAgAHUAcABzAHQAcgBlAGEAbQAgAGUAbQBpAHMAcwBpAG8AbgBzACAAZgByAG8AbQAgAHMAYwBvAHAAZQAgADEAIABzAHQAYQB0AGkAbwBuAGEAcgB5ACAAYwBvAG0AYgB1AHMAdABpAG8AbgAgAGYAdQBlAGwAIAB1AHMAZQBcAG4ALQAtAC0ALQAtAC0ALQAtAC0ALQAtAC0ALQAtAC0ALQAtAC0ALQAtAC0ALQAtAC0ALQAtAC0ALQAtAC0ALQAtAC0ALQAtAC0ALQAtAFwAbgAqAC8AXABuAFwAbgBWAEUARQBSAEcAXwAxADUAXwAxADEAXwAxAF8AMQBfAF8AMQBfAFQAbwB0AGEAbABVAHAAcwB0AHIAZQBhAG0ARQBtAGkAcwBzAGkAbwBuAHMARgByAG8AbQBGAHUAZQBsAFwAbgAgACAAPQBMAEEATQBCAEQAQQAoAFwAbgAgACAAIAAgAEUAXwBXAFQAVAB0AHIAYQBuAHMAcQAsACAARQBfAFcAVABUAFMAQwBxACwAXABuACAAIAAgACAARQBfAFcAVABUAHQAcgBhAG4AcwBxACAAKwAgAEUAXwBXAFQAVABTAEMAcQBcAG4AIAAgACkAOwBcAG4AXABuAFYARQBFAFIARwBfADEANQBfADEAMQBfADEAXwAxAF8AXwAxAF8AVABvAHQAYQBsAFUAcABzAHQAcgBlAGEAbQBFAG0AaQBzAHMAaQBvAG4AcwBGAHIAbwBtAEYAdQBlAGwAXwBUAGkAdABsAGUAXABuACAAIAA9AEwAQQBNAEIARABBACgAXAAiAFQAbwB0AGEAbAAgAHUAcABzAHQAcgBlAGEAbQAgAGUAbQBpAHMAcwBpAG8AbgBzACAAZgByAG8AbQAgAHMAYwBvAHAAZQAgADEAIABmAHUAZQBsACAAYwBvAG4AcwB1AG0AcAB0AGkAbwBuAFwAIgApADsAXABuAFwAbgBWAEUARQBSAEcAXwAxADUAXwAxADEAXwAxAF8AMQBfAF8AMQBfAFQAbwB0AGEAbABVAHAAcwB0AHIAZQBhAG0ARQBtAGkAcwBzAGkAbwBuAHMARgByAG8AbQBGAHUAZQBsAF8AVgBhAHIAaQBhAGIAbABlAFwAbgAgACAAPQBMAEEATQBCAEQAQQAoAFwAIgBFAFwAIgApADsAXABuAFwAbgBWAEUARQBSAEcAXwAxADUAXwAxADEAXwAxAF8AMQBfAF8AMQBfAFQAbwB0AGEAbABVAHAAcwB0AHIAZQBhAG0ARQBtAGkAcwBzAGkAbwBuAHMARgByAG8AbQBGAHUAZQBsAF8AVQBuAGkAdABcAG4AIAAgAD0ATABBAE0AQgBEAEEAKABcACIAdAAgAEMATwAyAGUAXAAiACkAOwBcAG4AXABuAFYARQBFAFIARwBfADEANQBfADEAMQBfADEAXwAxAF8AXwAxAF8AVABvAHQAYQBsAFUAcABzAHQAcgBlAGEAbQBFAG0AaQBzAHMAaQBvAG4AcwBGAHIAbwBtAEYAdQBlAGwAXwBTAG8AdQByAGMAZQBcAG4AIAAgAD0ATABBAE0AQgBEAEEAKABcACIAVgBFAEUAUgBHACAAMgAwADIANgA6ACAAMQA1AC4AMQAxAC4AMQAuADEALAAgAEUAcQB1AGEAdABpAG8AbgAgACgAMQApAFwAIgApADsAXABuAFwAbgBWAEUARQBSAEcAXwAxADUAXwAxADEAXwAxAF8AMQBfAF8AMQBfAFQAbwB0AGEAbABVAHAAcwB0AHIAZQBhAG0ARQBtAGkAcwBzAGkAbwBuAHMARgByAG8AbQBGAHUAZQBsAF8ATgBJAFIAUgBlAGYAZQByAGUAbgBjAGUAXABuACAAIAA9AEwAQQBNAEIARABBACgAXAAiAFwAIgApADsAXABuAFwAbgBWAEUARQBSAEcAXwAxADUAXwAxADEAXwAxAF8AMQBfAF8AMQBfAFQAbwB0AGEAbABVAHAAcwB0AHIAZQBhAG0ARQBtAGkAcwBzAGkAbwBuAHMARgByAG8AbQBGAHUAZQBsAF8ATABhAHQAZQB4AEUAcQB1AGEAdABpAG8AbgBcAG4AIAAgAD0ATABBAE0AQgBEAEEAKABcACIARQA9AFwAXABzAHUAbQBcAFwAbgBvAGwAaQBtAGkAdABzAF8AcQBFAF8AewBXAFQAVAAsAHQAcgBhAG4AcwAsAHEAfQArAFwAXABzAHUAbQBcAFwAbgBvAGwAaQBtAGkAdABzAF8AcQBFAF8AewBXAFQAVAAsAFMAQwAsAHEAfQBcACIAKQA7AFwAbgBcAG4AVgBFAEUAUgBHAF8AMQA1AF8AMQAxAF8AMQBfADEAXwBfADEAXwBUAG8AdABhAGwAVQBwAHMAdAByAGUAYQBtAEUAbQBpAHMAcwBpAG8AbgBzAEYAcgBvAG0ARgB1AGUAbABfAEEAcgBnAHUAbQBlAG4AdABzAFwAbgAgACAAPQBMAEEATQBCAEQAQQAoAFwAbgAgACAAIAAgAE0AQQBLAEUAQQBSAFIAQQBZACgAMgAsACAANAAsAFwAbgAgACAAIAAgACAAIABMAEEATQBCAEQAQQAoAHIALABjACwAXABuACAAIAAgACAAIAAgACAAIABJAE4ARABFAFgAKAB7AFwAbgAgACAAIAAgACAAIAAgACAAIAAgAFwAIgBFAF8AVwBUAFQAdAByAGEAbgBzAHEAXAAiACwAIABcACIAdQBwAHMAdAByAGUAYQBtACAAZQBtAGkAcwBzAGkAbwBuAHMAIABmAHIAbwBtACAAcwBjAG8AcABlACAAMQAgAHQAcgBhAG4AcwBwAG8AcgB0ACAAZgB1AGUAbAAgAHUAcwBlAFwAIgAsACAAXAAiAHQAIABDAE8AMgBlAFwAIgAsACAAXAAiAEMAYQBsAGMAdQBsAGEAdABlAGQAIABiAHkAIAAxADUALgAxADEALgAxAC4AMQAgACgAMgApAFwAIgA7AFwAbgAgACAAIAAgACAAIAAgACAAIAAgAFwAIgBFAF8AVwBUAFQAUwBDAHEAXAAiACwAIABcACIAdQBwAHMAdAByAGUAYQBtACAAZQBtAGkAcwBzAGkAbwBuAHMAIABmAHIAbwBtACAAcwBjAG8AcABlACAAMQAgAHMAdABhAHQAaQBvAG4AYQByAHkAIABjAG8AbQBiAHUAcwB0AGkAbwBuACAAZgB1AGUAbAAgAHUAcwBlAFwAIgAsACAAXAAiAHQAIABDAE8AMgBlAFwAIgAsACAAXAAiAEMAYQBsAGMAdQBsAGEAdABlAGQAIABiAHkAIAAxADUALgAxADEALgAxAC4AMQAgACgAMwAp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yAF8AVQBwAHMAdAByAGUAYQBtAFQAcgBhAG4AcwBwAG8AcgB0AEYAdQBlAGwARQBtAGkAcwBzAGkAbwBuAHMAXABuAFUAcABzAHQAcgBlAGEAbQAgAGUAbQBpAHMAcwBpAG8AbgBzACAAZgByAG8AbQAgAHMAYwBvAHAAZQAgADEAIABmAHUAZQBsACAAdQBzAGUAIABmAG8AcgAgAHQAcgBhAG4AcwBwAG8AcgB0ACAAcAB1AHIAcABvAHMAZQBzAFwAbgBFAF8AVwBUAFQAdAByAGEAbgBzAHEAXABuAHQAIABDAE8AMgBlAFwAbgBFAF8AewBXAFQAVAAsAHQAcgBhAG4AcwAsAHEAfQA9AFEAXwB7AFQAcgBhAG4AcwAsAHEAfQBcAFwAdABpAG0AZQBzACAARQBDAF8AewBUAHIAYQBuAHMALABxAH0AXABcAHQAaQBtAGUAcwAgAEUARgBfAHsAVAByAGEAbgBzACwAMwAsAHEAfQBcAFwAdABpAG0AZQBzACAAMQAwAF4AewAtADMAfQBcAG4AUQBfAFQAcgBhAG4AcwBxACAAPQAgAGEAbQBvAHUAbgB0ACAAbwBmACAAZgB1AGUAbAAgAHEAIABjAG8AbQBiAHUAcwB0AGUAZAAgAGYAbwByACAAdAByAGEAbgBzAHAAbwByAHQAIABlAG4AZQByAGcAeQAgAHAAdQByAHAAbwBzAGUAcwBcAG4ARQBDAF8AVAByAGEAbgBzAHEAIAA9ACAAZQBuAGUAcgBnAHkAIABjAG8AbgB0AGUAbgB0ACAAZgBhAGMAdABvAHIAIABmAG8AcgAgAHQAcgBhAG4AcwBwAG8AcgB0ACAAZQBuAGUAcgBnAHkAIABwAHUAcgBwAG8AcwBlAHMAXABuAEUARgBfAFQAcgBhAG4AcwAzAHEAIAA9ACAAcwBjAG8AcABlACAAMwAgAGUAbQBpAHMAcwBpAG8AbgAgAGYAYQBjAHQAbwByACAAZgBvAHIAIAB0AHIAYQBuAHMAcABvAHIAdAAgAGUAbgBlAHIAZwB5ACAAcAB1AHIAcABvAHMAZQBzAFwAbgAtAC0ALQAtAC0ALQAtAC0ALQAtAC0ALQAtAC0ALQAtAC0ALQAtAC0ALQAtAC0ALQAtAC0ALQAtAC0ALQAtAC0ALQAtAC0ALQAtAC0AXABuACoALwBcAG4AXABuAFYARQBFAFIARwBfADEANQBfADEAMQBfADEAXwAxAF8AXwAyAF8AVQBwAHMAdAByAGUAYQBtAFQAcgBhAG4AcwBwAG8AcgB0AEYAdQBlAGwARQBtAGkAcwBzAGkAbwBuAHMAXABuACAAIAA9AEwAQQBNAEIARABBACgAXABuACAAIAAgACAAUQBfAFQAcgBhAG4AcwBxACwAIABFAEMAXwBUAHIAYQBuAHMAcQAsACAARQBGAF8AVAByAGEAbgBzADMAcQAsAFwAbgAgACAAIAAgACgAUQBfAFQAcgBhAG4AcwBxACAAKgAgAEUAQwBfAFQAcgBhAG4AcwBxACAAKgAgAEUARgBfAFQAcgBhAG4AcwAzAHEAKQAgACoAIAAxADAAIABeACAALQAzAFwAbgAgACAAKQA7AFwAbgBcAG4AVgBFAEUAUgBHAF8AMQA1AF8AMQAxAF8AMQBfADEAXwBfADIAXwBVAHAAcwB0AHIAZQBhAG0AVAByAGEAbgBzAHAAbwByAHQARgB1AGUAbABFAG0AaQBzAHMAaQBvAG4AcwBfAFQAaQB0AGwAZQBcAG4AIAAgAD0ATABBAE0AQgBEAEEAKABcACIAVQBwAHMAdAByAGUAYQBtACAAZQBtAGkAcwBzAGkAbwBuAHMAIABmAHIAbwBtACAAcwBjAG8AcABlACAAMQAgAGYAdQBlAGwAIAB1AHMAZQAgAGYAbwByACAAdAByAGEAbgBzAHAAbwByAHQAIABwAHUAcgBwAG8AcwBlAHMAXAAiACkAOwBcAG4AXABuAFYARQBFAFIARwBfADEANQBfADEAMQBfADEAXwAxAF8AXwAyAF8AVQBwAHMAdAByAGUAYQBtAFQAcgBhAG4AcwBwAG8AcgB0AEYAdQBlAGwARQBtAGkAcwBzAGkAbwBuAHMAXwBWAGEAcgBpAGEAYgBsAGUAXABuACAAIAA9AEwAQQBNAEIARABBACgAXAAiAEUAXwBXAFQAVAB0AHIAYQBuAHMAcQBcACIAKQA7AFwAbgBcAG4AVgBFAEUAUgBHAF8AMQA1AF8AMQAxAF8AMQBfADEAXwBfADIAXwBVAHAAcwB0AHIAZQBhAG0AVAByAGEAbgBzAHAAbwByAHQARgB1AGUAbABFAG0AaQBzAHMAaQBvAG4AcwBfAFUAbgBpAHQAXABuACAAIAA9AEwAQQBNAEIARABBACgAXAAiAHQAIABDAE8AMgBlAFwAIgApADsAXABuAFwAbgBWAEUARQBSAEcAXwAxADUAXwAxADEAXwAxAF8AMQBfAF8AMgBfAFUAcABzAHQAcgBlAGEAbQBUAHIAYQBuAHMAcABvAHIAdABGAHUAZQBsAEUAbQBpAHMAcwBpAG8AbgBzAF8AUwBvAHUAcgBjAGUAXABuACAAIAA9AEwAQQBNAEIARABBACgAXAAiAFYARQBFAFIARwAgADIAMAAyADYAOgAgADEANQAuADEAMQAuADEALgAxACwAIABFAHEAdQBhAHQAaQBvAG4AIAAoADIAKQBcACIAKQA7AFwAbgBcAG4AVgBFAEUAUgBHAF8AMQA1AF8AMQAxAF8AMQBfADEAXwBfADIAXwBVAHAAcwB0AHIAZQBhAG0AVAByAGEAbgBzAHAAbwByAHQARgB1AGUAbABFAG0AaQBzAHMAaQBvAG4AcwBfAE4ASQBSAFIAZQBmAGUAcgBlAG4AYwBlAFwAbgAgACAAPQBMAEEATQBCAEQAQQAoAFwAIgBcACIAKQA7AFwAbgBcAG4AVgBFAEUAUgBHAF8AMQA1AF8AMQAxAF8AMQBfADEAXwBfADIAXwBVAHAAcwB0AHIAZQBhAG0AVAByAGEAbgBzAHAAbwByAHQARgB1AGUAbABFAG0AaQBzAHMAaQBvAG4AcwBfAEwAYQB0AGUAeABFAHEAdQBhAHQAaQBvAG4AXABuACAAIAA9AEwAQQBNAEIARABBACgAXAAiAEUAXwB7AFcAVABUACwAdAByAGEAbgBzACwAcQB9AD0AUQBfAHsAVAByAGEAbgBzACwAcQB9AFwAXAB0AGkAbQBlAHMAIABFAEMAXwB7AFQAcgBhAG4AcwAsAHEAfQBcAFwAdABpAG0AZQBzACAARQBGAF8AewBUAHIAYQBuAHMALAAzACwAcQB9AFwAXAB0AGkAbQBlAHMAIAAxADAAXgB7AC0AMwB9AFwAIgApADsAXABuAFwAbgBWAEUARQBSAEcAXwAxADUAXwAxADEAXwAxAF8AMQBfAF8AMgBfAFUAcABzAHQAcgBlAGEAbQBUAHIAYQBuAHMAcABvAHIAdA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UAHIAYQBuAHMAcQBcACIALAAgAFwAIgBhAG0AbwB1AG4AdAAgAG8AZgAgAGYAdQBlAGwAIABxACAAYwBvAG0AYgB1AHMAdABlAGQAIABmAG8AcgAgAHQAcgBhAG4AcwBwAG8AcgB0ACAAZQBuAGUAcgBnAHkAIABwAHUAcgBwAG8AcwBlAHMAXAAiACwAIABcACIAawBMAFwAIgAsACAAXAAiAEkAbgBwAHUAdABcACIAOwBcAG4AIAAgACAAIAAgACAAIAAgACAAIABcACIARQBDAF8AVAByAGEAbgBzAHEAXAAiACwAIABcACIAZQBuAGUAcgBnAHkAIABjAG8AbgB0AGUAbgB0ACAAZgBhAGMAdABvAHIAIABmAG8AcgAgAHQAcgBhAG4AcwBwAG8AcgB0ACAAZQBuAGUAcgBnAHkAIABwAHUAcgBwAG8AcwBlAHMAXAAiACwAIABcACIARwBKAC8AawBMACAAbwByACAARwBKAC8AbQAzAFwAIgAsACAAXAAiAEMAbwBuAHMAdABhAG4AdABcACIAOwBcAG4AIAAgACAAIAAgACAAIAAgACAAIABcACIARQBGAF8AVAByAGEAbgBzADMAcQBcACIALAAgAFwAIgBzAGMAbwBwAGUAIAAzACAAZQBtAGkAcwBzAGkAbwBuACAAZgBhAGMAdABvAHIAIABmAG8AcgAgAHQAcgBhAG4AcwBwAG8AcgB0ACAAZQBuAGUAcgBnAHkAIABwAHUAcgBwAG8AcwBlAHMAXAAiACwAIABcACIAawBnACAAQwBPADIAZQAvAEcAS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MAXwBVAHAAcwB0AHIAZQBhAG0AUwB0AGEAdABpAG8AbgBhAHIAeQBGAHUAZQBsAEUAbQBpAHMAcwBpAG8AbgBzAFwAbgBVAHAAcwB0AHIAZQBhAG0AIABlAG0AaQBzAHMAaQBvAG4AcwAgAGYAcgBvAG0AIABzAGMAbwBwAGUAIAAxACAAcwB0AGEAdABpAG8AbgBhAHIAeQAgAGMAbwBtAGIAdQBzAHQAaQBvAG4AIABmAHUAZQBsACAAdQBzAGUAXABuAEUAXwBXAFQAVABTAEMAcQBcAG4AdAAgAEMATwAyAGUAXABuAEUAXwB7AFcAVABUACwAUwBDACwAcQB9AD0AUQBfAHsAUwBDACwAcQB9AFwAXAB0AGkAbQBlAHMAIABFAEMAXwB7AFMAQwAsAHEAfQBcAFwAdABpAG0AZQBzACAARQBGAF8AewBTAEMALAAzACwAcQB9AFwAXAB0AGkAbQBlAHMAIAAxADAAXgB7AC0AMwB9AFwAbgBRAF8AUwBDAHEAIAA9ACAAYQBtAG8AdQBuAHQAIABvAGYAIABmAHUAZQBsACAAcQAgAHUAcwBlAGQAIABmAG8AcgAgAHMAdABhAHQAaQBvAG4AYQByAHkAIABjAG8AbQBiAHUAcwB0AGkAbwBuACAAbwBwAGUAcgBhAHQAaQBvAG4AcwBcAG4ARQBDAF8AUwBDAHEAIAA9ACAAZQBuAGUAcgBnAHkAIABjAG8AbgB0AGUAbgB0ACAAZgBhAGMAdABvAHIAIABmAG8AcgAgAHMAdABhAHQAaQBvAG4AYQByAHkAIABjAG8AbQBiAHUAcwB0AGkAbwBuACAAbwBwAGUAcgBhAHQAaQBvAG4AcwBcAG4ARQBGAF8AUwBDADMAcQAgAD0AIABzAGMAbwBwAGUAIAAzACAAZQBtAGkAcwBzAGkAbwBuACAAZgBhAGMAdABvAHIAIABmAG8AcgAgAHMAdABhAHQAaQBvAG4AYQByAHkAIABjAG8AbQBiAHUAcwB0AGkAbwBuACAAbwBwAGUAcgBhAHQAaQBvAG4AcwBcAG4ALQAtAC0ALQAtAC0ALQAtAC0ALQAtAC0ALQAtAC0ALQAtAC0ALQAtAC0ALQAtAC0ALQAtAC0ALQAtAC0ALQAtAC0ALQAtAC0ALQAtAFwAbgAqAC8AXABuAFwAbgBWAEUARQBSAEcAXwAxADUAXwAxADEAXwAxAF8AMQBfAF8AMwBfAFUAcABzAHQAcgBlAGEAbQBTAHQAYQB0AGkAbwBuAGEAcgB5AEYAdQBlAGwARQBtAGkAcwBzAGkAbwBuAHMAXABuACAAIAA9AEwAQQBNAEIARABBACgAXABuACAAIAAgACAAUQBfAFMAQwBxACwAIABFAEMAXwBTAEMAcQAsACAARQBGAF8AUwBDADMAcQAsAFwAbgAgACAAIAAgACgAUQBfAFMAQwBxACAAKgAgAEUAQwBfAFMAQwBxACAAKgAgAEUARgBfAFMAQwAzAHEAKQAgACoAIAAxADAAIABeACAALQAzAFwAbgAgACAAKQA7AFwAbgBcAG4AVgBFAEUAUgBHAF8AMQA1AF8AMQAxAF8AMQBfADEAXwBfADMAXwBVAHAAcwB0AHIAZQBhAG0AUwB0AGEAdABpAG8AbgBhAHIAeQBGAHUAZQBsAEUAbQBpAHMAcwBpAG8AbgBzAF8AVABpAHQAbABlAFwAbgAgACAAPQBMAEEATQBCAEQAQQAoAFwAIgBVAHAAcwB0AHIAZQBhAG0AIABlAG0AaQBzAHMAaQBvAG4AcwAgAGYAcgBvAG0AIABzAGMAbwBwAGUAIAAxACAAcwB0AGEAdABpAG8AbgBhAHIAeQAgAGMAbwBtAGIAdQBzAHQAaQBvAG4AIABmAHUAZQBsACAAdQBzAGUAXAAiACkAOwBcAG4AXABuAFYARQBFAFIARwBfADEANQBfADEAMQBfADEAXwAxAF8AXwAzAF8AVQBwAHMAdAByAGUAYQBtAFMAdABhAHQAaQBvAG4AYQByAHkARgB1AGUAbABFAG0AaQBzAHMAaQBvAG4AcwBfAFYAYQByAGkAYQBiAGwAZQBcAG4AIAAgAD0ATABBAE0AQgBEAEEAKABcACIARQBfAFcAVABUAFMAQwBxAFwAIgApADsAXABuAFwAbgBWAEUARQBSAEcAXwAxADUAXwAxADEAXwAxAF8AMQBfAF8AMwBfAFUAcABzAHQAcgBlAGEAbQBTAHQAYQB0AGkAbwBuAGEAcgB5AEYAdQBlAGwARQBtAGkAcwBzAGkAbwBuAHMAXwBVAG4AaQB0AFwAbgAgACAAPQBMAEEATQBCAEQAQQAoAFwAIgB0ACAAQwBPADIAZQBcACIAKQA7AFwAbgBcAG4AVgBFAEUAUgBHAF8AMQA1AF8AMQAxAF8AMQBfADEAXwBfADMAXwBVAHAAcwB0AHIAZQBhAG0AUwB0AGEAdABpAG8AbgBhAHIAeQBGAHUAZQBsAEUAbQBpAHMAcwBpAG8AbgBzAF8AUwBvAHUAcgBjAGUAXABuACAAIAA9AEwAQQBNAEIARABBACgAXAAiAFYARQBFAFIARwAgADIAMAAyADYAOgAgADEANQAuADEAMQAuADEALgAxACwAIABFAHEAdQBhAHQAaQBvAG4AIAAoADMAKQBcACIAKQA7AFwAbgBcAG4AVgBFAEUAUgBHAF8AMQA1AF8AMQAxAF8AMQBfADEAXwBfADMAXwBVAHAAcwB0AHIAZQBhAG0AUwB0AGEAdABpAG8AbgBhAHIAeQBGAHUAZQBsAEUAbQBpAHMAcwBpAG8AbgBzAF8ATgBJAFIAUgBlAGYAZQByAGUAbgBjAGUAXABuACAAIAA9AEwAQQBNAEIARABBACgAXAAiAFwAIgApADsAXABuAFwAbgBWAEUARQBSAEcAXwAxADUAXwAxADEAXwAxAF8AMQBfAF8AMwBfAFUAcABzAHQAcgBlAGEAbQBTAHQAYQB0AGkAbwBuAGEAcgB5AEYAdQBlAGwARQBtAGkAcwBzAGkAbwBuAHMAXwBMAGEAdABlAHgARQBxAHUAYQB0AGkAbwBuAFwAbgAgACAAPQBMAEEATQBCAEQAQQAoAFwAIgBFAF8AewBXAFQAVAAsAFMAQwAsAHEAfQA9AFEAXwB7AFMAQwAsAHEAfQBcAFwAdABpAG0AZQBzACAARQBDAF8AewBTAEMALABxAH0AXABcAHQAaQBtAGUAcwAgAEUARgBfAHsAUwBDACwAMwAsAHEAfQBcAFwAdABpAG0AZQBzACAAMQAwAF4AewAtADMAfQBcACIAKQA7AFwAbgBcAG4AVgBFAEUAUgBHAF8AMQA1AF8AMQAxAF8AMQBfADEAXwBfADMAXwBVAHAAcwB0AHIAZQBhAG0AUwB0AGEAdABpAG8AbgBhAHIAeQBGAHUAZQBsAEUAbQBpAHMAcwBpAG8AbgBzAF8AQQByAGcAdQBtAGUAbgB0AHMAXABuACAAIAA9AEwAQQBNAEIARABBACgAXABuACAAIAAgACAATQBBAEsARQBBAFIAUgBBAFkAKAA1ACwAIAA0ACwAXABuACAAIAAgACAAIAAgAEwAQQBNAEIARABBACgAcgAsAGMALABcAG4AIAAgACAAIAAgACAAIAAgAEkATgBEAEUAWAAoAHsAXABuACAAIAAgACAAIAAgACAAIAAgACAAXAAiAFEAXwBTAEMAcQBcACIALAAgAFwAIgBhAG0AbwB1AG4AdAAgAG8AZgAgAGYAdQBlAGwAIABxACAAdQBzAGUAZAAgAGYAbwByACAAcwB0AGEAdABpAG8AbgBhAHIAeQAgAGMAbwBtAGIAdQBzAHQAaQBvAG4AIABvAHAAZQByAGEAdABpAG8AbgBzAFwAIgAsACAAXAAiAGsATABcACIALAAgAFwAIgBJAG4AcAB1AHQAXAAiADsAXABuACAAIAAgACAAIAAgACAAIAAgACAAXAAiAEUAQwBfAFMAQwBxAFwAIgAsACAAXAAiAGUAbgBlAHIAZwB5ACAAYwBvAG4AdABlAG4AdAAgAGYAYQBjAHQAbwByACAAZgBvAHIAIABzAHQAYQB0AGkAbwBuAGEAcgB5ACAAYwBvAG0AYgB1AHMAdABpAG8AbgAgAG8AcABlAHIAYQB0AGkAbwBuAHMAXAAiACwAIABcACIARwBKAC8AawBMAFwAIgAsACAAXAAiAEMAbwBuAHMAdABhAG4AdABcACIAOwBcAG4AIAAgACAAIAAgACAAIAAgACAAIABcACIARQBGAF8AUwBDADMAcQBcACIALAAgAFwAIgBzAGMAbwBwAGUAIAAzACAAZQBtAGkAcwBzAGkAbwBuACAAZgBhAGMAdABvAHIAIABmAG8AcgAgAHMAdABhAHQAaQBvAG4AYQByAHkAIABjAG8AbQBiAHUAcwB0AGkAbwBuACAAbwBwAGUAcgBhAHQAaQBvAG4AcwBcACIALAAgAFwAIgBrAGcAIABDAE8AMgBlAC8ARwBKAFwAIgAsACAAXAAiAEMAbwBuAHMAdABhAG4AdABcACIAOwBcAG4AIAAgACAAIAAgACAAIAAgACAAIABcACIAaQBcACIALAAgAFwAIgBzAHQAYQB0AGUAXAAiACwAIABcACIAXAAiACwAIABcACIASQBuAHAAdQB0AFwAIgA7AFwAbgAgACAAIAAgACAAIAAgACAAIAAgAFwAIgBtAFwAIgAsACAAXAAiAG0AZQB0AHIAbwBwAG8AbABpAHQAYQBuAC8AbgBvAG4ALQBtAGUAdAByAG8AcABvAGwAaQB0AGEAbgAgAGwAbwBjAGEAdABpAG8AbgBcACIALAAgAFwAIgBcACIALAAgAFwAIgBJAG4AcAB1AHQAXAAiAFwAbgAgACAAIAAgACAAIAAgACAAfQAsACAAcgAsACAAYwApAFwAbgAgACAAIAAgACAAIAApAFwAbgAgACAAIAAgACkAXABuACAAIAApADsAXABuAFwAbgBWAEUARQBSAEcAXwAxADUAXwAxADEAXwAxAF8AMQBfAF8AMwBfAFUAcABzAHQAcgBlAGEAbQBTAHQAYQB0AGkAbwBuAGEAcgB5AEYAdQBlAGwARQBtAGkAcwBzAGkAbwBuAHMAXwBWAGEAcgBpAGEAdABpAG8AbgBcAG4AIAAgAD0ATABBAE0AQgBEAEEAKABcACIAVgBBAFIASQBBAFQASQBPAE4AIABPAE4AIABTAE8AVQBSAEMARQA6ACAAQQBkAGQAZQBkACAAJwBzAHQAYQB0AGUAJwAgAGEAbgBkACAAJwBtAGUAdAByAG8ALwBuAG8AbgAtAG0AZQB0AHIAbwAn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A7AFwAbgAgACAAIAAgACAAIAAgACAAIAAgAFwAIgBnAFwAIgAsACAAXAAiAGcAcgBpAGQAIABlAGwAZQBjAHQAcgBpAGMAaQB0AHkAIAB3AGEAcwAgAHAAdQByAGMAaABhAHMAZQBkACAAZgByAG8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YAYQByAGkAYQB0AGkAbwBu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C0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wAYQB0AGUAeABFAHEAdQBhAHQAaQBvAG4AVgBhAHIAa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HIAZQBuAGUAdwBhAGIAbABlACAAcABvAHcAZQByACAAcABlAHIAYwBlAG4AdABhAGcAZQAgAHUAbgBkAGUAcgAgAEwAUgBFAFQAIABmAG8AcgAgAHQAaABlACAAYQBwAHAAbABpAGMAYQBiAGwAZQAgAHAAZQByAGkAbwBkAFwAIgAsACAAXAAiAGYAcgBhAGMAdABpAG8Abg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BcACIALAAgAFwAIgBmAHIAYQBjAHQAaQBvAG4AXAAiACwAIABcACIASQBuAHAAdQB0AFwAIgA7AFwAbgAgACAAIAAgACAAIAAgACAAIAAgAFwAIgBSAEUAQwBfAHMAdQByAHIAZQBuAGQAZQByAGUAZABcACIALAAgAFwAIgBlAGwAaQBnAGkAYgBsAGUAIAByAGUAbgBlAHcAYQBiAGwAZQAgAGUAbgBlAHIAZwB5ACAAYwBlAHIAdABpAGYAaQBjAGEAdABlAHMAIAB2AG8AbAB1AG4AdABhAHIAaQBsAHkAIABzAHUAcgByAGUAbgBkAGUAcgBlAGQAXAAiACwAIABcACIATQBXAGgAXAAiACwAIABcACIASQBuAHAAdQB0AFwAIgA7AFwAbgAgACAAIAAgACAAIAAgACAAIAAgAFwAIgBSAEUAQwBfAG8AbgBzAGkAdABlAFwAIgAsACAAXAAiAGUAbABpAGcAaQBiAGwAZQAgAHIAZQBuAGUAdwBhAGIAbABlACAAZQBuAGUAcgBnAHkAIABjAGUAcgB0AGkAZgBpAGMAYQB0AGUAcwAgAGkAcwBzAHUAZQBkACAAZgBvAHIAIABvAG4AcwBpAHQAZQAgAGcAZQBuAGUAcgBhAHQAZQBkACAAZQBsAGUAYwB0AHIAaQBjAGkAdAB5AFwAIgAsACAAXAAiAE0AVwBoAFwAIgAsACAAXAAiAEkAbgBwAHUAdABcACIAOwBcAG4AIAAgACAAIAAgACAAIAAgACAAIABcACIARQBGAF8AUgBNAEYAMwBlAGwAZQBjAFwAIgAsACAAXAAiAHMAYwBvAHAAZQAgADM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1AF8AMQAyAF8AMQBfADIAXwBfADEAXwBVAHAAcwB0AHIAZQBhAG0AUAB1AHIAYwBoAGEAcwBlAGQARQBsAGUAYwB0AHIAaQBjAGkAdAB5AE0AYQByAGsAZQB0AEIAYQBzAGUAZA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XABuAC8AKgBcAG4ALQAtAC0ALQAtAC0ALQAtAC0ALQAtAC0ALQAtAC0ALQAtAC0ALQAtAC0ALQAtAC0ALQAtAC0ALQAtAC0ALQAtAC0ALQAtAC0ALQAtAFwAbgBWAEUARQBSAEcAXwAxADUAXwAxADMAXwAxAF8AMwBfAF8AMQBfAEUAbQBpAHMAcwBpAG8AbgBzAEYAcgBvAG0AUwBvAGwAaQBkAFcAYQBzAHQAZQBUAHIAZQBhAHQAbQBlAG4AdABGAGEAYwBpAGwAaQB0AHkAXABuAC0ALQAtAC0ALQAtAC0ALQAtAC0ALQAtAC0ALQAtAC0ALQAtAC0ALQAtAC0ALQAtAC0ALQAtAC0ALQAtAC0ALQAtAC0ALQAtAC0ALQBcAG4AKgAvAFwAbgBcAG4AVgBFAEUAUgBHAF8AMQA1AF8AMQAzAF8AMQBfADMAXwBfADEAXwBFAG0AaQBzAHMAaQBvAG4AcwBGAHIAbwBtAFMAbwBsAGkAZABXAGEAcwB0AGUAVAByAGUAYQB0AG0AZQBuAHQARgBhAGMAaQBsAGkAdAB5AFwAbgAgACAAPQBMAEEATQBCAEQAQQAoAFwAbgAgACAAIAAgAEUAXwBOADIATwAsACAARQBfAGEAZAAsACAARQBfAGwAZQBhAGMAaAAsAFwAbgAgACAAIAAgAEUAXwBOADIATwAgACsAIABFAF8AYQBkACAAKwAgAEUAXwBsAGUAYQBjAGgAXABuACAAIAApADsAXABuAFwAbgBWAEUARQBSAEcAXwAxADUAXwAxADMAXwAxAF8AMwBfAF8AMQBfAEUAbQBpAHMAcwBpAG8AbgBzAEYAcgBvAG0AUwBvAGwAaQBkAFcAYQBzAHQAZQBUAHIAZQBhAHQAbQBlAG4AdABGAGEAYwBpAGwAaQB0AHkAXwBUAGkAdABsAGUAXABuACAAIAA9AEwAQQBNAEIARABBACgAXAAiAEUAbQBpAHMAcwBpAG8AbgBzACAAZgByAG8AbQAgAHMAbwBsAGkAZAAgAHcAYQBzAHQAZQAgAHMAZQBuAHQAIAB0AG8AIABhACAAdAByAGUAYQB0AG0AZQBuAHQAIABmAGEAYwBpAGwAaQB0AHkAXAAiACkAOwBcAG4AXABuAFYARQBFAFIARwBfADEANQBfADEAMwBfADEAXwAzAF8AXwAxAF8ARQBtAGkAcwBzAGkAbwBuAHMARgByAG8AbQBTAG8AbABpAGQAVwBhAHMAdABlAFQAcgBlAGEAdABtAGUAbgB0AEYAYQBjAGkAbABpAHQAeQBfAFYAYQByAGkAYQBiAGwAZQBcAG4AIAAgAD0ATABBAE0AQgBEAEEAKABcACIARQBcACIAKQA7AFwAbgBcAG4AVgBFAEUAUgBHAF8AMQA1AF8AMQAzAF8AMQBfADMAXwBfADEAXwBFAG0AaQBzAHMAaQBvAG4AcwBGAHIAbwBtAFMAbwBsAGkAZABXAGEAcwB0AGUAVAByAGUAYQB0AG0AZQBuAHQARgBhAGMAaQBsAGkAdAB5AF8AVQBuAGkAdABcAG4AIAAgAD0ATABBAE0AQgBEAEEAKABcACIAdAAgAEMATwAyAGUAXAAiACkAOwBcAG4AXABuAFYARQBFAFIARwBfADEANQBfADEAMwBfADEAXwAzAF8AXwAxAF8ARQBtAGkAcwBzAGkAbwBuAHMARgByAG8AbQBTAG8AbABpAGQAVwBhAHMAdABlAFQAcgBlAGEAdABtAGUAbgB0AEYAYQBjAGkAbABpAHQAeQBfAFMAbwB1AHIAYwBlAFwAbgAgACAAPQBMAEEATQBCAEQAQQAoAFwAIgBWAEUARQBSAEcAIAAyADAAMgA2ADoAIAAxADUALgAxADMALgAxAC4AMwBcACIAKQA7AFwAbgBcAG4AVgBFAEUAUgBHAF8AMQA1AF8AMQAzAF8AMQBfADMAXwBfADEAXwBFAG0AaQBzAHMAaQBvAG4AcwBGAHIAbwBtAFMAbwBsAGkAZABXAGEAcwB0AGUAVAByAGUAYQB0AG0AZQBuAHQARgBhAGMAaQBsAGkAdAB5AF8ATgBJAFIAUgBlAGYAZQByAGUAbgBjAGUAXABuACAAIAA9AEwAQQBNAEIARABBACgAXAAiAFwAIgApADsAXABuAFwAbgBWAEUARQBSAEcAXwAxADUAXwAxADMAXwAxAF8AMwBfAF8AMQBfAEUAbQBpAHMAcwBpAG8AbgBzAEYAcgBvAG0AUwBvAGwAaQBkAFcAYQBzAHQAZQBUAHIAZQBhAHQAbQBlAG4AdABGAGEAYwBpAGwAaQB0AHkAXwBMAGEAdABlAHgARQBxAHUAYQB0AGkAbwBuAFwAbgAgACAAPQBMAEEATQBCAEQAQQAoAFwAIgBcACIAKQA7AFwAbgBcAG4AVgBFAEUAUgBHAF8AMQA1AF8AMQAzAF8AMQBfADMAXwBfADEAXwBFAG0AaQBzAHMAaQBvAG4AcwBGAHIAbwBtAFMAbwBsAGkAZABXAGEAcwB0AGUAVAByAGUAYQB0AG0AZQBuAHQARgBhAGMAaQBsAGkAdAB5AF8AQQByAGcAdQBtAGUAbgB0AHMAXABuACAAIAA9AEwAQQBNAEIARABBACgAXAAiAFwAIgApADsAXABu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PAA9ACAAMgAsACAAIABcACIAUwB1AG0AbQBlAHIAXAAiACwAXABuACAAIAAgACAAIAAgAE0ATwBOAFQASAAoAFAAdQByAGMAaABhAHMAZQBEAGEAdABlACkAIAA8AD0AIAA1ACwAIAAgAFwAIgBBAHUAdAB1AG0AbgBcACIALABcAG4AIAAgACAAIAAgACAATQBPAE4AVABIACgAUAB1AHIAYwBoAGEAcwBlAEQAYQB0AGUAKQAgADwAPQAgADgALAAgACAAXAAiAFcAaQBuAHQAZQByAFwAIgAsAFwAbgAgACAAIAAgACAAIABNAE8ATgBUAEgAKABQAHUAcgBjAGgAYQBzAGUARABhAHQAZQApACAAPA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QwBvAG0AbQBvAG4AQwByAG8AcABwAGkAbgBnAF8AQwBhAGwAYwB1AGwAYQB0AGUASABhAHIAdgBlAHMAdABJAG4AZABlAHgAXABuAD0ATABBAE0AQgBEAEEAKABcAG4AIAAgACAAIABDAHIAbwBwAFQAeQBwAGUALAAgAEMAcgBvAHAAVAB5AHAAZQBBAHIAcgBhAHkALAAgAFIAZQBzAGkAZAB1AGUAQwByAG8AcABSAGEAdABpAG8AQQByAHIAYQB5ACwAXABuACAAIAAgACAAMQAvACgAMQArAEMAbwBtAG0AbwBuAF8ASQBuAHAAdQB0AEYAdQBuAGMAdABpAG8AbgBzAC4AVQB0AGkAbABpAHQAeQBfAEwAbwBvAGsAdQBwAFYAYQBsAHUAZQBJAG4AVABhAGIAbABlAE4AdQBtAGIAZQByACgAQwByAG8AcABUAHkAcABlACwAIABDAHIAbwBwAFQAeQBwAGUAQQByAHIAYQB5ACwAIABSAGUAcwBpAGQAdQBlAEMAcgBvAHAAUgBhAHQAaQBvAEEAcgByAGEAeQApACkAXABuACkAOwBcAG4AXABuAEMAbwBtAG0AbwBuAEMAcgBvAHAAcABpAG4AZwBfAEMAYQBsAGMAdQBsAGEAdABlAFIAZQBzAGkAZAB1AGUAQwByAG8AcABSAGEAdABpAG8AXABuAD0ATABBAE0AQgBEAEEAKABcAG4AIAAgACAAIABIAGEAcgB2AGUAcwB0AEkAbgBkAGUAeAAsAFwAbgAgACAAIAAgACgAMQAtAEgAYQByAHYAZQBzAHQASQBuAGQAZQB4ACkALwBIAGEAcgB2AGUAcwB0AEkAbgBkAGUAeABcAG4AKQA7AFwAbgBcAG4AXABuAEMAbwBtAG0AbwBuAEMAcgBvAHAAcABpAG4AZwBfAEMAYQBsAGMAdQBsAGEAdABlAEYAcgBhAGMAdABpAG8AbgBSAGUAcwBpAGQAdQBlAFIAZQBtAG8AdgBlAGQAXABuAD0ATABBAE0AQgBEAEEAKABcAG4AIAAgACAAIABUAG8AdABhAGwAUgBlAHMAaQBkAHUAZQAsACAAQQBtAG8AdQBuAHQAUgBlAG0AbwB2AGUAZAAsAFwAbgAgACAAIAAgACgAQQBtAG8AdQBuAHQAUgBlAG0AbwB2AGUAZAAqADEAMABeADMAKQAvACgAVABvAHQAYQBsAFIAZQBzAGkAZAB1AGUAKgAxADAAXgAzACkAXABuACkAIgB9AF0ALAAiAHAAcgBvAGoAZQBjAHQATgBhAG0AZQBzACIAOgBb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FMAbwB1AHIAYwBlAEQAYQB0AGEALgBGAGUAcgB0AGkAbABpAHMAZQByAF8AUAByAG8AZAB1AGMAdABzAF8ARABhAHQAYQAyACIALAAiAEYAZQByAHQAaQBsAGkAcwBlAHIAXwBTAG8AdQByAGMAZQBEAGEAdABhAC4ARgBlAHIAdABpAGwAaQBzAGUAcgBfAFAAcgBvAGQAdQBjAHQAcwBfAEQAYQB0AGEAMwAiACwAIgBGAGUAcgB0AGkAbABpAHMAZQByAF8AUwBvAHUAcgBjAGUARABhAHQAYQAuAEYAZQByAHQAaQBsAGkAcwBlAHIAXwBQAHIAbwBkAHUAYwB0AHMAXwBEAGEAdABhADQAIgAsACIARgBlAHIAdABpAGwAaQBzAGUAcgBfAFMAbwB1AHIAYwBlAEQAYQB0AGEALgBGAGUAcgB0AGkAbABpAHMAZQByAF8AUAByAG8AZAB1AGMAdABzAF8ARABhAHQAYQA1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49</vt:i4>
      </vt:variant>
      <vt:variant>
        <vt:lpstr>Named Ranges</vt:lpstr>
      </vt:variant>
      <vt:variant>
        <vt:i4>282</vt:i4>
      </vt:variant>
    </vt:vector>
  </HeadingPairs>
  <TitlesOfParts>
    <vt:vector size="331" baseType="lpstr">
      <vt:lpstr>Home</vt:lpstr>
      <vt:lpstr>Results - Activity period</vt:lpstr>
      <vt:lpstr>Results - Product EI</vt:lpstr>
      <vt:lpstr>Input - Enterprise</vt:lpstr>
      <vt:lpstr>Input - Site</vt:lpstr>
      <vt:lpstr>Input - Pasture Beef</vt:lpstr>
      <vt:lpstr>Input - Livestock sales</vt:lpstr>
      <vt:lpstr>Input - Beef cattle purchases</vt:lpstr>
      <vt:lpstr>Input - Pasture</vt:lpstr>
      <vt:lpstr>Input - Fert Prod System</vt:lpstr>
      <vt:lpstr>Input - Fertiliser</vt:lpstr>
      <vt:lpstr>Input - Fuel</vt:lpstr>
      <vt:lpstr>Input - Electricity</vt:lpstr>
      <vt:lpstr>Input - Common farm inputs</vt:lpstr>
      <vt:lpstr>Input - Crop pasture farm input</vt:lpstr>
      <vt:lpstr>Input - Livestock farm Inputs</vt:lpstr>
      <vt:lpstr>Input - Freight</vt:lpstr>
      <vt:lpstr>Input - Solid waste</vt:lpstr>
      <vt:lpstr>Input - Manure sent off-site</vt:lpstr>
      <vt:lpstr>Input - Data quality</vt:lpstr>
      <vt:lpstr>3.2.1.1-2 Enteric Methane</vt:lpstr>
      <vt:lpstr>4.2.1.1-2 Methane</vt:lpstr>
      <vt:lpstr>4.2.1.3-4 Soil direct N20</vt:lpstr>
      <vt:lpstr>4.2.1.5-6 Soil Atmos Dep</vt:lpstr>
      <vt:lpstr>4.2.1.7-8 Soil leach runoff</vt:lpstr>
      <vt:lpstr>5.1.1.1-2 Inorganic fert N2O</vt:lpstr>
      <vt:lpstr>5.1.1.3-4 Inorganic fert CO2</vt:lpstr>
      <vt:lpstr>5.2.1.1-2 Organic Fert N2O</vt:lpstr>
      <vt:lpstr>5.3.1.1-2 Lime CO2</vt:lpstr>
      <vt:lpstr>5.4.1.1-4 Atmos deposition</vt:lpstr>
      <vt:lpstr>5.5.1.1-2 Leaching and runoff</vt:lpstr>
      <vt:lpstr>6.2.1.1-2 Pasture residue N2O</vt:lpstr>
      <vt:lpstr>6.3.1.1-2 Leach runoff pasture</vt:lpstr>
      <vt:lpstr>8.1.1.1-2 Transport fuel</vt:lpstr>
      <vt:lpstr>8.2.1.1-2 Stationary fuel</vt:lpstr>
      <vt:lpstr>10.1.1-2 Solid waste treatment</vt:lpstr>
      <vt:lpstr>14.1.1-2 Purchased electricity</vt:lpstr>
      <vt:lpstr>15 Scope 3</vt:lpstr>
      <vt:lpstr>Calcs - Manure sent off-site</vt:lpstr>
      <vt:lpstr>Constants - Pasture Beef</vt:lpstr>
      <vt:lpstr>Constants - Ag Residue</vt:lpstr>
      <vt:lpstr>Constants - Common Livestock</vt:lpstr>
      <vt:lpstr>Constants - Electricity</vt:lpstr>
      <vt:lpstr>Constants - Fertiliser</vt:lpstr>
      <vt:lpstr>Constants - Fuel</vt:lpstr>
      <vt:lpstr>Constants - Scope 3</vt:lpstr>
      <vt:lpstr>Constants - Solid Waste</vt:lpstr>
      <vt:lpstr>Constants - Common</vt:lpstr>
      <vt:lpstr>Acknowledgements</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M1_Table_AE</vt:lpstr>
      <vt:lpstr>M1_Table_CP_j</vt:lpstr>
      <vt:lpstr>M1_Table_D_j</vt:lpstr>
      <vt:lpstr>M1_Table_D_j_Consumer_1</vt:lpstr>
      <vt:lpstr>M1_Table_DMD_j_k_l</vt:lpstr>
      <vt:lpstr>M1_Table_E_CH4</vt:lpstr>
      <vt:lpstr>M1_Table_E_CO2</vt:lpstr>
      <vt:lpstr>M1_Table_E_enteric</vt:lpstr>
      <vt:lpstr>M1_Table_E_N2O</vt:lpstr>
      <vt:lpstr>M1_Table_I_j_k_l</vt:lpstr>
      <vt:lpstr>M1_Table_I_j_k_l_Consumer_1</vt:lpstr>
      <vt:lpstr>M1_Table_L_j_k_l</vt:lpstr>
      <vt:lpstr>M1_Table_LC_j_k45</vt:lpstr>
      <vt:lpstr>M1_Table_LC_j_k45_Consumer_1</vt:lpstr>
      <vt:lpstr>M1_Table_LWG_j_k_l</vt:lpstr>
      <vt:lpstr>M1_Table_LWG_j_k_l_Consumer_1</vt:lpstr>
      <vt:lpstr>M1_Table_M_j_k_l</vt:lpstr>
      <vt:lpstr>M1_Table_M_j_k_l_m</vt:lpstr>
      <vt:lpstr>M1_Table_MA_j_k45</vt:lpstr>
      <vt:lpstr>M1_Table_MC_j_k_136</vt:lpstr>
      <vt:lpstr>M1_Table_MCF_i_m</vt:lpstr>
      <vt:lpstr>M1_Table_MP_j_k45</vt:lpstr>
      <vt:lpstr>M1_Table_N_j_k_l</vt:lpstr>
      <vt:lpstr>M1_Table_N_j_k_l_Consumer_1</vt:lpstr>
      <vt:lpstr>M1_Table_NE_j_k_l</vt:lpstr>
      <vt:lpstr>M1_Table_NR_j_k_l</vt:lpstr>
      <vt:lpstr>M1_Table_VS_j_k_l</vt:lpstr>
      <vt:lpstr>M1_Table_W_j_k_l</vt:lpstr>
      <vt:lpstr>M1_Table_W_j_k_l_Consumer_1</vt:lpstr>
      <vt:lpstr>M1_Table_Z_j_k_l</vt:lpstr>
      <vt:lpstr>M2_Table_AE</vt:lpstr>
      <vt:lpstr>M2_Table_CP_j</vt:lpstr>
      <vt:lpstr>M2_Table_D_j</vt:lpstr>
      <vt:lpstr>M2_Table_D_j_Consumer_1</vt:lpstr>
      <vt:lpstr>M2_Table_DMD_j_k_l</vt:lpstr>
      <vt:lpstr>M2_Table_E_CH4</vt:lpstr>
      <vt:lpstr>M2_Table_E_enteric</vt:lpstr>
      <vt:lpstr>M2_Table_FertApplications</vt:lpstr>
      <vt:lpstr>M2_Table_I_j_k_l</vt:lpstr>
      <vt:lpstr>M2_Table_I_j_k_l_Consumer_1</vt:lpstr>
      <vt:lpstr>M2_Table_L_j_k_l</vt:lpstr>
      <vt:lpstr>M2_Table_LC_j_k45</vt:lpstr>
      <vt:lpstr>M2_Table_LC_j_k45_Consumer_1</vt:lpstr>
      <vt:lpstr>M2_Table_LW_j_k_l</vt:lpstr>
      <vt:lpstr>M2_Table_LWG_j_k_l</vt:lpstr>
      <vt:lpstr>M2_Table_LWG_j_k_l_Consumer_1</vt:lpstr>
      <vt:lpstr>M2_Table_M_j_k_l</vt:lpstr>
      <vt:lpstr>M2_Table_M_j_k_l_m</vt:lpstr>
      <vt:lpstr>M2_Table_MA_j_k45</vt:lpstr>
      <vt:lpstr>M2_Table_MC_j_k_136</vt:lpstr>
      <vt:lpstr>M2_Table_MCF_i_m</vt:lpstr>
      <vt:lpstr>M2_Table_MP_j_k45</vt:lpstr>
      <vt:lpstr>M2_Table_N_j_k_l</vt:lpstr>
      <vt:lpstr>M2_Table_N_j_k_l_Consumer_1</vt:lpstr>
      <vt:lpstr>M2_Table_NE_j_k_l</vt:lpstr>
      <vt:lpstr>M2_Table_NR_j_k_l</vt:lpstr>
      <vt:lpstr>M2_Table_VS_j_k_l</vt:lpstr>
      <vt:lpstr>M2_Table_W_j_k_l</vt:lpstr>
      <vt:lpstr>M2_Table_Z_j_k_l</vt:lpstr>
      <vt:lpstr>Result_CarbonRemovalsFromPlantings</vt:lpstr>
      <vt:lpstr>Result_EmissionsForWholeProductionCycle_Gross_Method1</vt:lpstr>
      <vt:lpstr>Result_EmissionsForWholeProductionCycle_Gross_Method2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Result_NetEmissions_Method1</vt:lpstr>
      <vt:lpstr>Result_NetEmissions_Method2</vt:lpstr>
      <vt:lpstr>SourceData_PastureBeef_AshContentOfFeedIntake_Data</vt:lpstr>
      <vt:lpstr>SourceData_PastureBeef_FracGASMSoil_Data</vt:lpstr>
      <vt:lpstr>SourceData_PastureBeef_FracLEACH_Data</vt:lpstr>
      <vt:lpstr>SourceData_PastureBeef_MethaneEmissionsPotential_Data</vt:lpstr>
      <vt:lpstr>Table_E_ad_inorganic</vt:lpstr>
      <vt:lpstr>Table_E_ad_organic</vt:lpstr>
      <vt:lpstr>Table_E_g</vt:lpstr>
      <vt:lpstr>Table_E_g_Consumer_1</vt:lpstr>
      <vt:lpstr>Table_E_g_offsite</vt:lpstr>
      <vt:lpstr>Table_E_g_onsite</vt:lpstr>
      <vt:lpstr>Table_E_lime</vt:lpstr>
      <vt:lpstr>Table_M_leach_inorganic_j</vt:lpstr>
      <vt:lpstr>Table_M_leach_organic_j</vt:lpstr>
      <vt:lpstr>Table_M_vol_inorganic_j_f</vt:lpstr>
      <vt:lpstr>Table_M_vol_organic_j_f</vt:lpstr>
      <vt:lpstr>Table_MMS_m</vt:lpstr>
      <vt:lpstr>Table_MN_j_f</vt:lpstr>
      <vt:lpstr>Table_MNSoil_j_f</vt:lpstr>
      <vt:lpstr>Table_MU_j_f</vt:lpstr>
      <vt:lpstr>Table_SRW_k</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VEERG_3_2_1_1__1_TotalAnnualMethaneFromEntericFermentation_Result_Method1</vt:lpstr>
      <vt:lpstr>VEERG_3_2_1_1__1_TotalAnnualMethaneFromEntericFermentation_Result_Method2</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VEERG_4_2_1_3__2_TotalNitrogenExcretedToPastureRangeAndPaddock_Result_Method1</vt:lpstr>
      <vt:lpstr>VEERG_4_2_1_3__2_TotalNitrogenExcretedToPastureRangeAndPaddock_Result_Method2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VEERG_5_2_1_1__1_OrganicFertiliserApplicationN2OEmissions_Result_Method1</vt:lpstr>
      <vt:lpstr>VEERG_5_2_1_1__1_OrganicFertiliserApplicationN2OEmissions_Result_Method2</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VEERG_5_4_1_3__1_OrganicFertiliserAtmosphericDepositionN2OEmissions_Result_Method2</vt:lpstr>
      <vt:lpstr>VEERG_5_5_1_1__1_FertiliserLeachingAndRunoffN2OEmissions_Result_Method1</vt:lpstr>
      <vt:lpstr>VEERG_5_5_1_1__1_FertiliserLeachingAndRunoffN2OEmissions_Result_Method2</vt:lpstr>
      <vt:lpstr>VEERG_6_2_1_1__1__NitrousOxideEmissionsFromPastureResidues_Result_Method1</vt:lpstr>
      <vt:lpstr>VEERG_6_2_1_1__1__NitrousOxideEmissionsFromPastureResidues_Result_Method2</vt:lpstr>
      <vt:lpstr>VEERG_6_3_1_1__1__LeachingAndRunoffEmissionsCropAndPastureResidue_PastureOnly_Result_Method1</vt:lpstr>
      <vt:lpstr>VEERG_6_3_1_1__1__LeachingAndRunoffEmissionsCropAndPastureResidue_PastureOnly_Result_Method2</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X_Cell_Enteprise_LiveweightGrown_Method1</vt:lpstr>
      <vt:lpstr>X_Cell_Enteprise_LiveweightGrown_Method2</vt:lpstr>
      <vt:lpstr>X_Cell_Enteprise_ManureProduced_Method1</vt:lpstr>
      <vt:lpstr>X_Cell_Enteprise_ManureProduced_Method2</vt:lpstr>
      <vt:lpstr>X_Cell_Enteprise_PercentIncomeFromLiveweight</vt:lpstr>
      <vt:lpstr>X_Cell_Enteprise_PercentIncomeFromManure</vt:lpstr>
      <vt:lpstr>X_Cell_Enteprise_PercentManureAppliedAsFertiliserOwnFarm</vt:lpstr>
      <vt:lpstr>X_Cell_Enteprise_PercentManureAppliedAsWaste</vt:lpstr>
      <vt:lpstr>X_Cell_Enteprise_PercentManureSold</vt:lpstr>
      <vt:lpstr>X_Cell_Enterprise_LiveweightSold</vt:lpstr>
      <vt:lpstr>X_Cell_Enterprise_ProductionTimeframeEnd</vt:lpstr>
      <vt:lpstr>X_Cell_Enterprise_ProductionTimeframeLength</vt:lpstr>
      <vt:lpstr>X_Cell_Enterprise_ProductionTimeframeStart</vt:lpstr>
      <vt:lpstr>X_Cell_FarmInputs_FeedRations_Chickens</vt:lpstr>
      <vt:lpstr>X_Cell_FarmInputs_FeedRations_DairyCalves</vt:lpstr>
      <vt:lpstr>X_Cell_FarmInputs_FeedRations_DairyCows</vt:lpstr>
      <vt:lpstr>X_Cell_FarmInputs_FeedRations_Pigs</vt:lpstr>
      <vt:lpstr>X_Cell_FarmInputs_LickBlocks_DrySeasonMix</vt:lpstr>
      <vt:lpstr>X_Cell_FarmInputs_LickBlocks_Mineral</vt:lpstr>
      <vt:lpstr>X_Cell_FarmInputs_LickBlocks_Weaner</vt:lpstr>
      <vt:lpstr>X_Cell_FarmInputs_Misc_AnimalEarTagsLarge</vt:lpstr>
      <vt:lpstr>X_Cell_FarmInputs_Misc_AnimalEarTagsSmall</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X_Cell_ManureSentOffsite_ManureIrrigationMethod</vt:lpstr>
      <vt:lpstr>X_Cell_ManureSentOffsite_ManureProductionSystem</vt:lpstr>
      <vt:lpstr>X_Cell_ManureSentOffsite_MassNitrogenManure_Method1</vt:lpstr>
      <vt:lpstr>X_Cell_ManureSentOffsite_MassNitrogenManure_Method2</vt:lpstr>
      <vt:lpstr>X_Cell_Pasture_AreaRemovedOrRenewed</vt:lpstr>
      <vt:lpstr>X_Cell_Pasture_AreaUnderPasture</vt:lpstr>
      <vt:lpstr>X_Cell_Pasture_IrrigationMethod</vt:lpstr>
      <vt:lpstr>X_Cell_Pasture_PastureType</vt:lpstr>
      <vt:lpstr>X_Cell_Pasture_YieldPerHectare</vt:lpstr>
      <vt:lpstr>X_Cell_PastureBeef_Breed</vt:lpstr>
      <vt:lpstr>X_Cell_PastureBeef_CalculatedMMSAnaerobicLagoon</vt:lpstr>
      <vt:lpstr>X_Cell_PastureBeef_CalculatedMMSPastureRangeAndPaddock</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X_ResultsTable_ActivityPeriod_Scope1</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2026-09-04T04:52:12Z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2026-09-02T18:44:27; rename=True resize=True rowheights=True scope=all</vt:lpwstr>
  </property>
</Properties>
</file>