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87D971F1-0141-4F08-BD54-7C575E149C08}" xr6:coauthVersionLast="47" xr6:coauthVersionMax="47" xr10:uidLastSave="{00000000-0000-0000-0000-000000000000}"/>
  <bookViews>
    <workbookView xWindow="3120" yWindow="3120" windowWidth="28800" windowHeight="15345" firstSheet="51" activeTab="56"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Dairy" sheetId="82" r:id="rId6"/>
    <sheet name="Input - Livestock sales" sheetId="77" r:id="rId7"/>
    <sheet name="Input - Dairy cattle purchases" sheetId="118" r:id="rId8"/>
    <sheet name="Input - Pasture" sheetId="114" r:id="rId9"/>
    <sheet name="Input - Fert Prod System" sheetId="76" r:id="rId10"/>
    <sheet name="Input - Fertiliser" sheetId="93" r:id="rId11"/>
    <sheet name="Input - Fuel" sheetId="104" r:id="rId12"/>
    <sheet name="Input - Electricity" sheetId="101" r:id="rId13"/>
    <sheet name="Input - Common farm inputs" sheetId="119" r:id="rId14"/>
    <sheet name="Input - Crop pasture farm input" sheetId="120" r:id="rId15"/>
    <sheet name="Input - Livestock farm Inputs" sheetId="121" r:id="rId16"/>
    <sheet name="Input - Freight" sheetId="122" r:id="rId17"/>
    <sheet name="Input - Solid waste" sheetId="111" r:id="rId18"/>
    <sheet name="Input - Manure sent off-site" sheetId="123" r:id="rId19"/>
    <sheet name="3.3.1.1-2 Enteric Methane" sheetId="92" r:id="rId20"/>
    <sheet name="4.3.1.1-2 Methane" sheetId="83" r:id="rId21"/>
    <sheet name="4.3.1.3-4 Direct N20" sheetId="84" r:id="rId22"/>
    <sheet name="4.3.1.5 Atmos deposition" sheetId="85" r:id="rId23"/>
    <sheet name="4.3.1.6-7 Leaching and runoff" sheetId="86" r:id="rId24"/>
    <sheet name="4.3.1.8 Manure applied to soils" sheetId="87" r:id="rId25"/>
    <sheet name="4.3.1.9 Soil direct N2O" sheetId="88" r:id="rId26"/>
    <sheet name="4.3.1.10-11 Soil Atmos Dep" sheetId="89" r:id="rId27"/>
    <sheet name="4.3.1.12-13 Soil leach runoff" sheetId="90" r:id="rId28"/>
    <sheet name="5.1.1.1-2 Inorganic fert N2O" sheetId="94" r:id="rId29"/>
    <sheet name="5.1.1.3-4 Inorganic fert CO2" sheetId="95" r:id="rId30"/>
    <sheet name="5.2.1.1-2 Organic Fert N2O" sheetId="96" r:id="rId31"/>
    <sheet name="5.3.1.1-2 Lime CO2" sheetId="97" r:id="rId32"/>
    <sheet name="5.4.1.1-4 Atmos deposition" sheetId="98" r:id="rId33"/>
    <sheet name="5.5.1.1-2 Leaching and runoff" sheetId="99" r:id="rId34"/>
    <sheet name="6.2.1.1-2 Pasture residue N2O" sheetId="115" r:id="rId35"/>
    <sheet name="6.3.1.1-2 Leach runoff pasture" sheetId="116" r:id="rId36"/>
    <sheet name="8.1.1.1-2 Transport fuel" sheetId="105" r:id="rId37"/>
    <sheet name="8.2.1.1-2 Stationary fuel" sheetId="106" r:id="rId38"/>
    <sheet name="9.1.1.1-2 Refrigerant use" sheetId="109" r:id="rId39"/>
    <sheet name="10.1.1-2 Solid waste treatment" sheetId="112" r:id="rId40"/>
    <sheet name="14.1.1-2 Purchased electricity" sheetId="102" r:id="rId41"/>
    <sheet name="15 Scope 3" sheetId="124" r:id="rId42"/>
    <sheet name="Calcs - Manure sent off-site" sheetId="125" r:id="rId43"/>
    <sheet name="Constants - Dairy" sheetId="91" r:id="rId44"/>
    <sheet name="Constants - Ag Residue" sheetId="117" r:id="rId45"/>
    <sheet name="Constants - Common Livestock" sheetId="127" r:id="rId46"/>
    <sheet name="Constants - Electricity" sheetId="103" r:id="rId47"/>
    <sheet name="Constants - Fertiliser" sheetId="100" r:id="rId48"/>
    <sheet name="Constants - Fuel" sheetId="107" r:id="rId49"/>
    <sheet name="Constants - Scope 3" sheetId="126" r:id="rId50"/>
    <sheet name="Constants - Common" sheetId="79" r:id="rId51"/>
    <sheet name="Results" sheetId="81" r:id="rId52"/>
    <sheet name="Input - Refrigerants" sheetId="108" r:id="rId53"/>
    <sheet name="Constants - Refrigerants" sheetId="110" r:id="rId54"/>
    <sheet name="Constants - Solid Waste" sheetId="113" r:id="rId55"/>
    <sheet name="Acknowledgements" sheetId="128" r:id="rId56"/>
    <sheet name="Input - Data quality" sheetId="78" r:id="rId57"/>
  </sheets>
  <definedNames>
    <definedName name="_Toc225350871" localSheetId="32">'5.4.1.1-4 Atmos deposition'!$C$1</definedName>
    <definedName name="_Toc225350871" localSheetId="33">'5.5.1.1-2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3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39">_xlfn.LAMBDA(_xlpm.Month,_xlpm.LivestockClass, IFERROR(SUM(_xlfn._xlws.FILTER(#REF!, (#REF! &gt;= EOMONTH(_xlpm.Month, -1) + 1) * (#REF! &lt;= EOMONTH(_xlpm.Month, 0)) * (#REF! = _xlpm.LivestockClass))), 0))</definedName>
    <definedName name="CommonLivestock_InputFunctions.LivestockMovement_HeadAddedDuringMonth" localSheetId="40">_xlfn.LAMBDA(_xlpm.Month,_xlpm.LivestockClass, IFERROR(SUM(_xlfn._xlws.FILTER(#REF!, (#REF! &gt;= EOMONTH(_xlpm.Month, -1) + 1) * (#REF! &lt;= EOMONTH(_xlpm.Month, 0)) * (#REF! = _xlpm.LivestockClass))), 0))</definedName>
    <definedName name="CommonLivestock_InputFunctions.LivestockMovement_HeadAddedDuringMonth" localSheetId="41">_xlfn.LAMBDA(_xlpm.Month,_xlpm.LivestockClass, IFERROR(SUM(_xlfn._xlws.FILTER(#REF!, (#REF! &gt;= EOMONTH(_xlpm.Month, -1) + 1) * (#REF! &lt;= EOMONTH(_xlpm.Month, 0)) * (#REF! = _xlpm.LivestockClass))), 0))</definedName>
    <definedName name="CommonLivestock_InputFunctions.LivestockMovement_HeadAddedDuringMonth" localSheetId="19">_xlfn.LAMBDA(_xlpm.Month,_xlpm.LivestockClass, IFERROR(SUM(_xlfn._xlws.FILTER(#REF!, (#REF! &gt;= EOMONTH(_xlpm.Month, -1) + 1) * (#REF! &lt;= EOMONTH(_xlpm.Month, 0)) * (#REF! = _xlpm.LivestockClass))), 0))</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36">_xlfn.LAMBDA(_xlpm.Month,_xlpm.LivestockClass, IFERROR(SUM(_xlfn._xlws.FILTER(#REF!, (#REF! &gt;= EOMONTH(_xlpm.Month, -1) + 1) * (#REF! &lt;= EOMONTH(_xlpm.Month, 0)) * (#REF! = _xlpm.LivestockClass))), 0))</definedName>
    <definedName name="CommonLivestock_InputFunctions.LivestockMovement_HeadAddedDuringMonth" localSheetId="37">_xlfn.LAMBDA(_xlpm.Month,_xlpm.LivestockClass, IFERROR(SUM(_xlfn._xlws.FILTER(#REF!, (#REF! &gt;= EOMONTH(_xlpm.Month, -1) + 1) * (#REF! &lt;= EOMONTH(_xlpm.Month, 0)) * (#REF! = _xlpm.LivestockClass))), 0))</definedName>
    <definedName name="CommonLivestock_InputFunctions.LivestockMovement_HeadAddedDuringMonth" localSheetId="38">_xlfn.LAMBDA(_xlpm.Month,_xlpm.LivestockClass, IFERROR(SUM(_xlfn._xlws.FILTER(#REF!, (#REF! &gt;= EOMONTH(_xlpm.Month, -1) + 1) * (#REF! &lt;= EOMONTH(_xlpm.Month, 0)) * (#REF! = _xlpm.LivestockClass))), 0))</definedName>
    <definedName name="CommonLivestock_InputFunctions.LivestockMovement_HeadAddedDuringMonth" localSheetId="55">_xlfn.LAMBDA(_xlpm.Month,_xlpm.LivestockClass, IFERROR(SUM(_xlfn._xlws.FILTER(#REF!, (#REF! &gt;= EOMONTH(_xlpm.Month, -1) + 1) * (#REF! &lt;= EOMONTH(_xlpm.Month, 0)) * (#REF! = _xlpm.LivestockClass))), 0))</definedName>
    <definedName name="CommonLivestock_InputFunctions.LivestockMovement_HeadAddedDuringMonth" localSheetId="42">_xlfn.LAMBDA(_xlpm.Month,_xlpm.LivestockClass, IFERROR(SUM(_xlfn._xlws.FILTER(#REF!, (#REF! &gt;= EOMONTH(_xlpm.Month, -1) + 1) * (#REF! &lt;= EOMONTH(_xlpm.Month, 0)) * (#REF! = _xlpm.LivestockClass))), 0))</definedName>
    <definedName name="CommonLivestock_InputFunctions.LivestockMovement_HeadAddedDuringMonth" localSheetId="44">_xlfn.LAMBDA(_xlpm.Month,_xlpm.LivestockClass, IFERROR(SUM(_xlfn._xlws.FILTER(#REF!, (#REF! &gt;= EOMONTH(_xlpm.Month, -1) + 1) * (#REF! &lt;= EOMONTH(_xlpm.Month, 0)) * (#REF! = _xlpm.LivestockClass))), 0))</definedName>
    <definedName name="CommonLivestock_InputFunctions.LivestockMovement_HeadAddedDuringMonth" localSheetId="50">_xlfn.LAMBDA(_xlpm.Month,_xlpm.LivestockClass, IFERROR(SUM(_xlfn._xlws.FILTER(#REF!, (#REF! &gt;= EOMONTH(_xlpm.Month, -1) + 1) * (#REF! &lt;= EOMONTH(_xlpm.Month, 0)) * (#REF! = _xlpm.LivestockClass))), 0))</definedName>
    <definedName name="CommonLivestock_InputFunctions.LivestockMovement_HeadAddedDuringMonth" localSheetId="45">_xlfn.LAMBDA(_xlpm.Month,_xlpm.LivestockClass, IFERROR(SUM(_xlfn._xlws.FILTER(#REF!, (#REF! &gt;= EOMONTH(_xlpm.Month, -1) + 1) * (#REF! &lt;= EOMONTH(_xlpm.Month, 0)) * (#REF! = _xlpm.LivestockClass))), 0))</definedName>
    <definedName name="CommonLivestock_InputFunctions.LivestockMovement_HeadAddedDuringMonth" localSheetId="43">_xlfn.LAMBDA(_xlpm.Month,_xlpm.LivestockClass, IFERROR(SUM(_xlfn._xlws.FILTER(#REF!, (#REF! &gt;= EOMONTH(_xlpm.Month, -1) + 1) * (#REF! &lt;= EOMONTH(_xlpm.Month, 0)) * (#REF! = _xlpm.LivestockClass))), 0))</definedName>
    <definedName name="CommonLivestock_InputFunctions.LivestockMovement_HeadAddedDuringMonth" localSheetId="46">_xlfn.LAMBDA(_xlpm.Month,_xlpm.LivestockClass, IFERROR(SUM(_xlfn._xlws.FILTER(#REF!, (#REF! &gt;= EOMONTH(_xlpm.Month, -1) + 1) * (#REF! &lt;= EOMONTH(_xlpm.Month, 0)) * (#REF! = _xlpm.LivestockClass))), 0))</definedName>
    <definedName name="CommonLivestock_InputFunctions.LivestockMovement_HeadAddedDuringMonth" localSheetId="47">_xlfn.LAMBDA(_xlpm.Month,_xlpm.LivestockClass, IFERROR(SUM(_xlfn._xlws.FILTER(#REF!, (#REF! &gt;= EOMONTH(_xlpm.Month, -1) + 1) * (#REF! &lt;= EOMONTH(_xlpm.Month, 0)) * (#REF! = _xlpm.LivestockClass))), 0))</definedName>
    <definedName name="CommonLivestock_InputFunctions.LivestockMovement_HeadAddedDuringMonth" localSheetId="48">_xlfn.LAMBDA(_xlpm.Month,_xlpm.LivestockClass, IFERROR(SUM(_xlfn._xlws.FILTER(#REF!, (#REF! &gt;= EOMONTH(_xlpm.Month, -1) + 1) * (#REF! &lt;= EOMONTH(_xlpm.Month, 0)) * (#REF! = _xlpm.LivestockClass))), 0))</definedName>
    <definedName name="CommonLivestock_InputFunctions.LivestockMovement_HeadAddedDuringMonth" localSheetId="53">_xlfn.LAMBDA(_xlpm.Month,_xlpm.LivestockClass, IFERROR(SUM(_xlfn._xlws.FILTER(#REF!, (#REF! &gt;= EOMONTH(_xlpm.Month, -1) + 1) * (#REF! &lt;= EOMONTH(_xlpm.Month, 0)) * (#REF! = _xlpm.LivestockClass))), 0))</definedName>
    <definedName name="CommonLivestock_InputFunctions.LivestockMovement_HeadAddedDuringMonth" localSheetId="49">_xlfn.LAMBDA(_xlpm.Month,_xlpm.LivestockClass, IFERROR(SUM(_xlfn._xlws.FILTER(#REF!, (#REF! &gt;= EOMONTH(_xlpm.Month, -1) + 1) * (#REF! &lt;= EOMONTH(_xlpm.Month, 0)) * (#REF! = _xlpm.LivestockClass))), 0))</definedName>
    <definedName name="CommonLivestock_InputFunctions.LivestockMovement_HeadAddedDuringMonth" localSheetId="54">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15">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52">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39">_xlfn.LAMBDA(_xlpm.Month,_xlpm.LivestockClass, IFERROR(SUM(_xlfn._xlws.FILTER(#REF!, (#REF! &gt;= EOMONTH(_xlpm.Month, -1) + 1) * (#REF! &lt;= EOMONTH(_xlpm.Month, 0)) * (#REF! = _xlpm.LivestockClass))), 0))</definedName>
    <definedName name="CommonLivestock_InputFunctions.LivestockMovement_HeadLostDuringMonth" localSheetId="40">_xlfn.LAMBDA(_xlpm.Month,_xlpm.LivestockClass, IFERROR(SUM(_xlfn._xlws.FILTER(#REF!, (#REF! &gt;= EOMONTH(_xlpm.Month, -1) + 1) * (#REF! &lt;= EOMONTH(_xlpm.Month, 0)) * (#REF! = _xlpm.LivestockClass))), 0))</definedName>
    <definedName name="CommonLivestock_InputFunctions.LivestockMovement_HeadLostDuringMonth" localSheetId="41">_xlfn.LAMBDA(_xlpm.Month,_xlpm.LivestockClass, IFERROR(SUM(_xlfn._xlws.FILTER(#REF!, (#REF! &gt;= EOMONTH(_xlpm.Month, -1) + 1) * (#REF! &lt;= EOMONTH(_xlpm.Month, 0)) * (#REF! = _xlpm.LivestockClass))), 0))</definedName>
    <definedName name="CommonLivestock_InputFunctions.LivestockMovement_HeadLostDuringMonth" localSheetId="19">_xlfn.LAMBDA(_xlpm.Month,_xlpm.LivestockClass, IFERROR(SUM(_xlfn._xlws.FILTER(#REF!, (#REF! &gt;= EOMONTH(_xlpm.Month, -1) + 1) * (#REF! &lt;= EOMONTH(_xlpm.Month, 0)) * (#REF! = _xlpm.LivestockClass))), 0))</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36">_xlfn.LAMBDA(_xlpm.Month,_xlpm.LivestockClass, IFERROR(SUM(_xlfn._xlws.FILTER(#REF!, (#REF! &gt;= EOMONTH(_xlpm.Month, -1) + 1) * (#REF! &lt;= EOMONTH(_xlpm.Month, 0)) * (#REF! = _xlpm.LivestockClass))), 0))</definedName>
    <definedName name="CommonLivestock_InputFunctions.LivestockMovement_HeadLostDuringMonth" localSheetId="37">_xlfn.LAMBDA(_xlpm.Month,_xlpm.LivestockClass, IFERROR(SUM(_xlfn._xlws.FILTER(#REF!, (#REF! &gt;= EOMONTH(_xlpm.Month, -1) + 1) * (#REF! &lt;= EOMONTH(_xlpm.Month, 0)) * (#REF! = _xlpm.LivestockClass))), 0))</definedName>
    <definedName name="CommonLivestock_InputFunctions.LivestockMovement_HeadLostDuringMonth" localSheetId="38">_xlfn.LAMBDA(_xlpm.Month,_xlpm.LivestockClass, IFERROR(SUM(_xlfn._xlws.FILTER(#REF!, (#REF! &gt;= EOMONTH(_xlpm.Month, -1) + 1) * (#REF! &lt;= EOMONTH(_xlpm.Month, 0)) * (#REF! = _xlpm.LivestockClass))), 0))</definedName>
    <definedName name="CommonLivestock_InputFunctions.LivestockMovement_HeadLostDuringMonth" localSheetId="55">_xlfn.LAMBDA(_xlpm.Month,_xlpm.LivestockClass, IFERROR(SUM(_xlfn._xlws.FILTER(#REF!, (#REF! &gt;= EOMONTH(_xlpm.Month, -1) + 1) * (#REF! &lt;= EOMONTH(_xlpm.Month, 0)) * (#REF! = _xlpm.LivestockClass))), 0))</definedName>
    <definedName name="CommonLivestock_InputFunctions.LivestockMovement_HeadLostDuringMonth" localSheetId="42">_xlfn.LAMBDA(_xlpm.Month,_xlpm.LivestockClass, IFERROR(SUM(_xlfn._xlws.FILTER(#REF!, (#REF! &gt;= EOMONTH(_xlpm.Month, -1) + 1) * (#REF! &lt;= EOMONTH(_xlpm.Month, 0)) * (#REF! = _xlpm.LivestockClass))), 0))</definedName>
    <definedName name="CommonLivestock_InputFunctions.LivestockMovement_HeadLostDuringMonth" localSheetId="44">_xlfn.LAMBDA(_xlpm.Month,_xlpm.LivestockClass, IFERROR(SUM(_xlfn._xlws.FILTER(#REF!, (#REF! &gt;= EOMONTH(_xlpm.Month, -1) + 1) * (#REF! &lt;= EOMONTH(_xlpm.Month, 0)) * (#REF! = _xlpm.LivestockClass))), 0))</definedName>
    <definedName name="CommonLivestock_InputFunctions.LivestockMovement_HeadLostDuringMonth" localSheetId="50">_xlfn.LAMBDA(_xlpm.Month,_xlpm.LivestockClass, IFERROR(SUM(_xlfn._xlws.FILTER(#REF!, (#REF! &gt;= EOMONTH(_xlpm.Month, -1) + 1) * (#REF! &lt;= EOMONTH(_xlpm.Month, 0)) * (#REF! = _xlpm.LivestockClass))), 0))</definedName>
    <definedName name="CommonLivestock_InputFunctions.LivestockMovement_HeadLostDuringMonth" localSheetId="45">_xlfn.LAMBDA(_xlpm.Month,_xlpm.LivestockClass, IFERROR(SUM(_xlfn._xlws.FILTER(#REF!, (#REF! &gt;= EOMONTH(_xlpm.Month, -1) + 1) * (#REF! &lt;= EOMONTH(_xlpm.Month, 0)) * (#REF! = _xlpm.LivestockClass))), 0))</definedName>
    <definedName name="CommonLivestock_InputFunctions.LivestockMovement_HeadLostDuringMonth" localSheetId="43">_xlfn.LAMBDA(_xlpm.Month,_xlpm.LivestockClass, IFERROR(SUM(_xlfn._xlws.FILTER(#REF!, (#REF! &gt;= EOMONTH(_xlpm.Month, -1) + 1) * (#REF! &lt;= EOMONTH(_xlpm.Month, 0)) * (#REF! = _xlpm.LivestockClass))), 0))</definedName>
    <definedName name="CommonLivestock_InputFunctions.LivestockMovement_HeadLostDuringMonth" localSheetId="46">_xlfn.LAMBDA(_xlpm.Month,_xlpm.LivestockClass, IFERROR(SUM(_xlfn._xlws.FILTER(#REF!, (#REF! &gt;= EOMONTH(_xlpm.Month, -1) + 1) * (#REF! &lt;= EOMONTH(_xlpm.Month, 0)) * (#REF! = _xlpm.LivestockClass))), 0))</definedName>
    <definedName name="CommonLivestock_InputFunctions.LivestockMovement_HeadLostDuringMonth" localSheetId="47">_xlfn.LAMBDA(_xlpm.Month,_xlpm.LivestockClass, IFERROR(SUM(_xlfn._xlws.FILTER(#REF!, (#REF! &gt;= EOMONTH(_xlpm.Month, -1) + 1) * (#REF! &lt;= EOMONTH(_xlpm.Month, 0)) * (#REF! = _xlpm.LivestockClass))), 0))</definedName>
    <definedName name="CommonLivestock_InputFunctions.LivestockMovement_HeadLostDuringMonth" localSheetId="48">_xlfn.LAMBDA(_xlpm.Month,_xlpm.LivestockClass, IFERROR(SUM(_xlfn._xlws.FILTER(#REF!, (#REF! &gt;= EOMONTH(_xlpm.Month, -1) + 1) * (#REF! &lt;= EOMONTH(_xlpm.Month, 0)) * (#REF! = _xlpm.LivestockClass))), 0))</definedName>
    <definedName name="CommonLivestock_InputFunctions.LivestockMovement_HeadLostDuringMonth" localSheetId="53">_xlfn.LAMBDA(_xlpm.Month,_xlpm.LivestockClass, IFERROR(SUM(_xlfn._xlws.FILTER(#REF!, (#REF! &gt;= EOMONTH(_xlpm.Month, -1) + 1) * (#REF! &lt;= EOMONTH(_xlpm.Month, 0)) * (#REF! = _xlpm.LivestockClass))), 0))</definedName>
    <definedName name="CommonLivestock_InputFunctions.LivestockMovement_HeadLostDuringMonth" localSheetId="49">_xlfn.LAMBDA(_xlpm.Month,_xlpm.LivestockClass, IFERROR(SUM(_xlfn._xlws.FILTER(#REF!, (#REF! &gt;= EOMONTH(_xlpm.Month, -1) + 1) * (#REF! &lt;= EOMONTH(_xlpm.Month, 0)) * (#REF! = _xlpm.LivestockClass))), 0))</definedName>
    <definedName name="CommonLivestock_InputFunctions.LivestockMovement_HeadLostDuringMonth" localSheetId="54">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15">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52">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39">_xlfn.LAMBDA(_xlpm.Month,_xlpm.LivestockClass, IFERROR(SUM(_xlfn._xlws.FILTER(#REF!, (#REF! &gt;= EOMONTH(_xlpm.Month, -1) + 1) * (#REF! &lt;= EOMONTH(_xlpm.Month, 0)) * (#REF! = _xlpm.LivestockClass))), 0))</definedName>
    <definedName name="CommonLivestock_InputFunctions.LivestockMovement_TotalLiveweightAddedDuringMonth" localSheetId="40">_xlfn.LAMBDA(_xlpm.Month,_xlpm.LivestockClass, IFERROR(SUM(_xlfn._xlws.FILTER(#REF!, (#REF! &gt;= EOMONTH(_xlpm.Month, -1) + 1) * (#REF! &lt;= EOMONTH(_xlpm.Month, 0)) * (#REF! = _xlpm.LivestockClass))), 0))</definedName>
    <definedName name="CommonLivestock_InputFunctions.LivestockMovement_TotalLiveweightAddedDuringMonth" localSheetId="41">_xlfn.LAMBDA(_xlpm.Month,_xlpm.LivestockClass, IFERROR(SUM(_xlfn._xlws.FILTER(#REF!, (#REF! &gt;= EOMONTH(_xlpm.Month, -1) + 1) * (#REF! &lt;= EOMONTH(_xlpm.Month, 0)) * (#REF! = _xlpm.LivestockClass))), 0))</definedName>
    <definedName name="CommonLivestock_InputFunctions.LivestockMovement_TotalLiveweightAddedDuringMonth" localSheetId="19">_xlfn.LAMBDA(_xlpm.Month,_xlpm.LivestockClass, IFERROR(SUM(_xlfn._xlws.FILTER(#REF!, (#REF! &gt;= EOMONTH(_xlpm.Month, -1) + 1) * (#REF! &lt;= EOMONTH(_xlpm.Month, 0)) * (#REF! =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36">_xlfn.LAMBDA(_xlpm.Month,_xlpm.LivestockClass, IFERROR(SUM(_xlfn._xlws.FILTER(#REF!, (#REF! &gt;= EOMONTH(_xlpm.Month, -1) + 1) * (#REF! &lt;= EOMONTH(_xlpm.Month, 0)) * (#REF! = _xlpm.LivestockClass))), 0))</definedName>
    <definedName name="CommonLivestock_InputFunctions.LivestockMovement_TotalLiveweightAddedDuringMonth" localSheetId="37">_xlfn.LAMBDA(_xlpm.Month,_xlpm.LivestockClass, IFERROR(SUM(_xlfn._xlws.FILTER(#REF!, (#REF! &gt;= EOMONTH(_xlpm.Month, -1) + 1) * (#REF! &lt;= EOMONTH(_xlpm.Month, 0)) * (#REF! = _xlpm.LivestockClass))), 0))</definedName>
    <definedName name="CommonLivestock_InputFunctions.LivestockMovement_TotalLiveweightAddedDuringMonth" localSheetId="38">_xlfn.LAMBDA(_xlpm.Month,_xlpm.LivestockClass, IFERROR(SUM(_xlfn._xlws.FILTER(#REF!, (#REF! &gt;= EOMONTH(_xlpm.Month, -1) + 1) * (#REF! &lt;= EOMONTH(_xlpm.Month, 0)) * (#REF! = _xlpm.LivestockClass))), 0))</definedName>
    <definedName name="CommonLivestock_InputFunctions.LivestockMovement_TotalLiveweightAddedDuringMonth" localSheetId="55">_xlfn.LAMBDA(_xlpm.Month,_xlpm.LivestockClass, IFERROR(SUM(_xlfn._xlws.FILTER(#REF!, (#REF! &gt;= EOMONTH(_xlpm.Month, -1) + 1) * (#REF! &lt;= EOMONTH(_xlpm.Month, 0)) * (#REF! = _xlpm.LivestockClass))), 0))</definedName>
    <definedName name="CommonLivestock_InputFunctions.LivestockMovement_TotalLiveweightAddedDuringMonth" localSheetId="42">_xlfn.LAMBDA(_xlpm.Month,_xlpm.LivestockClass, IFERROR(SUM(_xlfn._xlws.FILTER(#REF!, (#REF! &gt;= EOMONTH(_xlpm.Month, -1) + 1) * (#REF! &lt;= EOMONTH(_xlpm.Month, 0)) * (#REF! = _xlpm.LivestockClass))), 0))</definedName>
    <definedName name="CommonLivestock_InputFunctions.LivestockMovement_TotalLiveweightAddedDuringMonth" localSheetId="44">_xlfn.LAMBDA(_xlpm.Month,_xlpm.LivestockClass, IFERROR(SUM(_xlfn._xlws.FILTER(#REF!, (#REF! &gt;= EOMONTH(_xlpm.Month, -1) + 1) * (#REF! &lt;= EOMONTH(_xlpm.Month, 0)) * (#REF! = _xlpm.LivestockClass))), 0))</definedName>
    <definedName name="CommonLivestock_InputFunctions.LivestockMovement_TotalLiveweightAddedDuringMonth" localSheetId="50">_xlfn.LAMBDA(_xlpm.Month,_xlpm.LivestockClass, IFERROR(SUM(_xlfn._xlws.FILTER(#REF!, (#REF! &gt;= EOMONTH(_xlpm.Month, -1) + 1) * (#REF! &lt;= EOMONTH(_xlpm.Month, 0)) * (#REF! = _xlpm.LivestockClass))), 0))</definedName>
    <definedName name="CommonLivestock_InputFunctions.LivestockMovement_TotalLiveweightAddedDuringMonth" localSheetId="45">_xlfn.LAMBDA(_xlpm.Month,_xlpm.LivestockClass, IFERROR(SUM(_xlfn._xlws.FILTER(#REF!, (#REF! &gt;= EOMONTH(_xlpm.Month, -1) + 1) * (#REF! &lt;= EOMONTH(_xlpm.Month, 0)) * (#REF! = _xlpm.LivestockClass))), 0))</definedName>
    <definedName name="CommonLivestock_InputFunctions.LivestockMovement_TotalLiveweightAddedDuringMonth" localSheetId="43">_xlfn.LAMBDA(_xlpm.Month,_xlpm.LivestockClass, IFERROR(SUM(_xlfn._xlws.FILTER(#REF!, (#REF! &gt;= EOMONTH(_xlpm.Month, -1) + 1) * (#REF! &lt;= EOMONTH(_xlpm.Month, 0)) * (#REF! = _xlpm.LivestockClass))), 0))</definedName>
    <definedName name="CommonLivestock_InputFunctions.LivestockMovement_TotalLiveweightAddedDuringMonth" localSheetId="46">_xlfn.LAMBDA(_xlpm.Month,_xlpm.LivestockClass, IFERROR(SUM(_xlfn._xlws.FILTER(#REF!, (#REF! &gt;= EOMONTH(_xlpm.Month, -1) + 1) * (#REF! &lt;= EOMONTH(_xlpm.Month, 0)) * (#REF! = _xlpm.LivestockClass))), 0))</definedName>
    <definedName name="CommonLivestock_InputFunctions.LivestockMovement_TotalLiveweightAddedDuringMonth" localSheetId="47">_xlfn.LAMBDA(_xlpm.Month,_xlpm.LivestockClass, IFERROR(SUM(_xlfn._xlws.FILTER(#REF!, (#REF! &gt;= EOMONTH(_xlpm.Month, -1) + 1) * (#REF! &lt;= EOMONTH(_xlpm.Month, 0)) * (#REF! = _xlpm.LivestockClass))), 0))</definedName>
    <definedName name="CommonLivestock_InputFunctions.LivestockMovement_TotalLiveweightAddedDuringMonth" localSheetId="48">_xlfn.LAMBDA(_xlpm.Month,_xlpm.LivestockClass, IFERROR(SUM(_xlfn._xlws.FILTER(#REF!, (#REF! &gt;= EOMONTH(_xlpm.Month, -1) + 1) * (#REF! &lt;= EOMONTH(_xlpm.Month, 0)) * (#REF! = _xlpm.LivestockClass))), 0))</definedName>
    <definedName name="CommonLivestock_InputFunctions.LivestockMovement_TotalLiveweightAddedDuringMonth" localSheetId="53">_xlfn.LAMBDA(_xlpm.Month,_xlpm.LivestockClass, IFERROR(SUM(_xlfn._xlws.FILTER(#REF!, (#REF! &gt;= EOMONTH(_xlpm.Month, -1) + 1) * (#REF! &lt;= EOMONTH(_xlpm.Month, 0)) * (#REF! = _xlpm.LivestockClass))), 0))</definedName>
    <definedName name="CommonLivestock_InputFunctions.LivestockMovement_TotalLiveweightAddedDuringMonth" localSheetId="49">_xlfn.LAMBDA(_xlpm.Month,_xlpm.LivestockClass, IFERROR(SUM(_xlfn._xlws.FILTER(#REF!, (#REF! &gt;= EOMONTH(_xlpm.Month, -1) + 1) * (#REF! &lt;= EOMONTH(_xlpm.Month, 0)) * (#REF! = _xlpm.LivestockClass))), 0))</definedName>
    <definedName name="CommonLivestock_InputFunctions.LivestockMovement_TotalLiveweightAddedDuringMonth" localSheetId="54">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15">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52">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39">_xlfn.LAMBDA(_xlpm.Month,_xlpm.LivestockClass, IFERROR(SUM(_xlfn._xlws.FILTER(#REF!, (#REF! &gt;= EOMONTH(_xlpm.Month, -1) + 1) * (#REF! &lt;= EOMONTH(_xlpm.Month, 0)) * (#REF! = _xlpm.LivestockClass))), 0))</definedName>
    <definedName name="CommonLivestock_InputFunctions.LivestockMovement_TotalLiveweightGrownDuringMonth" localSheetId="40">_xlfn.LAMBDA(_xlpm.Month,_xlpm.LivestockClass, IFERROR(SUM(_xlfn._xlws.FILTER(#REF!, (#REF! &gt;= EOMONTH(_xlpm.Month, -1) + 1) * (#REF! &lt;= EOMONTH(_xlpm.Month, 0)) * (#REF! = _xlpm.LivestockClass))), 0))</definedName>
    <definedName name="CommonLivestock_InputFunctions.LivestockMovement_TotalLiveweightGrownDuringMonth" localSheetId="41">_xlfn.LAMBDA(_xlpm.Month,_xlpm.LivestockClass, IFERROR(SUM(_xlfn._xlws.FILTER(#REF!, (#REF! &gt;= EOMONTH(_xlpm.Month, -1) + 1) * (#REF! &lt;= EOMONTH(_xlpm.Month, 0)) * (#REF! = _xlpm.LivestockClass))), 0))</definedName>
    <definedName name="CommonLivestock_InputFunctions.LivestockMovement_TotalLiveweightGrownDuringMonth" localSheetId="19">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36">_xlfn.LAMBDA(_xlpm.Month,_xlpm.LivestockClass, IFERROR(SUM(_xlfn._xlws.FILTER(#REF!, (#REF! &gt;= EOMONTH(_xlpm.Month, -1) + 1) * (#REF! &lt;= EOMONTH(_xlpm.Month, 0)) * (#REF! = _xlpm.LivestockClass))), 0))</definedName>
    <definedName name="CommonLivestock_InputFunctions.LivestockMovement_TotalLiveweightGrownDuringMonth" localSheetId="37">_xlfn.LAMBDA(_xlpm.Month,_xlpm.LivestockClass, IFERROR(SUM(_xlfn._xlws.FILTER(#REF!, (#REF! &gt;= EOMONTH(_xlpm.Month, -1) + 1) * (#REF! &lt;= EOMONTH(_xlpm.Month, 0)) * (#REF! = _xlpm.LivestockClass))), 0))</definedName>
    <definedName name="CommonLivestock_InputFunctions.LivestockMovement_TotalLiveweightGrownDuringMonth" localSheetId="38">_xlfn.LAMBDA(_xlpm.Month,_xlpm.LivestockClass, IFERROR(SUM(_xlfn._xlws.FILTER(#REF!, (#REF! &gt;= EOMONTH(_xlpm.Month, -1) + 1) * (#REF! &lt;= EOMONTH(_xlpm.Month, 0)) * (#REF! = _xlpm.LivestockClass))), 0))</definedName>
    <definedName name="CommonLivestock_InputFunctions.LivestockMovement_TotalLiveweightGrownDuringMonth" localSheetId="55">_xlfn.LAMBDA(_xlpm.Month,_xlpm.LivestockClass, IFERROR(SUM(_xlfn._xlws.FILTER(#REF!, (#REF! &gt;= EOMONTH(_xlpm.Month, -1) + 1) * (#REF! &lt;= EOMONTH(_xlpm.Month, 0)) * (#REF! = _xlpm.LivestockClass))), 0))</definedName>
    <definedName name="CommonLivestock_InputFunctions.LivestockMovement_TotalLiveweightGrownDuringMonth" localSheetId="42">_xlfn.LAMBDA(_xlpm.Month,_xlpm.LivestockClass, IFERROR(SUM(_xlfn._xlws.FILTER(#REF!, (#REF! &gt;= EOMONTH(_xlpm.Month, -1) + 1) * (#REF! &lt;= EOMONTH(_xlpm.Month, 0)) * (#REF! = _xlpm.LivestockClass))), 0))</definedName>
    <definedName name="CommonLivestock_InputFunctions.LivestockMovement_TotalLiveweightGrownDuringMonth" localSheetId="44">_xlfn.LAMBDA(_xlpm.Month,_xlpm.LivestockClass, IFERROR(SUM(_xlfn._xlws.FILTER(#REF!, (#REF! &gt;= EOMONTH(_xlpm.Month, -1) + 1) * (#REF! &lt;= EOMONTH(_xlpm.Month, 0)) * (#REF! = _xlpm.LivestockClass))), 0))</definedName>
    <definedName name="CommonLivestock_InputFunctions.LivestockMovement_TotalLiveweightGrownDuringMonth" localSheetId="50">_xlfn.LAMBDA(_xlpm.Month,_xlpm.LivestockClass, IFERROR(SUM(_xlfn._xlws.FILTER(#REF!, (#REF! &gt;= EOMONTH(_xlpm.Month, -1) + 1) * (#REF! &lt;= EOMONTH(_xlpm.Month, 0)) * (#REF! = _xlpm.LivestockClass))), 0))</definedName>
    <definedName name="CommonLivestock_InputFunctions.LivestockMovement_TotalLiveweightGrownDuringMonth" localSheetId="45">_xlfn.LAMBDA(_xlpm.Month,_xlpm.LivestockClass, IFERROR(SUM(_xlfn._xlws.FILTER(#REF!, (#REF! &gt;= EOMONTH(_xlpm.Month, -1) + 1) * (#REF! &lt;= EOMONTH(_xlpm.Month, 0)) * (#REF! = _xlpm.LivestockClass))), 0))</definedName>
    <definedName name="CommonLivestock_InputFunctions.LivestockMovement_TotalLiveweightGrownDuringMonth" localSheetId="43">_xlfn.LAMBDA(_xlpm.Month,_xlpm.LivestockClass, IFERROR(SUM(_xlfn._xlws.FILTER(#REF!, (#REF! &gt;= EOMONTH(_xlpm.Month, -1) + 1) * (#REF! &lt;= EOMONTH(_xlpm.Month, 0)) * (#REF! = _xlpm.LivestockClass))), 0))</definedName>
    <definedName name="CommonLivestock_InputFunctions.LivestockMovement_TotalLiveweightGrownDuringMonth" localSheetId="46">_xlfn.LAMBDA(_xlpm.Month,_xlpm.LivestockClass, IFERROR(SUM(_xlfn._xlws.FILTER(#REF!, (#REF! &gt;= EOMONTH(_xlpm.Month, -1) + 1) * (#REF! &lt;= EOMONTH(_xlpm.Month, 0)) * (#REF! = _xlpm.LivestockClass))), 0))</definedName>
    <definedName name="CommonLivestock_InputFunctions.LivestockMovement_TotalLiveweightGrownDuringMonth" localSheetId="47">_xlfn.LAMBDA(_xlpm.Month,_xlpm.LivestockClass, IFERROR(SUM(_xlfn._xlws.FILTER(#REF!, (#REF! &gt;= EOMONTH(_xlpm.Month, -1) + 1) * (#REF! &lt;= EOMONTH(_xlpm.Month, 0)) * (#REF! = _xlpm.LivestockClass))), 0))</definedName>
    <definedName name="CommonLivestock_InputFunctions.LivestockMovement_TotalLiveweightGrownDuringMonth" localSheetId="48">_xlfn.LAMBDA(_xlpm.Month,_xlpm.LivestockClass, IFERROR(SUM(_xlfn._xlws.FILTER(#REF!, (#REF! &gt;= EOMONTH(_xlpm.Month, -1) + 1) * (#REF! &lt;= EOMONTH(_xlpm.Month, 0)) * (#REF! = _xlpm.LivestockClass))), 0))</definedName>
    <definedName name="CommonLivestock_InputFunctions.LivestockMovement_TotalLiveweightGrownDuringMonth" localSheetId="53">_xlfn.LAMBDA(_xlpm.Month,_xlpm.LivestockClass, IFERROR(SUM(_xlfn._xlws.FILTER(#REF!, (#REF! &gt;= EOMONTH(_xlpm.Month, -1) + 1) * (#REF! &lt;= EOMONTH(_xlpm.Month, 0)) * (#REF! = _xlpm.LivestockClass))), 0))</definedName>
    <definedName name="CommonLivestock_InputFunctions.LivestockMovement_TotalLiveweightGrownDuringMonth" localSheetId="49">_xlfn.LAMBDA(_xlpm.Month,_xlpm.LivestockClass, IFERROR(SUM(_xlfn._xlws.FILTER(#REF!, (#REF! &gt;= EOMONTH(_xlpm.Month, -1) + 1) * (#REF! &lt;= EOMONTH(_xlpm.Month, 0)) * (#REF! = _xlpm.LivestockClass))), 0))</definedName>
    <definedName name="CommonLivestock_InputFunctions.LivestockMovement_TotalLiveweightGrownDuringMonth" localSheetId="54">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15">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52">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DPW_j35">'3.3.1.1-2 Enteric Methane'!$D$169:$H$170</definedName>
    <definedName name="M1_Table_E_CH4">'4.3.1.1-2 Methane'!$O$289:$U$298</definedName>
    <definedName name="M1_Table_E_CH4_Consumer_1">'4.3.1.1-2 Methane'!$D$289:$J$298</definedName>
    <definedName name="M1_Table_E_CO2">'5.1.1.3-4 Inorganic fert CO2'!$D$57:$E$76</definedName>
    <definedName name="M1_Table_E_enteric">'3.3.1.1-2 Enteric Methane'!$M$179:$Q$180</definedName>
    <definedName name="M1_Table_E_enteric_Consumer_1">'3.3.1.1-2 Enteric Methane'!$D$179:$H$180</definedName>
    <definedName name="M1_Table_E_N2O">'5.1.1.1-2 Inorganic fert N2O'!$D$59:$E$78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j">'3.3.1.1-2 Enteric Methane'!$D$131:$H$132</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PW_j35">'3.3.1.1-2 Enteric Methane'!$D$174:$E$175</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DPW_j">'3.3.1.1-2 Enteric Methane'!$M$169:$Q$170</definedName>
    <definedName name="M2_Table_E_N2O_dir">'4.3.1.3-4 Direct N20'!$N$277:$T$285</definedName>
    <definedName name="M2_Table_E_N2O_dir_Consumer_1">'4.3.1.9 Soil direct N2O'!$O$50:$U$51</definedName>
    <definedName name="M2_Table_EF_N2O_leach">'4.3.1.6-7 Leaching and runoff'!$O$48:$U$50</definedName>
    <definedName name="M2_Table_FertApplications">'5.1.1.1-2 Inorganic fert N2O'!$M$10:$W$25</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j">'3.3.1.1-2 Enteric Methane'!$M$131:$Q$132</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frigerants_Equations.VEERG_9_1_1__1_RefrigerantLeaking">_xlfn.LAMBDA(_xlpm.charge_Ra,_xlpm.leakagerate_a, (_xlpm.charge_Ra * (_xlpm.leakagerate_a / 100)) * 10 ^ -3)</definedName>
    <definedName name="Refrigerants_Equations.VEERG_9_1_1__1_RefrigerantLeaking_Arguments">_xlfn.LAMBDA(_xlfn.MAKEARRAY(4, 4, _xlfn.LAMBDA(_xlpm.r,_xlpm.c, INDEX({"charge_Ra","Amount of refrigerant R contained in appliance a","kg","Input";"leakagerate_a","Prcentage of total charge leaked from appliance a each year","Percent","Constant";"a","Appliance type","","Input";"R","Refrigerant","","Input"}, _xlpm.r, _xlpm.c))))</definedName>
    <definedName name="Refrigerants_Equations.VEERG_9_1_1__1_RefrigerantLeaking_LatexEquation">_xlfn.LAMBDA("E_R = \sum\nolimits_a \left( charge_{Ra} \times \frac{leakage\,rate_a}{100} \right) \times 10^{-3}")</definedName>
    <definedName name="Refrigerants_Equations.VEERG_9_1_1__1_RefrigerantLeaking_ReadableEquation">_xlfn.LAMBDA("charge_Ra * (leakagerate_a/100)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refrigerant gas")</definedName>
    <definedName name="Refrigerants_Equations.VEERG_9_1_1__1_RefrigerantLeaking_Variable">_xlfn.LAMBDA("E_R")</definedName>
    <definedName name="Refrigerants_Equations.VEERG_9_1_1__1_RefrigerantLeaking_Variation">_xlfn.LAMBDA("VARIATION ON SOURCE: Added equation to convert refrigerant R to CO2-e using the refrigerant's global warming potential (GWP).")</definedName>
    <definedName name="Refrigerants_Equations.VEERG_9_1_1__1_RefrigerantLeakingGWP">_xlfn.LAMBDA(_xlpm.E_R,_xlpm.GWP_R, ((_xlpm.E_R * 10 ^ 3) * _xlpm.GWP_R) * 10 ^ -3)</definedName>
    <definedName name="Refrigerants_Equations.VEERG_9_1_1__1_RefrigerantLeakingGWP_Arguments">_xlfn.LAMBDA(_xlfn.MAKEARRAY(2, 4, _xlfn.LAMBDA(_xlpm.r,_xlpm.c, INDEX({"E_R","Total emissions of refrigerant R","t refrigerant gas","Calculated from 9.1.1 (1)";"GWP_R","Global warming potential of refrigerant R","Dimensionless","Constant"}, _xlpm.r, _xlpm.c))))</definedName>
    <definedName name="Refrigerants_Equations.VEERG_9_1_1__1_RefrigerantLeakingGWP_LatexEquation">_xlfn.LAMBDA("E_CO2e = \left(E_R \times 10^{3} \right) \times GWP_R \times 10^{-3}")</definedName>
    <definedName name="Refrigerants_Equations.VEERG_9_1_1__1_RefrigerantLeakingGWP_Source">_xlfn.LAMBDA("Australian National Greenhouse Accounts Factors 2025 - 3.1 Estimating industrial processes emissions - Refrigerant leakage")</definedName>
    <definedName name="Refrigerants_Equations.VEERG_9_1_1__1_RefrigerantLeakingGWP_Title">_xlfn.LAMBDA("Refrigerant leakage emissions converted to CO2-e")</definedName>
    <definedName name="Refrigerants_Equations.VEERG_9_1_1__1_RefrigerantLeakingGWP_Unit">_xlfn.LAMBDA("t CO2-e")</definedName>
    <definedName name="Refrigerants_Equations.VEERG_9_1_1__1_RefrigerantLeakingGWP_Variable">_xlfn.LAMBDA("E_CO2e")</definedName>
    <definedName name="Refrigerants_InputFunctions.Refrigerants_CalculateBlendGWP">_xlfn.LAMBDA(_xlpm.ConstituentFaction1,_xlpm.ConstituentGWP1,_xlpm.ConstituentFaction2,_xlpm.ConstituentGWP2,_xlpm.ConstituentFaction3,_xlpm.ConstituentGWP3,_xlpm.ConstituentFaction4,_xlpm.ConstituentGWP4, (_xlpm.ConstituentFaction1 * _xlpm.ConstituentGWP1) + (_xlpm.ConstituentFaction2 * _xlpm.ConstituentGWP2) + (_xlpm.ConstituentFaction3 * _xlpm.ConstituentGWP3) + (_xlpm.ConstituentFaction4 * _xlpm.ConstituentGWP4))</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Result_CarbonRemovalsFromPlantings">'Results - Activity period'!$E$99</definedName>
    <definedName name="Result_EmissionsForWholeProductionCycle_Gross_Method1">'Results - Activity period'!$E$82</definedName>
    <definedName name="Result_EmissionsForWholeProductionCycle_Gross_Method2">'Results - Activity period'!$F$82</definedName>
    <definedName name="Result_EmissionsForWholeProductionCycle_Method1">'Results - Activity period'!$E$88</definedName>
    <definedName name="Result_EmissionsForWholeProductionCycle_Method2">'Results - Activity period'!$F$88</definedName>
    <definedName name="Result_EmissionsForWholeProductionCycle_Net_Method1">'Results - Activity period'!$E$83</definedName>
    <definedName name="Result_EmissionsForWholeProductionCycle_Net_Method2">'Results - Activity period'!$F$83</definedName>
    <definedName name="Result_Enterprise_Gross_Method1">'Results - Activity period'!$E$82</definedName>
    <definedName name="Result_Enterprise_Gross_Method2">'Results - Activity period'!$F$82</definedName>
    <definedName name="Result_Enterprise_Method1">Results!$H$25</definedName>
    <definedName name="Result_Enterprise_Method2">Results!$I$25</definedName>
    <definedName name="Result_Enterprise_Net_Method1">'Results - Activity period'!$E$83</definedName>
    <definedName name="Result_Enterprise_Net_Method2">'Results - Activity period'!$F$82</definedName>
    <definedName name="Result_Enterprise_Removals">'Results - Activity period'!$E$76</definedName>
    <definedName name="Result_Enterprise_Scope1_Method1">'Results - Activity period'!$H$43</definedName>
    <definedName name="Result_Enterprise_Scope1_Method2">'Results - Activity period'!$I$43</definedName>
    <definedName name="Result_Enterprise_Scope2_Method1">'Results - Activity period'!$H$50</definedName>
    <definedName name="Result_Enterprise_Scope2_Method2">'Results - Activity period'!$I$50</definedName>
    <definedName name="Result_Enterprise_Scope3_Method1">'Results - Activity period'!$H$71</definedName>
    <definedName name="Result_Enterprise_Scope3_Method2">'Results - Activity period'!$I$65</definedName>
    <definedName name="Result_NetEmissions_Method1">'Results - Activity period'!$E$105</definedName>
    <definedName name="Result_NetEmissions_Method2">'Results - Activity period'!$F$105</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CO2e">'9.1.1.1-2 Refrigerant use'!$D$61:$G$71</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E_R">'9.1.1.1-2 Refrigerant use'!$D$35:$E$39</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MU_j_f">'5.1.1.3-4 Inorganic fert CO2'!$D$18:$G$37</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V_w_t_offsite">'10.1.1-2 Solid waste treatment'!$D$58:$E$92</definedName>
    <definedName name="Table_V_w_t_onsite">'10.1.1-2 Solid waste treatment'!$D$20:$E$54</definedName>
    <definedName name="Table_WR_j">'4.3.1.3-4 Direct N20'!$D$23:$H$24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VEERG_9_1_1__1_RefrigerantLeaking_Result_Blend1_Name_Method1">'9.1.1.1-2 Refrigerant use'!$D$36</definedName>
    <definedName name="VEERG_9_1_1__1_RefrigerantLeaking_Result_Blend1_Value_Method1">'9.1.1.1-2 Refrigerant use'!$E$36</definedName>
    <definedName name="VEERG_9_1_1__1_RefrigerantLeaking_Result_Blend10_Name_Method1">'9.1.1.1-2 Refrigerant use'!$D$45</definedName>
    <definedName name="VEERG_9_1_1__1_RefrigerantLeaking_Result_Blend10_Value_Method1">'9.1.1.1-2 Refrigerant use'!$E$45</definedName>
    <definedName name="VEERG_9_1_1__1_RefrigerantLeaking_Result_Blend2_Name_Method1">'9.1.1.1-2 Refrigerant use'!$D$37</definedName>
    <definedName name="VEERG_9_1_1__1_RefrigerantLeaking_Result_Blend2_Value_Method1">'9.1.1.1-2 Refrigerant use'!$E$37</definedName>
    <definedName name="VEERG_9_1_1__1_RefrigerantLeaking_Result_Blend3_Name_Method1">'9.1.1.1-2 Refrigerant use'!$D$38</definedName>
    <definedName name="VEERG_9_1_1__1_RefrigerantLeaking_Result_Blend3_Value_Method1">'9.1.1.1-2 Refrigerant use'!$E$38</definedName>
    <definedName name="VEERG_9_1_1__1_RefrigerantLeaking_Result_Blend4_Name_Method1">'9.1.1.1-2 Refrigerant use'!$D$39</definedName>
    <definedName name="VEERG_9_1_1__1_RefrigerantLeaking_Result_Blend4_Value_Method1">'9.1.1.1-2 Refrigerant use'!$E$39</definedName>
    <definedName name="VEERG_9_1_1__1_RefrigerantLeaking_Result_Blend5_Name_Method1">'9.1.1.1-2 Refrigerant use'!$D$40</definedName>
    <definedName name="VEERG_9_1_1__1_RefrigerantLeaking_Result_Blend5_Value_Method1">'9.1.1.1-2 Refrigerant use'!$E$40</definedName>
    <definedName name="VEERG_9_1_1__1_RefrigerantLeaking_Result_Blend6_Name_Method1">'9.1.1.1-2 Refrigerant use'!$D$41</definedName>
    <definedName name="VEERG_9_1_1__1_RefrigerantLeaking_Result_Blend6_Value_Method1">'9.1.1.1-2 Refrigerant use'!$E$41</definedName>
    <definedName name="VEERG_9_1_1__1_RefrigerantLeaking_Result_Blend7_Name_Method1">'9.1.1.1-2 Refrigerant use'!$D$42</definedName>
    <definedName name="VEERG_9_1_1__1_RefrigerantLeaking_Result_Blend7_Value_Method1">'9.1.1.1-2 Refrigerant use'!$E$42</definedName>
    <definedName name="VEERG_9_1_1__1_RefrigerantLeaking_Result_Blend8_Name_Method1">'9.1.1.1-2 Refrigerant use'!$D$43</definedName>
    <definedName name="VEERG_9_1_1__1_RefrigerantLeaking_Result_Blend8_Value_Method1">'9.1.1.1-2 Refrigerant use'!$E$43</definedName>
    <definedName name="VEERG_9_1_1__1_RefrigerantLeaking_Result_Blend9_Name_Method1">'9.1.1.1-2 Refrigerant use'!$D$44</definedName>
    <definedName name="VEERG_9_1_1__1_RefrigerantLeaking_Result_Blend9_Value_Method1">'9.1.1.1-2 Refrigerant use'!$E$44</definedName>
    <definedName name="VEERG_9_1_1__1_RefrigerantLeakingGWP_Result_Method1">'9.1.1.1-2 Refrigerant use'!$E$73</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LiveweightSold">'Input - Enterprise'!$E$22</definedName>
    <definedName name="X_Cell_Enterprise_ManureSoldTonnes">'Input - Enterprise'!$E$25</definedName>
    <definedName name="X_Cell_Enterprise_ManureUsedAsFertiliserTonnes">'Input - Enterprise'!$E$26</definedName>
    <definedName name="X_Cell_Enterprise_MilkProduced">'Input - Enterprise'!$E$24</definedName>
    <definedName name="X_Cell_Enterprise_MilkProducedUnit">'Input - Enterprise'!$E$23</definedName>
    <definedName name="X_Cell_Enterprise_PercentIncomeFromLiveweight">'Input - Enterprise'!$E$29</definedName>
    <definedName name="X_Cell_Enterprise_PercentIncomeFromManure">'Input - Enterprise'!$E$30</definedName>
    <definedName name="X_Cell_Enterprise_PercentIncomeFromMilk">'Input - Enterprise'!$E$28</definedName>
    <definedName name="X_Cell_Enterprise_ProductionTimeframeEnd">'Input - Enterprise'!$E$19</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 name="X_Table_Result_CarbonRemovalsFromPlantings_RowsToCols">'Results - Activity period'!$D$93:$E$98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51" i="124" l="1"/>
  <c r="J650" i="124"/>
  <c r="J649" i="124"/>
  <c r="J648" i="124"/>
  <c r="J647" i="124"/>
  <c r="J646" i="124"/>
  <c r="J645" i="124"/>
  <c r="J644" i="124"/>
  <c r="J643" i="124"/>
  <c r="J642" i="124"/>
  <c r="J633" i="124"/>
  <c r="J632" i="124"/>
  <c r="J631" i="124"/>
  <c r="J630" i="124"/>
  <c r="J629" i="124"/>
  <c r="J628" i="124"/>
  <c r="J627" i="124"/>
  <c r="J626" i="124"/>
  <c r="J625" i="124"/>
  <c r="J624" i="124"/>
  <c r="K514" i="124"/>
  <c r="K513" i="124"/>
  <c r="K512" i="124"/>
  <c r="K511" i="124"/>
  <c r="K510" i="124"/>
  <c r="K509" i="124"/>
  <c r="K508" i="124"/>
  <c r="K507" i="124"/>
  <c r="K506" i="124"/>
  <c r="K505" i="124"/>
  <c r="I496" i="124"/>
  <c r="I494" i="124"/>
  <c r="I485" i="124"/>
  <c r="I483" i="124"/>
  <c r="I481" i="124"/>
  <c r="J468" i="124"/>
  <c r="J467" i="124"/>
  <c r="J466" i="124"/>
  <c r="J465" i="124"/>
  <c r="J464" i="124"/>
  <c r="J463" i="124"/>
  <c r="J450" i="124"/>
  <c r="J449" i="124"/>
  <c r="J448" i="124"/>
  <c r="J447" i="124"/>
  <c r="J446" i="124"/>
  <c r="J445" i="124"/>
  <c r="J423" i="124"/>
  <c r="J422" i="124"/>
  <c r="J421" i="124"/>
  <c r="J420" i="124"/>
  <c r="J419" i="124"/>
  <c r="J418" i="124"/>
  <c r="J417" i="124"/>
  <c r="J416" i="124"/>
  <c r="J415" i="124"/>
  <c r="J414" i="124"/>
  <c r="J382" i="124"/>
  <c r="K360" i="124"/>
  <c r="K359" i="124"/>
  <c r="K358" i="124"/>
  <c r="K357" i="124"/>
  <c r="K356" i="124"/>
  <c r="K355" i="124"/>
  <c r="K354" i="124"/>
  <c r="K353" i="124"/>
  <c r="K352" i="124"/>
  <c r="K351" i="124"/>
  <c r="J329" i="124"/>
  <c r="J328" i="124"/>
  <c r="J327" i="124"/>
  <c r="J326" i="124"/>
  <c r="J325" i="124"/>
  <c r="J324" i="124"/>
  <c r="J323" i="124"/>
  <c r="J322" i="124"/>
  <c r="J321" i="124"/>
  <c r="J320" i="124"/>
  <c r="J261" i="124"/>
  <c r="J260" i="124"/>
  <c r="J259" i="124"/>
  <c r="J258" i="124"/>
  <c r="J257" i="124"/>
  <c r="J256" i="124"/>
  <c r="J255" i="124"/>
  <c r="J254" i="124"/>
  <c r="J253" i="124"/>
  <c r="J252" i="124"/>
  <c r="I179" i="124"/>
  <c r="I178" i="124"/>
  <c r="I177" i="124"/>
  <c r="I148" i="124"/>
  <c r="I138" i="124"/>
  <c r="I137" i="124"/>
  <c r="I122" i="124"/>
  <c r="I121" i="124"/>
  <c r="I120" i="124"/>
  <c r="J79" i="124"/>
  <c r="J62" i="124"/>
  <c r="J61" i="124"/>
  <c r="J42" i="124"/>
  <c r="M24" i="124"/>
  <c r="M23" i="124"/>
  <c r="I30" i="96"/>
  <c r="I29" i="96"/>
  <c r="I28" i="96"/>
  <c r="I27" i="96"/>
  <c r="I26" i="96"/>
  <c r="I25" i="96"/>
  <c r="I24" i="96"/>
  <c r="I23" i="96"/>
  <c r="I22" i="96"/>
  <c r="I21" i="96"/>
  <c r="I20" i="96"/>
  <c r="D115" i="84" a="1"/>
  <c r="D115" i="84" s="1"/>
  <c r="D127" i="92" a="1"/>
  <c r="D127" i="92" s="1"/>
  <c r="A79" i="78"/>
  <c r="A68" i="78"/>
  <c r="A67" i="78"/>
  <c r="A66" i="78"/>
  <c r="A65" i="78"/>
  <c r="A64" i="78"/>
  <c r="A63" i="78"/>
  <c r="A62" i="78"/>
  <c r="A61" i="78"/>
  <c r="A60" i="78"/>
  <c r="A59" i="78"/>
  <c r="A58" i="78"/>
  <c r="A54" i="78"/>
  <c r="A53" i="78"/>
  <c r="A52" i="78"/>
  <c r="A51" i="78"/>
  <c r="A50" i="78"/>
  <c r="A49" i="78"/>
  <c r="A48" i="78"/>
  <c r="A47" i="78"/>
  <c r="A46" i="78"/>
  <c r="A45" i="78"/>
  <c r="A44" i="78"/>
  <c r="A43" i="78"/>
  <c r="A42" i="78"/>
  <c r="A41" i="78"/>
  <c r="A40" i="78"/>
  <c r="A39" i="78"/>
  <c r="A38" i="78"/>
  <c r="A37" i="78"/>
  <c r="A36" i="78"/>
  <c r="A35" i="78"/>
  <c r="A34" i="78"/>
  <c r="A33" i="78"/>
  <c r="A32" i="78"/>
  <c r="A31" i="78"/>
  <c r="A27" i="78"/>
  <c r="A26" i="78"/>
  <c r="A25" i="78"/>
  <c r="A24" i="78"/>
  <c r="A23" i="78"/>
  <c r="A22" i="78"/>
  <c r="A21" i="78"/>
  <c r="A20" i="78"/>
  <c r="A19" i="78"/>
  <c r="A18" i="78"/>
  <c r="A17" i="78"/>
  <c r="A16" i="78"/>
  <c r="A15" i="78"/>
  <c r="A14" i="78"/>
  <c r="A13" i="78"/>
  <c r="A12" i="78"/>
  <c r="A11" i="78"/>
  <c r="A10" i="78"/>
  <c r="A6" i="78"/>
  <c r="A5" i="78"/>
  <c r="A4" i="78"/>
  <c r="A3" i="78"/>
  <c r="A68" i="128"/>
  <c r="A67" i="128"/>
  <c r="A66" i="128"/>
  <c r="A65" i="128"/>
  <c r="A64" i="128"/>
  <c r="A63" i="128"/>
  <c r="A62" i="128"/>
  <c r="A61" i="128"/>
  <c r="A60" i="128"/>
  <c r="A59" i="128"/>
  <c r="A58" i="128"/>
  <c r="A54" i="128"/>
  <c r="A53" i="128"/>
  <c r="A52" i="128"/>
  <c r="A51" i="128"/>
  <c r="A50" i="128"/>
  <c r="A49" i="128"/>
  <c r="A48" i="128"/>
  <c r="A47" i="128"/>
  <c r="A46" i="128"/>
  <c r="A45" i="128"/>
  <c r="A44" i="128"/>
  <c r="A43" i="128"/>
  <c r="A42" i="128"/>
  <c r="A41" i="128"/>
  <c r="A40" i="128"/>
  <c r="A39" i="128"/>
  <c r="A38" i="128"/>
  <c r="A37" i="128"/>
  <c r="A36" i="128"/>
  <c r="A35" i="128"/>
  <c r="A34" i="128"/>
  <c r="A33" i="128"/>
  <c r="A32" i="128"/>
  <c r="A31" i="128"/>
  <c r="A27" i="128"/>
  <c r="A26" i="128"/>
  <c r="A25" i="128"/>
  <c r="A24" i="128"/>
  <c r="A23" i="128"/>
  <c r="A22" i="128"/>
  <c r="A21" i="128"/>
  <c r="A20" i="128"/>
  <c r="A19" i="128"/>
  <c r="A18" i="128"/>
  <c r="A17" i="128"/>
  <c r="A16" i="128"/>
  <c r="A15" i="128"/>
  <c r="A14" i="128"/>
  <c r="A13" i="128"/>
  <c r="A12" i="128"/>
  <c r="A11" i="128"/>
  <c r="A10" i="128"/>
  <c r="A6" i="128"/>
  <c r="A5" i="128"/>
  <c r="A4" i="128"/>
  <c r="A3" i="128"/>
  <c r="A68" i="113"/>
  <c r="A67" i="113"/>
  <c r="A66" i="113"/>
  <c r="A65" i="113"/>
  <c r="A64" i="113"/>
  <c r="A63" i="113"/>
  <c r="A62" i="113"/>
  <c r="A61" i="113"/>
  <c r="A60" i="113"/>
  <c r="A59" i="113"/>
  <c r="A58" i="113"/>
  <c r="A54" i="113"/>
  <c r="A53" i="113"/>
  <c r="A52" i="113"/>
  <c r="A51" i="113"/>
  <c r="A50" i="113"/>
  <c r="A49" i="113"/>
  <c r="A48" i="113"/>
  <c r="A47" i="113"/>
  <c r="A46" i="113"/>
  <c r="A45" i="113"/>
  <c r="A44" i="113"/>
  <c r="A43" i="113"/>
  <c r="A42" i="113"/>
  <c r="A41" i="113"/>
  <c r="A40" i="113"/>
  <c r="A39" i="113"/>
  <c r="A38" i="113"/>
  <c r="A37" i="113"/>
  <c r="A36" i="113"/>
  <c r="A35" i="113"/>
  <c r="A34" i="113"/>
  <c r="A33" i="113"/>
  <c r="A32" i="113"/>
  <c r="A31" i="113"/>
  <c r="A27" i="113"/>
  <c r="A26" i="113"/>
  <c r="A25" i="113"/>
  <c r="A24" i="113"/>
  <c r="A23" i="113"/>
  <c r="A22" i="113"/>
  <c r="A21" i="113"/>
  <c r="A20" i="113"/>
  <c r="A19" i="113"/>
  <c r="A18" i="113"/>
  <c r="A17" i="113"/>
  <c r="A16" i="113"/>
  <c r="A15" i="113"/>
  <c r="A14" i="113"/>
  <c r="A13" i="113"/>
  <c r="A12" i="113"/>
  <c r="A11" i="113"/>
  <c r="A10" i="113"/>
  <c r="A6" i="113"/>
  <c r="A5" i="113"/>
  <c r="A4" i="113"/>
  <c r="A3" i="113"/>
  <c r="A169" i="110"/>
  <c r="A139" i="110"/>
  <c r="A109" i="110"/>
  <c r="A79" i="110"/>
  <c r="A68" i="110"/>
  <c r="A67" i="110"/>
  <c r="A66" i="110"/>
  <c r="A65" i="110"/>
  <c r="A64" i="110"/>
  <c r="A63" i="110"/>
  <c r="A62" i="110"/>
  <c r="A61" i="110"/>
  <c r="A60" i="110"/>
  <c r="A59" i="110"/>
  <c r="A58" i="110"/>
  <c r="A54" i="110"/>
  <c r="A53" i="110"/>
  <c r="A52" i="110"/>
  <c r="A51" i="110"/>
  <c r="A50" i="110"/>
  <c r="A49" i="110"/>
  <c r="A48" i="110"/>
  <c r="A47" i="110"/>
  <c r="A46" i="110"/>
  <c r="A45" i="110"/>
  <c r="A44" i="110"/>
  <c r="A43" i="110"/>
  <c r="A42" i="110"/>
  <c r="A41" i="110"/>
  <c r="A40" i="110"/>
  <c r="A39" i="110"/>
  <c r="A38" i="110"/>
  <c r="A37" i="110"/>
  <c r="A36" i="110"/>
  <c r="A35" i="110"/>
  <c r="A34" i="110"/>
  <c r="A33" i="110"/>
  <c r="A32" i="110"/>
  <c r="A31" i="110"/>
  <c r="A27" i="110"/>
  <c r="A26" i="110"/>
  <c r="A25" i="110"/>
  <c r="A24" i="110"/>
  <c r="A23" i="110"/>
  <c r="A22" i="110"/>
  <c r="A21" i="110"/>
  <c r="A20" i="110"/>
  <c r="A19" i="110"/>
  <c r="A18" i="110"/>
  <c r="A17" i="110"/>
  <c r="A16" i="110"/>
  <c r="A15" i="110"/>
  <c r="A14" i="110"/>
  <c r="A13" i="110"/>
  <c r="A12" i="110"/>
  <c r="A11" i="110"/>
  <c r="A10" i="110"/>
  <c r="A6" i="110"/>
  <c r="A5" i="110"/>
  <c r="A4" i="110"/>
  <c r="A3" i="110"/>
  <c r="A68" i="108"/>
  <c r="A67" i="108"/>
  <c r="A66" i="108"/>
  <c r="A65" i="108"/>
  <c r="A64" i="108"/>
  <c r="A63" i="108"/>
  <c r="A62" i="108"/>
  <c r="A61" i="108"/>
  <c r="A60" i="108"/>
  <c r="A59" i="108"/>
  <c r="A58" i="108"/>
  <c r="A54" i="108"/>
  <c r="A53" i="108"/>
  <c r="A52" i="108"/>
  <c r="A51" i="108"/>
  <c r="A50" i="108"/>
  <c r="A49" i="108"/>
  <c r="A48" i="108"/>
  <c r="A47" i="108"/>
  <c r="A46" i="108"/>
  <c r="A45" i="108"/>
  <c r="A44" i="108"/>
  <c r="A43" i="108"/>
  <c r="A42" i="108"/>
  <c r="A41" i="108"/>
  <c r="A40" i="108"/>
  <c r="A39" i="108"/>
  <c r="A38" i="108"/>
  <c r="A37" i="108"/>
  <c r="A36" i="108"/>
  <c r="A35" i="108"/>
  <c r="A34" i="108"/>
  <c r="A33" i="108"/>
  <c r="A32" i="108"/>
  <c r="A31" i="108"/>
  <c r="A27" i="108"/>
  <c r="A26" i="108"/>
  <c r="A25" i="108"/>
  <c r="A24" i="108"/>
  <c r="A23" i="108"/>
  <c r="A22" i="108"/>
  <c r="A21" i="108"/>
  <c r="A20" i="108"/>
  <c r="A19" i="108"/>
  <c r="A18" i="108"/>
  <c r="A17" i="108"/>
  <c r="A16" i="108"/>
  <c r="A15" i="108"/>
  <c r="A14" i="108"/>
  <c r="A13" i="108"/>
  <c r="A12" i="108"/>
  <c r="A11" i="108"/>
  <c r="A10" i="108"/>
  <c r="A6" i="108"/>
  <c r="A5" i="108"/>
  <c r="A4" i="108"/>
  <c r="A3" i="108"/>
  <c r="A68" i="81"/>
  <c r="A67" i="81"/>
  <c r="A66" i="81"/>
  <c r="A65" i="81"/>
  <c r="A64" i="81"/>
  <c r="A63" i="81"/>
  <c r="A62" i="81"/>
  <c r="A61" i="81"/>
  <c r="A60" i="81"/>
  <c r="A59" i="81"/>
  <c r="A58" i="81"/>
  <c r="A54" i="81"/>
  <c r="A53" i="81"/>
  <c r="A52" i="81"/>
  <c r="A51" i="81"/>
  <c r="A50" i="81"/>
  <c r="A49" i="81"/>
  <c r="A48" i="81"/>
  <c r="A47" i="81"/>
  <c r="A46" i="81"/>
  <c r="A45" i="81"/>
  <c r="A44" i="81"/>
  <c r="A43" i="81"/>
  <c r="A42" i="81"/>
  <c r="A41" i="81"/>
  <c r="A40" i="81"/>
  <c r="A39" i="81"/>
  <c r="A38" i="81"/>
  <c r="A37" i="81"/>
  <c r="A36" i="81"/>
  <c r="A35" i="81"/>
  <c r="A34" i="81"/>
  <c r="A33" i="81"/>
  <c r="A32" i="81"/>
  <c r="A31" i="81"/>
  <c r="A27" i="81"/>
  <c r="A26" i="81"/>
  <c r="A25" i="81"/>
  <c r="A24" i="81"/>
  <c r="A23" i="81"/>
  <c r="A22" i="81"/>
  <c r="A21" i="81"/>
  <c r="A20" i="81"/>
  <c r="A19" i="81"/>
  <c r="A18" i="81"/>
  <c r="A17" i="81"/>
  <c r="A16" i="81"/>
  <c r="A15" i="81"/>
  <c r="A14" i="81"/>
  <c r="A13" i="81"/>
  <c r="A12" i="81"/>
  <c r="A11" i="81"/>
  <c r="A10" i="81"/>
  <c r="A6" i="81"/>
  <c r="A5" i="81"/>
  <c r="A4" i="81"/>
  <c r="A3" i="81"/>
  <c r="A289" i="79"/>
  <c r="A259" i="79"/>
  <c r="A229" i="79"/>
  <c r="A199" i="79"/>
  <c r="A169" i="79"/>
  <c r="A139" i="79"/>
  <c r="A109" i="79"/>
  <c r="A79" i="79"/>
  <c r="A68" i="79"/>
  <c r="A67" i="79"/>
  <c r="A66" i="79"/>
  <c r="A65" i="79"/>
  <c r="A64" i="79"/>
  <c r="A63" i="79"/>
  <c r="A62" i="79"/>
  <c r="A61" i="79"/>
  <c r="A60" i="79"/>
  <c r="A59" i="79"/>
  <c r="A58" i="79"/>
  <c r="A54" i="79"/>
  <c r="A53" i="79"/>
  <c r="A52" i="79"/>
  <c r="A51" i="79"/>
  <c r="A50" i="79"/>
  <c r="A49" i="79"/>
  <c r="A48" i="79"/>
  <c r="A47" i="79"/>
  <c r="A46" i="79"/>
  <c r="A45" i="79"/>
  <c r="A44" i="79"/>
  <c r="A43" i="79"/>
  <c r="A42" i="79"/>
  <c r="A41" i="79"/>
  <c r="A40" i="79"/>
  <c r="A39" i="79"/>
  <c r="A38" i="79"/>
  <c r="A37" i="79"/>
  <c r="A36" i="79"/>
  <c r="A35" i="79"/>
  <c r="A34" i="79"/>
  <c r="A33" i="79"/>
  <c r="A32" i="79"/>
  <c r="A31" i="79"/>
  <c r="A27" i="79"/>
  <c r="A26" i="79"/>
  <c r="A25" i="79"/>
  <c r="A24" i="79"/>
  <c r="A23" i="79"/>
  <c r="A22" i="79"/>
  <c r="A21" i="79"/>
  <c r="A20" i="79"/>
  <c r="A19" i="79"/>
  <c r="A18" i="79"/>
  <c r="A17" i="79"/>
  <c r="A16" i="79"/>
  <c r="A15" i="79"/>
  <c r="A14" i="79"/>
  <c r="A13" i="79"/>
  <c r="A12" i="79"/>
  <c r="A11" i="79"/>
  <c r="A10" i="79"/>
  <c r="A6" i="79"/>
  <c r="A5" i="79"/>
  <c r="A4" i="79"/>
  <c r="A3" i="79"/>
  <c r="A229" i="126"/>
  <c r="A199" i="126"/>
  <c r="A169" i="126"/>
  <c r="A139" i="126"/>
  <c r="A109" i="126"/>
  <c r="A79" i="126"/>
  <c r="A68" i="126"/>
  <c r="A67" i="126"/>
  <c r="A66" i="126"/>
  <c r="A65" i="126"/>
  <c r="A64" i="126"/>
  <c r="A63" i="126"/>
  <c r="A62" i="126"/>
  <c r="A61" i="126"/>
  <c r="A60" i="126"/>
  <c r="A59" i="126"/>
  <c r="A58" i="126"/>
  <c r="A54" i="126"/>
  <c r="A53" i="126"/>
  <c r="A52" i="126"/>
  <c r="A51" i="126"/>
  <c r="A50" i="126"/>
  <c r="A49" i="126"/>
  <c r="A48" i="126"/>
  <c r="A47" i="126"/>
  <c r="A46" i="126"/>
  <c r="A45" i="126"/>
  <c r="A44" i="126"/>
  <c r="A43" i="126"/>
  <c r="A42" i="126"/>
  <c r="A41" i="126"/>
  <c r="A40" i="126"/>
  <c r="A39" i="126"/>
  <c r="A38" i="126"/>
  <c r="A37" i="126"/>
  <c r="A36" i="126"/>
  <c r="A35" i="126"/>
  <c r="A34" i="126"/>
  <c r="A33" i="126"/>
  <c r="A32" i="126"/>
  <c r="A31" i="126"/>
  <c r="A27" i="126"/>
  <c r="A26" i="126"/>
  <c r="A25" i="126"/>
  <c r="A24" i="126"/>
  <c r="A23" i="126"/>
  <c r="A22" i="126"/>
  <c r="A21" i="126"/>
  <c r="A20" i="126"/>
  <c r="A19" i="126"/>
  <c r="A18" i="126"/>
  <c r="A17" i="126"/>
  <c r="A16" i="126"/>
  <c r="A15" i="126"/>
  <c r="A14" i="126"/>
  <c r="A13" i="126"/>
  <c r="A12" i="126"/>
  <c r="A11" i="126"/>
  <c r="A10" i="126"/>
  <c r="A6" i="126"/>
  <c r="A5" i="126"/>
  <c r="A4" i="126"/>
  <c r="A3" i="126"/>
  <c r="A139" i="107"/>
  <c r="A109" i="107"/>
  <c r="A79" i="107"/>
  <c r="A68" i="107"/>
  <c r="A67" i="107"/>
  <c r="A66" i="107"/>
  <c r="A65" i="107"/>
  <c r="A64" i="107"/>
  <c r="A63" i="107"/>
  <c r="A62" i="107"/>
  <c r="A61" i="107"/>
  <c r="A60" i="107"/>
  <c r="A59" i="107"/>
  <c r="A58" i="107"/>
  <c r="A54" i="107"/>
  <c r="A53" i="107"/>
  <c r="A52" i="107"/>
  <c r="A51" i="107"/>
  <c r="A50" i="107"/>
  <c r="A49" i="107"/>
  <c r="A48" i="107"/>
  <c r="A47" i="107"/>
  <c r="A46" i="107"/>
  <c r="A45" i="107"/>
  <c r="A44" i="107"/>
  <c r="A43" i="107"/>
  <c r="A42" i="107"/>
  <c r="A41" i="107"/>
  <c r="A40" i="107"/>
  <c r="A39" i="107"/>
  <c r="A38" i="107"/>
  <c r="A37" i="107"/>
  <c r="A36" i="107"/>
  <c r="A35" i="107"/>
  <c r="A34" i="107"/>
  <c r="A33" i="107"/>
  <c r="A32" i="107"/>
  <c r="A31" i="107"/>
  <c r="A27" i="107"/>
  <c r="A26" i="107"/>
  <c r="A25" i="107"/>
  <c r="A24" i="107"/>
  <c r="A23" i="107"/>
  <c r="A22" i="107"/>
  <c r="A21" i="107"/>
  <c r="A20" i="107"/>
  <c r="A19" i="107"/>
  <c r="A18" i="107"/>
  <c r="A17" i="107"/>
  <c r="A16" i="107"/>
  <c r="A15" i="107"/>
  <c r="A14" i="107"/>
  <c r="A13" i="107"/>
  <c r="A12" i="107"/>
  <c r="A11" i="107"/>
  <c r="A10" i="107"/>
  <c r="A6" i="107"/>
  <c r="A5" i="107"/>
  <c r="A4" i="107"/>
  <c r="A3" i="107"/>
  <c r="A199" i="100"/>
  <c r="A169" i="100"/>
  <c r="A139" i="100"/>
  <c r="A109" i="100"/>
  <c r="A79" i="100"/>
  <c r="A68" i="100"/>
  <c r="A67" i="100"/>
  <c r="A66" i="100"/>
  <c r="A65" i="100"/>
  <c r="A64" i="100"/>
  <c r="A63" i="100"/>
  <c r="A62" i="100"/>
  <c r="A61" i="100"/>
  <c r="A60" i="100"/>
  <c r="A59" i="100"/>
  <c r="A58" i="100"/>
  <c r="A54" i="100"/>
  <c r="A53" i="100"/>
  <c r="A52" i="100"/>
  <c r="A51" i="100"/>
  <c r="A50" i="100"/>
  <c r="A49" i="100"/>
  <c r="A48" i="100"/>
  <c r="A47" i="100"/>
  <c r="A46" i="100"/>
  <c r="A45" i="100"/>
  <c r="A44" i="100"/>
  <c r="A43" i="100"/>
  <c r="A42" i="100"/>
  <c r="A41" i="100"/>
  <c r="A40" i="100"/>
  <c r="A39" i="100"/>
  <c r="A38" i="100"/>
  <c r="A37" i="100"/>
  <c r="A36" i="100"/>
  <c r="A35" i="100"/>
  <c r="A34" i="100"/>
  <c r="A33" i="100"/>
  <c r="A32" i="100"/>
  <c r="A31" i="100"/>
  <c r="A27" i="100"/>
  <c r="A26" i="100"/>
  <c r="A25" i="100"/>
  <c r="A24" i="100"/>
  <c r="A23" i="100"/>
  <c r="A22" i="100"/>
  <c r="A21" i="100"/>
  <c r="A20" i="100"/>
  <c r="A19" i="100"/>
  <c r="A18" i="100"/>
  <c r="A17" i="100"/>
  <c r="A16" i="100"/>
  <c r="A15" i="100"/>
  <c r="A14" i="100"/>
  <c r="A13" i="100"/>
  <c r="A12" i="100"/>
  <c r="A11" i="100"/>
  <c r="A10" i="100"/>
  <c r="A6" i="100"/>
  <c r="A5" i="100"/>
  <c r="A4" i="100"/>
  <c r="A3" i="100"/>
  <c r="A68" i="103"/>
  <c r="A67" i="103"/>
  <c r="A66" i="103"/>
  <c r="A65" i="103"/>
  <c r="A64" i="103"/>
  <c r="A63" i="103"/>
  <c r="A62" i="103"/>
  <c r="A61" i="103"/>
  <c r="A60" i="103"/>
  <c r="A59" i="103"/>
  <c r="A58" i="103"/>
  <c r="A54" i="103"/>
  <c r="A53" i="103"/>
  <c r="A52" i="103"/>
  <c r="A51" i="103"/>
  <c r="A50" i="103"/>
  <c r="A49" i="103"/>
  <c r="A48" i="103"/>
  <c r="A47" i="103"/>
  <c r="A46" i="103"/>
  <c r="A45" i="103"/>
  <c r="A44" i="103"/>
  <c r="A43" i="103"/>
  <c r="A42" i="103"/>
  <c r="A41" i="103"/>
  <c r="A40" i="103"/>
  <c r="A39" i="103"/>
  <c r="A38" i="103"/>
  <c r="A37" i="103"/>
  <c r="A36" i="103"/>
  <c r="A35" i="103"/>
  <c r="A34" i="103"/>
  <c r="A33" i="103"/>
  <c r="A32" i="103"/>
  <c r="A31" i="103"/>
  <c r="A27" i="103"/>
  <c r="A26" i="103"/>
  <c r="A25" i="103"/>
  <c r="A24" i="103"/>
  <c r="A23" i="103"/>
  <c r="A22" i="103"/>
  <c r="A21" i="103"/>
  <c r="A20" i="103"/>
  <c r="A19" i="103"/>
  <c r="A18" i="103"/>
  <c r="A17" i="103"/>
  <c r="A16" i="103"/>
  <c r="A15" i="103"/>
  <c r="A14" i="103"/>
  <c r="A13" i="103"/>
  <c r="A12" i="103"/>
  <c r="A11" i="103"/>
  <c r="A10" i="103"/>
  <c r="A6" i="103"/>
  <c r="A5" i="103"/>
  <c r="A4" i="103"/>
  <c r="A3" i="103"/>
  <c r="A68" i="127"/>
  <c r="A67" i="127"/>
  <c r="A66" i="127"/>
  <c r="A65" i="127"/>
  <c r="A64" i="127"/>
  <c r="A63" i="127"/>
  <c r="A62" i="127"/>
  <c r="A61" i="127"/>
  <c r="A60" i="127"/>
  <c r="A59" i="127"/>
  <c r="A58" i="127"/>
  <c r="A54" i="127"/>
  <c r="A53" i="127"/>
  <c r="A52" i="127"/>
  <c r="A51" i="127"/>
  <c r="A50" i="127"/>
  <c r="A49" i="127"/>
  <c r="A48" i="127"/>
  <c r="A47" i="127"/>
  <c r="A46" i="127"/>
  <c r="A45" i="127"/>
  <c r="A44" i="127"/>
  <c r="A43" i="127"/>
  <c r="A42" i="127"/>
  <c r="A41" i="127"/>
  <c r="A40" i="127"/>
  <c r="A39" i="127"/>
  <c r="A38" i="127"/>
  <c r="A37" i="127"/>
  <c r="A36" i="127"/>
  <c r="A35" i="127"/>
  <c r="A34" i="127"/>
  <c r="A33" i="127"/>
  <c r="A32" i="127"/>
  <c r="A31" i="127"/>
  <c r="A27" i="127"/>
  <c r="A26" i="127"/>
  <c r="A25" i="127"/>
  <c r="A24" i="127"/>
  <c r="A23" i="127"/>
  <c r="A22" i="127"/>
  <c r="A21" i="127"/>
  <c r="A20" i="127"/>
  <c r="A19" i="127"/>
  <c r="A18" i="127"/>
  <c r="A17" i="127"/>
  <c r="A16" i="127"/>
  <c r="A15" i="127"/>
  <c r="A14" i="127"/>
  <c r="A13" i="127"/>
  <c r="A12" i="127"/>
  <c r="A11" i="127"/>
  <c r="A10" i="127"/>
  <c r="A6" i="127"/>
  <c r="A5" i="127"/>
  <c r="A4" i="127"/>
  <c r="A3" i="127"/>
  <c r="A229" i="117"/>
  <c r="A199" i="117"/>
  <c r="A169" i="117"/>
  <c r="A139" i="117"/>
  <c r="A109" i="117"/>
  <c r="A79" i="117"/>
  <c r="A68" i="117"/>
  <c r="A67" i="117"/>
  <c r="A66" i="117"/>
  <c r="A65" i="117"/>
  <c r="A64" i="117"/>
  <c r="A63" i="117"/>
  <c r="A62" i="117"/>
  <c r="A61" i="117"/>
  <c r="A60" i="117"/>
  <c r="A59" i="117"/>
  <c r="A58" i="117"/>
  <c r="A54" i="117"/>
  <c r="A53" i="117"/>
  <c r="A52" i="117"/>
  <c r="A51" i="117"/>
  <c r="A50" i="117"/>
  <c r="A49" i="117"/>
  <c r="A48" i="117"/>
  <c r="A47" i="117"/>
  <c r="A46" i="117"/>
  <c r="A45" i="117"/>
  <c r="A44" i="117"/>
  <c r="A43" i="117"/>
  <c r="A42" i="117"/>
  <c r="A41" i="117"/>
  <c r="A40" i="117"/>
  <c r="A39" i="117"/>
  <c r="A38" i="117"/>
  <c r="A37" i="117"/>
  <c r="A36" i="117"/>
  <c r="A35" i="117"/>
  <c r="A34" i="117"/>
  <c r="A33" i="117"/>
  <c r="A32" i="117"/>
  <c r="A31" i="117"/>
  <c r="A27" i="117"/>
  <c r="A26" i="117"/>
  <c r="A25" i="117"/>
  <c r="A24" i="117"/>
  <c r="A23" i="117"/>
  <c r="A22" i="117"/>
  <c r="A21" i="117"/>
  <c r="A20" i="117"/>
  <c r="A19" i="117"/>
  <c r="A18" i="117"/>
  <c r="A17" i="117"/>
  <c r="A16" i="117"/>
  <c r="A15" i="117"/>
  <c r="A14" i="117"/>
  <c r="A13" i="117"/>
  <c r="A12" i="117"/>
  <c r="A11" i="117"/>
  <c r="A10" i="117"/>
  <c r="A6" i="117"/>
  <c r="A5" i="117"/>
  <c r="A4" i="117"/>
  <c r="A3" i="117"/>
  <c r="A229" i="91"/>
  <c r="A199" i="91"/>
  <c r="A169" i="91"/>
  <c r="A139" i="91"/>
  <c r="A109" i="91"/>
  <c r="A79" i="91"/>
  <c r="A68" i="91"/>
  <c r="A67" i="91"/>
  <c r="A66" i="91"/>
  <c r="A65" i="91"/>
  <c r="A64" i="91"/>
  <c r="A63" i="91"/>
  <c r="A62" i="91"/>
  <c r="A61" i="91"/>
  <c r="A60" i="91"/>
  <c r="A59" i="91"/>
  <c r="A58" i="91"/>
  <c r="A54" i="91"/>
  <c r="A53" i="91"/>
  <c r="A52" i="91"/>
  <c r="A51" i="91"/>
  <c r="A50" i="91"/>
  <c r="A49" i="91"/>
  <c r="A48" i="91"/>
  <c r="A47" i="91"/>
  <c r="A46" i="91"/>
  <c r="A45" i="91"/>
  <c r="A44" i="91"/>
  <c r="A43" i="91"/>
  <c r="A42" i="91"/>
  <c r="A41" i="91"/>
  <c r="A40" i="91"/>
  <c r="A39" i="91"/>
  <c r="A38" i="91"/>
  <c r="A37" i="91"/>
  <c r="A36" i="91"/>
  <c r="A35" i="91"/>
  <c r="A34" i="91"/>
  <c r="A33" i="91"/>
  <c r="A32" i="91"/>
  <c r="A31" i="91"/>
  <c r="A27" i="91"/>
  <c r="A26" i="91"/>
  <c r="A25" i="91"/>
  <c r="A24" i="91"/>
  <c r="A23" i="91"/>
  <c r="A22" i="91"/>
  <c r="A21" i="91"/>
  <c r="A20" i="91"/>
  <c r="A19" i="91"/>
  <c r="A18" i="91"/>
  <c r="A17" i="91"/>
  <c r="A16" i="91"/>
  <c r="A15" i="91"/>
  <c r="A14" i="91"/>
  <c r="A13" i="91"/>
  <c r="A12" i="91"/>
  <c r="A11" i="91"/>
  <c r="A10" i="91"/>
  <c r="A6" i="91"/>
  <c r="A5" i="91"/>
  <c r="A4" i="91"/>
  <c r="A3" i="91"/>
  <c r="A79" i="125"/>
  <c r="A68" i="125"/>
  <c r="A67" i="125"/>
  <c r="A66" i="125"/>
  <c r="A65" i="125"/>
  <c r="A64" i="125"/>
  <c r="A63" i="125"/>
  <c r="A62" i="125"/>
  <c r="A61" i="125"/>
  <c r="A60" i="125"/>
  <c r="A59" i="125"/>
  <c r="A58" i="125"/>
  <c r="A54" i="125"/>
  <c r="A53" i="125"/>
  <c r="A52" i="125"/>
  <c r="A51" i="125"/>
  <c r="A50" i="125"/>
  <c r="A49" i="125"/>
  <c r="A48" i="125"/>
  <c r="A47" i="125"/>
  <c r="A46" i="125"/>
  <c r="A45" i="125"/>
  <c r="A44" i="125"/>
  <c r="A43" i="125"/>
  <c r="A42" i="125"/>
  <c r="A41" i="125"/>
  <c r="A40" i="125"/>
  <c r="A39" i="125"/>
  <c r="A38" i="125"/>
  <c r="A37" i="125"/>
  <c r="A36" i="125"/>
  <c r="A35" i="125"/>
  <c r="A34" i="125"/>
  <c r="A33" i="125"/>
  <c r="A32" i="125"/>
  <c r="A31" i="125"/>
  <c r="A27" i="125"/>
  <c r="A26" i="125"/>
  <c r="A25" i="125"/>
  <c r="A24" i="125"/>
  <c r="A23" i="125"/>
  <c r="A22" i="125"/>
  <c r="A21" i="125"/>
  <c r="A20" i="125"/>
  <c r="A19" i="125"/>
  <c r="A18" i="125"/>
  <c r="A17" i="125"/>
  <c r="A16" i="125"/>
  <c r="A15" i="125"/>
  <c r="A14" i="125"/>
  <c r="A13" i="125"/>
  <c r="A12" i="125"/>
  <c r="A11" i="125"/>
  <c r="A10" i="125"/>
  <c r="A6" i="125"/>
  <c r="A5" i="125"/>
  <c r="A4" i="125"/>
  <c r="A3" i="125"/>
  <c r="A649" i="124"/>
  <c r="A619" i="124"/>
  <c r="A589" i="124"/>
  <c r="A559" i="124"/>
  <c r="A529" i="124"/>
  <c r="A499" i="124"/>
  <c r="A469" i="124"/>
  <c r="A439" i="124"/>
  <c r="A409" i="124"/>
  <c r="A379" i="124"/>
  <c r="A349" i="124"/>
  <c r="A319" i="124"/>
  <c r="A289" i="124"/>
  <c r="A259" i="124"/>
  <c r="A229" i="124"/>
  <c r="A199" i="124"/>
  <c r="A169" i="124"/>
  <c r="A139" i="124"/>
  <c r="A109" i="124"/>
  <c r="A79" i="124"/>
  <c r="A68" i="124"/>
  <c r="A67" i="124"/>
  <c r="A66" i="124"/>
  <c r="A65" i="124"/>
  <c r="A64" i="124"/>
  <c r="A63" i="124"/>
  <c r="A62" i="124"/>
  <c r="A61" i="124"/>
  <c r="A60" i="124"/>
  <c r="A59" i="124"/>
  <c r="A58" i="124"/>
  <c r="A54" i="124"/>
  <c r="A53" i="124"/>
  <c r="A52" i="124"/>
  <c r="A51" i="124"/>
  <c r="A50" i="124"/>
  <c r="A49" i="124"/>
  <c r="A48" i="124"/>
  <c r="A47" i="124"/>
  <c r="A46" i="124"/>
  <c r="A45" i="124"/>
  <c r="A44" i="124"/>
  <c r="A43" i="124"/>
  <c r="A42" i="124"/>
  <c r="A41" i="124"/>
  <c r="A40" i="124"/>
  <c r="A39" i="124"/>
  <c r="A38" i="124"/>
  <c r="A37" i="124"/>
  <c r="A36" i="124"/>
  <c r="A35" i="124"/>
  <c r="A34" i="124"/>
  <c r="A33" i="124"/>
  <c r="A32" i="124"/>
  <c r="A31" i="124"/>
  <c r="A27" i="124"/>
  <c r="A26" i="124"/>
  <c r="A25" i="124"/>
  <c r="A24" i="124"/>
  <c r="A23" i="124"/>
  <c r="A22" i="124"/>
  <c r="A21" i="124"/>
  <c r="A20" i="124"/>
  <c r="A19" i="124"/>
  <c r="A18" i="124"/>
  <c r="A17" i="124"/>
  <c r="A16" i="124"/>
  <c r="A15" i="124"/>
  <c r="A14" i="124"/>
  <c r="A13" i="124"/>
  <c r="A12" i="124"/>
  <c r="A11" i="124"/>
  <c r="A10" i="124"/>
  <c r="A6" i="124"/>
  <c r="A5" i="124"/>
  <c r="A4" i="124"/>
  <c r="A3" i="124"/>
  <c r="A68" i="102"/>
  <c r="A67" i="102"/>
  <c r="A66" i="102"/>
  <c r="A65" i="102"/>
  <c r="A64" i="102"/>
  <c r="A63" i="102"/>
  <c r="A62" i="102"/>
  <c r="A61" i="102"/>
  <c r="A60" i="102"/>
  <c r="A59" i="102"/>
  <c r="A58" i="102"/>
  <c r="A54" i="102"/>
  <c r="A53" i="102"/>
  <c r="A52" i="102"/>
  <c r="A51" i="102"/>
  <c r="A50" i="102"/>
  <c r="A49" i="102"/>
  <c r="A48" i="102"/>
  <c r="A47" i="102"/>
  <c r="A46" i="102"/>
  <c r="A45" i="102"/>
  <c r="A44" i="102"/>
  <c r="A43" i="102"/>
  <c r="A42" i="102"/>
  <c r="A41" i="102"/>
  <c r="A40" i="102"/>
  <c r="A39" i="102"/>
  <c r="A38" i="102"/>
  <c r="A37" i="102"/>
  <c r="A36" i="102"/>
  <c r="A35" i="102"/>
  <c r="A34" i="102"/>
  <c r="A33" i="102"/>
  <c r="A32" i="102"/>
  <c r="A31" i="102"/>
  <c r="A27" i="102"/>
  <c r="A26" i="102"/>
  <c r="A25" i="102"/>
  <c r="A24" i="102"/>
  <c r="A23" i="102"/>
  <c r="A22" i="102"/>
  <c r="A21" i="102"/>
  <c r="A20" i="102"/>
  <c r="A19" i="102"/>
  <c r="A18" i="102"/>
  <c r="A17" i="102"/>
  <c r="A16" i="102"/>
  <c r="A15" i="102"/>
  <c r="A14" i="102"/>
  <c r="A13" i="102"/>
  <c r="A12" i="102"/>
  <c r="A11" i="102"/>
  <c r="A10" i="102"/>
  <c r="A6" i="102"/>
  <c r="A5" i="102"/>
  <c r="A4" i="102"/>
  <c r="A3" i="102"/>
  <c r="A169" i="112"/>
  <c r="A139" i="112"/>
  <c r="A109" i="112"/>
  <c r="A79" i="112"/>
  <c r="A68" i="112"/>
  <c r="A67" i="112"/>
  <c r="A66" i="112"/>
  <c r="A65" i="112"/>
  <c r="A64" i="112"/>
  <c r="A63" i="112"/>
  <c r="A62" i="112"/>
  <c r="A61" i="112"/>
  <c r="A60" i="112"/>
  <c r="A59" i="112"/>
  <c r="A58" i="112"/>
  <c r="A54" i="112"/>
  <c r="A53" i="112"/>
  <c r="A52" i="112"/>
  <c r="A51" i="112"/>
  <c r="A50" i="112"/>
  <c r="A49" i="112"/>
  <c r="A48" i="112"/>
  <c r="A47" i="112"/>
  <c r="A46" i="112"/>
  <c r="A45" i="112"/>
  <c r="A44" i="112"/>
  <c r="A43" i="112"/>
  <c r="A42" i="112"/>
  <c r="A41" i="112"/>
  <c r="A40" i="112"/>
  <c r="A39" i="112"/>
  <c r="A38" i="112"/>
  <c r="A37" i="112"/>
  <c r="A36" i="112"/>
  <c r="A35" i="112"/>
  <c r="A34" i="112"/>
  <c r="A33" i="112"/>
  <c r="A32" i="112"/>
  <c r="A31" i="112"/>
  <c r="A27" i="112"/>
  <c r="A26" i="112"/>
  <c r="A25" i="112"/>
  <c r="A24" i="112"/>
  <c r="A23" i="112"/>
  <c r="A22" i="112"/>
  <c r="A21" i="112"/>
  <c r="A20" i="112"/>
  <c r="A19" i="112"/>
  <c r="A18" i="112"/>
  <c r="A17" i="112"/>
  <c r="A16" i="112"/>
  <c r="A15" i="112"/>
  <c r="A14" i="112"/>
  <c r="A13" i="112"/>
  <c r="A12" i="112"/>
  <c r="A11" i="112"/>
  <c r="A10" i="112"/>
  <c r="A6" i="112"/>
  <c r="A5" i="112"/>
  <c r="A4" i="112"/>
  <c r="A3" i="112"/>
  <c r="A68" i="109"/>
  <c r="A67" i="109"/>
  <c r="A66" i="109"/>
  <c r="A65" i="109"/>
  <c r="A64" i="109"/>
  <c r="A63" i="109"/>
  <c r="A62" i="109"/>
  <c r="A61" i="109"/>
  <c r="A60" i="109"/>
  <c r="A59" i="109"/>
  <c r="A58" i="109"/>
  <c r="A54" i="109"/>
  <c r="A53" i="109"/>
  <c r="A52" i="109"/>
  <c r="A51" i="109"/>
  <c r="A50" i="109"/>
  <c r="A49" i="109"/>
  <c r="A48" i="109"/>
  <c r="A47" i="109"/>
  <c r="A46" i="109"/>
  <c r="A45" i="109"/>
  <c r="A44" i="109"/>
  <c r="A43" i="109"/>
  <c r="A42" i="109"/>
  <c r="A41" i="109"/>
  <c r="A40" i="109"/>
  <c r="A39" i="109"/>
  <c r="A38" i="109"/>
  <c r="A37" i="109"/>
  <c r="A36" i="109"/>
  <c r="A35" i="109"/>
  <c r="A34" i="109"/>
  <c r="A33" i="109"/>
  <c r="A32" i="109"/>
  <c r="A31" i="109"/>
  <c r="A27" i="109"/>
  <c r="A26" i="109"/>
  <c r="A25" i="109"/>
  <c r="A24" i="109"/>
  <c r="A23" i="109"/>
  <c r="A22" i="109"/>
  <c r="A21" i="109"/>
  <c r="A20" i="109"/>
  <c r="A19" i="109"/>
  <c r="A18" i="109"/>
  <c r="A17" i="109"/>
  <c r="A16" i="109"/>
  <c r="A15" i="109"/>
  <c r="A14" i="109"/>
  <c r="A13" i="109"/>
  <c r="A12" i="109"/>
  <c r="A11" i="109"/>
  <c r="A10" i="109"/>
  <c r="A6" i="109"/>
  <c r="A5" i="109"/>
  <c r="A4" i="109"/>
  <c r="A3" i="109"/>
  <c r="A68" i="106"/>
  <c r="A67" i="106"/>
  <c r="A66" i="106"/>
  <c r="A65" i="106"/>
  <c r="A64" i="106"/>
  <c r="A63" i="106"/>
  <c r="A62" i="106"/>
  <c r="A61" i="106"/>
  <c r="A60" i="106"/>
  <c r="A59" i="106"/>
  <c r="A58" i="106"/>
  <c r="A54" i="106"/>
  <c r="A53" i="106"/>
  <c r="A52" i="106"/>
  <c r="A51" i="106"/>
  <c r="A50" i="106"/>
  <c r="A49" i="106"/>
  <c r="A48" i="106"/>
  <c r="A47" i="106"/>
  <c r="A46" i="106"/>
  <c r="A45" i="106"/>
  <c r="A44" i="106"/>
  <c r="A43" i="106"/>
  <c r="A42" i="106"/>
  <c r="A41" i="106"/>
  <c r="A40" i="106"/>
  <c r="A39" i="106"/>
  <c r="A38" i="106"/>
  <c r="A37" i="106"/>
  <c r="A36" i="106"/>
  <c r="A35" i="106"/>
  <c r="A34" i="106"/>
  <c r="A33" i="106"/>
  <c r="A32" i="106"/>
  <c r="A31" i="106"/>
  <c r="A27" i="106"/>
  <c r="A26" i="106"/>
  <c r="A25" i="106"/>
  <c r="A24" i="106"/>
  <c r="A23" i="106"/>
  <c r="A22" i="106"/>
  <c r="A21" i="106"/>
  <c r="A20" i="106"/>
  <c r="A19" i="106"/>
  <c r="A18" i="106"/>
  <c r="A17" i="106"/>
  <c r="A16" i="106"/>
  <c r="A15" i="106"/>
  <c r="A14" i="106"/>
  <c r="A13" i="106"/>
  <c r="A12" i="106"/>
  <c r="A11" i="106"/>
  <c r="A10" i="106"/>
  <c r="A6" i="106"/>
  <c r="A5" i="106"/>
  <c r="A4" i="106"/>
  <c r="A3" i="106"/>
  <c r="A68" i="105"/>
  <c r="A67" i="105"/>
  <c r="A66" i="105"/>
  <c r="A65" i="105"/>
  <c r="A64" i="105"/>
  <c r="A63" i="105"/>
  <c r="A62" i="105"/>
  <c r="A61" i="105"/>
  <c r="A60" i="105"/>
  <c r="A59" i="105"/>
  <c r="A58" i="105"/>
  <c r="A54" i="105"/>
  <c r="A53" i="105"/>
  <c r="A52" i="105"/>
  <c r="A51" i="105"/>
  <c r="A50" i="105"/>
  <c r="A49" i="105"/>
  <c r="A48" i="105"/>
  <c r="A47" i="105"/>
  <c r="A46" i="105"/>
  <c r="A45" i="105"/>
  <c r="A44" i="105"/>
  <c r="A43" i="105"/>
  <c r="A42" i="105"/>
  <c r="A41" i="105"/>
  <c r="A40" i="105"/>
  <c r="A39" i="105"/>
  <c r="A38" i="105"/>
  <c r="A37" i="105"/>
  <c r="A36" i="105"/>
  <c r="A35" i="105"/>
  <c r="A34" i="105"/>
  <c r="A33" i="105"/>
  <c r="A32" i="105"/>
  <c r="A31" i="105"/>
  <c r="A27" i="105"/>
  <c r="A26" i="105"/>
  <c r="A25" i="105"/>
  <c r="A24" i="105"/>
  <c r="A23" i="105"/>
  <c r="A22" i="105"/>
  <c r="A21" i="105"/>
  <c r="A20" i="105"/>
  <c r="A19" i="105"/>
  <c r="A18" i="105"/>
  <c r="A17" i="105"/>
  <c r="A16" i="105"/>
  <c r="A15" i="105"/>
  <c r="A14" i="105"/>
  <c r="A13" i="105"/>
  <c r="A12" i="105"/>
  <c r="A11" i="105"/>
  <c r="A10" i="105"/>
  <c r="A6" i="105"/>
  <c r="A5" i="105"/>
  <c r="A4" i="105"/>
  <c r="A3" i="105"/>
  <c r="A68" i="116"/>
  <c r="A67" i="116"/>
  <c r="A66" i="116"/>
  <c r="A65" i="116"/>
  <c r="A64" i="116"/>
  <c r="A63" i="116"/>
  <c r="A62" i="116"/>
  <c r="A61" i="116"/>
  <c r="A60" i="116"/>
  <c r="A59" i="116"/>
  <c r="A58" i="116"/>
  <c r="A54" i="116"/>
  <c r="A53" i="116"/>
  <c r="A52" i="116"/>
  <c r="A51" i="116"/>
  <c r="A50" i="116"/>
  <c r="A49" i="116"/>
  <c r="A48" i="116"/>
  <c r="A47" i="116"/>
  <c r="A46" i="116"/>
  <c r="A45" i="116"/>
  <c r="A44" i="116"/>
  <c r="A43" i="116"/>
  <c r="A42" i="116"/>
  <c r="A41" i="116"/>
  <c r="A40" i="116"/>
  <c r="A39" i="116"/>
  <c r="A38" i="116"/>
  <c r="A37" i="116"/>
  <c r="A36" i="116"/>
  <c r="A35" i="116"/>
  <c r="A34" i="116"/>
  <c r="A33" i="116"/>
  <c r="A32" i="116"/>
  <c r="A31" i="116"/>
  <c r="A27" i="116"/>
  <c r="A26" i="116"/>
  <c r="A25" i="116"/>
  <c r="A24" i="116"/>
  <c r="A23" i="116"/>
  <c r="A22" i="116"/>
  <c r="A21" i="116"/>
  <c r="A20" i="116"/>
  <c r="A19" i="116"/>
  <c r="A18" i="116"/>
  <c r="A17" i="116"/>
  <c r="A16" i="116"/>
  <c r="A15" i="116"/>
  <c r="A14" i="116"/>
  <c r="A13" i="116"/>
  <c r="A12" i="116"/>
  <c r="A11" i="116"/>
  <c r="A10" i="116"/>
  <c r="A6" i="116"/>
  <c r="A5" i="116"/>
  <c r="A4" i="116"/>
  <c r="A3" i="116"/>
  <c r="A68" i="115"/>
  <c r="A67" i="115"/>
  <c r="A66" i="115"/>
  <c r="A65" i="115"/>
  <c r="A64" i="115"/>
  <c r="A63" i="115"/>
  <c r="A62" i="115"/>
  <c r="A61" i="115"/>
  <c r="A60" i="115"/>
  <c r="A59" i="115"/>
  <c r="A58" i="115"/>
  <c r="A54" i="115"/>
  <c r="A53" i="115"/>
  <c r="A52" i="115"/>
  <c r="A51" i="115"/>
  <c r="A50" i="115"/>
  <c r="A49" i="115"/>
  <c r="A48" i="115"/>
  <c r="A47" i="115"/>
  <c r="A46" i="115"/>
  <c r="A45" i="115"/>
  <c r="A44" i="115"/>
  <c r="A43" i="115"/>
  <c r="A42" i="115"/>
  <c r="A41" i="115"/>
  <c r="A40" i="115"/>
  <c r="A39" i="115"/>
  <c r="A38" i="115"/>
  <c r="A37" i="115"/>
  <c r="A36" i="115"/>
  <c r="A35" i="115"/>
  <c r="A34" i="115"/>
  <c r="A33" i="115"/>
  <c r="A32" i="115"/>
  <c r="A31" i="115"/>
  <c r="A27" i="115"/>
  <c r="A26" i="115"/>
  <c r="A25" i="115"/>
  <c r="A24" i="115"/>
  <c r="A23" i="115"/>
  <c r="A22" i="115"/>
  <c r="A21" i="115"/>
  <c r="A20" i="115"/>
  <c r="A19" i="115"/>
  <c r="A18" i="115"/>
  <c r="A17" i="115"/>
  <c r="A16" i="115"/>
  <c r="A15" i="115"/>
  <c r="A14" i="115"/>
  <c r="A13" i="115"/>
  <c r="A12" i="115"/>
  <c r="A11" i="115"/>
  <c r="A10" i="115"/>
  <c r="A6" i="115"/>
  <c r="A5" i="115"/>
  <c r="A4" i="115"/>
  <c r="A3" i="115"/>
  <c r="A79" i="99"/>
  <c r="A68" i="99"/>
  <c r="A67" i="99"/>
  <c r="A66" i="99"/>
  <c r="A65" i="99"/>
  <c r="A64" i="99"/>
  <c r="A63" i="99"/>
  <c r="A62" i="99"/>
  <c r="A61" i="99"/>
  <c r="A60" i="99"/>
  <c r="A59" i="99"/>
  <c r="A58" i="99"/>
  <c r="A54" i="99"/>
  <c r="A53" i="99"/>
  <c r="A52" i="99"/>
  <c r="A51" i="99"/>
  <c r="A50" i="99"/>
  <c r="A49" i="99"/>
  <c r="A48" i="99"/>
  <c r="A47" i="99"/>
  <c r="A46" i="99"/>
  <c r="A45" i="99"/>
  <c r="A44" i="99"/>
  <c r="A43" i="99"/>
  <c r="A42" i="99"/>
  <c r="A41" i="99"/>
  <c r="A40" i="99"/>
  <c r="A39" i="99"/>
  <c r="A38" i="99"/>
  <c r="A37" i="99"/>
  <c r="A36" i="99"/>
  <c r="A35" i="99"/>
  <c r="A34" i="99"/>
  <c r="A33" i="99"/>
  <c r="A32" i="99"/>
  <c r="A31" i="99"/>
  <c r="A27" i="99"/>
  <c r="A26" i="99"/>
  <c r="A25" i="99"/>
  <c r="A24" i="99"/>
  <c r="A23" i="99"/>
  <c r="A22" i="99"/>
  <c r="A21" i="99"/>
  <c r="A20" i="99"/>
  <c r="A19" i="99"/>
  <c r="A18" i="99"/>
  <c r="A17" i="99"/>
  <c r="A16" i="99"/>
  <c r="A15" i="99"/>
  <c r="A14" i="99"/>
  <c r="A13" i="99"/>
  <c r="A12" i="99"/>
  <c r="A11" i="99"/>
  <c r="A10" i="99"/>
  <c r="A6" i="99"/>
  <c r="A5" i="99"/>
  <c r="A4" i="99"/>
  <c r="A3" i="99"/>
  <c r="A139" i="98"/>
  <c r="A109" i="98"/>
  <c r="A79" i="98"/>
  <c r="A68" i="98"/>
  <c r="A67" i="98"/>
  <c r="A66" i="98"/>
  <c r="A65" i="98"/>
  <c r="A64" i="98"/>
  <c r="A63" i="98"/>
  <c r="A62" i="98"/>
  <c r="A61" i="98"/>
  <c r="A60" i="98"/>
  <c r="A59" i="98"/>
  <c r="A58" i="98"/>
  <c r="A54" i="98"/>
  <c r="A53" i="98"/>
  <c r="A52" i="98"/>
  <c r="A51" i="98"/>
  <c r="A50" i="98"/>
  <c r="A49" i="98"/>
  <c r="A48" i="98"/>
  <c r="A47" i="98"/>
  <c r="A46" i="98"/>
  <c r="A45" i="98"/>
  <c r="A44" i="98"/>
  <c r="A43" i="98"/>
  <c r="A42" i="98"/>
  <c r="A41" i="98"/>
  <c r="A40" i="98"/>
  <c r="A39" i="98"/>
  <c r="A38" i="98"/>
  <c r="A37" i="98"/>
  <c r="A36" i="98"/>
  <c r="A35" i="98"/>
  <c r="A34" i="98"/>
  <c r="A33" i="98"/>
  <c r="A32" i="98"/>
  <c r="A31" i="98"/>
  <c r="A27" i="98"/>
  <c r="A26" i="98"/>
  <c r="A25" i="98"/>
  <c r="A24" i="98"/>
  <c r="A23" i="98"/>
  <c r="A22" i="98"/>
  <c r="A21" i="98"/>
  <c r="A20" i="98"/>
  <c r="A19" i="98"/>
  <c r="A18" i="98"/>
  <c r="A17" i="98"/>
  <c r="A16" i="98"/>
  <c r="A15" i="98"/>
  <c r="A14" i="98"/>
  <c r="A13" i="98"/>
  <c r="A12" i="98"/>
  <c r="A11" i="98"/>
  <c r="A10" i="98"/>
  <c r="A6" i="98"/>
  <c r="A5" i="98"/>
  <c r="A4" i="98"/>
  <c r="A3" i="98"/>
  <c r="A68" i="97"/>
  <c r="A67" i="97"/>
  <c r="A66" i="97"/>
  <c r="A65" i="97"/>
  <c r="A64" i="97"/>
  <c r="A63" i="97"/>
  <c r="A62" i="97"/>
  <c r="A61" i="97"/>
  <c r="A60" i="97"/>
  <c r="A59" i="97"/>
  <c r="A58" i="97"/>
  <c r="A54" i="97"/>
  <c r="A53" i="97"/>
  <c r="A52" i="97"/>
  <c r="A51" i="97"/>
  <c r="A50" i="97"/>
  <c r="A49" i="97"/>
  <c r="A48" i="97"/>
  <c r="A47" i="97"/>
  <c r="A46" i="97"/>
  <c r="A45" i="97"/>
  <c r="A44" i="97"/>
  <c r="A43" i="97"/>
  <c r="A42" i="97"/>
  <c r="A41" i="97"/>
  <c r="A40" i="97"/>
  <c r="A39" i="97"/>
  <c r="A38" i="97"/>
  <c r="A37" i="97"/>
  <c r="A36" i="97"/>
  <c r="A35" i="97"/>
  <c r="A34" i="97"/>
  <c r="A33" i="97"/>
  <c r="A32" i="97"/>
  <c r="A31" i="97"/>
  <c r="A27" i="97"/>
  <c r="A26" i="97"/>
  <c r="A25" i="97"/>
  <c r="A24" i="97"/>
  <c r="A23" i="97"/>
  <c r="A22" i="97"/>
  <c r="A21" i="97"/>
  <c r="A20" i="97"/>
  <c r="A19" i="97"/>
  <c r="A18" i="97"/>
  <c r="A17" i="97"/>
  <c r="A16" i="97"/>
  <c r="A15" i="97"/>
  <c r="A14" i="97"/>
  <c r="A13" i="97"/>
  <c r="A12" i="97"/>
  <c r="A11" i="97"/>
  <c r="A10" i="97"/>
  <c r="A6" i="97"/>
  <c r="A5" i="97"/>
  <c r="A4" i="97"/>
  <c r="A3" i="97"/>
  <c r="A68" i="96"/>
  <c r="A67" i="96"/>
  <c r="A66" i="96"/>
  <c r="A65" i="96"/>
  <c r="A64" i="96"/>
  <c r="A63" i="96"/>
  <c r="A62" i="96"/>
  <c r="A61" i="96"/>
  <c r="A60" i="96"/>
  <c r="A59" i="96"/>
  <c r="A58" i="96"/>
  <c r="A54" i="96"/>
  <c r="A53" i="96"/>
  <c r="A52" i="96"/>
  <c r="A51" i="96"/>
  <c r="A50" i="96"/>
  <c r="A49" i="96"/>
  <c r="A48" i="96"/>
  <c r="A47" i="96"/>
  <c r="A46" i="96"/>
  <c r="A45" i="96"/>
  <c r="A44" i="96"/>
  <c r="A43" i="96"/>
  <c r="A42" i="96"/>
  <c r="A41" i="96"/>
  <c r="A40" i="96"/>
  <c r="A39" i="96"/>
  <c r="A38" i="96"/>
  <c r="A37" i="96"/>
  <c r="A36" i="96"/>
  <c r="A35" i="96"/>
  <c r="A34" i="96"/>
  <c r="A33" i="96"/>
  <c r="A32" i="96"/>
  <c r="A31" i="96"/>
  <c r="A27" i="96"/>
  <c r="A26" i="96"/>
  <c r="A25" i="96"/>
  <c r="A24" i="96"/>
  <c r="A23" i="96"/>
  <c r="A22" i="96"/>
  <c r="A21" i="96"/>
  <c r="A20" i="96"/>
  <c r="A19" i="96"/>
  <c r="A18" i="96"/>
  <c r="A17" i="96"/>
  <c r="A16" i="96"/>
  <c r="A15" i="96"/>
  <c r="A14" i="96"/>
  <c r="A13" i="96"/>
  <c r="A12" i="96"/>
  <c r="A11" i="96"/>
  <c r="A10" i="96"/>
  <c r="A6" i="96"/>
  <c r="A5" i="96"/>
  <c r="A4" i="96"/>
  <c r="A3" i="96"/>
  <c r="A68" i="95"/>
  <c r="A67" i="95"/>
  <c r="A66" i="95"/>
  <c r="A65" i="95"/>
  <c r="A64" i="95"/>
  <c r="A63" i="95"/>
  <c r="A62" i="95"/>
  <c r="A61" i="95"/>
  <c r="A60" i="95"/>
  <c r="A59" i="95"/>
  <c r="A58" i="95"/>
  <c r="A54" i="95"/>
  <c r="A53" i="95"/>
  <c r="A52" i="95"/>
  <c r="A51" i="95"/>
  <c r="A50" i="95"/>
  <c r="A49" i="95"/>
  <c r="A48" i="95"/>
  <c r="A47" i="95"/>
  <c r="A46" i="95"/>
  <c r="A45" i="95"/>
  <c r="A44" i="95"/>
  <c r="A43" i="95"/>
  <c r="A42" i="95"/>
  <c r="A41" i="95"/>
  <c r="A40" i="95"/>
  <c r="A39" i="95"/>
  <c r="A38" i="95"/>
  <c r="A37" i="95"/>
  <c r="A36" i="95"/>
  <c r="A35" i="95"/>
  <c r="A34" i="95"/>
  <c r="A33" i="95"/>
  <c r="A32" i="95"/>
  <c r="A31" i="95"/>
  <c r="A27" i="95"/>
  <c r="A26" i="95"/>
  <c r="A25" i="95"/>
  <c r="A24" i="95"/>
  <c r="A23" i="95"/>
  <c r="A22" i="95"/>
  <c r="A21" i="95"/>
  <c r="A20" i="95"/>
  <c r="A19" i="95"/>
  <c r="A18" i="95"/>
  <c r="A17" i="95"/>
  <c r="A16" i="95"/>
  <c r="A15" i="95"/>
  <c r="A14" i="95"/>
  <c r="A13" i="95"/>
  <c r="A12" i="95"/>
  <c r="A11" i="95"/>
  <c r="A10" i="95"/>
  <c r="A6" i="95"/>
  <c r="A5" i="95"/>
  <c r="A4" i="95"/>
  <c r="A3" i="95"/>
  <c r="A109" i="94"/>
  <c r="A79" i="94"/>
  <c r="A68" i="94"/>
  <c r="A67" i="94"/>
  <c r="A66" i="94"/>
  <c r="A65" i="94"/>
  <c r="A64" i="94"/>
  <c r="A63" i="94"/>
  <c r="A62" i="94"/>
  <c r="A61" i="94"/>
  <c r="A60" i="94"/>
  <c r="A59" i="94"/>
  <c r="A58" i="94"/>
  <c r="A54" i="94"/>
  <c r="A53" i="94"/>
  <c r="A52" i="94"/>
  <c r="A51" i="94"/>
  <c r="A50" i="94"/>
  <c r="A49" i="94"/>
  <c r="A48" i="94"/>
  <c r="A47" i="94"/>
  <c r="A46" i="94"/>
  <c r="A45" i="94"/>
  <c r="A44" i="94"/>
  <c r="A43" i="94"/>
  <c r="A42" i="94"/>
  <c r="A41" i="94"/>
  <c r="A40" i="94"/>
  <c r="A39" i="94"/>
  <c r="A38" i="94"/>
  <c r="A37" i="94"/>
  <c r="A36" i="94"/>
  <c r="A35" i="94"/>
  <c r="A34" i="94"/>
  <c r="A33" i="94"/>
  <c r="A32" i="94"/>
  <c r="A31" i="94"/>
  <c r="A27" i="94"/>
  <c r="A26" i="94"/>
  <c r="A25" i="94"/>
  <c r="A24" i="94"/>
  <c r="A23" i="94"/>
  <c r="A22" i="94"/>
  <c r="A21" i="94"/>
  <c r="A20" i="94"/>
  <c r="A19" i="94"/>
  <c r="A18" i="94"/>
  <c r="A17" i="94"/>
  <c r="A16" i="94"/>
  <c r="A15" i="94"/>
  <c r="A14" i="94"/>
  <c r="A13" i="94"/>
  <c r="A12" i="94"/>
  <c r="A11" i="94"/>
  <c r="A10" i="94"/>
  <c r="A6" i="94"/>
  <c r="A5" i="94"/>
  <c r="A4" i="94"/>
  <c r="A3" i="94"/>
  <c r="A68" i="90"/>
  <c r="A67" i="90"/>
  <c r="A66" i="90"/>
  <c r="A65" i="90"/>
  <c r="A64" i="90"/>
  <c r="A63" i="90"/>
  <c r="A62" i="90"/>
  <c r="A61" i="90"/>
  <c r="A60" i="90"/>
  <c r="A59" i="90"/>
  <c r="A58" i="90"/>
  <c r="A54" i="90"/>
  <c r="A53" i="90"/>
  <c r="A52" i="90"/>
  <c r="A51" i="90"/>
  <c r="A50" i="90"/>
  <c r="A49" i="90"/>
  <c r="A48" i="90"/>
  <c r="A47" i="90"/>
  <c r="A46" i="90"/>
  <c r="A45" i="90"/>
  <c r="A44" i="90"/>
  <c r="A43" i="90"/>
  <c r="A42" i="90"/>
  <c r="A41" i="90"/>
  <c r="A40" i="90"/>
  <c r="A39" i="90"/>
  <c r="A38" i="90"/>
  <c r="A37" i="90"/>
  <c r="A36" i="90"/>
  <c r="A35" i="90"/>
  <c r="A34" i="90"/>
  <c r="A33" i="90"/>
  <c r="A32" i="90"/>
  <c r="A31" i="90"/>
  <c r="A27" i="90"/>
  <c r="A26" i="90"/>
  <c r="A25" i="90"/>
  <c r="A24" i="90"/>
  <c r="A23" i="90"/>
  <c r="A22" i="90"/>
  <c r="A21" i="90"/>
  <c r="A20" i="90"/>
  <c r="A19" i="90"/>
  <c r="A18" i="90"/>
  <c r="A17" i="90"/>
  <c r="A16" i="90"/>
  <c r="A15" i="90"/>
  <c r="A14" i="90"/>
  <c r="A13" i="90"/>
  <c r="A12" i="90"/>
  <c r="A11" i="90"/>
  <c r="A10" i="90"/>
  <c r="A6" i="90"/>
  <c r="A5" i="90"/>
  <c r="A4" i="90"/>
  <c r="A3" i="90"/>
  <c r="A68" i="89"/>
  <c r="A67" i="89"/>
  <c r="A66" i="89"/>
  <c r="A65" i="89"/>
  <c r="A64" i="89"/>
  <c r="A63" i="89"/>
  <c r="A62" i="89"/>
  <c r="A61" i="89"/>
  <c r="A60" i="89"/>
  <c r="A59" i="89"/>
  <c r="A58" i="89"/>
  <c r="A54" i="89"/>
  <c r="A53" i="89"/>
  <c r="A52" i="89"/>
  <c r="A51" i="89"/>
  <c r="A50" i="89"/>
  <c r="A49" i="89"/>
  <c r="A48" i="89"/>
  <c r="A47" i="89"/>
  <c r="A46" i="89"/>
  <c r="A45" i="89"/>
  <c r="A44" i="89"/>
  <c r="A43" i="89"/>
  <c r="A42" i="89"/>
  <c r="A41" i="89"/>
  <c r="A40" i="89"/>
  <c r="A39" i="89"/>
  <c r="A38" i="89"/>
  <c r="A37" i="89"/>
  <c r="A36" i="89"/>
  <c r="A35" i="89"/>
  <c r="A34" i="89"/>
  <c r="A33" i="89"/>
  <c r="A32" i="89"/>
  <c r="A31" i="89"/>
  <c r="A27" i="89"/>
  <c r="A26" i="89"/>
  <c r="A25" i="89"/>
  <c r="A24" i="89"/>
  <c r="A23" i="89"/>
  <c r="A22" i="89"/>
  <c r="A21" i="89"/>
  <c r="A20" i="89"/>
  <c r="A19" i="89"/>
  <c r="A18" i="89"/>
  <c r="A17" i="89"/>
  <c r="A16" i="89"/>
  <c r="A15" i="89"/>
  <c r="A14" i="89"/>
  <c r="A13" i="89"/>
  <c r="A12" i="89"/>
  <c r="A11" i="89"/>
  <c r="A10" i="89"/>
  <c r="A6" i="89"/>
  <c r="A5" i="89"/>
  <c r="A4" i="89"/>
  <c r="A3" i="89"/>
  <c r="A68" i="88"/>
  <c r="A67" i="88"/>
  <c r="A66" i="88"/>
  <c r="A65" i="88"/>
  <c r="A64" i="88"/>
  <c r="A63" i="88"/>
  <c r="A62" i="88"/>
  <c r="A61" i="88"/>
  <c r="A60" i="88"/>
  <c r="A59" i="88"/>
  <c r="A58" i="88"/>
  <c r="A54" i="88"/>
  <c r="A53" i="88"/>
  <c r="A52" i="88"/>
  <c r="A51" i="88"/>
  <c r="A50" i="88"/>
  <c r="A49" i="88"/>
  <c r="A48" i="88"/>
  <c r="A47" i="88"/>
  <c r="A46" i="88"/>
  <c r="A45" i="88"/>
  <c r="A44" i="88"/>
  <c r="A43" i="88"/>
  <c r="A42" i="88"/>
  <c r="A41" i="88"/>
  <c r="A40" i="88"/>
  <c r="A39" i="88"/>
  <c r="A38" i="88"/>
  <c r="A37" i="88"/>
  <c r="A36" i="88"/>
  <c r="A35" i="88"/>
  <c r="A34" i="88"/>
  <c r="A33" i="88"/>
  <c r="A32" i="88"/>
  <c r="A31" i="88"/>
  <c r="A27" i="88"/>
  <c r="A26" i="88"/>
  <c r="A25" i="88"/>
  <c r="A24" i="88"/>
  <c r="A23" i="88"/>
  <c r="A22" i="88"/>
  <c r="A21" i="88"/>
  <c r="A20" i="88"/>
  <c r="A19" i="88"/>
  <c r="A18" i="88"/>
  <c r="A17" i="88"/>
  <c r="A16" i="88"/>
  <c r="A15" i="88"/>
  <c r="A14" i="88"/>
  <c r="A13" i="88"/>
  <c r="A12" i="88"/>
  <c r="A11" i="88"/>
  <c r="A10" i="88"/>
  <c r="A6" i="88"/>
  <c r="A5" i="88"/>
  <c r="A4" i="88"/>
  <c r="A3" i="88"/>
  <c r="A139" i="87"/>
  <c r="A109" i="87"/>
  <c r="A79" i="87"/>
  <c r="A68" i="87"/>
  <c r="A67" i="87"/>
  <c r="A66" i="87"/>
  <c r="A65" i="87"/>
  <c r="A64" i="87"/>
  <c r="A63" i="87"/>
  <c r="A62" i="87"/>
  <c r="A61" i="87"/>
  <c r="A60" i="87"/>
  <c r="A59" i="87"/>
  <c r="A58" i="87"/>
  <c r="A54" i="87"/>
  <c r="A53" i="87"/>
  <c r="A52" i="87"/>
  <c r="A51" i="87"/>
  <c r="A50" i="87"/>
  <c r="A49" i="87"/>
  <c r="A48" i="87"/>
  <c r="A47" i="87"/>
  <c r="A46" i="87"/>
  <c r="A45" i="87"/>
  <c r="A44" i="87"/>
  <c r="A43" i="87"/>
  <c r="A42" i="87"/>
  <c r="A41" i="87"/>
  <c r="A40" i="87"/>
  <c r="A39" i="87"/>
  <c r="A38" i="87"/>
  <c r="A37" i="87"/>
  <c r="A36" i="87"/>
  <c r="A35" i="87"/>
  <c r="A34" i="87"/>
  <c r="A33" i="87"/>
  <c r="A32" i="87"/>
  <c r="A31" i="87"/>
  <c r="A27" i="87"/>
  <c r="A26" i="87"/>
  <c r="A25" i="87"/>
  <c r="A24" i="87"/>
  <c r="A23" i="87"/>
  <c r="A22" i="87"/>
  <c r="A21" i="87"/>
  <c r="A20" i="87"/>
  <c r="A19" i="87"/>
  <c r="A18" i="87"/>
  <c r="A17" i="87"/>
  <c r="A16" i="87"/>
  <c r="A15" i="87"/>
  <c r="A14" i="87"/>
  <c r="A13" i="87"/>
  <c r="A12" i="87"/>
  <c r="A11" i="87"/>
  <c r="A10" i="87"/>
  <c r="A6" i="87"/>
  <c r="A5" i="87"/>
  <c r="A4" i="87"/>
  <c r="A3" i="87"/>
  <c r="A68" i="86"/>
  <c r="A67" i="86"/>
  <c r="A66" i="86"/>
  <c r="A65" i="86"/>
  <c r="A64" i="86"/>
  <c r="A63" i="86"/>
  <c r="A62" i="86"/>
  <c r="A61" i="86"/>
  <c r="A60" i="86"/>
  <c r="A59" i="86"/>
  <c r="A58" i="86"/>
  <c r="A54" i="86"/>
  <c r="A53" i="86"/>
  <c r="A52" i="86"/>
  <c r="A51" i="86"/>
  <c r="A50" i="86"/>
  <c r="A49" i="86"/>
  <c r="A48" i="86"/>
  <c r="A47" i="86"/>
  <c r="A46" i="86"/>
  <c r="A45" i="86"/>
  <c r="A44" i="86"/>
  <c r="A43" i="86"/>
  <c r="A42" i="86"/>
  <c r="A41" i="86"/>
  <c r="A40" i="86"/>
  <c r="A39" i="86"/>
  <c r="A38" i="86"/>
  <c r="A37" i="86"/>
  <c r="A36" i="86"/>
  <c r="A35" i="86"/>
  <c r="A34" i="86"/>
  <c r="A33" i="86"/>
  <c r="A32" i="86"/>
  <c r="A31" i="86"/>
  <c r="A27" i="86"/>
  <c r="A26" i="86"/>
  <c r="A25" i="86"/>
  <c r="A24" i="86"/>
  <c r="A23" i="86"/>
  <c r="A22" i="86"/>
  <c r="A21" i="86"/>
  <c r="A20" i="86"/>
  <c r="A19" i="86"/>
  <c r="A18" i="86"/>
  <c r="A17" i="86"/>
  <c r="A16" i="86"/>
  <c r="A15" i="86"/>
  <c r="A14" i="86"/>
  <c r="A13" i="86"/>
  <c r="A12" i="86"/>
  <c r="A11" i="86"/>
  <c r="A10" i="86"/>
  <c r="A6" i="86"/>
  <c r="A5" i="86"/>
  <c r="A4" i="86"/>
  <c r="A3" i="86"/>
  <c r="A68" i="85"/>
  <c r="A67" i="85"/>
  <c r="A66" i="85"/>
  <c r="A65" i="85"/>
  <c r="A64" i="85"/>
  <c r="A63" i="85"/>
  <c r="A62" i="85"/>
  <c r="A61" i="85"/>
  <c r="A60" i="85"/>
  <c r="A59" i="85"/>
  <c r="A58" i="85"/>
  <c r="A54" i="85"/>
  <c r="A53" i="85"/>
  <c r="A52" i="85"/>
  <c r="A51" i="85"/>
  <c r="A50" i="85"/>
  <c r="A49" i="85"/>
  <c r="A48" i="85"/>
  <c r="A47" i="85"/>
  <c r="A46" i="85"/>
  <c r="A45" i="85"/>
  <c r="A44" i="85"/>
  <c r="A43" i="85"/>
  <c r="A42" i="85"/>
  <c r="A41" i="85"/>
  <c r="A40" i="85"/>
  <c r="A39" i="85"/>
  <c r="A38" i="85"/>
  <c r="A37" i="85"/>
  <c r="A36" i="85"/>
  <c r="A35" i="85"/>
  <c r="A34" i="85"/>
  <c r="A33" i="85"/>
  <c r="A32" i="85"/>
  <c r="A31" i="85"/>
  <c r="A27" i="85"/>
  <c r="A26" i="85"/>
  <c r="A25" i="85"/>
  <c r="A24" i="85"/>
  <c r="A23" i="85"/>
  <c r="A22" i="85"/>
  <c r="A21" i="85"/>
  <c r="A20" i="85"/>
  <c r="A19" i="85"/>
  <c r="A18" i="85"/>
  <c r="A17" i="85"/>
  <c r="A16" i="85"/>
  <c r="A15" i="85"/>
  <c r="A14" i="85"/>
  <c r="A13" i="85"/>
  <c r="A12" i="85"/>
  <c r="A11" i="85"/>
  <c r="A10" i="85"/>
  <c r="A6" i="85"/>
  <c r="A5" i="85"/>
  <c r="A4" i="85"/>
  <c r="A3" i="85"/>
  <c r="A289" i="84"/>
  <c r="A259" i="84"/>
  <c r="A229" i="84"/>
  <c r="A199" i="84"/>
  <c r="A169" i="84"/>
  <c r="A139" i="84"/>
  <c r="A109" i="84"/>
  <c r="A79" i="84"/>
  <c r="A68" i="84"/>
  <c r="A67" i="84"/>
  <c r="A66" i="84"/>
  <c r="A65" i="84"/>
  <c r="A64" i="84"/>
  <c r="A63" i="84"/>
  <c r="A62" i="84"/>
  <c r="A61" i="84"/>
  <c r="A60" i="84"/>
  <c r="A59" i="84"/>
  <c r="A58" i="84"/>
  <c r="A54" i="84"/>
  <c r="A53" i="84"/>
  <c r="A52" i="84"/>
  <c r="A51" i="84"/>
  <c r="A50" i="84"/>
  <c r="A49" i="84"/>
  <c r="A48" i="84"/>
  <c r="A47" i="84"/>
  <c r="A46" i="84"/>
  <c r="A45" i="84"/>
  <c r="A44" i="84"/>
  <c r="A43" i="84"/>
  <c r="A42" i="84"/>
  <c r="A41" i="84"/>
  <c r="A40" i="84"/>
  <c r="A39" i="84"/>
  <c r="A38" i="84"/>
  <c r="A37" i="84"/>
  <c r="A36" i="84"/>
  <c r="A35" i="84"/>
  <c r="A34" i="84"/>
  <c r="A33" i="84"/>
  <c r="A32" i="84"/>
  <c r="A31" i="84"/>
  <c r="A27" i="84"/>
  <c r="A26" i="84"/>
  <c r="A25" i="84"/>
  <c r="A24" i="84"/>
  <c r="A23" i="84"/>
  <c r="A22" i="84"/>
  <c r="A21" i="84"/>
  <c r="A20" i="84"/>
  <c r="A19" i="84"/>
  <c r="A18" i="84"/>
  <c r="A17" i="84"/>
  <c r="A16" i="84"/>
  <c r="A15" i="84"/>
  <c r="A14" i="84"/>
  <c r="A13" i="84"/>
  <c r="A12" i="84"/>
  <c r="A11" i="84"/>
  <c r="A10" i="84"/>
  <c r="A6" i="84"/>
  <c r="A5" i="84"/>
  <c r="A4" i="84"/>
  <c r="A3" i="84"/>
  <c r="A289" i="83"/>
  <c r="A259" i="83"/>
  <c r="A229" i="83"/>
  <c r="A199" i="83"/>
  <c r="A169" i="83"/>
  <c r="A139" i="83"/>
  <c r="A109" i="83"/>
  <c r="A79" i="83"/>
  <c r="A68" i="83"/>
  <c r="A67" i="83"/>
  <c r="A66" i="83"/>
  <c r="A65" i="83"/>
  <c r="A64" i="83"/>
  <c r="A63" i="83"/>
  <c r="A62" i="83"/>
  <c r="A61" i="83"/>
  <c r="A60" i="83"/>
  <c r="A59" i="83"/>
  <c r="A58" i="83"/>
  <c r="A54" i="83"/>
  <c r="A53" i="83"/>
  <c r="A52" i="83"/>
  <c r="A51" i="83"/>
  <c r="A50" i="83"/>
  <c r="A49" i="83"/>
  <c r="A48" i="83"/>
  <c r="A47" i="83"/>
  <c r="A46" i="83"/>
  <c r="A45" i="83"/>
  <c r="A44" i="83"/>
  <c r="A43" i="83"/>
  <c r="A42" i="83"/>
  <c r="A41" i="83"/>
  <c r="A40" i="83"/>
  <c r="A39" i="83"/>
  <c r="A38" i="83"/>
  <c r="A37" i="83"/>
  <c r="A36" i="83"/>
  <c r="A35" i="83"/>
  <c r="A34" i="83"/>
  <c r="A33" i="83"/>
  <c r="A32" i="83"/>
  <c r="A31" i="83"/>
  <c r="A27" i="83"/>
  <c r="A26" i="83"/>
  <c r="A25" i="83"/>
  <c r="A24" i="83"/>
  <c r="A23" i="83"/>
  <c r="A22" i="83"/>
  <c r="A21" i="83"/>
  <c r="A20" i="83"/>
  <c r="A19" i="83"/>
  <c r="A18" i="83"/>
  <c r="A17" i="83"/>
  <c r="A16" i="83"/>
  <c r="A15" i="83"/>
  <c r="A14" i="83"/>
  <c r="A13" i="83"/>
  <c r="A12" i="83"/>
  <c r="A11" i="83"/>
  <c r="A10" i="83"/>
  <c r="A6" i="83"/>
  <c r="A5" i="83"/>
  <c r="A4" i="83"/>
  <c r="A3" i="83"/>
  <c r="A169" i="92"/>
  <c r="A139" i="92"/>
  <c r="A109" i="92"/>
  <c r="A79" i="92"/>
  <c r="A68" i="92"/>
  <c r="A67" i="92"/>
  <c r="A66" i="92"/>
  <c r="A65" i="92"/>
  <c r="A64" i="92"/>
  <c r="A63" i="92"/>
  <c r="A62" i="92"/>
  <c r="A61" i="92"/>
  <c r="A60" i="92"/>
  <c r="A59" i="92"/>
  <c r="A58" i="92"/>
  <c r="A54" i="92"/>
  <c r="A53" i="92"/>
  <c r="A52" i="92"/>
  <c r="A51" i="92"/>
  <c r="A50" i="92"/>
  <c r="A49" i="92"/>
  <c r="A48" i="92"/>
  <c r="A47" i="92"/>
  <c r="A46" i="92"/>
  <c r="A45" i="92"/>
  <c r="A44" i="92"/>
  <c r="A43" i="92"/>
  <c r="A42" i="92"/>
  <c r="A41" i="92"/>
  <c r="A40" i="92"/>
  <c r="A39" i="92"/>
  <c r="A38" i="92"/>
  <c r="A37" i="92"/>
  <c r="A36" i="92"/>
  <c r="A35" i="92"/>
  <c r="A34" i="92"/>
  <c r="A33" i="92"/>
  <c r="A32" i="92"/>
  <c r="A31" i="92"/>
  <c r="A27" i="92"/>
  <c r="A26" i="92"/>
  <c r="A25" i="92"/>
  <c r="A24" i="92"/>
  <c r="A23" i="92"/>
  <c r="A22" i="92"/>
  <c r="A21" i="92"/>
  <c r="A20" i="92"/>
  <c r="A19" i="92"/>
  <c r="A18" i="92"/>
  <c r="A17" i="92"/>
  <c r="A16" i="92"/>
  <c r="A15" i="92"/>
  <c r="A14" i="92"/>
  <c r="A13" i="92"/>
  <c r="A12" i="92"/>
  <c r="A11" i="92"/>
  <c r="A10" i="92"/>
  <c r="A6" i="92"/>
  <c r="A5" i="92"/>
  <c r="A4" i="92"/>
  <c r="A3" i="92"/>
  <c r="A68" i="123"/>
  <c r="A67" i="123"/>
  <c r="A66" i="123"/>
  <c r="A65" i="123"/>
  <c r="A64" i="123"/>
  <c r="A63" i="123"/>
  <c r="A62" i="123"/>
  <c r="A61" i="123"/>
  <c r="A60" i="123"/>
  <c r="A59" i="123"/>
  <c r="A58" i="123"/>
  <c r="A54" i="123"/>
  <c r="A53" i="123"/>
  <c r="A52" i="123"/>
  <c r="A51" i="123"/>
  <c r="A50" i="123"/>
  <c r="A49" i="123"/>
  <c r="A48" i="123"/>
  <c r="A47" i="123"/>
  <c r="A46" i="123"/>
  <c r="A45" i="123"/>
  <c r="A44" i="123"/>
  <c r="A43" i="123"/>
  <c r="A42" i="123"/>
  <c r="A41" i="123"/>
  <c r="A40" i="123"/>
  <c r="A39" i="123"/>
  <c r="A38" i="123"/>
  <c r="A37" i="123"/>
  <c r="A36" i="123"/>
  <c r="A35" i="123"/>
  <c r="A34" i="123"/>
  <c r="A33" i="123"/>
  <c r="A32" i="123"/>
  <c r="A31" i="123"/>
  <c r="A27" i="123"/>
  <c r="A26" i="123"/>
  <c r="A25" i="123"/>
  <c r="A24" i="123"/>
  <c r="A23" i="123"/>
  <c r="A22" i="123"/>
  <c r="A21" i="123"/>
  <c r="A20" i="123"/>
  <c r="A19" i="123"/>
  <c r="A18" i="123"/>
  <c r="A17" i="123"/>
  <c r="A16" i="123"/>
  <c r="A15" i="123"/>
  <c r="A14" i="123"/>
  <c r="A13" i="123"/>
  <c r="A12" i="123"/>
  <c r="A11" i="123"/>
  <c r="A10" i="123"/>
  <c r="A6" i="123"/>
  <c r="A5" i="123"/>
  <c r="A4" i="123"/>
  <c r="A3" i="123"/>
  <c r="A68" i="111"/>
  <c r="A67" i="111"/>
  <c r="A66" i="111"/>
  <c r="A65" i="111"/>
  <c r="A64" i="111"/>
  <c r="A63" i="111"/>
  <c r="A62" i="111"/>
  <c r="A61" i="111"/>
  <c r="A60" i="111"/>
  <c r="A59" i="111"/>
  <c r="A58" i="111"/>
  <c r="A54" i="111"/>
  <c r="A53" i="111"/>
  <c r="A52" i="111"/>
  <c r="A51" i="111"/>
  <c r="A50" i="111"/>
  <c r="A49" i="111"/>
  <c r="A48" i="111"/>
  <c r="A47" i="111"/>
  <c r="A46" i="111"/>
  <c r="A45" i="111"/>
  <c r="A44" i="111"/>
  <c r="A43" i="111"/>
  <c r="A42" i="111"/>
  <c r="A41" i="111"/>
  <c r="A40" i="111"/>
  <c r="A39" i="111"/>
  <c r="A38" i="111"/>
  <c r="A37" i="111"/>
  <c r="A36" i="111"/>
  <c r="A35" i="111"/>
  <c r="A34" i="111"/>
  <c r="A33" i="111"/>
  <c r="A32" i="111"/>
  <c r="A31" i="111"/>
  <c r="A27" i="111"/>
  <c r="A26" i="111"/>
  <c r="A25" i="111"/>
  <c r="A24" i="111"/>
  <c r="A23" i="111"/>
  <c r="A22" i="111"/>
  <c r="A21" i="111"/>
  <c r="A20" i="111"/>
  <c r="A19" i="111"/>
  <c r="A18" i="111"/>
  <c r="A17" i="111"/>
  <c r="A16" i="111"/>
  <c r="A15" i="111"/>
  <c r="A14" i="111"/>
  <c r="A13" i="111"/>
  <c r="A12" i="111"/>
  <c r="A11" i="111"/>
  <c r="A10" i="111"/>
  <c r="A6" i="111"/>
  <c r="A5" i="111"/>
  <c r="A4" i="111"/>
  <c r="A3" i="111"/>
  <c r="A68" i="122"/>
  <c r="A67" i="122"/>
  <c r="A66" i="122"/>
  <c r="A65" i="122"/>
  <c r="A64" i="122"/>
  <c r="A63" i="122"/>
  <c r="A62" i="122"/>
  <c r="A61" i="122"/>
  <c r="A60" i="122"/>
  <c r="A59" i="122"/>
  <c r="A58" i="122"/>
  <c r="A54" i="122"/>
  <c r="A53" i="122"/>
  <c r="A52" i="122"/>
  <c r="A51" i="122"/>
  <c r="A50" i="122"/>
  <c r="A49" i="122"/>
  <c r="A48" i="122"/>
  <c r="A47" i="122"/>
  <c r="A46" i="122"/>
  <c r="A45" i="122"/>
  <c r="A44" i="122"/>
  <c r="A43" i="122"/>
  <c r="A42" i="122"/>
  <c r="A41" i="122"/>
  <c r="A40" i="122"/>
  <c r="A39" i="122"/>
  <c r="A38" i="122"/>
  <c r="A37" i="122"/>
  <c r="A36" i="122"/>
  <c r="A35" i="122"/>
  <c r="A34" i="122"/>
  <c r="A33" i="122"/>
  <c r="A32" i="122"/>
  <c r="A31" i="122"/>
  <c r="A27" i="122"/>
  <c r="A26" i="122"/>
  <c r="A25" i="122"/>
  <c r="A24" i="122"/>
  <c r="A23" i="122"/>
  <c r="A22" i="122"/>
  <c r="A21" i="122"/>
  <c r="A20" i="122"/>
  <c r="A19" i="122"/>
  <c r="A18" i="122"/>
  <c r="A17" i="122"/>
  <c r="A16" i="122"/>
  <c r="A15" i="122"/>
  <c r="A14" i="122"/>
  <c r="A13" i="122"/>
  <c r="A12" i="122"/>
  <c r="A11" i="122"/>
  <c r="A10" i="122"/>
  <c r="A6" i="122"/>
  <c r="A5" i="122"/>
  <c r="A4" i="122"/>
  <c r="A3" i="122"/>
  <c r="A68" i="121"/>
  <c r="A67" i="121"/>
  <c r="A66" i="121"/>
  <c r="A65" i="121"/>
  <c r="A64" i="121"/>
  <c r="A63" i="121"/>
  <c r="A62" i="121"/>
  <c r="A61" i="121"/>
  <c r="A60" i="121"/>
  <c r="A59" i="121"/>
  <c r="A58" i="121"/>
  <c r="A54" i="121"/>
  <c r="A53" i="121"/>
  <c r="A52" i="121"/>
  <c r="A51" i="121"/>
  <c r="A50" i="121"/>
  <c r="A49" i="121"/>
  <c r="A48" i="121"/>
  <c r="A47" i="121"/>
  <c r="A46" i="121"/>
  <c r="A45" i="121"/>
  <c r="A44" i="121"/>
  <c r="A43" i="121"/>
  <c r="A42" i="121"/>
  <c r="A41" i="121"/>
  <c r="A40" i="121"/>
  <c r="A39" i="121"/>
  <c r="A38" i="121"/>
  <c r="A37" i="121"/>
  <c r="A36" i="121"/>
  <c r="A35" i="121"/>
  <c r="A34" i="121"/>
  <c r="A33" i="121"/>
  <c r="A32" i="121"/>
  <c r="A31" i="121"/>
  <c r="A27" i="121"/>
  <c r="A26" i="121"/>
  <c r="A25" i="121"/>
  <c r="A24" i="121"/>
  <c r="A23" i="121"/>
  <c r="A22" i="121"/>
  <c r="A21" i="121"/>
  <c r="A20" i="121"/>
  <c r="A19" i="121"/>
  <c r="A18" i="121"/>
  <c r="A17" i="121"/>
  <c r="A16" i="121"/>
  <c r="A15" i="121"/>
  <c r="A14" i="121"/>
  <c r="A13" i="121"/>
  <c r="A12" i="121"/>
  <c r="A11" i="121"/>
  <c r="A10" i="121"/>
  <c r="A6" i="121"/>
  <c r="A5" i="121"/>
  <c r="A4" i="121"/>
  <c r="A3" i="121"/>
  <c r="A68" i="120"/>
  <c r="A67" i="120"/>
  <c r="A66" i="120"/>
  <c r="A65" i="120"/>
  <c r="A64" i="120"/>
  <c r="A63" i="120"/>
  <c r="A62" i="120"/>
  <c r="A61" i="120"/>
  <c r="A60" i="120"/>
  <c r="A59" i="120"/>
  <c r="A58" i="120"/>
  <c r="A54" i="120"/>
  <c r="A53" i="120"/>
  <c r="A52" i="120"/>
  <c r="A51" i="120"/>
  <c r="A50" i="120"/>
  <c r="A49" i="120"/>
  <c r="A48" i="120"/>
  <c r="A47" i="120"/>
  <c r="A46" i="120"/>
  <c r="A45" i="120"/>
  <c r="A44" i="120"/>
  <c r="A43" i="120"/>
  <c r="A42" i="120"/>
  <c r="A41" i="120"/>
  <c r="A40" i="120"/>
  <c r="A39" i="120"/>
  <c r="A38" i="120"/>
  <c r="A37" i="120"/>
  <c r="A36" i="120"/>
  <c r="A35" i="120"/>
  <c r="A34" i="120"/>
  <c r="A33" i="120"/>
  <c r="A32" i="120"/>
  <c r="A31" i="120"/>
  <c r="A27" i="120"/>
  <c r="A26" i="120"/>
  <c r="A25" i="120"/>
  <c r="A24" i="120"/>
  <c r="A23" i="120"/>
  <c r="A22" i="120"/>
  <c r="A21" i="120"/>
  <c r="A20" i="120"/>
  <c r="A19" i="120"/>
  <c r="A18" i="120"/>
  <c r="A17" i="120"/>
  <c r="A16" i="120"/>
  <c r="A15" i="120"/>
  <c r="A14" i="120"/>
  <c r="A13" i="120"/>
  <c r="A12" i="120"/>
  <c r="A11" i="120"/>
  <c r="A10" i="120"/>
  <c r="A6" i="120"/>
  <c r="A5" i="120"/>
  <c r="A4" i="120"/>
  <c r="A3" i="120"/>
  <c r="A68" i="119"/>
  <c r="A67" i="119"/>
  <c r="A66" i="119"/>
  <c r="A65" i="119"/>
  <c r="A64" i="119"/>
  <c r="A63" i="119"/>
  <c r="A62" i="119"/>
  <c r="A61" i="119"/>
  <c r="A60" i="119"/>
  <c r="A59" i="119"/>
  <c r="A58" i="119"/>
  <c r="A54" i="119"/>
  <c r="A53" i="119"/>
  <c r="A52" i="119"/>
  <c r="A51" i="119"/>
  <c r="A50" i="119"/>
  <c r="A49" i="119"/>
  <c r="A48" i="119"/>
  <c r="A47" i="119"/>
  <c r="A46" i="119"/>
  <c r="A45" i="119"/>
  <c r="A44" i="119"/>
  <c r="A43" i="119"/>
  <c r="A42" i="119"/>
  <c r="A41" i="119"/>
  <c r="A40" i="119"/>
  <c r="A39" i="119"/>
  <c r="A38" i="119"/>
  <c r="A37" i="119"/>
  <c r="A36" i="119"/>
  <c r="A35" i="119"/>
  <c r="A34" i="119"/>
  <c r="A33" i="119"/>
  <c r="A32" i="119"/>
  <c r="A31" i="119"/>
  <c r="A27" i="119"/>
  <c r="A26" i="119"/>
  <c r="A25" i="119"/>
  <c r="A24" i="119"/>
  <c r="A23" i="119"/>
  <c r="A22" i="119"/>
  <c r="A21" i="119"/>
  <c r="A20" i="119"/>
  <c r="A19" i="119"/>
  <c r="A18" i="119"/>
  <c r="A17" i="119"/>
  <c r="A16" i="119"/>
  <c r="A15" i="119"/>
  <c r="A14" i="119"/>
  <c r="A13" i="119"/>
  <c r="A12" i="119"/>
  <c r="A11" i="119"/>
  <c r="A10" i="119"/>
  <c r="A6" i="119"/>
  <c r="A5" i="119"/>
  <c r="A4" i="119"/>
  <c r="A3" i="119"/>
  <c r="A68" i="101"/>
  <c r="A67" i="101"/>
  <c r="A66" i="101"/>
  <c r="A65" i="101"/>
  <c r="A64" i="101"/>
  <c r="A63" i="101"/>
  <c r="A62" i="101"/>
  <c r="A61" i="101"/>
  <c r="A60" i="101"/>
  <c r="A59" i="101"/>
  <c r="A58" i="101"/>
  <c r="A54" i="101"/>
  <c r="A53" i="101"/>
  <c r="A52" i="101"/>
  <c r="A51" i="101"/>
  <c r="A50" i="101"/>
  <c r="A49" i="101"/>
  <c r="A48" i="101"/>
  <c r="A47" i="101"/>
  <c r="A46" i="101"/>
  <c r="A45" i="101"/>
  <c r="A44" i="101"/>
  <c r="A43" i="101"/>
  <c r="A42" i="101"/>
  <c r="A41" i="101"/>
  <c r="A40" i="101"/>
  <c r="A39" i="101"/>
  <c r="A38" i="101"/>
  <c r="A37" i="101"/>
  <c r="A36" i="101"/>
  <c r="A35" i="101"/>
  <c r="A34" i="101"/>
  <c r="A33" i="101"/>
  <c r="A32" i="101"/>
  <c r="A31" i="101"/>
  <c r="A27" i="101"/>
  <c r="A26" i="101"/>
  <c r="A25" i="101"/>
  <c r="A24" i="101"/>
  <c r="A23" i="101"/>
  <c r="A22" i="101"/>
  <c r="A21" i="101"/>
  <c r="A20" i="101"/>
  <c r="A19" i="101"/>
  <c r="A18" i="101"/>
  <c r="A17" i="101"/>
  <c r="A16" i="101"/>
  <c r="A15" i="101"/>
  <c r="A14" i="101"/>
  <c r="A13" i="101"/>
  <c r="A12" i="101"/>
  <c r="A11" i="101"/>
  <c r="A10" i="101"/>
  <c r="A6" i="101"/>
  <c r="A5" i="101"/>
  <c r="A4" i="101"/>
  <c r="A3" i="101"/>
  <c r="A68" i="104"/>
  <c r="A67" i="104"/>
  <c r="A66" i="104"/>
  <c r="A65" i="104"/>
  <c r="A64" i="104"/>
  <c r="A63" i="104"/>
  <c r="A62" i="104"/>
  <c r="A61" i="104"/>
  <c r="A60" i="104"/>
  <c r="A59" i="104"/>
  <c r="A58" i="104"/>
  <c r="A54" i="104"/>
  <c r="A53" i="104"/>
  <c r="A52" i="104"/>
  <c r="A51" i="104"/>
  <c r="A50" i="104"/>
  <c r="A49" i="104"/>
  <c r="A48" i="104"/>
  <c r="A47" i="104"/>
  <c r="A46" i="104"/>
  <c r="A45" i="104"/>
  <c r="A44" i="104"/>
  <c r="A43" i="104"/>
  <c r="A42" i="104"/>
  <c r="A41" i="104"/>
  <c r="A40" i="104"/>
  <c r="A39" i="104"/>
  <c r="A38" i="104"/>
  <c r="A37" i="104"/>
  <c r="A36" i="104"/>
  <c r="A35" i="104"/>
  <c r="A34" i="104"/>
  <c r="A33" i="104"/>
  <c r="A32" i="104"/>
  <c r="A31" i="104"/>
  <c r="A27" i="104"/>
  <c r="A26" i="104"/>
  <c r="A25" i="104"/>
  <c r="A24" i="104"/>
  <c r="A23" i="104"/>
  <c r="A22" i="104"/>
  <c r="A21" i="104"/>
  <c r="A20" i="104"/>
  <c r="A19" i="104"/>
  <c r="A18" i="104"/>
  <c r="A17" i="104"/>
  <c r="A16" i="104"/>
  <c r="A15" i="104"/>
  <c r="A14" i="104"/>
  <c r="A13" i="104"/>
  <c r="A12" i="104"/>
  <c r="A11" i="104"/>
  <c r="A10" i="104"/>
  <c r="A6" i="104"/>
  <c r="A5" i="104"/>
  <c r="A4" i="104"/>
  <c r="A3" i="104"/>
  <c r="A68" i="93"/>
  <c r="A67" i="93"/>
  <c r="A66" i="93"/>
  <c r="A65" i="93"/>
  <c r="A64" i="93"/>
  <c r="A63" i="93"/>
  <c r="A62" i="93"/>
  <c r="A61" i="93"/>
  <c r="A60" i="93"/>
  <c r="A59" i="93"/>
  <c r="A58" i="93"/>
  <c r="A54" i="93"/>
  <c r="A53" i="93"/>
  <c r="A52" i="93"/>
  <c r="A51" i="93"/>
  <c r="A50" i="93"/>
  <c r="A49" i="93"/>
  <c r="A48" i="93"/>
  <c r="A47" i="93"/>
  <c r="A46" i="93"/>
  <c r="A45" i="93"/>
  <c r="A44" i="93"/>
  <c r="A43" i="93"/>
  <c r="A42" i="93"/>
  <c r="A41" i="93"/>
  <c r="A40" i="93"/>
  <c r="A39" i="93"/>
  <c r="A38" i="93"/>
  <c r="A37" i="93"/>
  <c r="A36" i="93"/>
  <c r="A35" i="93"/>
  <c r="A34" i="93"/>
  <c r="A33" i="93"/>
  <c r="A32" i="93"/>
  <c r="A31" i="93"/>
  <c r="A27" i="93"/>
  <c r="A26" i="93"/>
  <c r="A25" i="93"/>
  <c r="A24" i="93"/>
  <c r="A23" i="93"/>
  <c r="A22" i="93"/>
  <c r="A21" i="93"/>
  <c r="A20" i="93"/>
  <c r="A19" i="93"/>
  <c r="A18" i="93"/>
  <c r="A17" i="93"/>
  <c r="A16" i="93"/>
  <c r="A15" i="93"/>
  <c r="A14" i="93"/>
  <c r="A13" i="93"/>
  <c r="A12" i="93"/>
  <c r="A11" i="93"/>
  <c r="A10" i="93"/>
  <c r="A6" i="93"/>
  <c r="A5" i="93"/>
  <c r="A4" i="93"/>
  <c r="A3" i="93"/>
  <c r="A68" i="76"/>
  <c r="A67" i="76"/>
  <c r="A66" i="76"/>
  <c r="A65" i="76"/>
  <c r="A64" i="76"/>
  <c r="A63" i="76"/>
  <c r="A62" i="76"/>
  <c r="A61" i="76"/>
  <c r="A60" i="76"/>
  <c r="A59" i="76"/>
  <c r="A58" i="76"/>
  <c r="A54" i="76"/>
  <c r="A53" i="76"/>
  <c r="A52" i="76"/>
  <c r="A51" i="76"/>
  <c r="A50" i="76"/>
  <c r="A49" i="76"/>
  <c r="A48" i="76"/>
  <c r="A47" i="76"/>
  <c r="A46" i="76"/>
  <c r="A45" i="76"/>
  <c r="A44" i="76"/>
  <c r="A43" i="76"/>
  <c r="A42" i="76"/>
  <c r="A41" i="76"/>
  <c r="A40" i="76"/>
  <c r="A39" i="76"/>
  <c r="A38" i="76"/>
  <c r="A37" i="76"/>
  <c r="A36" i="76"/>
  <c r="A35" i="76"/>
  <c r="A34" i="76"/>
  <c r="A33" i="76"/>
  <c r="A32" i="76"/>
  <c r="A31" i="76"/>
  <c r="A27" i="76"/>
  <c r="A26" i="76"/>
  <c r="A25" i="76"/>
  <c r="A24" i="76"/>
  <c r="A23" i="76"/>
  <c r="A22" i="76"/>
  <c r="A21" i="76"/>
  <c r="A20" i="76"/>
  <c r="A19" i="76"/>
  <c r="A18" i="76"/>
  <c r="A17" i="76"/>
  <c r="A16" i="76"/>
  <c r="A15" i="76"/>
  <c r="A14" i="76"/>
  <c r="A13" i="76"/>
  <c r="A12" i="76"/>
  <c r="A11" i="76"/>
  <c r="A10" i="76"/>
  <c r="A6" i="76"/>
  <c r="A5" i="76"/>
  <c r="A4" i="76"/>
  <c r="A3" i="76"/>
  <c r="A68" i="114"/>
  <c r="A67" i="114"/>
  <c r="A66" i="114"/>
  <c r="A65" i="114"/>
  <c r="A64" i="114"/>
  <c r="A63" i="114"/>
  <c r="A62" i="114"/>
  <c r="A61" i="114"/>
  <c r="A60" i="114"/>
  <c r="A59" i="114"/>
  <c r="A58" i="114"/>
  <c r="A54" i="114"/>
  <c r="A53" i="114"/>
  <c r="A52" i="114"/>
  <c r="A51" i="114"/>
  <c r="A50" i="114"/>
  <c r="A49" i="114"/>
  <c r="A48" i="114"/>
  <c r="A47" i="114"/>
  <c r="A46" i="114"/>
  <c r="A45" i="114"/>
  <c r="A44" i="114"/>
  <c r="A43" i="114"/>
  <c r="A42" i="114"/>
  <c r="A41" i="114"/>
  <c r="A40" i="114"/>
  <c r="A39" i="114"/>
  <c r="A38" i="114"/>
  <c r="A37" i="114"/>
  <c r="A36" i="114"/>
  <c r="A35" i="114"/>
  <c r="A34" i="114"/>
  <c r="A33" i="114"/>
  <c r="A32" i="114"/>
  <c r="A31" i="114"/>
  <c r="A27" i="114"/>
  <c r="A26" i="114"/>
  <c r="A25" i="114"/>
  <c r="A24" i="114"/>
  <c r="A23" i="114"/>
  <c r="A22" i="114"/>
  <c r="A21" i="114"/>
  <c r="A20" i="114"/>
  <c r="A19" i="114"/>
  <c r="A18" i="114"/>
  <c r="A17" i="114"/>
  <c r="A16" i="114"/>
  <c r="A15" i="114"/>
  <c r="A14" i="114"/>
  <c r="A13" i="114"/>
  <c r="A12" i="114"/>
  <c r="A11" i="114"/>
  <c r="A10" i="114"/>
  <c r="A6" i="114"/>
  <c r="A5" i="114"/>
  <c r="A4" i="114"/>
  <c r="A3" i="114"/>
  <c r="A68" i="118"/>
  <c r="A67" i="118"/>
  <c r="A66" i="118"/>
  <c r="A65" i="118"/>
  <c r="A64" i="118"/>
  <c r="A63" i="118"/>
  <c r="A62" i="118"/>
  <c r="A61" i="118"/>
  <c r="A60" i="118"/>
  <c r="A59" i="118"/>
  <c r="A58" i="118"/>
  <c r="A54" i="118"/>
  <c r="A53" i="118"/>
  <c r="A52" i="118"/>
  <c r="A51" i="118"/>
  <c r="A50" i="118"/>
  <c r="A49" i="118"/>
  <c r="A48" i="118"/>
  <c r="A47" i="118"/>
  <c r="A46" i="118"/>
  <c r="A45" i="118"/>
  <c r="A44" i="118"/>
  <c r="A43" i="118"/>
  <c r="A42" i="118"/>
  <c r="A41" i="118"/>
  <c r="A40" i="118"/>
  <c r="A39" i="118"/>
  <c r="A38" i="118"/>
  <c r="A37" i="118"/>
  <c r="A36" i="118"/>
  <c r="A35" i="118"/>
  <c r="A34" i="118"/>
  <c r="A33" i="118"/>
  <c r="A32" i="118"/>
  <c r="A31" i="118"/>
  <c r="A27" i="118"/>
  <c r="A26" i="118"/>
  <c r="A25" i="118"/>
  <c r="A24" i="118"/>
  <c r="A23" i="118"/>
  <c r="A22" i="118"/>
  <c r="A21" i="118"/>
  <c r="A20" i="118"/>
  <c r="A19" i="118"/>
  <c r="A18" i="118"/>
  <c r="A17" i="118"/>
  <c r="A16" i="118"/>
  <c r="A15" i="118"/>
  <c r="A14" i="118"/>
  <c r="A13" i="118"/>
  <c r="A12" i="118"/>
  <c r="A11" i="118"/>
  <c r="A10" i="118"/>
  <c r="A6" i="118"/>
  <c r="A5" i="118"/>
  <c r="A4" i="118"/>
  <c r="A3" i="118"/>
  <c r="A68" i="77"/>
  <c r="A67" i="77"/>
  <c r="A66" i="77"/>
  <c r="A65" i="77"/>
  <c r="A64" i="77"/>
  <c r="A63" i="77"/>
  <c r="A62" i="77"/>
  <c r="A61" i="77"/>
  <c r="A60" i="77"/>
  <c r="A59" i="77"/>
  <c r="A58" i="77"/>
  <c r="A54" i="77"/>
  <c r="A53" i="77"/>
  <c r="A52" i="77"/>
  <c r="A51" i="77"/>
  <c r="A50" i="77"/>
  <c r="A49" i="77"/>
  <c r="A48" i="77"/>
  <c r="A47" i="77"/>
  <c r="A46" i="77"/>
  <c r="A45" i="77"/>
  <c r="A44" i="77"/>
  <c r="A43" i="77"/>
  <c r="A42" i="77"/>
  <c r="A41" i="77"/>
  <c r="A40" i="77"/>
  <c r="A39" i="77"/>
  <c r="A38" i="77"/>
  <c r="A37" i="77"/>
  <c r="A36" i="77"/>
  <c r="A35" i="77"/>
  <c r="A34" i="77"/>
  <c r="A33" i="77"/>
  <c r="A32" i="77"/>
  <c r="A31" i="77"/>
  <c r="A27" i="77"/>
  <c r="A26" i="77"/>
  <c r="A25" i="77"/>
  <c r="A24" i="77"/>
  <c r="A23" i="77"/>
  <c r="A22" i="77"/>
  <c r="A21" i="77"/>
  <c r="A20" i="77"/>
  <c r="A19" i="77"/>
  <c r="A18" i="77"/>
  <c r="A17" i="77"/>
  <c r="A16" i="77"/>
  <c r="A15" i="77"/>
  <c r="A14" i="77"/>
  <c r="A13" i="77"/>
  <c r="A12" i="77"/>
  <c r="A11" i="77"/>
  <c r="A10" i="77"/>
  <c r="A6" i="77"/>
  <c r="A5" i="77"/>
  <c r="A4" i="77"/>
  <c r="A3" i="77"/>
  <c r="A109" i="82"/>
  <c r="A79" i="82"/>
  <c r="A68" i="82"/>
  <c r="A67" i="82"/>
  <c r="A66" i="82"/>
  <c r="A65" i="82"/>
  <c r="A64" i="82"/>
  <c r="A63" i="82"/>
  <c r="A62" i="82"/>
  <c r="A61" i="82"/>
  <c r="A60" i="82"/>
  <c r="A59" i="82"/>
  <c r="A58" i="82"/>
  <c r="A54" i="82"/>
  <c r="A53" i="82"/>
  <c r="A52" i="82"/>
  <c r="A51" i="82"/>
  <c r="A50" i="82"/>
  <c r="A49" i="82"/>
  <c r="A48" i="82"/>
  <c r="A47" i="82"/>
  <c r="A46" i="82"/>
  <c r="A45" i="82"/>
  <c r="A44" i="82"/>
  <c r="A43" i="82"/>
  <c r="A42" i="82"/>
  <c r="A41" i="82"/>
  <c r="A40" i="82"/>
  <c r="A39" i="82"/>
  <c r="A38" i="82"/>
  <c r="A37" i="82"/>
  <c r="A36" i="82"/>
  <c r="A35" i="82"/>
  <c r="A34" i="82"/>
  <c r="A33" i="82"/>
  <c r="A32" i="82"/>
  <c r="A31" i="82"/>
  <c r="A27" i="82"/>
  <c r="A26" i="82"/>
  <c r="A25" i="82"/>
  <c r="A24" i="82"/>
  <c r="A23" i="82"/>
  <c r="A22" i="82"/>
  <c r="A21" i="82"/>
  <c r="A20" i="82"/>
  <c r="A19" i="82"/>
  <c r="A18" i="82"/>
  <c r="A17" i="82"/>
  <c r="A16" i="82"/>
  <c r="A15" i="82"/>
  <c r="A14" i="82"/>
  <c r="A13" i="82"/>
  <c r="A12" i="82"/>
  <c r="A11" i="82"/>
  <c r="A10" i="82"/>
  <c r="A6" i="82"/>
  <c r="A5" i="82"/>
  <c r="A4" i="82"/>
  <c r="A3" i="82"/>
  <c r="A68" i="75"/>
  <c r="A67" i="75"/>
  <c r="A66" i="75"/>
  <c r="A65" i="75"/>
  <c r="A64" i="75"/>
  <c r="A63" i="75"/>
  <c r="A62" i="75"/>
  <c r="A61" i="75"/>
  <c r="A60" i="75"/>
  <c r="A59" i="75"/>
  <c r="A58" i="75"/>
  <c r="A54" i="75"/>
  <c r="A53" i="75"/>
  <c r="A52" i="75"/>
  <c r="A51" i="75"/>
  <c r="A50" i="75"/>
  <c r="A49" i="75"/>
  <c r="A48" i="75"/>
  <c r="A47" i="75"/>
  <c r="A46" i="75"/>
  <c r="A45" i="75"/>
  <c r="A44" i="75"/>
  <c r="A43" i="75"/>
  <c r="A42" i="75"/>
  <c r="A41" i="75"/>
  <c r="A40" i="75"/>
  <c r="A39" i="75"/>
  <c r="A38" i="75"/>
  <c r="A37" i="75"/>
  <c r="A36" i="75"/>
  <c r="A35" i="75"/>
  <c r="A34" i="75"/>
  <c r="A33" i="75"/>
  <c r="A32" i="75"/>
  <c r="A31" i="75"/>
  <c r="A27" i="75"/>
  <c r="A26" i="75"/>
  <c r="A25" i="75"/>
  <c r="A24" i="75"/>
  <c r="A23" i="75"/>
  <c r="A22" i="75"/>
  <c r="A21" i="75"/>
  <c r="A20" i="75"/>
  <c r="A19" i="75"/>
  <c r="A18" i="75"/>
  <c r="A17" i="75"/>
  <c r="A16" i="75"/>
  <c r="A15" i="75"/>
  <c r="A14" i="75"/>
  <c r="A13" i="75"/>
  <c r="A12" i="75"/>
  <c r="A11" i="75"/>
  <c r="A10" i="75"/>
  <c r="A6" i="75"/>
  <c r="A5" i="75"/>
  <c r="A4" i="75"/>
  <c r="A3" i="75"/>
  <c r="A79" i="72"/>
  <c r="A68" i="72"/>
  <c r="A67" i="72"/>
  <c r="A66" i="72"/>
  <c r="A65" i="72"/>
  <c r="A64" i="72"/>
  <c r="A63" i="72"/>
  <c r="A62" i="72"/>
  <c r="A61" i="72"/>
  <c r="A60" i="72"/>
  <c r="A59" i="72"/>
  <c r="A58" i="72"/>
  <c r="A54" i="72"/>
  <c r="A53" i="72"/>
  <c r="A52" i="72"/>
  <c r="A51" i="72"/>
  <c r="A50" i="72"/>
  <c r="A49" i="72"/>
  <c r="A48" i="72"/>
  <c r="A47" i="72"/>
  <c r="A46" i="72"/>
  <c r="A45" i="72"/>
  <c r="A44" i="72"/>
  <c r="A43" i="72"/>
  <c r="A42" i="72"/>
  <c r="A41" i="72"/>
  <c r="A40" i="72"/>
  <c r="A39" i="72"/>
  <c r="A38" i="72"/>
  <c r="A37" i="72"/>
  <c r="A36" i="72"/>
  <c r="A35" i="72"/>
  <c r="A34" i="72"/>
  <c r="A33" i="72"/>
  <c r="A32" i="72"/>
  <c r="A31" i="72"/>
  <c r="A27" i="72"/>
  <c r="A26" i="72"/>
  <c r="A25" i="72"/>
  <c r="A24" i="72"/>
  <c r="A23" i="72"/>
  <c r="A22" i="72"/>
  <c r="A21" i="72"/>
  <c r="A20" i="72"/>
  <c r="A19" i="72"/>
  <c r="A18" i="72"/>
  <c r="A17" i="72"/>
  <c r="A16" i="72"/>
  <c r="A15" i="72"/>
  <c r="A14" i="72"/>
  <c r="A13" i="72"/>
  <c r="A12" i="72"/>
  <c r="A11" i="72"/>
  <c r="A10" i="72"/>
  <c r="A6" i="72"/>
  <c r="A5" i="72"/>
  <c r="A4" i="72"/>
  <c r="A3" i="72"/>
  <c r="A68" i="80"/>
  <c r="A67" i="80"/>
  <c r="A66" i="80"/>
  <c r="A65" i="80"/>
  <c r="A64" i="80"/>
  <c r="A63" i="80"/>
  <c r="A62" i="80"/>
  <c r="A61" i="80"/>
  <c r="A60" i="80"/>
  <c r="A59" i="80"/>
  <c r="A58" i="80"/>
  <c r="A54" i="80"/>
  <c r="A53" i="80"/>
  <c r="A52" i="80"/>
  <c r="A51" i="80"/>
  <c r="A50" i="80"/>
  <c r="A49" i="80"/>
  <c r="A48" i="80"/>
  <c r="A47" i="80"/>
  <c r="A46" i="80"/>
  <c r="A45" i="80"/>
  <c r="A44" i="80"/>
  <c r="A43" i="80"/>
  <c r="A42" i="80"/>
  <c r="A41" i="80"/>
  <c r="A40" i="80"/>
  <c r="A39" i="80"/>
  <c r="A38" i="80"/>
  <c r="A37" i="80"/>
  <c r="A36" i="80"/>
  <c r="A35" i="80"/>
  <c r="A34" i="80"/>
  <c r="A33" i="80"/>
  <c r="A32" i="80"/>
  <c r="A31" i="80"/>
  <c r="A27" i="80"/>
  <c r="A26" i="80"/>
  <c r="A25" i="80"/>
  <c r="A24" i="80"/>
  <c r="A23" i="80"/>
  <c r="A22" i="80"/>
  <c r="A21" i="80"/>
  <c r="A20" i="80"/>
  <c r="A19" i="80"/>
  <c r="A18" i="80"/>
  <c r="A17" i="80"/>
  <c r="A16" i="80"/>
  <c r="A15" i="80"/>
  <c r="A14" i="80"/>
  <c r="A13" i="80"/>
  <c r="A12" i="80"/>
  <c r="A11" i="80"/>
  <c r="A10" i="80"/>
  <c r="A6" i="80"/>
  <c r="A5" i="80"/>
  <c r="A4" i="80"/>
  <c r="A3" i="80"/>
  <c r="A79" i="13"/>
  <c r="A68" i="13"/>
  <c r="A67" i="13"/>
  <c r="A66" i="13"/>
  <c r="A65" i="13"/>
  <c r="A64" i="13"/>
  <c r="A63" i="13"/>
  <c r="A62" i="13"/>
  <c r="A61" i="13"/>
  <c r="A60" i="13"/>
  <c r="A59" i="13"/>
  <c r="A58" i="13"/>
  <c r="A54" i="13"/>
  <c r="A53" i="13"/>
  <c r="A52" i="13"/>
  <c r="A51" i="13"/>
  <c r="A50" i="13"/>
  <c r="A49" i="13"/>
  <c r="A48" i="13"/>
  <c r="A47" i="13"/>
  <c r="A46" i="13"/>
  <c r="A45" i="13"/>
  <c r="A44" i="13"/>
  <c r="A43" i="13"/>
  <c r="A42" i="13"/>
  <c r="A41" i="13"/>
  <c r="A40" i="13"/>
  <c r="A39" i="13"/>
  <c r="A38" i="13"/>
  <c r="A37" i="13"/>
  <c r="A36" i="13"/>
  <c r="A35" i="13"/>
  <c r="A34" i="13"/>
  <c r="A33" i="13"/>
  <c r="A32" i="13"/>
  <c r="A31" i="13"/>
  <c r="A27" i="13"/>
  <c r="A26" i="13"/>
  <c r="A25" i="13"/>
  <c r="A24" i="13"/>
  <c r="A23" i="13"/>
  <c r="A22" i="13"/>
  <c r="A21" i="13"/>
  <c r="A20" i="13"/>
  <c r="A19" i="13"/>
  <c r="A18" i="13"/>
  <c r="A17" i="13"/>
  <c r="A16" i="13"/>
  <c r="A15" i="13"/>
  <c r="A14" i="13"/>
  <c r="A13" i="13"/>
  <c r="A12" i="13"/>
  <c r="A11" i="13"/>
  <c r="A10" i="13"/>
  <c r="A6" i="13"/>
  <c r="A5" i="13"/>
  <c r="A4" i="13"/>
  <c r="A3" i="13"/>
  <c r="A68" i="71"/>
  <c r="A67" i="71"/>
  <c r="A66" i="71"/>
  <c r="A65" i="71"/>
  <c r="A64" i="71"/>
  <c r="A63" i="71"/>
  <c r="A62" i="71"/>
  <c r="A61" i="71"/>
  <c r="A60" i="71"/>
  <c r="A59" i="71"/>
  <c r="A58" i="71"/>
  <c r="A54" i="71"/>
  <c r="A53" i="71"/>
  <c r="A52" i="71"/>
  <c r="A51" i="71"/>
  <c r="A50" i="71"/>
  <c r="A49" i="71"/>
  <c r="A48" i="71"/>
  <c r="A47" i="71"/>
  <c r="A46" i="71"/>
  <c r="A45" i="71"/>
  <c r="A44" i="71"/>
  <c r="A43" i="71"/>
  <c r="A42" i="71"/>
  <c r="A41" i="71"/>
  <c r="A40" i="71"/>
  <c r="A39" i="71"/>
  <c r="A38" i="71"/>
  <c r="A37" i="71"/>
  <c r="A36" i="71"/>
  <c r="A35" i="71"/>
  <c r="A34" i="71"/>
  <c r="A33" i="71"/>
  <c r="A32" i="71"/>
  <c r="A31" i="71"/>
  <c r="A27" i="71"/>
  <c r="A26" i="71"/>
  <c r="A25" i="71"/>
  <c r="A24" i="71"/>
  <c r="A23" i="71"/>
  <c r="A22" i="71"/>
  <c r="A21" i="71"/>
  <c r="A20" i="71"/>
  <c r="A19" i="71"/>
  <c r="A18" i="71"/>
  <c r="A17" i="71"/>
  <c r="A16" i="71"/>
  <c r="A15" i="71"/>
  <c r="A14" i="71"/>
  <c r="A13" i="71"/>
  <c r="A12" i="71"/>
  <c r="A11" i="71"/>
  <c r="A10" i="71"/>
  <c r="A6" i="71"/>
  <c r="A5" i="71"/>
  <c r="A4" i="71"/>
  <c r="A3" i="71"/>
  <c r="F642" i="124" a="1"/>
  <c r="F642" i="124" s="1"/>
  <c r="E642" i="124" a="1"/>
  <c r="E642" i="124" s="1"/>
  <c r="D642" i="124" a="1"/>
  <c r="D642" i="124" s="1"/>
  <c r="F624" i="124" a="1"/>
  <c r="F624" i="124" s="1"/>
  <c r="E624" i="124" a="1"/>
  <c r="E624" i="124" s="1"/>
  <c r="D624" i="124" a="1"/>
  <c r="D624" i="124" s="1"/>
  <c r="F505" i="124" a="1"/>
  <c r="F505" i="124" s="1"/>
  <c r="E505" i="124" a="1"/>
  <c r="E505" i="124" s="1"/>
  <c r="D505" i="124" a="1"/>
  <c r="D505" i="124" s="1"/>
  <c r="F463" i="124" a="1"/>
  <c r="F463" i="124" s="1"/>
  <c r="E463" i="124" a="1"/>
  <c r="E463" i="124" s="1"/>
  <c r="D463" i="124" a="1"/>
  <c r="D463" i="124" s="1"/>
  <c r="F445" i="124" a="1"/>
  <c r="F445" i="124" s="1"/>
  <c r="E445" i="124" a="1"/>
  <c r="G452" i="124" s="1" a="1"/>
  <c r="G452" i="124" s="1"/>
  <c r="J452" i="124" s="1"/>
  <c r="D445" i="124" a="1"/>
  <c r="D445" i="124" s="1"/>
  <c r="G351" i="124" a="1"/>
  <c r="G351" i="124" s="1"/>
  <c r="F351" i="124" a="1"/>
  <c r="F351" i="124" s="1"/>
  <c r="E351" i="124" a="1"/>
  <c r="E351" i="124" s="1"/>
  <c r="D351" i="124" a="1"/>
  <c r="D351" i="124" s="1"/>
  <c r="D320" i="124" a="1"/>
  <c r="D320" i="124" s="1"/>
  <c r="AD252" i="124" a="1"/>
  <c r="AD252" i="124" s="1"/>
  <c r="AC252" i="124" a="1"/>
  <c r="AC252" i="124" s="1"/>
  <c r="Z252" i="124" a="1"/>
  <c r="Z252" i="124" s="1"/>
  <c r="Y252" i="124" a="1"/>
  <c r="Y252" i="124" s="1"/>
  <c r="V252" i="124" a="1"/>
  <c r="V252" i="124" s="1"/>
  <c r="U252" i="124" a="1"/>
  <c r="U252" i="124" s="1"/>
  <c r="R252" i="124" a="1"/>
  <c r="R252" i="124" s="1"/>
  <c r="Q252" i="124" a="1"/>
  <c r="P252" i="124" a="1"/>
  <c r="P252" i="124" s="1"/>
  <c r="O252" i="124" a="1"/>
  <c r="D252" i="124" a="1"/>
  <c r="D252" i="124" s="1"/>
  <c r="D236" i="124" a="1"/>
  <c r="D236" i="124" s="1"/>
  <c r="AA120" i="124" a="1"/>
  <c r="AA120" i="124" s="1"/>
  <c r="Z120" i="124" a="1"/>
  <c r="Z120" i="124" s="1"/>
  <c r="Y120" i="124" a="1"/>
  <c r="Y120" i="124" s="1"/>
  <c r="W120" i="124" a="1"/>
  <c r="W120" i="124" s="1"/>
  <c r="V120" i="124" a="1"/>
  <c r="V120" i="124" s="1"/>
  <c r="U120" i="124" a="1"/>
  <c r="U120" i="124" s="1"/>
  <c r="S120" i="124" a="1"/>
  <c r="S120" i="124" s="1"/>
  <c r="R120" i="124" a="1"/>
  <c r="R120" i="124" s="1"/>
  <c r="Q120" i="124" a="1"/>
  <c r="Q120" i="124" s="1"/>
  <c r="O120" i="124" a="1"/>
  <c r="O120" i="124" s="1"/>
  <c r="N120" i="124" a="1"/>
  <c r="N120" i="124" s="1"/>
  <c r="M120" i="124" a="1"/>
  <c r="M120" i="124" s="1"/>
  <c r="E120" i="124" a="1"/>
  <c r="E120" i="124" s="1"/>
  <c r="D120" i="124" a="1"/>
  <c r="D120" i="124" s="1"/>
  <c r="H42" i="124" a="1"/>
  <c r="H42" i="124" s="1"/>
  <c r="E42" i="124" a="1"/>
  <c r="E42" i="124" s="1"/>
  <c r="D42" i="124" a="1"/>
  <c r="D42" i="124" s="1"/>
  <c r="H22" i="109" a="1"/>
  <c r="H22" i="109" s="1"/>
  <c r="G22" i="109" a="1"/>
  <c r="G22" i="109" s="1"/>
  <c r="F22" i="109" a="1"/>
  <c r="F22" i="109" s="1"/>
  <c r="E22" i="109" a="1"/>
  <c r="D22" i="109" a="1"/>
  <c r="D22" i="109" s="1"/>
  <c r="D32" i="106"/>
  <c r="D25" i="106"/>
  <c r="M39" i="105" a="1"/>
  <c r="M39" i="105" s="1"/>
  <c r="F39" i="105"/>
  <c r="D37" i="105"/>
  <c r="D34" i="105"/>
  <c r="D33" i="105"/>
  <c r="D25" i="105"/>
  <c r="D75" i="99"/>
  <c r="D74" i="99"/>
  <c r="D73" i="99"/>
  <c r="D72" i="99"/>
  <c r="D71" i="99"/>
  <c r="D70" i="99"/>
  <c r="D69" i="99"/>
  <c r="D68" i="99"/>
  <c r="D134" i="98" a="1"/>
  <c r="D134" i="98" s="1"/>
  <c r="D102" i="98" a="1"/>
  <c r="D102" i="98" s="1"/>
  <c r="G25" i="97" a="1"/>
  <c r="G25" i="97" s="1"/>
  <c r="F25" i="97" a="1"/>
  <c r="F25" i="97" s="1"/>
  <c r="D25" i="97" a="1"/>
  <c r="D25" i="97" s="1"/>
  <c r="H20" i="96" a="1"/>
  <c r="H20" i="96" s="1"/>
  <c r="E20" i="96" a="1"/>
  <c r="E20" i="96" s="1"/>
  <c r="D20" i="96" a="1"/>
  <c r="D20" i="96" s="1"/>
  <c r="N21" i="94" a="1"/>
  <c r="N21" i="94" s="1"/>
  <c r="N11" i="94" a="1"/>
  <c r="N11" i="94" s="1"/>
  <c r="H160" i="92"/>
  <c r="G160" i="92"/>
  <c r="F160" i="92"/>
  <c r="E160" i="92"/>
  <c r="D160" i="92"/>
  <c r="J21" i="104" a="1"/>
  <c r="J21" i="104" s="1"/>
  <c r="G21" i="104" a="1"/>
  <c r="G21" i="104" s="1"/>
  <c r="J20" i="104" a="1"/>
  <c r="J20" i="104" s="1"/>
  <c r="G20" i="104" a="1"/>
  <c r="G20" i="104" s="1"/>
  <c r="J19" i="104" a="1"/>
  <c r="J19" i="104" s="1"/>
  <c r="G19" i="104" a="1"/>
  <c r="G19" i="104" s="1"/>
  <c r="J18" i="104" a="1"/>
  <c r="J18" i="104" s="1"/>
  <c r="G18" i="104" a="1"/>
  <c r="G18" i="104" s="1"/>
  <c r="J17" i="104" a="1"/>
  <c r="J17" i="104" s="1"/>
  <c r="G17" i="104" a="1"/>
  <c r="G17" i="104" s="1"/>
  <c r="H16" i="118" a="1"/>
  <c r="H16" i="118" s="1"/>
  <c r="H15" i="118" a="1"/>
  <c r="H15" i="118" s="1"/>
  <c r="H14" i="118" a="1"/>
  <c r="H14" i="118" s="1"/>
  <c r="H13" i="118" a="1"/>
  <c r="H13" i="118" s="1"/>
  <c r="H12" i="118" a="1"/>
  <c r="H12" i="118" s="1"/>
  <c r="H11" i="118" a="1"/>
  <c r="H11" i="118" s="1"/>
  <c r="H10" i="118" a="1"/>
  <c r="H10" i="118" s="1"/>
  <c r="P51" i="88"/>
  <c r="E11" i="91"/>
  <c r="D11" i="91"/>
  <c r="D232" i="83" s="1"/>
  <c r="E10" i="91"/>
  <c r="D10" i="91"/>
  <c r="D231" i="83" s="1"/>
  <c r="E9" i="91"/>
  <c r="D9" i="91"/>
  <c r="D230" i="83" s="1"/>
  <c r="E8" i="91"/>
  <c r="D8" i="91"/>
  <c r="D229" i="83" s="1"/>
  <c r="M243" i="126"/>
  <c r="L243" i="126"/>
  <c r="M242" i="126"/>
  <c r="F150" i="124" a="1"/>
  <c r="F150" i="124" s="1"/>
  <c r="G150" i="124" s="1"/>
  <c r="G388" i="124" a="1"/>
  <c r="G388" i="124" s="1"/>
  <c r="H388" i="124" s="1"/>
  <c r="D27" i="120"/>
  <c r="D485" i="124" s="1"/>
  <c r="F485" i="124" s="1" a="1"/>
  <c r="F485" i="124" s="1"/>
  <c r="G485" i="124" s="1"/>
  <c r="D26" i="120"/>
  <c r="D484" i="124" s="1"/>
  <c r="F484" i="124" s="1" a="1"/>
  <c r="F484" i="124" s="1"/>
  <c r="G484" i="124" s="1"/>
  <c r="D25" i="120"/>
  <c r="D483" i="124" s="1"/>
  <c r="F483" i="124" s="1" a="1"/>
  <c r="F483" i="124" s="1"/>
  <c r="G483" i="124" s="1"/>
  <c r="D24" i="120"/>
  <c r="D482" i="124" s="1"/>
  <c r="F482" i="124" s="1" a="1"/>
  <c r="F482" i="124" s="1"/>
  <c r="G482" i="124" s="1"/>
  <c r="D23" i="120"/>
  <c r="D481" i="124" s="1"/>
  <c r="D48" i="121"/>
  <c r="D495" i="124" s="1"/>
  <c r="F495" i="124" s="1" a="1"/>
  <c r="F495" i="124" s="1"/>
  <c r="I495" i="124" s="1"/>
  <c r="D7" i="121" a="1"/>
  <c r="P158" i="126"/>
  <c r="O158" i="126"/>
  <c r="Q157" i="126" s="1"/>
  <c r="M157" i="126"/>
  <c r="L157" i="126"/>
  <c r="N156" i="126" s="1"/>
  <c r="P156" i="126"/>
  <c r="O156" i="126"/>
  <c r="Q155" i="126" s="1"/>
  <c r="M155" i="126"/>
  <c r="L155" i="126"/>
  <c r="N154" i="126" s="1"/>
  <c r="P154" i="126"/>
  <c r="O154" i="126"/>
  <c r="Q153" i="126" s="1"/>
  <c r="M153" i="126"/>
  <c r="L153" i="126"/>
  <c r="N152" i="126" s="1"/>
  <c r="P152" i="126"/>
  <c r="O152" i="126"/>
  <c r="Q151" i="126" s="1"/>
  <c r="M151" i="126"/>
  <c r="L151" i="126"/>
  <c r="N150" i="126" s="1"/>
  <c r="P150" i="126"/>
  <c r="O150" i="126"/>
  <c r="P149" i="126"/>
  <c r="O149" i="126"/>
  <c r="P148" i="126"/>
  <c r="O148" i="126"/>
  <c r="P147" i="126"/>
  <c r="O147" i="126"/>
  <c r="P146" i="126"/>
  <c r="O146" i="126"/>
  <c r="P145" i="126"/>
  <c r="O145" i="126"/>
  <c r="P144" i="126"/>
  <c r="O144" i="126"/>
  <c r="Q143" i="126" s="1"/>
  <c r="M143" i="126"/>
  <c r="L143" i="126"/>
  <c r="M142" i="126"/>
  <c r="L142" i="126"/>
  <c r="M141" i="126"/>
  <c r="L141" i="126"/>
  <c r="M140" i="126"/>
  <c r="L140" i="126"/>
  <c r="M139" i="126"/>
  <c r="L139" i="126"/>
  <c r="M138" i="126"/>
  <c r="L138" i="126"/>
  <c r="N137" i="126" s="1"/>
  <c r="P137" i="126"/>
  <c r="O137" i="126"/>
  <c r="P136" i="126"/>
  <c r="O136" i="126"/>
  <c r="P135" i="126"/>
  <c r="O135" i="126"/>
  <c r="P134" i="126"/>
  <c r="O134" i="126"/>
  <c r="P133" i="126"/>
  <c r="O133" i="126"/>
  <c r="P132" i="126"/>
  <c r="O132" i="126"/>
  <c r="P131" i="126"/>
  <c r="O131" i="126"/>
  <c r="Q130" i="126" s="1"/>
  <c r="M130" i="126"/>
  <c r="L130" i="126"/>
  <c r="M129" i="126"/>
  <c r="L129" i="126"/>
  <c r="M128" i="126"/>
  <c r="L128" i="126"/>
  <c r="M127" i="126"/>
  <c r="L127" i="126"/>
  <c r="M126" i="126"/>
  <c r="L126" i="126"/>
  <c r="M125" i="126"/>
  <c r="L125" i="126"/>
  <c r="N124" i="126" s="1"/>
  <c r="P124" i="126"/>
  <c r="O124" i="126"/>
  <c r="P123" i="126"/>
  <c r="O123" i="126"/>
  <c r="P122" i="126"/>
  <c r="O122" i="126"/>
  <c r="P121" i="126"/>
  <c r="O121" i="126"/>
  <c r="P120" i="126"/>
  <c r="O120" i="126"/>
  <c r="P119" i="126"/>
  <c r="O119" i="126"/>
  <c r="P118" i="126"/>
  <c r="O118" i="126"/>
  <c r="Q117" i="126" s="1"/>
  <c r="M117" i="126"/>
  <c r="L117" i="126"/>
  <c r="M116" i="126"/>
  <c r="L116" i="126"/>
  <c r="M115" i="126"/>
  <c r="L115" i="126"/>
  <c r="M114" i="126"/>
  <c r="L114" i="126"/>
  <c r="M113" i="126"/>
  <c r="L113" i="126"/>
  <c r="M112" i="126"/>
  <c r="L112" i="126"/>
  <c r="M111" i="126"/>
  <c r="L111" i="126"/>
  <c r="M110" i="126"/>
  <c r="L110" i="126"/>
  <c r="N109" i="126" s="1"/>
  <c r="P109" i="126"/>
  <c r="O109" i="126"/>
  <c r="P108" i="126"/>
  <c r="O108" i="126"/>
  <c r="P107" i="126"/>
  <c r="O107" i="126"/>
  <c r="P106" i="126"/>
  <c r="O106" i="126"/>
  <c r="P105" i="126"/>
  <c r="O105" i="126"/>
  <c r="Q104" i="126" s="1"/>
  <c r="M104" i="126"/>
  <c r="L104" i="126"/>
  <c r="M103" i="126"/>
  <c r="L103" i="126"/>
  <c r="M102" i="126"/>
  <c r="L102" i="126"/>
  <c r="M101" i="126"/>
  <c r="L101" i="126"/>
  <c r="M100" i="126"/>
  <c r="L100" i="126"/>
  <c r="M99" i="126"/>
  <c r="L99" i="126"/>
  <c r="M98" i="126"/>
  <c r="L98" i="126"/>
  <c r="N97" i="126" s="1"/>
  <c r="P97" i="126"/>
  <c r="O97" i="126"/>
  <c r="P96" i="126"/>
  <c r="O96" i="126"/>
  <c r="P95" i="126"/>
  <c r="O95" i="126"/>
  <c r="P94" i="126"/>
  <c r="O94" i="126"/>
  <c r="P93" i="126"/>
  <c r="O93" i="126"/>
  <c r="P92" i="126"/>
  <c r="O92" i="126"/>
  <c r="P91" i="126"/>
  <c r="O91" i="126"/>
  <c r="P90" i="126"/>
  <c r="G451" i="124" a="1"/>
  <c r="G451" i="124" s="1"/>
  <c r="J451" i="124" s="1"/>
  <c r="I72" i="125"/>
  <c r="I71" i="125"/>
  <c r="I70" i="125"/>
  <c r="S67" i="125"/>
  <c r="I67" i="125"/>
  <c r="P74" i="125"/>
  <c r="I52" i="125"/>
  <c r="I51" i="125"/>
  <c r="P55" i="125"/>
  <c r="S32" i="125"/>
  <c r="I32" i="125"/>
  <c r="P35" i="125"/>
  <c r="F35" i="125"/>
  <c r="J16" i="125"/>
  <c r="T13" i="125"/>
  <c r="J13" i="125"/>
  <c r="F603" i="124"/>
  <c r="N593" i="124" a="1"/>
  <c r="N593" i="124" s="1"/>
  <c r="F593" i="124" a="1"/>
  <c r="F593" i="124" s="1"/>
  <c r="L590" i="124" a="1"/>
  <c r="L590" i="124" s="1"/>
  <c r="D590" i="124" a="1"/>
  <c r="D590" i="124" s="1"/>
  <c r="I568" i="124"/>
  <c r="I564" i="124"/>
  <c r="I563" i="124"/>
  <c r="I562" i="124"/>
  <c r="I546" i="124"/>
  <c r="I544" i="124"/>
  <c r="E496" i="124"/>
  <c r="E495" i="124"/>
  <c r="E494" i="124"/>
  <c r="E485" i="124"/>
  <c r="E484" i="124"/>
  <c r="E483" i="124"/>
  <c r="E482" i="124"/>
  <c r="E481" i="124"/>
  <c r="K423" i="124"/>
  <c r="K422" i="124"/>
  <c r="K421" i="124"/>
  <c r="K419" i="124"/>
  <c r="K417" i="124"/>
  <c r="K416" i="124"/>
  <c r="K415" i="124"/>
  <c r="K414" i="124"/>
  <c r="L359" i="124"/>
  <c r="L354" i="124"/>
  <c r="L353" i="124"/>
  <c r="L355" i="124"/>
  <c r="G315" i="124"/>
  <c r="E179" i="124"/>
  <c r="E178" i="124"/>
  <c r="E177" i="124"/>
  <c r="E153" i="124"/>
  <c r="E152" i="124"/>
  <c r="E151" i="124"/>
  <c r="E150" i="124"/>
  <c r="E149" i="124"/>
  <c r="E148" i="124"/>
  <c r="E140" i="124"/>
  <c r="E139" i="124"/>
  <c r="E138" i="124"/>
  <c r="E137" i="124"/>
  <c r="H19" i="120"/>
  <c r="O19" i="120" s="1"/>
  <c r="H18" i="120"/>
  <c r="O18" i="120" s="1"/>
  <c r="R17" i="120"/>
  <c r="L17" i="120"/>
  <c r="H17" i="120"/>
  <c r="O17" i="120" s="1"/>
  <c r="H16" i="120"/>
  <c r="R16" i="120" s="1"/>
  <c r="H15" i="120"/>
  <c r="R15" i="120" s="1"/>
  <c r="R14" i="120"/>
  <c r="H14" i="120"/>
  <c r="L14" i="120" s="1"/>
  <c r="H13" i="120"/>
  <c r="R13" i="120" s="1"/>
  <c r="H12" i="120"/>
  <c r="R12" i="120" s="1"/>
  <c r="L11" i="120"/>
  <c r="H11" i="120"/>
  <c r="O11" i="120" s="1"/>
  <c r="H10" i="120"/>
  <c r="R10" i="120" s="1"/>
  <c r="Q8" i="120" a="1"/>
  <c r="Q8" i="120" s="1"/>
  <c r="N8" i="120" a="1"/>
  <c r="N8" i="120" s="1"/>
  <c r="K8" i="120" a="1"/>
  <c r="K8" i="120" s="1"/>
  <c r="D91" i="117" a="1"/>
  <c r="D91" i="117" s="1"/>
  <c r="E19" i="114"/>
  <c r="D17" i="117" a="1"/>
  <c r="D17" i="117" s="1"/>
  <c r="P53" i="116" a="1"/>
  <c r="P53" i="116" s="1"/>
  <c r="F53" i="116" a="1"/>
  <c r="F53" i="116" s="1"/>
  <c r="N50" i="116" a="1"/>
  <c r="N50" i="116" s="1"/>
  <c r="D50" i="116" a="1"/>
  <c r="D50" i="116" s="1"/>
  <c r="N45" i="116"/>
  <c r="D45" i="116"/>
  <c r="J40" i="116"/>
  <c r="J36" i="116" a="1"/>
  <c r="J36" i="116" s="1"/>
  <c r="P48" i="116"/>
  <c r="G25" i="116"/>
  <c r="F25" i="116"/>
  <c r="J19" i="116" a="1"/>
  <c r="J19" i="116" s="1"/>
  <c r="J18" i="116"/>
  <c r="J16" i="116" a="1"/>
  <c r="J16" i="116" s="1"/>
  <c r="J14" i="116" a="1"/>
  <c r="J14" i="116" s="1"/>
  <c r="J13" i="116" a="1"/>
  <c r="J13" i="116" s="1"/>
  <c r="P45" i="115" a="1"/>
  <c r="P45" i="115" s="1"/>
  <c r="F45" i="115" a="1"/>
  <c r="F45" i="115" s="1"/>
  <c r="N42" i="115" a="1"/>
  <c r="N42" i="115" s="1"/>
  <c r="D42" i="115" a="1"/>
  <c r="D42" i="115" s="1"/>
  <c r="J36" i="115"/>
  <c r="J19" i="115"/>
  <c r="J13" i="115"/>
  <c r="O21" i="113"/>
  <c r="O20" i="113"/>
  <c r="O19" i="113"/>
  <c r="O18" i="113"/>
  <c r="O17" i="113"/>
  <c r="M21" i="113"/>
  <c r="M20" i="113"/>
  <c r="M19" i="113"/>
  <c r="M18" i="113"/>
  <c r="M17" i="113"/>
  <c r="K26" i="113"/>
  <c r="K25" i="113"/>
  <c r="K24" i="113"/>
  <c r="K23" i="113"/>
  <c r="K22" i="113"/>
  <c r="K21" i="113"/>
  <c r="K20" i="113"/>
  <c r="K19" i="113"/>
  <c r="K18" i="113"/>
  <c r="K17" i="113"/>
  <c r="I27" i="113"/>
  <c r="I26" i="113"/>
  <c r="I25" i="113"/>
  <c r="I24" i="113"/>
  <c r="I23" i="113"/>
  <c r="I22" i="113"/>
  <c r="I21" i="113"/>
  <c r="I20" i="113"/>
  <c r="I19" i="113"/>
  <c r="I18" i="113"/>
  <c r="H185" i="112"/>
  <c r="H179" i="112"/>
  <c r="H168" i="112"/>
  <c r="H144" i="112"/>
  <c r="H138" i="112"/>
  <c r="H127" i="112"/>
  <c r="J16" i="112" a="1"/>
  <c r="J16" i="112" s="1"/>
  <c r="I16" i="112" a="1"/>
  <c r="I16" i="112" s="1"/>
  <c r="J15" i="112" a="1"/>
  <c r="J15" i="112" s="1"/>
  <c r="I15" i="112" a="1"/>
  <c r="I15" i="112" s="1"/>
  <c r="J14" i="112" a="1"/>
  <c r="J14" i="112" s="1"/>
  <c r="I14" i="112" a="1"/>
  <c r="I14" i="112" s="1"/>
  <c r="J13" i="112" a="1"/>
  <c r="J13" i="112" s="1"/>
  <c r="I13" i="112" a="1"/>
  <c r="I13" i="112" s="1"/>
  <c r="J29" i="109" a="1"/>
  <c r="J29" i="109" s="1"/>
  <c r="K29" i="109" s="1"/>
  <c r="D161" i="110"/>
  <c r="D160" i="110"/>
  <c r="D159" i="110"/>
  <c r="D158" i="110"/>
  <c r="D157" i="110"/>
  <c r="D156" i="110"/>
  <c r="D155" i="110"/>
  <c r="D154" i="110"/>
  <c r="D153" i="110"/>
  <c r="D152" i="110"/>
  <c r="D151" i="110"/>
  <c r="D150" i="110"/>
  <c r="D149" i="110"/>
  <c r="D148" i="110"/>
  <c r="E147" i="110" a="1"/>
  <c r="E147" i="110" s="1"/>
  <c r="D147" i="110"/>
  <c r="D146" i="110"/>
  <c r="L145" i="110" a="1"/>
  <c r="L145" i="110" s="1"/>
  <c r="D145" i="110"/>
  <c r="D144" i="110"/>
  <c r="D143" i="110"/>
  <c r="D142" i="110"/>
  <c r="D141" i="110"/>
  <c r="D140" i="110"/>
  <c r="D139" i="110"/>
  <c r="D138" i="110"/>
  <c r="D137" i="110"/>
  <c r="D136" i="110"/>
  <c r="D135" i="110"/>
  <c r="D134" i="110"/>
  <c r="D133" i="110"/>
  <c r="D132" i="110"/>
  <c r="D131" i="110"/>
  <c r="D130" i="110"/>
  <c r="D129" i="110"/>
  <c r="K128" i="110" a="1"/>
  <c r="K128" i="110" s="1"/>
  <c r="D128" i="110"/>
  <c r="D127" i="110"/>
  <c r="H126" i="110" a="1"/>
  <c r="H126" i="110" s="1"/>
  <c r="D126" i="110"/>
  <c r="D125" i="110"/>
  <c r="D124" i="110"/>
  <c r="D123" i="110"/>
  <c r="D122" i="110"/>
  <c r="D121" i="110"/>
  <c r="D120" i="110"/>
  <c r="D119" i="110"/>
  <c r="D118" i="110"/>
  <c r="D117" i="110"/>
  <c r="D116" i="110"/>
  <c r="D115" i="110"/>
  <c r="D114" i="110"/>
  <c r="D113" i="110"/>
  <c r="D51" i="110" a="1"/>
  <c r="D51" i="110" s="1"/>
  <c r="D7" i="110" a="1"/>
  <c r="D7" i="110" s="1"/>
  <c r="D107" i="110"/>
  <c r="D71" i="109"/>
  <c r="D70" i="109"/>
  <c r="D69" i="109"/>
  <c r="D68" i="109"/>
  <c r="D67" i="109"/>
  <c r="D66" i="109"/>
  <c r="I57" i="109" a="1"/>
  <c r="I57" i="109" s="1"/>
  <c r="I56" i="109" a="1"/>
  <c r="I56" i="109" s="1"/>
  <c r="F73" i="109"/>
  <c r="I29" i="109"/>
  <c r="E139" i="107"/>
  <c r="F40" i="106" s="1"/>
  <c r="M40" i="106" s="1" a="1"/>
  <c r="M40" i="106" s="1"/>
  <c r="G138" i="107"/>
  <c r="F32" i="105" s="1"/>
  <c r="M32" i="105" s="1" a="1"/>
  <c r="M32" i="105" s="1"/>
  <c r="E138" i="107"/>
  <c r="F39" i="106" s="1"/>
  <c r="G137" i="107"/>
  <c r="F31" i="105" s="1"/>
  <c r="M31" i="105" s="1" a="1"/>
  <c r="M31" i="105" s="1"/>
  <c r="E137" i="107"/>
  <c r="F38" i="106" s="1"/>
  <c r="M38" i="106" s="1" a="1"/>
  <c r="M38" i="106" s="1"/>
  <c r="D137" i="107"/>
  <c r="F31" i="106" s="1"/>
  <c r="G136" i="107"/>
  <c r="F30" i="105" s="1"/>
  <c r="E136" i="107"/>
  <c r="F37" i="106" s="1"/>
  <c r="D136" i="107"/>
  <c r="F30" i="106" s="1"/>
  <c r="M30" i="106" s="1" a="1"/>
  <c r="M30" i="106" s="1"/>
  <c r="G135" i="107"/>
  <c r="F29" i="105" s="1"/>
  <c r="M29" i="105" s="1" a="1"/>
  <c r="M29" i="105" s="1"/>
  <c r="E135" i="107"/>
  <c r="F36" i="106" s="1"/>
  <c r="D135" i="107"/>
  <c r="F29" i="106" s="1"/>
  <c r="M29" i="106" s="1" a="1"/>
  <c r="M29" i="106" s="1"/>
  <c r="G134" i="107"/>
  <c r="F28" i="105" s="1"/>
  <c r="E134" i="107"/>
  <c r="F35" i="106" s="1"/>
  <c r="D134" i="107"/>
  <c r="F28" i="106" s="1"/>
  <c r="M28" i="106" s="1" a="1"/>
  <c r="M28" i="106" s="1"/>
  <c r="G133" i="107"/>
  <c r="F27" i="105" s="1"/>
  <c r="F133" i="107"/>
  <c r="F36" i="105" s="1"/>
  <c r="E133" i="107"/>
  <c r="F34" i="106" s="1"/>
  <c r="D133" i="107"/>
  <c r="F27" i="106" s="1"/>
  <c r="I132" i="107"/>
  <c r="F38" i="105" s="1"/>
  <c r="M38" i="105" s="1" a="1"/>
  <c r="M38" i="105" s="1"/>
  <c r="G132" i="107"/>
  <c r="F26" i="105" s="1"/>
  <c r="F132" i="107"/>
  <c r="F35" i="105" s="1"/>
  <c r="M35" i="105" s="1" a="1"/>
  <c r="M35" i="105" s="1"/>
  <c r="E132" i="107"/>
  <c r="F33" i="106" s="1"/>
  <c r="M33" i="106" s="1" a="1"/>
  <c r="M33" i="106" s="1"/>
  <c r="D132" i="107"/>
  <c r="F26" i="106" s="1"/>
  <c r="M26" i="106" s="1" a="1"/>
  <c r="M26" i="106" s="1"/>
  <c r="I131" i="107"/>
  <c r="F37" i="105" s="1"/>
  <c r="H131" i="107"/>
  <c r="F33" i="105" s="1"/>
  <c r="G131" i="107"/>
  <c r="F25" i="105" s="1"/>
  <c r="F131" i="107"/>
  <c r="F34" i="105" s="1"/>
  <c r="E131" i="107"/>
  <c r="F32" i="106" s="1"/>
  <c r="D131" i="107"/>
  <c r="F25" i="106" s="1"/>
  <c r="D110" i="107" a="1"/>
  <c r="D110" i="107" s="1"/>
  <c r="E40" i="106"/>
  <c r="I40" i="106" s="1"/>
  <c r="E39" i="106"/>
  <c r="D84" i="107" a="1"/>
  <c r="D84" i="107" s="1"/>
  <c r="E38" i="106"/>
  <c r="E30" i="106"/>
  <c r="H30" i="106" s="1"/>
  <c r="E29" i="106"/>
  <c r="I29" i="106" s="1"/>
  <c r="E35" i="106"/>
  <c r="E27" i="106"/>
  <c r="G27" i="106" s="1"/>
  <c r="D52" i="107" a="1"/>
  <c r="D52" i="107" s="1"/>
  <c r="E39" i="105"/>
  <c r="E36" i="105"/>
  <c r="E35" i="105"/>
  <c r="E34" i="105"/>
  <c r="E32" i="105"/>
  <c r="E31" i="105"/>
  <c r="E30" i="105"/>
  <c r="E29" i="105"/>
  <c r="E28" i="105"/>
  <c r="E27" i="105"/>
  <c r="D8" i="107" a="1"/>
  <c r="D8" i="107" s="1"/>
  <c r="D38" i="106"/>
  <c r="D37" i="106"/>
  <c r="D36" i="106"/>
  <c r="D35" i="106"/>
  <c r="D34" i="106"/>
  <c r="D33" i="106"/>
  <c r="D48" i="106"/>
  <c r="D31" i="106"/>
  <c r="D30" i="106"/>
  <c r="D29" i="106"/>
  <c r="D28" i="106"/>
  <c r="D27" i="106"/>
  <c r="D26" i="106"/>
  <c r="D42" i="106"/>
  <c r="P18" i="106"/>
  <c r="P17" i="106"/>
  <c r="P16" i="106" a="1"/>
  <c r="P16" i="106" s="1"/>
  <c r="I16" i="106" a="1"/>
  <c r="I16" i="106" s="1"/>
  <c r="P15" i="106" a="1"/>
  <c r="P15" i="106" s="1"/>
  <c r="I15" i="106" a="1"/>
  <c r="I15" i="106" s="1"/>
  <c r="P14" i="106" a="1"/>
  <c r="P14" i="106" s="1"/>
  <c r="I14" i="106" a="1"/>
  <c r="I14" i="106" s="1"/>
  <c r="D39" i="105"/>
  <c r="D38" i="105"/>
  <c r="D60" i="105"/>
  <c r="D48" i="105"/>
  <c r="D29" i="105"/>
  <c r="D28" i="105"/>
  <c r="P16" i="105" a="1"/>
  <c r="P16" i="105" s="1"/>
  <c r="I16" i="105" a="1"/>
  <c r="I16" i="105" s="1"/>
  <c r="P15" i="105" a="1"/>
  <c r="P15" i="105" s="1"/>
  <c r="I15" i="105" a="1"/>
  <c r="I15" i="105" s="1"/>
  <c r="P14" i="105" a="1"/>
  <c r="P14" i="105" s="1"/>
  <c r="I14" i="105" a="1"/>
  <c r="I14" i="105" s="1"/>
  <c r="F70" i="105"/>
  <c r="H21" i="104"/>
  <c r="H20" i="104"/>
  <c r="H19" i="104"/>
  <c r="H18" i="104"/>
  <c r="H17" i="104"/>
  <c r="I567" i="124" a="1"/>
  <c r="I567" i="124" s="1"/>
  <c r="E570" i="124" s="1"/>
  <c r="J36" i="102" a="1"/>
  <c r="J36" i="102" s="1"/>
  <c r="E39" i="102" s="1"/>
  <c r="D7" i="103" a="1"/>
  <c r="D7" i="103" s="1"/>
  <c r="J37" i="102"/>
  <c r="J33" i="102" s="1"/>
  <c r="J32" i="102"/>
  <c r="J31" i="102"/>
  <c r="F39" i="102"/>
  <c r="I16" i="102"/>
  <c r="I14" i="102"/>
  <c r="F18" i="102"/>
  <c r="H48" i="101"/>
  <c r="E48" i="101"/>
  <c r="H47" i="101"/>
  <c r="E47" i="101"/>
  <c r="H46" i="101"/>
  <c r="E46" i="101"/>
  <c r="H39" i="101"/>
  <c r="H38" i="101"/>
  <c r="H37" i="101"/>
  <c r="E29" i="101"/>
  <c r="E16" i="101"/>
  <c r="E22" i="101" s="1"/>
  <c r="E6" i="101"/>
  <c r="I19" i="97"/>
  <c r="I18" i="97"/>
  <c r="I16" i="97"/>
  <c r="I15" i="97"/>
  <c r="I50" i="95"/>
  <c r="G180" i="126"/>
  <c r="G190" i="126"/>
  <c r="G182" i="126"/>
  <c r="G184" i="126"/>
  <c r="G198" i="126"/>
  <c r="G191" i="126"/>
  <c r="G189" i="126"/>
  <c r="G188" i="126"/>
  <c r="G186" i="126"/>
  <c r="G187" i="126"/>
  <c r="G185" i="126"/>
  <c r="G179" i="126"/>
  <c r="G178" i="126"/>
  <c r="G193" i="126"/>
  <c r="G192" i="126"/>
  <c r="G181" i="126"/>
  <c r="F99" i="99" a="1"/>
  <c r="F99" i="99" s="1"/>
  <c r="D96" i="99" a="1"/>
  <c r="D96" i="99" s="1"/>
  <c r="F94" i="99"/>
  <c r="D67" i="99"/>
  <c r="D66" i="99"/>
  <c r="D65" i="99"/>
  <c r="I59" i="99"/>
  <c r="I58" i="99"/>
  <c r="I55" i="99" a="1"/>
  <c r="I55" i="99" s="1"/>
  <c r="F77" i="99"/>
  <c r="I17" i="99"/>
  <c r="I16" i="99"/>
  <c r="I13" i="99" a="1"/>
  <c r="I13" i="99" s="1"/>
  <c r="F43" i="99"/>
  <c r="F151" i="98" a="1"/>
  <c r="F151" i="98" s="1"/>
  <c r="D148" i="98" a="1"/>
  <c r="D148" i="98" s="1"/>
  <c r="I127" i="98"/>
  <c r="I124" i="98" a="1"/>
  <c r="I124" i="98" s="1"/>
  <c r="F146" i="98"/>
  <c r="I96" i="98" a="1"/>
  <c r="I96" i="98" s="1"/>
  <c r="G102" i="98"/>
  <c r="F84" i="98" a="1"/>
  <c r="F84" i="98" s="1"/>
  <c r="D81" i="98" a="1"/>
  <c r="D81" i="98" s="1"/>
  <c r="J52" i="98"/>
  <c r="J49" i="98" a="1"/>
  <c r="J49" i="98" s="1"/>
  <c r="F79" i="98"/>
  <c r="I14" i="98" a="1"/>
  <c r="I14" i="98" s="1"/>
  <c r="I13" i="98" a="1"/>
  <c r="I13" i="98" s="1"/>
  <c r="I17" i="97" a="1"/>
  <c r="I17" i="97" s="1"/>
  <c r="I14" i="97" a="1"/>
  <c r="I14" i="97" s="1"/>
  <c r="I13" i="97" a="1"/>
  <c r="I13" i="97" s="1"/>
  <c r="F55" i="96" a="1"/>
  <c r="F55" i="96" s="1"/>
  <c r="D52" i="96" a="1"/>
  <c r="D52" i="96" s="1"/>
  <c r="K47" i="96"/>
  <c r="F50" i="96"/>
  <c r="E112" i="98"/>
  <c r="I15" i="96" a="1"/>
  <c r="I15" i="96" s="1"/>
  <c r="I14" i="96" a="1"/>
  <c r="I14" i="96" s="1"/>
  <c r="I13" i="96" a="1"/>
  <c r="I13" i="96" s="1"/>
  <c r="F32" i="96"/>
  <c r="I53" i="95" a="1"/>
  <c r="I53" i="95" s="1"/>
  <c r="I52" i="95"/>
  <c r="I49" i="95" a="1"/>
  <c r="I49" i="95" s="1"/>
  <c r="F78" i="95"/>
  <c r="I14" i="95" a="1"/>
  <c r="I14" i="95" s="1"/>
  <c r="I13" i="95" a="1"/>
  <c r="I13" i="95" s="1"/>
  <c r="O115" i="94" a="1"/>
  <c r="O115" i="94" s="1"/>
  <c r="M112" i="94" a="1"/>
  <c r="M112" i="94" s="1"/>
  <c r="S96" i="94"/>
  <c r="N107" i="94" s="1"/>
  <c r="S95" i="94"/>
  <c r="F85" i="94" a="1"/>
  <c r="F85" i="94" s="1"/>
  <c r="D82" i="94" a="1"/>
  <c r="D82" i="94" s="1"/>
  <c r="O79" i="94"/>
  <c r="O63" i="94"/>
  <c r="I53" i="94"/>
  <c r="I52" i="94"/>
  <c r="I49" i="94" a="1"/>
  <c r="I49" i="94" s="1"/>
  <c r="O49" i="94"/>
  <c r="I14" i="94" a="1"/>
  <c r="I14" i="94" s="1"/>
  <c r="I13" i="94" a="1"/>
  <c r="I13" i="94" s="1"/>
  <c r="G56" i="93"/>
  <c r="G55" i="93"/>
  <c r="G54" i="93"/>
  <c r="K44" i="93"/>
  <c r="K43" i="93"/>
  <c r="K42" i="93"/>
  <c r="O187" i="92" a="1"/>
  <c r="O187" i="92" s="1"/>
  <c r="F187" i="92" a="1"/>
  <c r="F187" i="92" s="1"/>
  <c r="M184" i="92" a="1"/>
  <c r="M184" i="92" s="1"/>
  <c r="D184" i="92" a="1"/>
  <c r="D184" i="92" s="1"/>
  <c r="I155" i="92" a="1"/>
  <c r="I155" i="92" s="1"/>
  <c r="I154" i="92" a="1"/>
  <c r="I154" i="92" s="1"/>
  <c r="I153" i="92" a="1"/>
  <c r="I153" i="92" s="1"/>
  <c r="I152" i="92" a="1"/>
  <c r="I152" i="92" s="1"/>
  <c r="I151" i="92" a="1"/>
  <c r="I151" i="92" s="1"/>
  <c r="I150" i="92" a="1"/>
  <c r="I150" i="92" s="1"/>
  <c r="I149" i="92" a="1"/>
  <c r="I149" i="92" s="1"/>
  <c r="I148" i="92" a="1"/>
  <c r="I148" i="92" s="1"/>
  <c r="F175" i="92"/>
  <c r="H127" i="92" a="1"/>
  <c r="H127" i="92" s="1"/>
  <c r="I95" i="92" a="1"/>
  <c r="I95" i="92" s="1"/>
  <c r="I94" i="92" a="1"/>
  <c r="I94" i="92" s="1"/>
  <c r="I93" i="92" a="1"/>
  <c r="I93" i="92" s="1"/>
  <c r="I92" i="92" a="1"/>
  <c r="I92" i="92" s="1"/>
  <c r="I70" i="92" a="1"/>
  <c r="I70" i="92" s="1"/>
  <c r="I66" i="92" a="1"/>
  <c r="I66" i="92" s="1"/>
  <c r="I65" i="92" a="1"/>
  <c r="I65" i="92" s="1"/>
  <c r="I64" i="92"/>
  <c r="D75" i="92" s="1"/>
  <c r="I80" i="92"/>
  <c r="I38" i="92" a="1"/>
  <c r="I38" i="92" s="1"/>
  <c r="I37" i="92"/>
  <c r="D45" i="92" s="1"/>
  <c r="I14" i="92"/>
  <c r="F54" i="82"/>
  <c r="T40" i="83" s="1"/>
  <c r="F53" i="82"/>
  <c r="R39" i="92" s="1"/>
  <c r="I14" i="89"/>
  <c r="J15" i="86"/>
  <c r="I15" i="90"/>
  <c r="I43" i="86"/>
  <c r="I221" i="83"/>
  <c r="I128" i="83"/>
  <c r="I67" i="83"/>
  <c r="H36" i="82"/>
  <c r="G19" i="83" s="1"/>
  <c r="G24" i="83" s="1"/>
  <c r="I41" i="82"/>
  <c r="E175" i="92"/>
  <c r="D175" i="92"/>
  <c r="H198" i="84"/>
  <c r="H280" i="83"/>
  <c r="F198" i="84"/>
  <c r="F280" i="83"/>
  <c r="H24" i="84" a="1"/>
  <c r="H24" i="84" s="1"/>
  <c r="G24" i="84" a="1"/>
  <c r="G24" i="84" s="1"/>
  <c r="F24" i="84" a="1"/>
  <c r="F24" i="84" s="1"/>
  <c r="E24" i="84" a="1"/>
  <c r="E24" i="84" s="1"/>
  <c r="D24" i="84" a="1"/>
  <c r="D24" i="84" s="1"/>
  <c r="Q52" i="90" a="1"/>
  <c r="Q52" i="90" s="1"/>
  <c r="F52" i="90" a="1"/>
  <c r="F52" i="90" s="1"/>
  <c r="O49" i="90" a="1"/>
  <c r="O49" i="90" s="1"/>
  <c r="D49" i="90" a="1"/>
  <c r="D49" i="90" s="1"/>
  <c r="O28" i="90"/>
  <c r="D28" i="90"/>
  <c r="O23" i="90"/>
  <c r="D23" i="90"/>
  <c r="I18" i="90"/>
  <c r="I17" i="90"/>
  <c r="I16" i="90"/>
  <c r="I13" i="90" a="1"/>
  <c r="I13" i="90" s="1"/>
  <c r="Q50" i="89" a="1"/>
  <c r="Q50" i="89" s="1"/>
  <c r="F50" i="89" a="1"/>
  <c r="F50" i="89" s="1"/>
  <c r="O47" i="89" a="1"/>
  <c r="O47" i="89" s="1"/>
  <c r="D47" i="89" a="1"/>
  <c r="D47" i="89" s="1"/>
  <c r="I42" i="89"/>
  <c r="I41" i="89"/>
  <c r="P38" i="89"/>
  <c r="O24" i="89"/>
  <c r="D24" i="89"/>
  <c r="O19" i="89"/>
  <c r="D19" i="89"/>
  <c r="I13" i="89" a="1"/>
  <c r="I13" i="89" s="1"/>
  <c r="Q58" i="88" a="1"/>
  <c r="Q58" i="88" s="1"/>
  <c r="F58" i="88" a="1"/>
  <c r="F58" i="88" s="1"/>
  <c r="O55" i="88" a="1"/>
  <c r="O55" i="88" s="1"/>
  <c r="D55" i="88" a="1"/>
  <c r="D55" i="88" s="1"/>
  <c r="O51" i="88"/>
  <c r="D51" i="88"/>
  <c r="J43" i="88" a="1"/>
  <c r="J43" i="88" s="1"/>
  <c r="Q53" i="88"/>
  <c r="O31" i="88"/>
  <c r="D31" i="88"/>
  <c r="O25" i="88"/>
  <c r="D25" i="88"/>
  <c r="I14" i="88" a="1"/>
  <c r="I14" i="88" s="1"/>
  <c r="I13" i="88" a="1"/>
  <c r="I13" i="88" s="1"/>
  <c r="K25" i="88"/>
  <c r="O146" i="87"/>
  <c r="D146" i="87"/>
  <c r="O145" i="87"/>
  <c r="D145" i="87"/>
  <c r="O144" i="87"/>
  <c r="D144" i="87"/>
  <c r="O143" i="87"/>
  <c r="D143" i="87"/>
  <c r="O142" i="87"/>
  <c r="D142" i="87"/>
  <c r="O141" i="87"/>
  <c r="D141" i="87"/>
  <c r="O140" i="87"/>
  <c r="D140" i="87"/>
  <c r="O139" i="87"/>
  <c r="D139" i="87"/>
  <c r="F134" i="87"/>
  <c r="D134" i="87"/>
  <c r="F133" i="87"/>
  <c r="D133" i="87"/>
  <c r="F132" i="87"/>
  <c r="D132" i="87"/>
  <c r="F131" i="87"/>
  <c r="D131" i="87"/>
  <c r="F130" i="87"/>
  <c r="D130" i="87"/>
  <c r="F129" i="87"/>
  <c r="D129" i="87"/>
  <c r="F128" i="87"/>
  <c r="D128" i="87"/>
  <c r="F127" i="87"/>
  <c r="D127" i="87"/>
  <c r="O113" i="87"/>
  <c r="D113" i="87"/>
  <c r="O112" i="87"/>
  <c r="D112" i="87"/>
  <c r="O111" i="87"/>
  <c r="D111" i="87"/>
  <c r="O110" i="87"/>
  <c r="D110" i="87"/>
  <c r="O109" i="87"/>
  <c r="D109" i="87"/>
  <c r="O108" i="87"/>
  <c r="D108" i="87"/>
  <c r="O107" i="87"/>
  <c r="D107" i="87"/>
  <c r="O106" i="87"/>
  <c r="D106" i="87"/>
  <c r="I101" i="87" a="1"/>
  <c r="I101" i="87" s="1"/>
  <c r="I100" i="87" a="1"/>
  <c r="I100" i="87" s="1"/>
  <c r="I99" i="87" a="1"/>
  <c r="I99" i="87" s="1"/>
  <c r="I98" i="87" a="1"/>
  <c r="I98" i="87" s="1"/>
  <c r="I97" i="87" a="1"/>
  <c r="I97" i="87" s="1"/>
  <c r="O83" i="87"/>
  <c r="D83" i="87"/>
  <c r="O82" i="87"/>
  <c r="D82" i="87"/>
  <c r="O81" i="87"/>
  <c r="D81" i="87"/>
  <c r="O80" i="87"/>
  <c r="D80" i="87"/>
  <c r="O79" i="87"/>
  <c r="D79" i="87"/>
  <c r="O78" i="87"/>
  <c r="D78" i="87"/>
  <c r="O77" i="87"/>
  <c r="D77" i="87"/>
  <c r="O76" i="87"/>
  <c r="D76" i="87"/>
  <c r="D71" i="87"/>
  <c r="D70" i="87"/>
  <c r="F69" i="87"/>
  <c r="D69" i="87"/>
  <c r="F68" i="87"/>
  <c r="D68" i="87"/>
  <c r="F67" i="87"/>
  <c r="D67" i="87"/>
  <c r="F66" i="87"/>
  <c r="D66" i="87"/>
  <c r="D65" i="87"/>
  <c r="D64" i="87"/>
  <c r="O59" i="87"/>
  <c r="D59" i="87"/>
  <c r="O58" i="87"/>
  <c r="D58" i="87"/>
  <c r="O57" i="87"/>
  <c r="D57" i="87"/>
  <c r="O56" i="87"/>
  <c r="D56" i="87"/>
  <c r="O55" i="87"/>
  <c r="D55" i="87"/>
  <c r="O54" i="87"/>
  <c r="D54" i="87"/>
  <c r="O53" i="87"/>
  <c r="D53" i="87"/>
  <c r="O52" i="87"/>
  <c r="D52" i="87"/>
  <c r="O47" i="87"/>
  <c r="D47" i="87"/>
  <c r="O46" i="87"/>
  <c r="D46" i="87"/>
  <c r="O45" i="87"/>
  <c r="D45" i="87"/>
  <c r="O44" i="87"/>
  <c r="D44" i="87"/>
  <c r="O43" i="87"/>
  <c r="D43" i="87"/>
  <c r="O42" i="87"/>
  <c r="D42" i="87"/>
  <c r="O41" i="87"/>
  <c r="D41" i="87"/>
  <c r="O40" i="87"/>
  <c r="D40" i="87"/>
  <c r="I17" i="87" a="1"/>
  <c r="I17" i="87" s="1"/>
  <c r="I16" i="87" a="1"/>
  <c r="I16" i="87" s="1"/>
  <c r="I15" i="87" a="1"/>
  <c r="I15" i="87" s="1"/>
  <c r="I14" i="87" a="1"/>
  <c r="I14" i="87" s="1"/>
  <c r="I13" i="87" a="1"/>
  <c r="I13" i="87" s="1"/>
  <c r="K52" i="87"/>
  <c r="Q115" i="87"/>
  <c r="D119" i="87"/>
  <c r="Q57" i="86" a="1"/>
  <c r="Q57" i="86" s="1"/>
  <c r="F57" i="86" a="1"/>
  <c r="F57" i="86" s="1"/>
  <c r="O54" i="86" a="1"/>
  <c r="O54" i="86" s="1"/>
  <c r="D54" i="86" a="1"/>
  <c r="D54" i="86" s="1"/>
  <c r="O50" i="86"/>
  <c r="D50" i="86"/>
  <c r="O49" i="86"/>
  <c r="D49" i="86"/>
  <c r="I42" i="86" a="1"/>
  <c r="I42" i="86" s="1"/>
  <c r="O30" i="86"/>
  <c r="D30" i="86"/>
  <c r="O29" i="86"/>
  <c r="D29" i="86"/>
  <c r="O24" i="86"/>
  <c r="D24" i="86"/>
  <c r="O23" i="86"/>
  <c r="D23" i="86"/>
  <c r="J18" i="86"/>
  <c r="J17" i="86"/>
  <c r="J16" i="86"/>
  <c r="J13" i="86" a="1"/>
  <c r="J13" i="86" s="1"/>
  <c r="Q73" i="85" a="1"/>
  <c r="Q73" i="85" s="1"/>
  <c r="F73" i="85" a="1"/>
  <c r="F73" i="85" s="1"/>
  <c r="O70" i="85" a="1"/>
  <c r="O70" i="85" s="1"/>
  <c r="D70" i="85" a="1"/>
  <c r="D70" i="85" s="1"/>
  <c r="I65" i="85"/>
  <c r="I64" i="85"/>
  <c r="P61" i="85"/>
  <c r="O47" i="85"/>
  <c r="D47" i="85"/>
  <c r="O46" i="85"/>
  <c r="D46" i="85"/>
  <c r="O45" i="85"/>
  <c r="D45" i="85"/>
  <c r="O44" i="85"/>
  <c r="D44" i="85"/>
  <c r="O43" i="85"/>
  <c r="D43" i="85"/>
  <c r="O42" i="85"/>
  <c r="D42" i="85"/>
  <c r="O41" i="85"/>
  <c r="D41" i="85"/>
  <c r="O40" i="85"/>
  <c r="D40" i="85"/>
  <c r="O26" i="85"/>
  <c r="D26" i="85"/>
  <c r="O25" i="85"/>
  <c r="D25" i="85"/>
  <c r="O24" i="85"/>
  <c r="D24" i="85"/>
  <c r="O23" i="85"/>
  <c r="D23" i="85"/>
  <c r="O22" i="85"/>
  <c r="D22" i="85"/>
  <c r="O21" i="85"/>
  <c r="D21" i="85"/>
  <c r="O20" i="85"/>
  <c r="D20" i="85"/>
  <c r="O19" i="85"/>
  <c r="D19" i="85"/>
  <c r="I14" i="85" a="1"/>
  <c r="I14" i="85" s="1"/>
  <c r="I13" i="85" a="1"/>
  <c r="I13" i="85" s="1"/>
  <c r="F31" i="85"/>
  <c r="P292" i="84" a="1"/>
  <c r="P292" i="84" s="1"/>
  <c r="F292" i="84" a="1"/>
  <c r="F292" i="84" s="1"/>
  <c r="N289" i="84" a="1"/>
  <c r="N289" i="84" s="1"/>
  <c r="D289" i="84" a="1"/>
  <c r="D289" i="84" s="1"/>
  <c r="N285" i="84"/>
  <c r="D285" i="84"/>
  <c r="N284" i="84"/>
  <c r="D284" i="84"/>
  <c r="N283" i="84"/>
  <c r="D283" i="84"/>
  <c r="N282" i="84"/>
  <c r="D282" i="84"/>
  <c r="N281" i="84"/>
  <c r="D281" i="84"/>
  <c r="N280" i="84"/>
  <c r="D280" i="84"/>
  <c r="N279" i="84"/>
  <c r="D279" i="84"/>
  <c r="N278" i="84"/>
  <c r="D278" i="84"/>
  <c r="I263" i="84" a="1"/>
  <c r="I263" i="84" s="1"/>
  <c r="I262" i="84" a="1"/>
  <c r="I262" i="84" s="1"/>
  <c r="P287" i="84"/>
  <c r="N250" i="84"/>
  <c r="D250" i="84"/>
  <c r="N249" i="84"/>
  <c r="D249" i="84"/>
  <c r="N248" i="84"/>
  <c r="D248" i="84"/>
  <c r="N247" i="84"/>
  <c r="D247" i="84"/>
  <c r="N246" i="84"/>
  <c r="D246" i="84"/>
  <c r="N245" i="84"/>
  <c r="D245" i="84"/>
  <c r="N244" i="84"/>
  <c r="D244" i="84"/>
  <c r="N243" i="84"/>
  <c r="D243" i="84"/>
  <c r="N238" i="84"/>
  <c r="D238" i="84"/>
  <c r="N237" i="84"/>
  <c r="D237" i="84"/>
  <c r="N236" i="84"/>
  <c r="D236" i="84"/>
  <c r="N235" i="84"/>
  <c r="D235" i="84"/>
  <c r="N234" i="84"/>
  <c r="D234" i="84"/>
  <c r="N233" i="84"/>
  <c r="D233" i="84"/>
  <c r="N232" i="84"/>
  <c r="D232" i="84"/>
  <c r="N231" i="84"/>
  <c r="D231" i="84"/>
  <c r="J226" i="84" a="1"/>
  <c r="J226" i="84" s="1"/>
  <c r="I226" i="84" a="1"/>
  <c r="I226" i="84" s="1"/>
  <c r="J225" i="84" a="1"/>
  <c r="J225" i="84" s="1"/>
  <c r="I225" i="84" a="1"/>
  <c r="I225" i="84" s="1"/>
  <c r="I193" i="84" a="1"/>
  <c r="I193" i="84" s="1"/>
  <c r="I192" i="84" a="1"/>
  <c r="I192" i="84" s="1"/>
  <c r="I191" i="84" a="1"/>
  <c r="I191" i="84" s="1"/>
  <c r="I190" i="84" a="1"/>
  <c r="I190" i="84" s="1"/>
  <c r="I189" i="84" a="1"/>
  <c r="I189" i="84" s="1"/>
  <c r="H166" i="84"/>
  <c r="G166" i="84"/>
  <c r="F166" i="84"/>
  <c r="E166" i="84"/>
  <c r="D166" i="84"/>
  <c r="I161" i="84" a="1"/>
  <c r="I161" i="84" s="1"/>
  <c r="I160" i="84" a="1"/>
  <c r="I160" i="84" s="1"/>
  <c r="I159" i="84" a="1"/>
  <c r="I159" i="84" s="1"/>
  <c r="I166" i="84"/>
  <c r="I141" i="84" a="1"/>
  <c r="I141" i="84" s="1"/>
  <c r="I140" i="84" a="1"/>
  <c r="I140" i="84" s="1"/>
  <c r="I139" i="84" a="1"/>
  <c r="I139" i="84" s="1"/>
  <c r="R121" i="84"/>
  <c r="H116" i="84" a="1"/>
  <c r="H116" i="84" s="1"/>
  <c r="H115" i="84" a="1"/>
  <c r="H115" i="84" s="1"/>
  <c r="I83" i="84" a="1"/>
  <c r="I83" i="84" s="1"/>
  <c r="I82" i="84" a="1"/>
  <c r="I82" i="84" s="1"/>
  <c r="I81" i="84" a="1"/>
  <c r="I81" i="84" s="1"/>
  <c r="I80" i="84" a="1"/>
  <c r="I80" i="84" s="1"/>
  <c r="I79" i="84" a="1"/>
  <c r="I79" i="84" s="1"/>
  <c r="I78" i="84"/>
  <c r="I93" i="84"/>
  <c r="I45" i="84" a="1"/>
  <c r="I45" i="84" s="1"/>
  <c r="I44" i="84" a="1"/>
  <c r="I44" i="84" s="1"/>
  <c r="I43" i="84" a="1"/>
  <c r="I43" i="84" s="1"/>
  <c r="I42" i="84" a="1"/>
  <c r="I42" i="84" s="1"/>
  <c r="I50" i="84"/>
  <c r="I65" i="84"/>
  <c r="H14" i="84" a="1"/>
  <c r="H14" i="84" s="1"/>
  <c r="H13" i="84" a="1"/>
  <c r="H13" i="84" s="1"/>
  <c r="Q305" i="83" a="1"/>
  <c r="Q305" i="83" s="1"/>
  <c r="F305" i="83" a="1"/>
  <c r="F305" i="83" s="1"/>
  <c r="O302" i="83" a="1"/>
  <c r="O302" i="83" s="1"/>
  <c r="D302" i="83" a="1"/>
  <c r="D302" i="83" s="1"/>
  <c r="O298" i="83"/>
  <c r="D298" i="83"/>
  <c r="O297" i="83"/>
  <c r="D297" i="83"/>
  <c r="O296" i="83"/>
  <c r="D296" i="83"/>
  <c r="O295" i="83"/>
  <c r="D295" i="83"/>
  <c r="O294" i="83"/>
  <c r="D294" i="83"/>
  <c r="O293" i="83"/>
  <c r="D293" i="83"/>
  <c r="O292" i="83"/>
  <c r="D292" i="83"/>
  <c r="O291" i="83"/>
  <c r="D291" i="83"/>
  <c r="O290" i="83"/>
  <c r="D290" i="83"/>
  <c r="H270" i="83"/>
  <c r="G270" i="83"/>
  <c r="F270" i="83"/>
  <c r="E270" i="83"/>
  <c r="D270" i="83"/>
  <c r="J265" i="83" a="1"/>
  <c r="J265" i="83" s="1"/>
  <c r="J264" i="83" a="1"/>
  <c r="J264" i="83" s="1"/>
  <c r="J263" i="83" a="1"/>
  <c r="J263" i="83" s="1"/>
  <c r="J262" i="83" a="1"/>
  <c r="J262" i="83" s="1"/>
  <c r="J261" i="83" a="1"/>
  <c r="J261" i="83" s="1"/>
  <c r="J260" i="83" a="1"/>
  <c r="J260" i="83" s="1"/>
  <c r="J259" i="83" a="1"/>
  <c r="J259" i="83" s="1"/>
  <c r="J258" i="83" a="1"/>
  <c r="J258" i="83" s="1"/>
  <c r="O245" i="83"/>
  <c r="D245" i="83"/>
  <c r="O244" i="83"/>
  <c r="D244" i="83"/>
  <c r="O243" i="83"/>
  <c r="D243" i="83"/>
  <c r="O242" i="83"/>
  <c r="D242" i="83"/>
  <c r="O241" i="83"/>
  <c r="D241" i="83"/>
  <c r="O240" i="83"/>
  <c r="D240" i="83"/>
  <c r="O239" i="83"/>
  <c r="D239" i="83"/>
  <c r="O238" i="83"/>
  <c r="D238" i="83"/>
  <c r="O237" i="83"/>
  <c r="D237" i="83"/>
  <c r="T223" i="83"/>
  <c r="T220" i="83" a="1"/>
  <c r="T220" i="83" s="1"/>
  <c r="I220" i="83" a="1"/>
  <c r="I220" i="83" s="1"/>
  <c r="J219" i="83" a="1"/>
  <c r="J219" i="83" s="1"/>
  <c r="I219" i="83" a="1"/>
  <c r="I219" i="83" s="1"/>
  <c r="I218" i="83" a="1"/>
  <c r="I218" i="83" s="1"/>
  <c r="K237" i="83"/>
  <c r="O206" i="83"/>
  <c r="D206" i="83"/>
  <c r="O205" i="83"/>
  <c r="D205" i="83"/>
  <c r="O200" i="83"/>
  <c r="D200" i="83"/>
  <c r="O199" i="83"/>
  <c r="D199" i="83"/>
  <c r="I194" i="83" a="1"/>
  <c r="I194" i="83" s="1"/>
  <c r="I193" i="83" a="1"/>
  <c r="I193" i="83" s="1"/>
  <c r="I192" i="83" a="1"/>
  <c r="I192" i="83" s="1"/>
  <c r="O179" i="83"/>
  <c r="D179" i="83"/>
  <c r="O178" i="83"/>
  <c r="D178" i="83"/>
  <c r="O177" i="83"/>
  <c r="D177" i="83"/>
  <c r="O176" i="83"/>
  <c r="D176" i="83"/>
  <c r="O175" i="83"/>
  <c r="D175" i="83"/>
  <c r="O174" i="83"/>
  <c r="D174" i="83"/>
  <c r="O173" i="83"/>
  <c r="D173" i="83"/>
  <c r="O168" i="83"/>
  <c r="D168" i="83"/>
  <c r="Q167" i="83"/>
  <c r="O167" i="83"/>
  <c r="D167" i="83"/>
  <c r="Q166" i="83"/>
  <c r="O166" i="83"/>
  <c r="D166" i="83"/>
  <c r="Q165" i="83"/>
  <c r="O165" i="83"/>
  <c r="F165" i="83"/>
  <c r="D165" i="83"/>
  <c r="Q164" i="83"/>
  <c r="O164" i="83"/>
  <c r="F164" i="83"/>
  <c r="D164" i="83"/>
  <c r="Q163" i="83"/>
  <c r="O163" i="83"/>
  <c r="F163" i="83"/>
  <c r="D163" i="83"/>
  <c r="O162" i="83"/>
  <c r="D162" i="83"/>
  <c r="O157" i="83"/>
  <c r="D157" i="83"/>
  <c r="O156" i="83"/>
  <c r="D156" i="83"/>
  <c r="O155" i="83"/>
  <c r="D155" i="83"/>
  <c r="O154" i="83"/>
  <c r="D154" i="83"/>
  <c r="O153" i="83"/>
  <c r="D153" i="83"/>
  <c r="O152" i="83"/>
  <c r="D152" i="83"/>
  <c r="O151" i="83"/>
  <c r="D151" i="83"/>
  <c r="I146" i="83" a="1"/>
  <c r="I146" i="83" s="1"/>
  <c r="I145" i="83" a="1"/>
  <c r="I145" i="83" s="1"/>
  <c r="I127" i="83" a="1"/>
  <c r="I127" i="83" s="1"/>
  <c r="I126" i="83" a="1"/>
  <c r="I126" i="83" s="1"/>
  <c r="I94" i="83" a="1"/>
  <c r="I94" i="83" s="1"/>
  <c r="I93" i="83" a="1"/>
  <c r="I93" i="83" s="1"/>
  <c r="I92" i="83" a="1"/>
  <c r="I92" i="83" s="1"/>
  <c r="I91" i="83" a="1"/>
  <c r="I91" i="83" s="1"/>
  <c r="I68" i="83" a="1"/>
  <c r="I68" i="83" s="1"/>
  <c r="I64" i="83" a="1"/>
  <c r="I64" i="83" s="1"/>
  <c r="I63" i="83" a="1"/>
  <c r="I63" i="83" s="1"/>
  <c r="I62" i="83"/>
  <c r="D74" i="83" s="1"/>
  <c r="D93" i="84" s="1"/>
  <c r="T79" i="83"/>
  <c r="I38" i="83" a="1"/>
  <c r="I38" i="83" s="1"/>
  <c r="I37" i="83"/>
  <c r="D45" i="83" s="1"/>
  <c r="I14" i="83"/>
  <c r="N118" i="82"/>
  <c r="F71" i="87" s="1"/>
  <c r="E116" i="82"/>
  <c r="Q168" i="83" s="1"/>
  <c r="E115" i="82"/>
  <c r="F168" i="83" s="1"/>
  <c r="N113" i="82"/>
  <c r="F70" i="87" s="1"/>
  <c r="E111" i="82"/>
  <c r="E110" i="82"/>
  <c r="F167" i="83" s="1"/>
  <c r="N108" i="82"/>
  <c r="E106" i="82"/>
  <c r="E105" i="82"/>
  <c r="F166" i="83" s="1"/>
  <c r="N103" i="82"/>
  <c r="D99" i="82"/>
  <c r="I96" i="82"/>
  <c r="H96" i="82"/>
  <c r="G96" i="82"/>
  <c r="F96" i="82"/>
  <c r="E96" i="82"/>
  <c r="N94" i="82"/>
  <c r="E91" i="82"/>
  <c r="N89" i="82"/>
  <c r="E86" i="82"/>
  <c r="N84" i="82"/>
  <c r="F65" i="87" s="1"/>
  <c r="E81" i="82"/>
  <c r="N79" i="82"/>
  <c r="F64" i="87" s="1"/>
  <c r="D75" i="82"/>
  <c r="F50" i="82"/>
  <c r="D78" i="78"/>
  <c r="D38" i="78"/>
  <c r="D13" i="78"/>
  <c r="D9" i="78"/>
  <c r="D8" i="78"/>
  <c r="F80" i="72"/>
  <c r="F79" i="72"/>
  <c r="E80" i="72"/>
  <c r="E79" i="72"/>
  <c r="I150" i="124" l="1"/>
  <c r="J388" i="124"/>
  <c r="G495" i="124"/>
  <c r="I482" i="124"/>
  <c r="I484" i="124"/>
  <c r="H451" i="124"/>
  <c r="H452" i="124"/>
  <c r="K40" i="106" a="1"/>
  <c r="K40" i="106" s="1"/>
  <c r="G19" i="92"/>
  <c r="G24" i="92" s="1"/>
  <c r="G176" i="126"/>
  <c r="G175" i="126"/>
  <c r="G174" i="126"/>
  <c r="G177" i="126"/>
  <c r="H196" i="126"/>
  <c r="I176" i="126"/>
  <c r="H14" i="82" a="1"/>
  <c r="H14" i="82" s="1"/>
  <c r="H18" i="82" a="1"/>
  <c r="H18" i="82" s="1"/>
  <c r="I14" i="82" a="1"/>
  <c r="I14" i="82" s="1"/>
  <c r="I18" i="82" a="1"/>
  <c r="I18" i="82" s="1"/>
  <c r="F25" i="82" a="1"/>
  <c r="F25" i="82" s="1"/>
  <c r="E25" i="82" a="1"/>
  <c r="E25" i="82" s="1"/>
  <c r="I24" i="82" a="1"/>
  <c r="I24" i="82" s="1"/>
  <c r="H24" i="82" a="1"/>
  <c r="H24" i="82" s="1"/>
  <c r="G24" i="82" a="1"/>
  <c r="G24" i="82" s="1"/>
  <c r="F24" i="82" a="1"/>
  <c r="F24" i="82" s="1"/>
  <c r="I28" i="82" a="1"/>
  <c r="I28" i="82" s="1"/>
  <c r="E24" i="82" a="1"/>
  <c r="E24" i="82" s="1"/>
  <c r="H28" i="82" a="1"/>
  <c r="H28" i="82" s="1"/>
  <c r="G28" i="82" a="1"/>
  <c r="G28" i="82" s="1"/>
  <c r="F28" i="82" a="1"/>
  <c r="F28" i="82" s="1"/>
  <c r="E28" i="82" a="1"/>
  <c r="E28" i="82" s="1"/>
  <c r="I25" i="82" a="1"/>
  <c r="I25" i="82" s="1"/>
  <c r="H25" i="82" a="1"/>
  <c r="H25" i="82" s="1"/>
  <c r="G25" i="82" a="1"/>
  <c r="G25" i="82" s="1"/>
  <c r="F32" i="87"/>
  <c r="F35" i="87"/>
  <c r="F34" i="87"/>
  <c r="F33" i="87"/>
  <c r="F31" i="87"/>
  <c r="I68" i="82"/>
  <c r="U25" i="88" s="1"/>
  <c r="E64" i="82"/>
  <c r="H68" i="82"/>
  <c r="T25" i="88" s="1"/>
  <c r="I63" i="82"/>
  <c r="J25" i="88" s="1"/>
  <c r="G68" i="82"/>
  <c r="S25" i="88" s="1"/>
  <c r="H63" i="82"/>
  <c r="I25" i="88" s="1"/>
  <c r="F68" i="82"/>
  <c r="R25" i="88" s="1"/>
  <c r="G63" i="82"/>
  <c r="H25" i="88" s="1"/>
  <c r="I70" i="82"/>
  <c r="E68" i="82"/>
  <c r="F63" i="82"/>
  <c r="G25" i="88" s="1"/>
  <c r="H70" i="82"/>
  <c r="I65" i="82"/>
  <c r="E63" i="82"/>
  <c r="G70" i="82"/>
  <c r="H65" i="82"/>
  <c r="F70" i="82"/>
  <c r="G65" i="82"/>
  <c r="E70" i="82"/>
  <c r="F65" i="82"/>
  <c r="I69" i="82"/>
  <c r="E65" i="82"/>
  <c r="H69" i="82"/>
  <c r="I64" i="82"/>
  <c r="G69" i="82"/>
  <c r="H64" i="82"/>
  <c r="F69" i="82"/>
  <c r="G64" i="82"/>
  <c r="E69" i="82"/>
  <c r="F64" i="82"/>
  <c r="I65" i="83"/>
  <c r="G79" i="83" s="1"/>
  <c r="I67" i="92"/>
  <c r="H197" i="126"/>
  <c r="I177" i="126"/>
  <c r="I97" i="98"/>
  <c r="I33" i="125"/>
  <c r="R21" i="93" a="1"/>
  <c r="R21" i="93" s="1"/>
  <c r="O21" i="93" a="1"/>
  <c r="O21" i="93" s="1"/>
  <c r="S20" i="93" a="1"/>
  <c r="S20" i="93" s="1"/>
  <c r="W19" i="93" a="1"/>
  <c r="W19" i="93" s="1"/>
  <c r="Z21" i="93"/>
  <c r="K21" i="93" a="1"/>
  <c r="K21" i="93" s="1"/>
  <c r="P21" i="93" a="1"/>
  <c r="P21" i="93" s="1"/>
  <c r="Q20" i="93" a="1"/>
  <c r="Q20" i="93" s="1"/>
  <c r="T19" i="93" a="1"/>
  <c r="T19" i="93" s="1"/>
  <c r="Y18" i="93"/>
  <c r="J18" i="93" a="1"/>
  <c r="J18" i="93" s="1"/>
  <c r="N17" i="93" a="1"/>
  <c r="N17" i="93" s="1"/>
  <c r="R16" i="93" a="1"/>
  <c r="R16" i="93" s="1"/>
  <c r="F15" i="93"/>
  <c r="L14" i="93" a="1"/>
  <c r="L14" i="93" s="1"/>
  <c r="P13" i="93" a="1"/>
  <c r="P13" i="93" s="1"/>
  <c r="T12" i="93" a="1"/>
  <c r="T12" i="93" s="1"/>
  <c r="N21" i="93" a="1"/>
  <c r="N21" i="93" s="1"/>
  <c r="P20" i="93" a="1"/>
  <c r="P20" i="93" s="1"/>
  <c r="S19" i="93" a="1"/>
  <c r="S19" i="93" s="1"/>
  <c r="W18" i="93" a="1"/>
  <c r="W18" i="93" s="1"/>
  <c r="H18" i="93"/>
  <c r="M17" i="93" a="1"/>
  <c r="M17" i="93" s="1"/>
  <c r="Q16" i="93" a="1"/>
  <c r="Q16" i="93" s="1"/>
  <c r="U15" i="93" a="1"/>
  <c r="U15" i="93" s="1"/>
  <c r="Z14" i="93"/>
  <c r="K14" i="93" a="1"/>
  <c r="K14" i="93" s="1"/>
  <c r="O13" i="93" a="1"/>
  <c r="O13" i="93" s="1"/>
  <c r="S12" i="93" a="1"/>
  <c r="S12" i="93" s="1"/>
  <c r="M21" i="93" a="1"/>
  <c r="M21" i="93" s="1"/>
  <c r="O20" i="93" a="1"/>
  <c r="O20" i="93" s="1"/>
  <c r="R19" i="93" a="1"/>
  <c r="R19" i="93" s="1"/>
  <c r="F18" i="93"/>
  <c r="L17" i="93" a="1"/>
  <c r="L17" i="93" s="1"/>
  <c r="P16" i="93" a="1"/>
  <c r="P16" i="93" s="1"/>
  <c r="T15" i="93" a="1"/>
  <c r="T15" i="93" s="1"/>
  <c r="Y14" i="93"/>
  <c r="J14" i="93" a="1"/>
  <c r="J14" i="93" s="1"/>
  <c r="N13" i="93" a="1"/>
  <c r="N13" i="93" s="1"/>
  <c r="R12" i="93" a="1"/>
  <c r="R12" i="93" s="1"/>
  <c r="L21" i="93" a="1"/>
  <c r="L21" i="93" s="1"/>
  <c r="N20" i="93" a="1"/>
  <c r="N20" i="93" s="1"/>
  <c r="Q19" i="93" a="1"/>
  <c r="Q19" i="93" s="1"/>
  <c r="U18" i="93" a="1"/>
  <c r="U18" i="93" s="1"/>
  <c r="Z17" i="93"/>
  <c r="K17" i="93" a="1"/>
  <c r="K17" i="93" s="1"/>
  <c r="O16" i="93" a="1"/>
  <c r="O16" i="93" s="1"/>
  <c r="S15" i="93" a="1"/>
  <c r="S15" i="93" s="1"/>
  <c r="W14" i="93" a="1"/>
  <c r="W14" i="93" s="1"/>
  <c r="H14" i="93"/>
  <c r="M13" i="93" a="1"/>
  <c r="M13" i="93" s="1"/>
  <c r="Q12" i="93" a="1"/>
  <c r="Q12" i="93" s="1"/>
  <c r="J21" i="93" a="1"/>
  <c r="J21" i="93" s="1"/>
  <c r="M20" i="93" a="1"/>
  <c r="M20" i="93" s="1"/>
  <c r="P19" i="93" a="1"/>
  <c r="P19" i="93" s="1"/>
  <c r="T18" i="93" a="1"/>
  <c r="T18" i="93" s="1"/>
  <c r="Y17" i="93"/>
  <c r="J17" i="93" a="1"/>
  <c r="J17" i="93" s="1"/>
  <c r="N16" i="93" a="1"/>
  <c r="N16" i="93" s="1"/>
  <c r="R15" i="93" a="1"/>
  <c r="R15" i="93" s="1"/>
  <c r="F14" i="93"/>
  <c r="L13" i="93" a="1"/>
  <c r="L13" i="93" s="1"/>
  <c r="P12" i="93" a="1"/>
  <c r="P12" i="93" s="1"/>
  <c r="H21" i="93"/>
  <c r="L20" i="93" a="1"/>
  <c r="L20" i="93" s="1"/>
  <c r="O19" i="93" a="1"/>
  <c r="O19" i="93" s="1"/>
  <c r="S18" i="93" a="1"/>
  <c r="S18" i="93" s="1"/>
  <c r="W17" i="93" a="1"/>
  <c r="W17" i="93" s="1"/>
  <c r="H17" i="93"/>
  <c r="M16" i="93" a="1"/>
  <c r="M16" i="93" s="1"/>
  <c r="Q15" i="93" a="1"/>
  <c r="Q15" i="93" s="1"/>
  <c r="U14" i="93" a="1"/>
  <c r="U14" i="93" s="1"/>
  <c r="Z13" i="93"/>
  <c r="K13" i="93" a="1"/>
  <c r="K13" i="93" s="1"/>
  <c r="O12" i="93" a="1"/>
  <c r="O12" i="93" s="1"/>
  <c r="F21" i="93"/>
  <c r="K20" i="93" a="1"/>
  <c r="K20" i="93" s="1"/>
  <c r="N19" i="93" a="1"/>
  <c r="N19" i="93" s="1"/>
  <c r="R18" i="93" a="1"/>
  <c r="R18" i="93" s="1"/>
  <c r="F17" i="93"/>
  <c r="L16" i="93" a="1"/>
  <c r="L16" i="93" s="1"/>
  <c r="P15" i="93" a="1"/>
  <c r="P15" i="93" s="1"/>
  <c r="T14" i="93" a="1"/>
  <c r="T14" i="93" s="1"/>
  <c r="Y13" i="93"/>
  <c r="J13" i="93" a="1"/>
  <c r="J13" i="93" s="1"/>
  <c r="N12" i="93" a="1"/>
  <c r="N12" i="93" s="1"/>
  <c r="Y21" i="93"/>
  <c r="Z20" i="93"/>
  <c r="J20" i="93" a="1"/>
  <c r="J20" i="93" s="1"/>
  <c r="M19" i="93" a="1"/>
  <c r="M19" i="93" s="1"/>
  <c r="Q18" i="93" a="1"/>
  <c r="Q18" i="93" s="1"/>
  <c r="U17" i="93" a="1"/>
  <c r="U17" i="93" s="1"/>
  <c r="Z16" i="93"/>
  <c r="K16" i="93" a="1"/>
  <c r="K16" i="93" s="1"/>
  <c r="O15" i="93" a="1"/>
  <c r="O15" i="93" s="1"/>
  <c r="S14" i="93" a="1"/>
  <c r="S14" i="93" s="1"/>
  <c r="W13" i="93" a="1"/>
  <c r="W13" i="93" s="1"/>
  <c r="H13" i="93"/>
  <c r="M12" i="93" a="1"/>
  <c r="M12" i="93" s="1"/>
  <c r="W21" i="93" a="1"/>
  <c r="W21" i="93" s="1"/>
  <c r="Y20" i="93"/>
  <c r="H20" i="93"/>
  <c r="L19" i="93" a="1"/>
  <c r="L19" i="93" s="1"/>
  <c r="P18" i="93" a="1"/>
  <c r="P18" i="93" s="1"/>
  <c r="T17" i="93" a="1"/>
  <c r="T17" i="93" s="1"/>
  <c r="Y16" i="93"/>
  <c r="J16" i="93" a="1"/>
  <c r="J16" i="93" s="1"/>
  <c r="N15" i="93" a="1"/>
  <c r="N15" i="93" s="1"/>
  <c r="R14" i="93" a="1"/>
  <c r="R14" i="93" s="1"/>
  <c r="F13" i="93"/>
  <c r="L12" i="93" a="1"/>
  <c r="L12" i="93" s="1"/>
  <c r="W20" i="93" a="1"/>
  <c r="W20" i="93" s="1"/>
  <c r="F20" i="93"/>
  <c r="K19" i="93" a="1"/>
  <c r="K19" i="93" s="1"/>
  <c r="O18" i="93" a="1"/>
  <c r="O18" i="93" s="1"/>
  <c r="S17" i="93" a="1"/>
  <c r="S17" i="93" s="1"/>
  <c r="W16" i="93" a="1"/>
  <c r="W16" i="93" s="1"/>
  <c r="H16" i="93"/>
  <c r="M15" i="93" a="1"/>
  <c r="M15" i="93" s="1"/>
  <c r="Q14" i="93" a="1"/>
  <c r="Q14" i="93" s="1"/>
  <c r="U13" i="93" a="1"/>
  <c r="U13" i="93" s="1"/>
  <c r="Z12" i="93"/>
  <c r="K12" i="93" a="1"/>
  <c r="K12" i="93" s="1"/>
  <c r="U21" i="93" a="1"/>
  <c r="U21" i="93" s="1"/>
  <c r="Z19" i="93"/>
  <c r="J19" i="93" a="1"/>
  <c r="J19" i="93" s="1"/>
  <c r="N18" i="93" a="1"/>
  <c r="N18" i="93" s="1"/>
  <c r="R17" i="93" a="1"/>
  <c r="R17" i="93" s="1"/>
  <c r="F16" i="93"/>
  <c r="L15" i="93" a="1"/>
  <c r="L15" i="93" s="1"/>
  <c r="P14" i="93" a="1"/>
  <c r="P14" i="93" s="1"/>
  <c r="T13" i="93" a="1"/>
  <c r="T13" i="93" s="1"/>
  <c r="Y12" i="93"/>
  <c r="J12" i="93" a="1"/>
  <c r="J12" i="93" s="1"/>
  <c r="T21" i="93" a="1"/>
  <c r="T21" i="93" s="1"/>
  <c r="U20" i="93" a="1"/>
  <c r="U20" i="93" s="1"/>
  <c r="Y19" i="93"/>
  <c r="H19" i="93"/>
  <c r="M18" i="93" a="1"/>
  <c r="M18" i="93" s="1"/>
  <c r="Q17" i="93" a="1"/>
  <c r="Q17" i="93" s="1"/>
  <c r="U16" i="93" a="1"/>
  <c r="U16" i="93" s="1"/>
  <c r="Z15" i="93"/>
  <c r="K15" i="93" a="1"/>
  <c r="K15" i="93" s="1"/>
  <c r="O14" i="93" a="1"/>
  <c r="O14" i="93" s="1"/>
  <c r="S13" i="93" a="1"/>
  <c r="S13" i="93" s="1"/>
  <c r="W12" i="93" a="1"/>
  <c r="W12" i="93" s="1"/>
  <c r="H12" i="93"/>
  <c r="S21" i="93" a="1"/>
  <c r="S21" i="93" s="1"/>
  <c r="T20" i="93" a="1"/>
  <c r="T20" i="93" s="1"/>
  <c r="F19" i="93"/>
  <c r="L18" i="93" a="1"/>
  <c r="L18" i="93" s="1"/>
  <c r="P17" i="93" a="1"/>
  <c r="P17" i="93" s="1"/>
  <c r="T16" i="93" a="1"/>
  <c r="T16" i="93" s="1"/>
  <c r="Y15" i="93"/>
  <c r="J15" i="93" a="1"/>
  <c r="J15" i="93" s="1"/>
  <c r="N14" i="93" a="1"/>
  <c r="N14" i="93" s="1"/>
  <c r="R13" i="93" a="1"/>
  <c r="R13" i="93" s="1"/>
  <c r="F12" i="93"/>
  <c r="Q21" i="93" a="1"/>
  <c r="Q21" i="93" s="1"/>
  <c r="R20" i="93" a="1"/>
  <c r="R20" i="93" s="1"/>
  <c r="U19" i="93" a="1"/>
  <c r="U19" i="93" s="1"/>
  <c r="Z18" i="93"/>
  <c r="K18" i="93" a="1"/>
  <c r="K18" i="93" s="1"/>
  <c r="O17" i="93" a="1"/>
  <c r="O17" i="93" s="1"/>
  <c r="S16" i="93" a="1"/>
  <c r="S16" i="93" s="1"/>
  <c r="W15" i="93" a="1"/>
  <c r="W15" i="93" s="1"/>
  <c r="H15" i="93"/>
  <c r="M14" i="93" a="1"/>
  <c r="M14" i="93" s="1"/>
  <c r="Q13" i="93" a="1"/>
  <c r="Q13" i="93" s="1"/>
  <c r="U12" i="93" a="1"/>
  <c r="U12" i="93" s="1"/>
  <c r="E107" i="98"/>
  <c r="E70" i="99"/>
  <c r="G15" i="82" a="1"/>
  <c r="G15" i="82" s="1"/>
  <c r="G19" i="82" a="1"/>
  <c r="G19" i="82" s="1"/>
  <c r="H15" i="82" a="1"/>
  <c r="H15" i="82" s="1"/>
  <c r="H19" i="82" a="1"/>
  <c r="H19" i="82" s="1"/>
  <c r="D109" i="83"/>
  <c r="D110" i="92"/>
  <c r="D55" i="84"/>
  <c r="I69" i="92"/>
  <c r="E71" i="99"/>
  <c r="E108" i="98"/>
  <c r="I15" i="82" a="1"/>
  <c r="I15" i="82" s="1"/>
  <c r="I19" i="82" a="1"/>
  <c r="I19" i="82" s="1"/>
  <c r="E269" i="84" a="1"/>
  <c r="E269" i="84" s="1"/>
  <c r="E22" i="87" a="1"/>
  <c r="E22" i="87" s="1"/>
  <c r="E68" i="99"/>
  <c r="E105" i="98"/>
  <c r="I175" i="126"/>
  <c r="H195" i="126"/>
  <c r="T39" i="83"/>
  <c r="O50" i="83" s="1"/>
  <c r="N88" i="84" s="1"/>
  <c r="E69" i="99"/>
  <c r="E106" i="98"/>
  <c r="G197" i="126"/>
  <c r="G196" i="126"/>
  <c r="G195" i="126"/>
  <c r="G194" i="126"/>
  <c r="I15" i="99"/>
  <c r="I69" i="125"/>
  <c r="G18" i="82"/>
  <c r="F18" i="82"/>
  <c r="E18" i="82"/>
  <c r="H9" i="118" a="1"/>
  <c r="H9" i="118" s="1"/>
  <c r="H8" i="118" a="1"/>
  <c r="H8" i="118" s="1"/>
  <c r="H7" i="118" a="1"/>
  <c r="H7" i="118" s="1"/>
  <c r="G14" i="82"/>
  <c r="F14" i="82"/>
  <c r="E14" i="82"/>
  <c r="H109" i="83"/>
  <c r="H55" i="84"/>
  <c r="H110" i="92"/>
  <c r="G110" i="92"/>
  <c r="F110" i="92"/>
  <c r="G109" i="83"/>
  <c r="E110" i="92"/>
  <c r="G55" i="84"/>
  <c r="F109" i="83"/>
  <c r="F55" i="84"/>
  <c r="E109" i="83"/>
  <c r="E55" i="84"/>
  <c r="R40" i="92"/>
  <c r="M50" i="92" s="1"/>
  <c r="J91" i="99"/>
  <c r="J87" i="125"/>
  <c r="D19" i="95" a="1"/>
  <c r="G183" i="126"/>
  <c r="S260" i="124" s="1" a="1"/>
  <c r="S260" i="124" s="1"/>
  <c r="P31" i="93"/>
  <c r="D60" i="94" a="1"/>
  <c r="D60" i="94" s="1"/>
  <c r="P28" i="93"/>
  <c r="D23" i="99" a="1"/>
  <c r="D23" i="99" s="1"/>
  <c r="D59" i="98" a="1"/>
  <c r="D59" i="98" s="1"/>
  <c r="D58" i="95" a="1"/>
  <c r="D58" i="95" s="1"/>
  <c r="P33" i="93"/>
  <c r="D19" i="94" a="1"/>
  <c r="P32" i="93"/>
  <c r="D19" i="98" a="1"/>
  <c r="P30" i="93"/>
  <c r="P29" i="93"/>
  <c r="P27" i="93"/>
  <c r="P26" i="93"/>
  <c r="P25" i="93"/>
  <c r="P34" i="93"/>
  <c r="H39" i="106"/>
  <c r="G39" i="106"/>
  <c r="J39" i="106"/>
  <c r="I39" i="106"/>
  <c r="M36" i="105" a="1"/>
  <c r="M36" i="105" s="1"/>
  <c r="M39" i="106" a="1"/>
  <c r="M39" i="106" s="1"/>
  <c r="M25" i="106" a="1"/>
  <c r="M25" i="106" s="1"/>
  <c r="L25" i="106" a="1"/>
  <c r="L25" i="106" s="1"/>
  <c r="M27" i="105" a="1"/>
  <c r="M27" i="105" s="1"/>
  <c r="D7" i="121"/>
  <c r="D177" i="124" s="1"/>
  <c r="F177" i="124" s="1" a="1"/>
  <c r="F177" i="124" s="1"/>
  <c r="G177" i="124" s="1"/>
  <c r="D178" i="124"/>
  <c r="F178" i="124" s="1" a="1"/>
  <c r="F178" i="124" s="1"/>
  <c r="G178" i="124" s="1"/>
  <c r="E181" i="124" s="1"/>
  <c r="D179" i="124"/>
  <c r="F179" i="124" s="1" a="1"/>
  <c r="F179" i="124" s="1"/>
  <c r="G179" i="124" s="1"/>
  <c r="G38" i="106"/>
  <c r="I38" i="106"/>
  <c r="H38" i="106"/>
  <c r="K38" i="106"/>
  <c r="J38" i="106"/>
  <c r="M34" i="105" a="1"/>
  <c r="M34" i="105" s="1"/>
  <c r="L34" i="105" a="1"/>
  <c r="L34" i="105" s="1"/>
  <c r="L25" i="105" a="1"/>
  <c r="L25" i="105" s="1"/>
  <c r="M25" i="105" a="1"/>
  <c r="M25" i="105" s="1"/>
  <c r="M28" i="105" a="1"/>
  <c r="M28" i="105" s="1"/>
  <c r="L28" i="105" a="1"/>
  <c r="L28" i="105" s="1"/>
  <c r="M33" i="105" a="1"/>
  <c r="M33" i="105" s="1"/>
  <c r="M37" i="105" a="1"/>
  <c r="M37" i="105" s="1"/>
  <c r="L37" i="105" a="1"/>
  <c r="L37" i="105" s="1"/>
  <c r="E109" i="98"/>
  <c r="E72" i="99"/>
  <c r="I174" i="126"/>
  <c r="H194" i="126"/>
  <c r="E15" i="82" a="1"/>
  <c r="E15" i="82" s="1"/>
  <c r="E19" i="82" a="1"/>
  <c r="E19" i="82" s="1"/>
  <c r="E31" i="85" a="1"/>
  <c r="E31" i="85" s="1"/>
  <c r="E31" i="87" a="1"/>
  <c r="E31" i="87" s="1"/>
  <c r="E73" i="99"/>
  <c r="E110" i="98"/>
  <c r="F15" i="82" a="1"/>
  <c r="F15" i="82" s="1"/>
  <c r="F19" i="82" a="1"/>
  <c r="F19" i="82" s="1"/>
  <c r="D31" i="87" a="1"/>
  <c r="D31" i="87" s="1"/>
  <c r="D269" i="84" a="1"/>
  <c r="D269" i="84" s="1"/>
  <c r="D31" i="85" a="1"/>
  <c r="D31" i="85" s="1"/>
  <c r="D22" i="87" a="1"/>
  <c r="D22" i="87" s="1"/>
  <c r="I66" i="83"/>
  <c r="I68" i="92"/>
  <c r="E74" i="99"/>
  <c r="E111" i="98"/>
  <c r="L37" i="106" a="1"/>
  <c r="L37" i="106" s="1"/>
  <c r="M37" i="106" a="1"/>
  <c r="M37" i="106" s="1"/>
  <c r="I29" i="124" a="1"/>
  <c r="I29" i="124" s="1"/>
  <c r="P123" i="124" a="1"/>
  <c r="P123" i="124" s="1"/>
  <c r="M26" i="105" a="1"/>
  <c r="M26" i="105" s="1"/>
  <c r="M30" i="105" a="1"/>
  <c r="M30" i="105" s="1"/>
  <c r="M31" i="106" a="1"/>
  <c r="M31" i="106" s="1"/>
  <c r="L31" i="106" a="1"/>
  <c r="L31" i="106" s="1"/>
  <c r="E20" i="114"/>
  <c r="T14" i="115"/>
  <c r="M27" i="106" a="1"/>
  <c r="M27" i="106" s="1"/>
  <c r="L27" i="106" a="1"/>
  <c r="L27" i="106" s="1"/>
  <c r="M34" i="106" a="1"/>
  <c r="M34" i="106" s="1"/>
  <c r="L34" i="106" a="1"/>
  <c r="L34" i="106" s="1"/>
  <c r="O15" i="120"/>
  <c r="E315" i="124" a="1"/>
  <c r="E315" i="124" s="1"/>
  <c r="D103" i="82"/>
  <c r="O230" i="83"/>
  <c r="E19" i="89"/>
  <c r="G30" i="105" a="1"/>
  <c r="G30" i="105" s="1"/>
  <c r="G30" i="106"/>
  <c r="M32" i="106" a="1"/>
  <c r="M32" i="106" s="1"/>
  <c r="E36" i="106"/>
  <c r="J25" i="109" a="1"/>
  <c r="J25" i="109" s="1"/>
  <c r="K25" i="109" s="1"/>
  <c r="L25" i="109" s="1"/>
  <c r="AB120" i="124" a="1"/>
  <c r="AB120" i="124" s="1"/>
  <c r="X129" i="124" a="1"/>
  <c r="X129" i="124" s="1"/>
  <c r="G447" i="124" a="1"/>
  <c r="G447" i="124" s="1"/>
  <c r="H447" i="124" s="1"/>
  <c r="I545" i="124" a="1"/>
  <c r="I545" i="124" s="1"/>
  <c r="E548" i="124" s="1"/>
  <c r="D108" i="82"/>
  <c r="E24" i="89"/>
  <c r="K27" i="105" a="1"/>
  <c r="K27" i="105" s="1"/>
  <c r="G36" i="105" a="1"/>
  <c r="G36" i="105" s="1"/>
  <c r="G39" i="105" a="1"/>
  <c r="G39" i="105" s="1"/>
  <c r="J26" i="109" a="1"/>
  <c r="J26" i="109" s="1"/>
  <c r="P122" i="124" a="1"/>
  <c r="P122" i="124" s="1"/>
  <c r="G448" i="124" a="1"/>
  <c r="G448" i="124" s="1"/>
  <c r="H448" i="124" s="1"/>
  <c r="D113" i="82"/>
  <c r="D114" i="82" s="1"/>
  <c r="O231" i="83"/>
  <c r="P24" i="89"/>
  <c r="J28" i="109" a="1"/>
  <c r="J28" i="109" s="1"/>
  <c r="X122" i="124" a="1"/>
  <c r="X122" i="124" s="1"/>
  <c r="O252" i="124"/>
  <c r="I15" i="102" a="1"/>
  <c r="I15" i="102" s="1"/>
  <c r="E18" i="102" s="1"/>
  <c r="H35" i="106"/>
  <c r="G35" i="106"/>
  <c r="D116" i="112" a="1"/>
  <c r="D116" i="112" s="1"/>
  <c r="D59" i="112" a="1"/>
  <c r="F481" i="124" a="1"/>
  <c r="F481" i="124" s="1"/>
  <c r="G481" i="124" s="1"/>
  <c r="D118" i="82"/>
  <c r="O232" i="83"/>
  <c r="E31" i="106"/>
  <c r="E37" i="106"/>
  <c r="G40" i="106"/>
  <c r="I24" i="124" a="1"/>
  <c r="I24" i="124" s="1"/>
  <c r="J24" i="124" s="1"/>
  <c r="I17" i="113"/>
  <c r="E116" i="112" a="1"/>
  <c r="E116" i="112" s="1"/>
  <c r="E59" i="112" a="1"/>
  <c r="L10" i="120"/>
  <c r="O90" i="126"/>
  <c r="Q89" i="126" s="1"/>
  <c r="T128" i="124" a="1"/>
  <c r="T128" i="124" s="1"/>
  <c r="AB124" i="124" a="1"/>
  <c r="AB124" i="124" s="1"/>
  <c r="T121" i="124" a="1"/>
  <c r="T121" i="124" s="1"/>
  <c r="P120" i="124" a="1"/>
  <c r="P120" i="124" s="1"/>
  <c r="P128" i="124" a="1"/>
  <c r="P128" i="124" s="1"/>
  <c r="X124" i="124" a="1"/>
  <c r="X124" i="124" s="1"/>
  <c r="P121" i="124" a="1"/>
  <c r="P121" i="124" s="1"/>
  <c r="T127" i="124" a="1"/>
  <c r="T127" i="124" s="1"/>
  <c r="AB123" i="124" a="1"/>
  <c r="AB123" i="124" s="1"/>
  <c r="P127" i="124" a="1"/>
  <c r="P127" i="124" s="1"/>
  <c r="X123" i="124" a="1"/>
  <c r="X123" i="124" s="1"/>
  <c r="AB129" i="124" a="1"/>
  <c r="AB129" i="124" s="1"/>
  <c r="T126" i="124" a="1"/>
  <c r="T126" i="124" s="1"/>
  <c r="AB122" i="124" a="1"/>
  <c r="AB122" i="124" s="1"/>
  <c r="T129" i="124" a="1"/>
  <c r="T129" i="124" s="1"/>
  <c r="AB125" i="124" a="1"/>
  <c r="AB125" i="124" s="1"/>
  <c r="T122" i="124" a="1"/>
  <c r="T122" i="124" s="1"/>
  <c r="T120" i="124" a="1"/>
  <c r="T120" i="124" s="1"/>
  <c r="AB128" i="124" a="1"/>
  <c r="AB128" i="124" s="1"/>
  <c r="T125" i="124" a="1"/>
  <c r="T125" i="124" s="1"/>
  <c r="AB121" i="124" a="1"/>
  <c r="AB121" i="124" s="1"/>
  <c r="X128" i="124" a="1"/>
  <c r="X128" i="124" s="1"/>
  <c r="P125" i="124" a="1"/>
  <c r="P125" i="124" s="1"/>
  <c r="X121" i="124" a="1"/>
  <c r="X121" i="124" s="1"/>
  <c r="D12" i="121" a="1"/>
  <c r="F496" i="124" a="1"/>
  <c r="F496" i="124" s="1"/>
  <c r="G496" i="124" s="1"/>
  <c r="D47" i="121"/>
  <c r="D494" i="124" s="1"/>
  <c r="F494" i="124" s="1" a="1"/>
  <c r="F494" i="124" s="1"/>
  <c r="G494" i="124" s="1"/>
  <c r="E237" i="83"/>
  <c r="E25" i="105"/>
  <c r="G25" i="105" s="1" a="1"/>
  <c r="G25" i="105" s="1"/>
  <c r="G31" i="105" a="1"/>
  <c r="G31" i="105" s="1"/>
  <c r="E28" i="106"/>
  <c r="E34" i="106"/>
  <c r="H40" i="106"/>
  <c r="I25" i="124" a="1"/>
  <c r="I25" i="124" s="1"/>
  <c r="T123" i="124" a="1"/>
  <c r="T123" i="124" s="1"/>
  <c r="Q252" i="124"/>
  <c r="S252" i="124" s="1" a="1"/>
  <c r="S252" i="124" s="1"/>
  <c r="S254" i="124" a="1"/>
  <c r="S254" i="124" s="1"/>
  <c r="J30" i="106"/>
  <c r="I30" i="106"/>
  <c r="K30" i="106"/>
  <c r="I19" i="104"/>
  <c r="E151" i="83"/>
  <c r="P237" i="83"/>
  <c r="G28" i="105" a="1"/>
  <c r="G28" i="105" s="1"/>
  <c r="H31" i="105" a="1"/>
  <c r="H31" i="105" s="1"/>
  <c r="I28" i="124" a="1"/>
  <c r="I28" i="124" s="1"/>
  <c r="P124" i="124" a="1"/>
  <c r="P124" i="124" s="1"/>
  <c r="G382" i="124" a="1"/>
  <c r="G382" i="124" s="1"/>
  <c r="H382" i="124" s="1"/>
  <c r="G472" i="124" a="1"/>
  <c r="G472" i="124" s="1"/>
  <c r="G471" i="124" a="1"/>
  <c r="G471" i="124" s="1"/>
  <c r="G469" i="124" a="1"/>
  <c r="G469" i="124" s="1"/>
  <c r="G468" i="124" a="1"/>
  <c r="G468" i="124" s="1"/>
  <c r="H468" i="124" s="1"/>
  <c r="G467" i="124" a="1"/>
  <c r="G467" i="124" s="1"/>
  <c r="H467" i="124" s="1"/>
  <c r="G465" i="124" a="1"/>
  <c r="G465" i="124" s="1"/>
  <c r="H465" i="124" s="1"/>
  <c r="G463" i="124" a="1"/>
  <c r="G463" i="124" s="1"/>
  <c r="H463" i="124" s="1"/>
  <c r="L242" i="126"/>
  <c r="N241" i="126" s="1"/>
  <c r="F153" i="124" a="1"/>
  <c r="F153" i="124" s="1"/>
  <c r="F151" i="124" a="1"/>
  <c r="F151" i="124" s="1"/>
  <c r="F149" i="124" a="1"/>
  <c r="F149" i="124" s="1"/>
  <c r="F148" i="124" a="1"/>
  <c r="F148" i="124" s="1"/>
  <c r="G148" i="124" s="1"/>
  <c r="P151" i="83"/>
  <c r="E28" i="90"/>
  <c r="J28" i="105" a="1"/>
  <c r="J28" i="105" s="1"/>
  <c r="K31" i="105" a="1"/>
  <c r="K31" i="105" s="1"/>
  <c r="G34" i="105" a="1"/>
  <c r="G34" i="105" s="1"/>
  <c r="T124" i="124" a="1"/>
  <c r="T124" i="124" s="1"/>
  <c r="F152" i="124" a="1"/>
  <c r="F152" i="124" s="1"/>
  <c r="G384" i="124" a="1"/>
  <c r="G384" i="124" s="1"/>
  <c r="K39" i="106" a="1"/>
  <c r="K39" i="106" s="1"/>
  <c r="E33" i="106"/>
  <c r="E26" i="106"/>
  <c r="R11" i="120"/>
  <c r="L18" i="120"/>
  <c r="I31" i="124" a="1"/>
  <c r="I31" i="124" s="1"/>
  <c r="I30" i="124" a="1"/>
  <c r="I30" i="124" s="1"/>
  <c r="I27" i="124" a="1"/>
  <c r="I27" i="124" s="1"/>
  <c r="I26" i="124" a="1"/>
  <c r="I26" i="124" s="1"/>
  <c r="I23" i="124" a="1"/>
  <c r="I23" i="124" s="1"/>
  <c r="J23" i="124" s="1"/>
  <c r="E39" i="124" a="1"/>
  <c r="E39" i="124" s="1"/>
  <c r="I32" i="124" a="1"/>
  <c r="I32" i="124" s="1"/>
  <c r="P162" i="83"/>
  <c r="P28" i="90"/>
  <c r="K28" i="105" a="1"/>
  <c r="K28" i="105" s="1"/>
  <c r="J34" i="105" a="1"/>
  <c r="J34" i="105" s="1"/>
  <c r="J37" i="105" a="1"/>
  <c r="J37" i="105" s="1"/>
  <c r="D157" i="112" a="1"/>
  <c r="D157" i="112" s="1"/>
  <c r="X125" i="124" a="1"/>
  <c r="X125" i="124" s="1"/>
  <c r="G464" i="124" a="1"/>
  <c r="G464" i="124" s="1"/>
  <c r="H464" i="124" s="1"/>
  <c r="E33" i="105"/>
  <c r="G33" i="105" s="1" a="1"/>
  <c r="G33" i="105" s="1"/>
  <c r="E26" i="105"/>
  <c r="E38" i="105"/>
  <c r="J38" i="105" s="1" a="1"/>
  <c r="J38" i="105" s="1"/>
  <c r="L35" i="106" a="1"/>
  <c r="L35" i="106" s="1"/>
  <c r="R18" i="120"/>
  <c r="E173" i="83"/>
  <c r="E25" i="88"/>
  <c r="E75" i="99"/>
  <c r="G29" i="105" a="1"/>
  <c r="G29" i="105" s="1"/>
  <c r="H32" i="105" a="1"/>
  <c r="H32" i="105" s="1"/>
  <c r="K34" i="105" a="1"/>
  <c r="K34" i="105" s="1"/>
  <c r="L28" i="106" a="1"/>
  <c r="L28" i="106" s="1"/>
  <c r="E157" i="112" a="1"/>
  <c r="E157" i="112" s="1"/>
  <c r="P126" i="124" a="1"/>
  <c r="P126" i="124" s="1"/>
  <c r="G387" i="124" a="1"/>
  <c r="G387" i="124" s="1"/>
  <c r="G466" i="124" a="1"/>
  <c r="G466" i="124" s="1"/>
  <c r="H466" i="124" s="1"/>
  <c r="E32" i="106"/>
  <c r="E25" i="106"/>
  <c r="J17" i="115" a="1"/>
  <c r="J17" i="115" s="1"/>
  <c r="J16" i="115" a="1"/>
  <c r="J16" i="115" s="1"/>
  <c r="P173" i="83"/>
  <c r="P25" i="88"/>
  <c r="G26" i="105" a="1"/>
  <c r="G26" i="105" s="1"/>
  <c r="H29" i="105" a="1"/>
  <c r="H29" i="105" s="1"/>
  <c r="I32" i="105" a="1"/>
  <c r="I32" i="105" s="1"/>
  <c r="G35" i="105" a="1"/>
  <c r="G35" i="105" s="1"/>
  <c r="H29" i="106"/>
  <c r="E22" i="109"/>
  <c r="J22" i="109" s="1" a="1"/>
  <c r="J22" i="109" s="1"/>
  <c r="K22" i="109" s="1"/>
  <c r="L22" i="109" s="1"/>
  <c r="J31" i="109" a="1"/>
  <c r="J31" i="109" s="1"/>
  <c r="K31" i="109" s="1"/>
  <c r="L31" i="109" s="1"/>
  <c r="J30" i="109" a="1"/>
  <c r="J30" i="109" s="1"/>
  <c r="K30" i="109" s="1"/>
  <c r="L30" i="109" s="1"/>
  <c r="J27" i="109" a="1"/>
  <c r="J27" i="109" s="1"/>
  <c r="K27" i="109" s="1"/>
  <c r="L27" i="109" s="1"/>
  <c r="J23" i="109" a="1"/>
  <c r="J23" i="109" s="1"/>
  <c r="K23" i="109" s="1"/>
  <c r="L23" i="109" s="1"/>
  <c r="D21" i="112" a="1"/>
  <c r="X126" i="124" a="1"/>
  <c r="X126" i="124" s="1"/>
  <c r="G470" i="124" a="1"/>
  <c r="G470" i="124" s="1"/>
  <c r="D79" i="82"/>
  <c r="J14" i="115" a="1"/>
  <c r="J14" i="115" s="1"/>
  <c r="H26" i="105" a="1"/>
  <c r="H26" i="105" s="1"/>
  <c r="I29" i="105" a="1"/>
  <c r="I29" i="105" s="1"/>
  <c r="J32" i="105" a="1"/>
  <c r="J32" i="105" s="1"/>
  <c r="H35" i="105" a="1"/>
  <c r="H35" i="105" s="1"/>
  <c r="I35" i="106"/>
  <c r="E21" i="112" a="1"/>
  <c r="X120" i="124" a="1"/>
  <c r="X120" i="124" s="1"/>
  <c r="AB126" i="124" a="1"/>
  <c r="AB126" i="124" s="1"/>
  <c r="I27" i="106"/>
  <c r="O27" i="106" s="1"/>
  <c r="H27" i="106"/>
  <c r="N27" i="106" s="1"/>
  <c r="K27" i="106"/>
  <c r="Q27" i="106" s="1"/>
  <c r="J27" i="106"/>
  <c r="P27" i="106" s="1"/>
  <c r="K29" i="106"/>
  <c r="G29" i="106"/>
  <c r="M36" i="106" a="1"/>
  <c r="M36" i="106" s="1"/>
  <c r="L36" i="106" a="1"/>
  <c r="L36" i="106" s="1"/>
  <c r="O14" i="120"/>
  <c r="D285" i="124" a="1"/>
  <c r="D84" i="82"/>
  <c r="D228" i="83"/>
  <c r="E51" i="88"/>
  <c r="J15" i="115" a="1"/>
  <c r="J15" i="115" s="1"/>
  <c r="J26" i="105" a="1"/>
  <c r="J26" i="105" s="1"/>
  <c r="K29" i="105" a="1"/>
  <c r="K29" i="105" s="1"/>
  <c r="I35" i="105" a="1"/>
  <c r="I35" i="105" s="1"/>
  <c r="I38" i="105" a="1"/>
  <c r="I38" i="105" s="1"/>
  <c r="J29" i="106"/>
  <c r="J35" i="106"/>
  <c r="E58" i="124" a="1"/>
  <c r="E58" i="124" s="1"/>
  <c r="X127" i="124" a="1"/>
  <c r="X127" i="124" s="1"/>
  <c r="E445" i="124"/>
  <c r="G445" i="124" s="1" a="1"/>
  <c r="G445" i="124" s="1"/>
  <c r="H445" i="124" s="1"/>
  <c r="G454" i="124" a="1"/>
  <c r="G454" i="124" s="1"/>
  <c r="G453" i="124" a="1"/>
  <c r="G453" i="124" s="1"/>
  <c r="G450" i="124" a="1"/>
  <c r="G450" i="124" s="1"/>
  <c r="H450" i="124" s="1"/>
  <c r="G449" i="124" a="1"/>
  <c r="G449" i="124" s="1"/>
  <c r="H449" i="124" s="1"/>
  <c r="G446" i="124" a="1"/>
  <c r="G446" i="124" s="1"/>
  <c r="H446" i="124" s="1"/>
  <c r="J40" i="106"/>
  <c r="D89" i="82"/>
  <c r="O229" i="83"/>
  <c r="J18" i="115" a="1"/>
  <c r="J18" i="115" s="1"/>
  <c r="K26" i="105" a="1"/>
  <c r="K26" i="105" s="1"/>
  <c r="L29" i="105" a="1"/>
  <c r="L29" i="105" s="1"/>
  <c r="K35" i="105" a="1"/>
  <c r="K35" i="105" s="1"/>
  <c r="L29" i="106" a="1"/>
  <c r="L29" i="106" s="1"/>
  <c r="K35" i="106"/>
  <c r="L38" i="106" a="1"/>
  <c r="L38" i="106" s="1"/>
  <c r="E76" i="124" a="1"/>
  <c r="E76" i="124" s="1"/>
  <c r="AB127" i="124" a="1"/>
  <c r="AB127" i="124" s="1"/>
  <c r="E316" i="124" a="1"/>
  <c r="E316" i="124" s="1"/>
  <c r="I39" i="105" a="1"/>
  <c r="I39" i="105" s="1"/>
  <c r="I36" i="105" a="1"/>
  <c r="I36" i="105" s="1"/>
  <c r="I33" i="105" a="1"/>
  <c r="I33" i="105" s="1"/>
  <c r="I30" i="105" a="1"/>
  <c r="I30" i="105" s="1"/>
  <c r="H27" i="105" a="1"/>
  <c r="H27" i="105" s="1"/>
  <c r="H39" i="105" a="1"/>
  <c r="H39" i="105" s="1"/>
  <c r="H36" i="105" a="1"/>
  <c r="H36" i="105" s="1"/>
  <c r="H33" i="105" a="1"/>
  <c r="H33" i="105" s="1"/>
  <c r="H30" i="105" a="1"/>
  <c r="H30" i="105" s="1"/>
  <c r="G27" i="105" a="1"/>
  <c r="G27" i="105" s="1"/>
  <c r="I34" i="105" a="1"/>
  <c r="I34" i="105" s="1"/>
  <c r="J31" i="105" a="1"/>
  <c r="J31" i="105" s="1"/>
  <c r="I28" i="105" a="1"/>
  <c r="I28" i="105" s="1"/>
  <c r="H37" i="105" a="1"/>
  <c r="H37" i="105" s="1"/>
  <c r="H34" i="105" a="1"/>
  <c r="H34" i="105" s="1"/>
  <c r="I31" i="105" a="1"/>
  <c r="I31" i="105" s="1"/>
  <c r="H28" i="105" a="1"/>
  <c r="H28" i="105" s="1"/>
  <c r="E37" i="105"/>
  <c r="G37" i="105" s="1" a="1"/>
  <c r="G37" i="105" s="1"/>
  <c r="J35" i="105" a="1"/>
  <c r="J35" i="105" s="1"/>
  <c r="K32" i="105" a="1"/>
  <c r="K32" i="105" s="1"/>
  <c r="J29" i="105" a="1"/>
  <c r="J29" i="105" s="1"/>
  <c r="I26" i="105" a="1"/>
  <c r="I26" i="105" s="1"/>
  <c r="K39" i="105" a="1"/>
  <c r="K39" i="105" s="1"/>
  <c r="K36" i="105" a="1"/>
  <c r="K36" i="105" s="1"/>
  <c r="K33" i="105" a="1"/>
  <c r="K33" i="105" s="1"/>
  <c r="G32" i="105" a="1"/>
  <c r="G32" i="105" s="1"/>
  <c r="K30" i="105" a="1"/>
  <c r="K30" i="105" s="1"/>
  <c r="J27" i="105" a="1"/>
  <c r="J27" i="105" s="1"/>
  <c r="J39" i="105" a="1"/>
  <c r="J39" i="105" s="1"/>
  <c r="J36" i="105" a="1"/>
  <c r="J36" i="105" s="1"/>
  <c r="J33" i="105" a="1"/>
  <c r="J33" i="105" s="1"/>
  <c r="J30" i="105" a="1"/>
  <c r="J30" i="105" s="1"/>
  <c r="I27" i="105" a="1"/>
  <c r="I27" i="105" s="1"/>
  <c r="L33" i="106" a="1"/>
  <c r="L33" i="106" s="1"/>
  <c r="L30" i="106" a="1"/>
  <c r="L30" i="106" s="1"/>
  <c r="G390" i="124" a="1"/>
  <c r="G390" i="124" s="1"/>
  <c r="G389" i="124" a="1"/>
  <c r="G389" i="124" s="1"/>
  <c r="G386" i="124" a="1"/>
  <c r="G386" i="124" s="1"/>
  <c r="G385" i="124" a="1"/>
  <c r="G385" i="124" s="1"/>
  <c r="G383" i="124" a="1"/>
  <c r="G383" i="124" s="1"/>
  <c r="G391" i="124" a="1"/>
  <c r="G391" i="124" s="1"/>
  <c r="P19" i="89"/>
  <c r="E162" i="83"/>
  <c r="P23" i="90"/>
  <c r="P31" i="88"/>
  <c r="P290" i="83"/>
  <c r="E23" i="90"/>
  <c r="E31" i="88"/>
  <c r="E290" i="83"/>
  <c r="O228" i="83"/>
  <c r="D94" i="82"/>
  <c r="L38" i="105" a="1"/>
  <c r="L38" i="105" s="1"/>
  <c r="L26" i="106" a="1"/>
  <c r="L26" i="106" s="1"/>
  <c r="M35" i="106" a="1"/>
  <c r="M35" i="106" s="1"/>
  <c r="J24" i="109" a="1"/>
  <c r="J24" i="109" s="1"/>
  <c r="K24" i="109" s="1"/>
  <c r="L24" i="109" s="1"/>
  <c r="P129" i="124" a="1"/>
  <c r="P129" i="124" s="1"/>
  <c r="E317" i="124" a="1"/>
  <c r="E317" i="124" s="1"/>
  <c r="D85" i="82"/>
  <c r="D86" i="82"/>
  <c r="I22" i="109"/>
  <c r="F160" i="124"/>
  <c r="F159" i="124"/>
  <c r="F533" i="124"/>
  <c r="F264" i="124"/>
  <c r="F363" i="124"/>
  <c r="F263" i="124"/>
  <c r="F362" i="124"/>
  <c r="F74" i="125"/>
  <c r="F55" i="125"/>
  <c r="P19" i="125"/>
  <c r="F19" i="125"/>
  <c r="P90" i="125"/>
  <c r="F90" i="125"/>
  <c r="F267" i="124"/>
  <c r="F181" i="124"/>
  <c r="F143" i="124"/>
  <c r="F182" i="124"/>
  <c r="F298" i="124"/>
  <c r="F299" i="124"/>
  <c r="F91" i="124"/>
  <c r="F90" i="124"/>
  <c r="F93" i="124"/>
  <c r="F53" i="124"/>
  <c r="F73" i="124"/>
  <c r="F35" i="124"/>
  <c r="F72" i="124"/>
  <c r="F34" i="124"/>
  <c r="F94" i="124"/>
  <c r="F54" i="124"/>
  <c r="N588" i="124"/>
  <c r="F588" i="124"/>
  <c r="E182" i="124"/>
  <c r="F657" i="124"/>
  <c r="F656" i="124"/>
  <c r="F654" i="124"/>
  <c r="F636" i="124"/>
  <c r="F653" i="124"/>
  <c r="F635" i="124"/>
  <c r="F156" i="124"/>
  <c r="F132" i="124"/>
  <c r="F155" i="124"/>
  <c r="F131" i="124"/>
  <c r="F142" i="124"/>
  <c r="E499" i="124"/>
  <c r="F393" i="124"/>
  <c r="L352" i="124"/>
  <c r="L356" i="124"/>
  <c r="L360" i="124"/>
  <c r="L357" i="124"/>
  <c r="L351" i="124"/>
  <c r="F499" i="124"/>
  <c r="F488" i="124"/>
  <c r="F332" i="124"/>
  <c r="F516" i="124"/>
  <c r="F498" i="124"/>
  <c r="F487" i="124"/>
  <c r="F475" i="124"/>
  <c r="F457" i="124"/>
  <c r="F426" i="124"/>
  <c r="F331" i="124"/>
  <c r="F548" i="124"/>
  <c r="F474" i="124"/>
  <c r="F456" i="124"/>
  <c r="F425" i="124"/>
  <c r="F570" i="124"/>
  <c r="F517" i="124"/>
  <c r="F394" i="124"/>
  <c r="F266" i="124"/>
  <c r="K420" i="124"/>
  <c r="K418" i="124"/>
  <c r="L358" i="124"/>
  <c r="E636" i="124"/>
  <c r="R19" i="120"/>
  <c r="L12" i="120"/>
  <c r="O12" i="120"/>
  <c r="L15" i="120"/>
  <c r="O10" i="120"/>
  <c r="L13" i="120"/>
  <c r="O13" i="120"/>
  <c r="L16" i="120"/>
  <c r="O16" i="120"/>
  <c r="L19" i="120"/>
  <c r="F48" i="116"/>
  <c r="F192" i="112"/>
  <c r="F151" i="112"/>
  <c r="H113" i="110" a="1"/>
  <c r="H113" i="110" s="1"/>
  <c r="F113" i="110" a="1"/>
  <c r="F113" i="110" s="1"/>
  <c r="E113" i="110" a="1"/>
  <c r="E113" i="110" s="1"/>
  <c r="G113" i="110" a="1"/>
  <c r="G113" i="110" s="1"/>
  <c r="L131" i="110" a="1"/>
  <c r="L131" i="110" s="1"/>
  <c r="K131" i="110" a="1"/>
  <c r="K131" i="110" s="1"/>
  <c r="J131" i="110" a="1"/>
  <c r="J131" i="110" s="1"/>
  <c r="I131" i="110" a="1"/>
  <c r="I131" i="110" s="1"/>
  <c r="H117" i="110" a="1"/>
  <c r="H117" i="110" s="1"/>
  <c r="G117" i="110" a="1"/>
  <c r="G117" i="110" s="1"/>
  <c r="F117" i="110" a="1"/>
  <c r="F117" i="110" s="1"/>
  <c r="E117" i="110" a="1"/>
  <c r="E117" i="110" s="1"/>
  <c r="I124" i="110" a="1"/>
  <c r="I124" i="110" s="1"/>
  <c r="L124" i="110" a="1"/>
  <c r="L124" i="110" s="1"/>
  <c r="J124" i="110" a="1"/>
  <c r="J124" i="110" s="1"/>
  <c r="K124" i="110" a="1"/>
  <c r="K124" i="110" s="1"/>
  <c r="J117" i="110" a="1"/>
  <c r="J117" i="110" s="1"/>
  <c r="I117" i="110" a="1"/>
  <c r="I117" i="110" s="1"/>
  <c r="L117" i="110" a="1"/>
  <c r="L117" i="110" s="1"/>
  <c r="K117" i="110" a="1"/>
  <c r="K117" i="110" s="1"/>
  <c r="F132" i="110" a="1"/>
  <c r="F132" i="110" s="1"/>
  <c r="H132" i="110" a="1"/>
  <c r="H132" i="110" s="1"/>
  <c r="G132" i="110" a="1"/>
  <c r="G132" i="110" s="1"/>
  <c r="E132" i="110" a="1"/>
  <c r="E132" i="110" s="1"/>
  <c r="L125" i="110" a="1"/>
  <c r="L125" i="110" s="1"/>
  <c r="K125" i="110" a="1"/>
  <c r="K125" i="110" s="1"/>
  <c r="J125" i="110" a="1"/>
  <c r="J125" i="110" s="1"/>
  <c r="I125" i="110" a="1"/>
  <c r="I125" i="110" s="1"/>
  <c r="J114" i="110" a="1"/>
  <c r="J114" i="110" s="1"/>
  <c r="I114" i="110" a="1"/>
  <c r="I114" i="110" s="1"/>
  <c r="L114" i="110" a="1"/>
  <c r="L114" i="110" s="1"/>
  <c r="K114" i="110" a="1"/>
  <c r="K114" i="110" s="1"/>
  <c r="E129" i="110" a="1"/>
  <c r="E129" i="110" s="1"/>
  <c r="H129" i="110" a="1"/>
  <c r="H129" i="110" s="1"/>
  <c r="G129" i="110" a="1"/>
  <c r="G129" i="110" s="1"/>
  <c r="F129" i="110" a="1"/>
  <c r="F129" i="110" s="1"/>
  <c r="H115" i="110" a="1"/>
  <c r="H115" i="110" s="1"/>
  <c r="G115" i="110" a="1"/>
  <c r="G115" i="110" s="1"/>
  <c r="F115" i="110" a="1"/>
  <c r="F115" i="110" s="1"/>
  <c r="E115" i="110" a="1"/>
  <c r="E115" i="110" s="1"/>
  <c r="H119" i="110" a="1"/>
  <c r="H119" i="110" s="1"/>
  <c r="G119" i="110" a="1"/>
  <c r="G119" i="110" s="1"/>
  <c r="F119" i="110" a="1"/>
  <c r="F119" i="110" s="1"/>
  <c r="E119" i="110" a="1"/>
  <c r="E119" i="110" s="1"/>
  <c r="I122" i="110" a="1"/>
  <c r="I122" i="110" s="1"/>
  <c r="K122" i="110" a="1"/>
  <c r="K122" i="110" s="1"/>
  <c r="J122" i="110" a="1"/>
  <c r="J122" i="110" s="1"/>
  <c r="L122" i="110" a="1"/>
  <c r="L122" i="110" s="1"/>
  <c r="E118" i="110" a="1"/>
  <c r="E118" i="110" s="1"/>
  <c r="H118" i="110" a="1"/>
  <c r="H118" i="110" s="1"/>
  <c r="G118" i="110" a="1"/>
  <c r="G118" i="110" s="1"/>
  <c r="F118" i="110" a="1"/>
  <c r="F118" i="110" s="1"/>
  <c r="I115" i="110" a="1"/>
  <c r="I115" i="110" s="1"/>
  <c r="L115" i="110" a="1"/>
  <c r="L115" i="110" s="1"/>
  <c r="K115" i="110" a="1"/>
  <c r="K115" i="110" s="1"/>
  <c r="J115" i="110" a="1"/>
  <c r="J115" i="110" s="1"/>
  <c r="J126" i="110" a="1"/>
  <c r="J126" i="110" s="1"/>
  <c r="I126" i="110" a="1"/>
  <c r="I126" i="110" s="1"/>
  <c r="L126" i="110" a="1"/>
  <c r="L126" i="110" s="1"/>
  <c r="P126" i="110" s="1" a="1"/>
  <c r="P126" i="110" s="1"/>
  <c r="K126" i="110" a="1"/>
  <c r="K126" i="110" s="1"/>
  <c r="F111" i="110" a="1"/>
  <c r="F111" i="110" s="1"/>
  <c r="N111" i="110" s="1" a="1"/>
  <c r="N111" i="110" s="1"/>
  <c r="E112" i="110" a="1"/>
  <c r="E112" i="110" s="1"/>
  <c r="M112" i="110" s="1" a="1"/>
  <c r="M112" i="110" s="1"/>
  <c r="H112" i="110" a="1"/>
  <c r="H112" i="110" s="1"/>
  <c r="P112" i="110" s="1" a="1"/>
  <c r="P112" i="110" s="1"/>
  <c r="G112" i="110" a="1"/>
  <c r="G112" i="110" s="1"/>
  <c r="O112" i="110" s="1" a="1"/>
  <c r="O112" i="110" s="1"/>
  <c r="H111" i="110" a="1"/>
  <c r="H111" i="110" s="1"/>
  <c r="P111" i="110" s="1" a="1"/>
  <c r="P111" i="110" s="1"/>
  <c r="F112" i="110" a="1"/>
  <c r="F112" i="110" s="1"/>
  <c r="N112" i="110" s="1" a="1"/>
  <c r="N112" i="110" s="1"/>
  <c r="G111" i="110" a="1"/>
  <c r="G111" i="110" s="1"/>
  <c r="O111" i="110" s="1" a="1"/>
  <c r="O111" i="110" s="1"/>
  <c r="H110" i="110" a="1"/>
  <c r="H110" i="110" s="1"/>
  <c r="P110" i="110" s="1" a="1"/>
  <c r="P110" i="110" s="1"/>
  <c r="G110" i="110" a="1"/>
  <c r="G110" i="110" s="1"/>
  <c r="O110" i="110" s="1" a="1"/>
  <c r="O110" i="110" s="1"/>
  <c r="E111" i="110" a="1"/>
  <c r="E111" i="110" s="1"/>
  <c r="M111" i="110" s="1" a="1"/>
  <c r="M111" i="110" s="1"/>
  <c r="F110" i="110" a="1"/>
  <c r="F110" i="110" s="1"/>
  <c r="N110" i="110" s="1" a="1"/>
  <c r="N110" i="110" s="1"/>
  <c r="E110" i="110" a="1"/>
  <c r="E110" i="110" s="1"/>
  <c r="M110" i="110" s="1" a="1"/>
  <c r="M110" i="110" s="1"/>
  <c r="G120" i="110" a="1"/>
  <c r="G120" i="110" s="1"/>
  <c r="H120" i="110" a="1"/>
  <c r="H120" i="110" s="1"/>
  <c r="F120" i="110" a="1"/>
  <c r="F120" i="110" s="1"/>
  <c r="E120" i="110" a="1"/>
  <c r="E120" i="110" s="1"/>
  <c r="E127" i="110" a="1"/>
  <c r="E127" i="110" s="1"/>
  <c r="H127" i="110" a="1"/>
  <c r="H127" i="110" s="1"/>
  <c r="G127" i="110" a="1"/>
  <c r="G127" i="110" s="1"/>
  <c r="F127" i="110" a="1"/>
  <c r="F127" i="110" s="1"/>
  <c r="I127" i="110" a="1"/>
  <c r="I127" i="110" s="1"/>
  <c r="K127" i="110" a="1"/>
  <c r="K127" i="110" s="1"/>
  <c r="L127" i="110" a="1"/>
  <c r="L127" i="110" s="1"/>
  <c r="J127" i="110" a="1"/>
  <c r="J127" i="110" s="1"/>
  <c r="F123" i="110" a="1"/>
  <c r="F123" i="110" s="1"/>
  <c r="E123" i="110" a="1"/>
  <c r="E123" i="110" s="1"/>
  <c r="H123" i="110" a="1"/>
  <c r="H123" i="110" s="1"/>
  <c r="G123" i="110" a="1"/>
  <c r="G123" i="110" s="1"/>
  <c r="I138" i="110" a="1"/>
  <c r="I138" i="110" s="1"/>
  <c r="L138" i="110" a="1"/>
  <c r="L138" i="110" s="1"/>
  <c r="K138" i="110" a="1"/>
  <c r="K138" i="110" s="1"/>
  <c r="J138" i="110" a="1"/>
  <c r="J138" i="110" s="1"/>
  <c r="F149" i="110" a="1"/>
  <c r="F149" i="110" s="1"/>
  <c r="E149" i="110" a="1"/>
  <c r="E149" i="110" s="1"/>
  <c r="H149" i="110" a="1"/>
  <c r="H149" i="110" s="1"/>
  <c r="G149" i="110" a="1"/>
  <c r="G149" i="110" s="1"/>
  <c r="H158" i="110" a="1"/>
  <c r="H158" i="110" s="1"/>
  <c r="G158" i="110" a="1"/>
  <c r="G158" i="110" s="1"/>
  <c r="F158" i="110" a="1"/>
  <c r="F158" i="110" s="1"/>
  <c r="E158" i="110" a="1"/>
  <c r="E158" i="110" s="1"/>
  <c r="K120" i="110" a="1"/>
  <c r="K120" i="110" s="1"/>
  <c r="J120" i="110" a="1"/>
  <c r="J120" i="110" s="1"/>
  <c r="I120" i="110" a="1"/>
  <c r="I120" i="110" s="1"/>
  <c r="L120" i="110" a="1"/>
  <c r="L120" i="110" s="1"/>
  <c r="L123" i="110" a="1"/>
  <c r="L123" i="110" s="1"/>
  <c r="K123" i="110" a="1"/>
  <c r="K123" i="110" s="1"/>
  <c r="J123" i="110" a="1"/>
  <c r="J123" i="110" s="1"/>
  <c r="I123" i="110" a="1"/>
  <c r="I123" i="110" s="1"/>
  <c r="K134" i="110" a="1"/>
  <c r="K134" i="110" s="1"/>
  <c r="L134" i="110" a="1"/>
  <c r="L134" i="110" s="1"/>
  <c r="J134" i="110" a="1"/>
  <c r="J134" i="110" s="1"/>
  <c r="I134" i="110" a="1"/>
  <c r="I134" i="110" s="1"/>
  <c r="H142" i="110" a="1"/>
  <c r="H142" i="110" s="1"/>
  <c r="F142" i="110" a="1"/>
  <c r="F142" i="110" s="1"/>
  <c r="E142" i="110" a="1"/>
  <c r="E142" i="110" s="1"/>
  <c r="G142" i="110" a="1"/>
  <c r="G142" i="110" s="1"/>
  <c r="K158" i="110" a="1"/>
  <c r="K158" i="110" s="1"/>
  <c r="J158" i="110" a="1"/>
  <c r="J158" i="110" s="1"/>
  <c r="I158" i="110" a="1"/>
  <c r="I158" i="110" s="1"/>
  <c r="L158" i="110" a="1"/>
  <c r="L158" i="110" s="1"/>
  <c r="I154" i="110" a="1"/>
  <c r="I154" i="110" s="1"/>
  <c r="L154" i="110" a="1"/>
  <c r="L154" i="110" s="1"/>
  <c r="K154" i="110" a="1"/>
  <c r="K154" i="110" s="1"/>
  <c r="J154" i="110" a="1"/>
  <c r="J154" i="110" s="1"/>
  <c r="G121" i="110" a="1"/>
  <c r="G121" i="110" s="1"/>
  <c r="F121" i="110" a="1"/>
  <c r="F121" i="110" s="1"/>
  <c r="E121" i="110" a="1"/>
  <c r="E121" i="110" s="1"/>
  <c r="H121" i="110" a="1"/>
  <c r="H121" i="110" s="1"/>
  <c r="E146" i="110" a="1"/>
  <c r="E146" i="110" s="1"/>
  <c r="H146" i="110" a="1"/>
  <c r="H146" i="110" s="1"/>
  <c r="G146" i="110" a="1"/>
  <c r="G146" i="110" s="1"/>
  <c r="F146" i="110" a="1"/>
  <c r="F146" i="110" s="1"/>
  <c r="G150" i="110" a="1"/>
  <c r="G150" i="110" s="1"/>
  <c r="F150" i="110" a="1"/>
  <c r="F150" i="110" s="1"/>
  <c r="E150" i="110" a="1"/>
  <c r="E150" i="110" s="1"/>
  <c r="H150" i="110" a="1"/>
  <c r="H150" i="110" s="1"/>
  <c r="H159" i="110" a="1"/>
  <c r="H159" i="110" s="1"/>
  <c r="F159" i="110" a="1"/>
  <c r="F159" i="110" s="1"/>
  <c r="E159" i="110" a="1"/>
  <c r="E159" i="110" s="1"/>
  <c r="G159" i="110" a="1"/>
  <c r="G159" i="110" s="1"/>
  <c r="L118" i="110" a="1"/>
  <c r="L118" i="110" s="1"/>
  <c r="K118" i="110" a="1"/>
  <c r="K118" i="110" s="1"/>
  <c r="J118" i="110" a="1"/>
  <c r="J118" i="110" s="1"/>
  <c r="I118" i="110" a="1"/>
  <c r="I118" i="110" s="1"/>
  <c r="F124" i="110" a="1"/>
  <c r="F124" i="110" s="1"/>
  <c r="H124" i="110" a="1"/>
  <c r="H124" i="110" s="1"/>
  <c r="G124" i="110" a="1"/>
  <c r="G124" i="110" s="1"/>
  <c r="E124" i="110" a="1"/>
  <c r="E124" i="110" s="1"/>
  <c r="L129" i="110" a="1"/>
  <c r="L129" i="110" s="1"/>
  <c r="K129" i="110" a="1"/>
  <c r="K129" i="110" s="1"/>
  <c r="J129" i="110" a="1"/>
  <c r="J129" i="110" s="1"/>
  <c r="I129" i="110" a="1"/>
  <c r="I129" i="110" s="1"/>
  <c r="H135" i="110" a="1"/>
  <c r="H135" i="110" s="1"/>
  <c r="F135" i="110" a="1"/>
  <c r="F135" i="110" s="1"/>
  <c r="E135" i="110" a="1"/>
  <c r="E135" i="110" s="1"/>
  <c r="G135" i="110" a="1"/>
  <c r="G135" i="110" s="1"/>
  <c r="H139" i="110" a="1"/>
  <c r="H139" i="110" s="1"/>
  <c r="G139" i="110" a="1"/>
  <c r="G139" i="110" s="1"/>
  <c r="F139" i="110" a="1"/>
  <c r="F139" i="110" s="1"/>
  <c r="E139" i="110" a="1"/>
  <c r="E139" i="110" s="1"/>
  <c r="H143" i="110" a="1"/>
  <c r="H143" i="110" s="1"/>
  <c r="G143" i="110" a="1"/>
  <c r="G143" i="110" s="1"/>
  <c r="F143" i="110" a="1"/>
  <c r="F143" i="110" s="1"/>
  <c r="E143" i="110" a="1"/>
  <c r="E143" i="110" s="1"/>
  <c r="L146" i="110" a="1"/>
  <c r="L146" i="110" s="1"/>
  <c r="J146" i="110" a="1"/>
  <c r="J146" i="110" s="1"/>
  <c r="I146" i="110" a="1"/>
  <c r="I146" i="110" s="1"/>
  <c r="K146" i="110" a="1"/>
  <c r="K146" i="110" s="1"/>
  <c r="L150" i="110" a="1"/>
  <c r="L150" i="110" s="1"/>
  <c r="K150" i="110" a="1"/>
  <c r="K150" i="110" s="1"/>
  <c r="J150" i="110" a="1"/>
  <c r="J150" i="110" s="1"/>
  <c r="I150" i="110" a="1"/>
  <c r="I150" i="110" s="1"/>
  <c r="G155" i="110" a="1"/>
  <c r="G155" i="110" s="1"/>
  <c r="F155" i="110" a="1"/>
  <c r="F155" i="110" s="1"/>
  <c r="H155" i="110" a="1"/>
  <c r="H155" i="110" s="1"/>
  <c r="E155" i="110" a="1"/>
  <c r="E155" i="110" s="1"/>
  <c r="K159" i="110" a="1"/>
  <c r="K159" i="110" s="1"/>
  <c r="I159" i="110" a="1"/>
  <c r="I159" i="110" s="1"/>
  <c r="L159" i="110" a="1"/>
  <c r="L159" i="110" s="1"/>
  <c r="J159" i="110" a="1"/>
  <c r="J159" i="110" s="1"/>
  <c r="I121" i="110" a="1"/>
  <c r="I121" i="110" s="1"/>
  <c r="L121" i="110" a="1"/>
  <c r="L121" i="110" s="1"/>
  <c r="K121" i="110" a="1"/>
  <c r="K121" i="110" s="1"/>
  <c r="J121" i="110" a="1"/>
  <c r="J121" i="110" s="1"/>
  <c r="K132" i="110" a="1"/>
  <c r="K132" i="110" s="1"/>
  <c r="L132" i="110" a="1"/>
  <c r="L132" i="110" s="1"/>
  <c r="J132" i="110" a="1"/>
  <c r="J132" i="110" s="1"/>
  <c r="I132" i="110" a="1"/>
  <c r="I132" i="110" s="1"/>
  <c r="I135" i="110" a="1"/>
  <c r="I135" i="110" s="1"/>
  <c r="K135" i="110" a="1"/>
  <c r="K135" i="110" s="1"/>
  <c r="L135" i="110" a="1"/>
  <c r="L135" i="110" s="1"/>
  <c r="J135" i="110" a="1"/>
  <c r="J135" i="110" s="1"/>
  <c r="I143" i="110" a="1"/>
  <c r="I143" i="110" s="1"/>
  <c r="L143" i="110" a="1"/>
  <c r="L143" i="110" s="1"/>
  <c r="K143" i="110" a="1"/>
  <c r="K143" i="110" s="1"/>
  <c r="J143" i="110" a="1"/>
  <c r="J143" i="110" s="1"/>
  <c r="I155" i="110" a="1"/>
  <c r="I155" i="110" s="1"/>
  <c r="K155" i="110" a="1"/>
  <c r="K155" i="110" s="1"/>
  <c r="J155" i="110" a="1"/>
  <c r="J155" i="110" s="1"/>
  <c r="L155" i="110" a="1"/>
  <c r="L155" i="110" s="1"/>
  <c r="G116" i="110" a="1"/>
  <c r="G116" i="110" s="1"/>
  <c r="F116" i="110" a="1"/>
  <c r="F116" i="110" s="1"/>
  <c r="E116" i="110" a="1"/>
  <c r="E116" i="110" s="1"/>
  <c r="H116" i="110" a="1"/>
  <c r="H116" i="110" s="1"/>
  <c r="I139" i="110" a="1"/>
  <c r="I139" i="110" s="1"/>
  <c r="K139" i="110" a="1"/>
  <c r="K139" i="110" s="1"/>
  <c r="L139" i="110" a="1"/>
  <c r="L139" i="110" s="1"/>
  <c r="J139" i="110" a="1"/>
  <c r="J139" i="110" s="1"/>
  <c r="E151" i="110" a="1"/>
  <c r="E151" i="110" s="1"/>
  <c r="H151" i="110" a="1"/>
  <c r="H151" i="110" s="1"/>
  <c r="G151" i="110" a="1"/>
  <c r="G151" i="110" s="1"/>
  <c r="F151" i="110" a="1"/>
  <c r="F151" i="110" s="1"/>
  <c r="E160" i="110" a="1"/>
  <c r="E160" i="110" s="1"/>
  <c r="H160" i="110" a="1"/>
  <c r="H160" i="110" s="1"/>
  <c r="G160" i="110" a="1"/>
  <c r="G160" i="110" s="1"/>
  <c r="F160" i="110" a="1"/>
  <c r="F160" i="110" s="1"/>
  <c r="D106" i="110"/>
  <c r="D108" i="110"/>
  <c r="L113" i="110" a="1"/>
  <c r="L113" i="110" s="1"/>
  <c r="K113" i="110" a="1"/>
  <c r="K113" i="110" s="1"/>
  <c r="J113" i="110" a="1"/>
  <c r="J113" i="110" s="1"/>
  <c r="I113" i="110" a="1"/>
  <c r="I113" i="110" s="1"/>
  <c r="K116" i="110" a="1"/>
  <c r="K116" i="110" s="1"/>
  <c r="L116" i="110" a="1"/>
  <c r="L116" i="110" s="1"/>
  <c r="J116" i="110" a="1"/>
  <c r="J116" i="110" s="1"/>
  <c r="I116" i="110" a="1"/>
  <c r="I116" i="110" s="1"/>
  <c r="E130" i="110" a="1"/>
  <c r="E130" i="110" s="1"/>
  <c r="H130" i="110" a="1"/>
  <c r="H130" i="110" s="1"/>
  <c r="G130" i="110" a="1"/>
  <c r="G130" i="110" s="1"/>
  <c r="F130" i="110" a="1"/>
  <c r="F130" i="110" s="1"/>
  <c r="G136" i="110" a="1"/>
  <c r="G136" i="110" s="1"/>
  <c r="E136" i="110" a="1"/>
  <c r="E136" i="110" s="1"/>
  <c r="H136" i="110" a="1"/>
  <c r="H136" i="110" s="1"/>
  <c r="F136" i="110" a="1"/>
  <c r="F136" i="110" s="1"/>
  <c r="J147" i="110" a="1"/>
  <c r="J147" i="110" s="1"/>
  <c r="L147" i="110" a="1"/>
  <c r="L147" i="110" s="1"/>
  <c r="K147" i="110" a="1"/>
  <c r="K147" i="110" s="1"/>
  <c r="I147" i="110" a="1"/>
  <c r="I147" i="110" s="1"/>
  <c r="L151" i="110" a="1"/>
  <c r="L151" i="110" s="1"/>
  <c r="I151" i="110" a="1"/>
  <c r="I151" i="110" s="1"/>
  <c r="K151" i="110" a="1"/>
  <c r="K151" i="110" s="1"/>
  <c r="J151" i="110" a="1"/>
  <c r="J151" i="110" s="1"/>
  <c r="H156" i="110" a="1"/>
  <c r="H156" i="110" s="1"/>
  <c r="G156" i="110" a="1"/>
  <c r="G156" i="110" s="1"/>
  <c r="F156" i="110" a="1"/>
  <c r="F156" i="110" s="1"/>
  <c r="E156" i="110" a="1"/>
  <c r="E156" i="110" s="1"/>
  <c r="L160" i="110" a="1"/>
  <c r="L160" i="110" s="1"/>
  <c r="K160" i="110" a="1"/>
  <c r="K160" i="110" s="1"/>
  <c r="J160" i="110" a="1"/>
  <c r="J160" i="110" s="1"/>
  <c r="I160" i="110" a="1"/>
  <c r="I160" i="110" s="1"/>
  <c r="E133" i="110" a="1"/>
  <c r="E133" i="110" s="1"/>
  <c r="H133" i="110" a="1"/>
  <c r="H133" i="110" s="1"/>
  <c r="G133" i="110" a="1"/>
  <c r="G133" i="110" s="1"/>
  <c r="F133" i="110" a="1"/>
  <c r="F133" i="110" s="1"/>
  <c r="L136" i="110" a="1"/>
  <c r="L136" i="110" s="1"/>
  <c r="K136" i="110" a="1"/>
  <c r="K136" i="110" s="1"/>
  <c r="J136" i="110" a="1"/>
  <c r="J136" i="110" s="1"/>
  <c r="I136" i="110" a="1"/>
  <c r="I136" i="110" s="1"/>
  <c r="H114" i="110" a="1"/>
  <c r="H114" i="110" s="1"/>
  <c r="G114" i="110" a="1"/>
  <c r="G114" i="110" s="1"/>
  <c r="F114" i="110" a="1"/>
  <c r="F114" i="110" s="1"/>
  <c r="E114" i="110" a="1"/>
  <c r="E114" i="110" s="1"/>
  <c r="L119" i="110" a="1"/>
  <c r="L119" i="110" s="1"/>
  <c r="K119" i="110" a="1"/>
  <c r="K119" i="110" s="1"/>
  <c r="J119" i="110" a="1"/>
  <c r="J119" i="110" s="1"/>
  <c r="I119" i="110" a="1"/>
  <c r="I119" i="110" s="1"/>
  <c r="H122" i="110" a="1"/>
  <c r="H122" i="110" s="1"/>
  <c r="G122" i="110" a="1"/>
  <c r="G122" i="110" s="1"/>
  <c r="F122" i="110" a="1"/>
  <c r="F122" i="110" s="1"/>
  <c r="E122" i="110" a="1"/>
  <c r="E122" i="110" s="1"/>
  <c r="F125" i="110" a="1"/>
  <c r="F125" i="110" s="1"/>
  <c r="E125" i="110" a="1"/>
  <c r="E125" i="110" s="1"/>
  <c r="H125" i="110" a="1"/>
  <c r="H125" i="110" s="1"/>
  <c r="G125" i="110" a="1"/>
  <c r="G125" i="110" s="1"/>
  <c r="L130" i="110" a="1"/>
  <c r="L130" i="110" s="1"/>
  <c r="K130" i="110" a="1"/>
  <c r="K130" i="110" s="1"/>
  <c r="I130" i="110" a="1"/>
  <c r="I130" i="110" s="1"/>
  <c r="J130" i="110" a="1"/>
  <c r="J130" i="110" s="1"/>
  <c r="K133" i="110" a="1"/>
  <c r="K133" i="110" s="1"/>
  <c r="I133" i="110" a="1"/>
  <c r="I133" i="110" s="1"/>
  <c r="L133" i="110" a="1"/>
  <c r="L133" i="110" s="1"/>
  <c r="J133" i="110" a="1"/>
  <c r="J133" i="110" s="1"/>
  <c r="H144" i="110" a="1"/>
  <c r="H144" i="110" s="1"/>
  <c r="G144" i="110" a="1"/>
  <c r="G144" i="110" s="1"/>
  <c r="F144" i="110" a="1"/>
  <c r="F144" i="110" s="1"/>
  <c r="E144" i="110" a="1"/>
  <c r="E144" i="110" s="1"/>
  <c r="F148" i="110" a="1"/>
  <c r="F148" i="110" s="1"/>
  <c r="E148" i="110" a="1"/>
  <c r="E148" i="110" s="1"/>
  <c r="H148" i="110" a="1"/>
  <c r="H148" i="110" s="1"/>
  <c r="G148" i="110" a="1"/>
  <c r="G148" i="110" s="1"/>
  <c r="H152" i="110" a="1"/>
  <c r="H152" i="110" s="1"/>
  <c r="G152" i="110" a="1"/>
  <c r="G152" i="110" s="1"/>
  <c r="F152" i="110" a="1"/>
  <c r="F152" i="110" s="1"/>
  <c r="E152" i="110" a="1"/>
  <c r="E152" i="110" s="1"/>
  <c r="G137" i="110" a="1"/>
  <c r="G137" i="110" s="1"/>
  <c r="F137" i="110" a="1"/>
  <c r="F137" i="110" s="1"/>
  <c r="E137" i="110" a="1"/>
  <c r="E137" i="110" s="1"/>
  <c r="H137" i="110" a="1"/>
  <c r="H137" i="110" s="1"/>
  <c r="I140" i="110" a="1"/>
  <c r="I140" i="110" s="1"/>
  <c r="J140" i="110" a="1"/>
  <c r="J140" i="110" s="1"/>
  <c r="L140" i="110" a="1"/>
  <c r="L140" i="110" s="1"/>
  <c r="K140" i="110" a="1"/>
  <c r="K140" i="110" s="1"/>
  <c r="L148" i="110" a="1"/>
  <c r="L148" i="110" s="1"/>
  <c r="K148" i="110" a="1"/>
  <c r="K148" i="110" s="1"/>
  <c r="J148" i="110" a="1"/>
  <c r="J148" i="110" s="1"/>
  <c r="I148" i="110" a="1"/>
  <c r="I148" i="110" s="1"/>
  <c r="L152" i="110" a="1"/>
  <c r="L152" i="110" s="1"/>
  <c r="K152" i="110" a="1"/>
  <c r="K152" i="110" s="1"/>
  <c r="J152" i="110" a="1"/>
  <c r="J152" i="110" s="1"/>
  <c r="I152" i="110" a="1"/>
  <c r="I152" i="110" s="1"/>
  <c r="L161" i="110" a="1"/>
  <c r="L161" i="110" s="1"/>
  <c r="J161" i="110" a="1"/>
  <c r="J161" i="110" s="1"/>
  <c r="I161" i="110" a="1"/>
  <c r="I161" i="110" s="1"/>
  <c r="K161" i="110" a="1"/>
  <c r="K161" i="110" s="1"/>
  <c r="D112" i="110"/>
  <c r="D111" i="110"/>
  <c r="D110" i="110"/>
  <c r="F68" i="109" s="1" a="1"/>
  <c r="F68" i="109" s="1"/>
  <c r="E128" i="110" a="1"/>
  <c r="E128" i="110" s="1"/>
  <c r="H128" i="110" a="1"/>
  <c r="H128" i="110" s="1"/>
  <c r="G128" i="110" a="1"/>
  <c r="G128" i="110" s="1"/>
  <c r="O128" i="110" s="1" a="1"/>
  <c r="O128" i="110" s="1"/>
  <c r="F128" i="110" a="1"/>
  <c r="F128" i="110" s="1"/>
  <c r="H131" i="110" a="1"/>
  <c r="H131" i="110" s="1"/>
  <c r="E131" i="110" a="1"/>
  <c r="E131" i="110" s="1"/>
  <c r="F131" i="110" a="1"/>
  <c r="F131" i="110" s="1"/>
  <c r="G131" i="110" a="1"/>
  <c r="G131" i="110" s="1"/>
  <c r="I137" i="110" a="1"/>
  <c r="I137" i="110" s="1"/>
  <c r="K137" i="110" a="1"/>
  <c r="K137" i="110" s="1"/>
  <c r="J137" i="110" a="1"/>
  <c r="J137" i="110" s="1"/>
  <c r="L137" i="110" a="1"/>
  <c r="L137" i="110" s="1"/>
  <c r="K144" i="110" a="1"/>
  <c r="K144" i="110" s="1"/>
  <c r="I144" i="110" a="1"/>
  <c r="I144" i="110" s="1"/>
  <c r="L144" i="110" a="1"/>
  <c r="L144" i="110" s="1"/>
  <c r="J144" i="110" a="1"/>
  <c r="J144" i="110" s="1"/>
  <c r="H157" i="110" a="1"/>
  <c r="H157" i="110" s="1"/>
  <c r="G157" i="110" a="1"/>
  <c r="G157" i="110" s="1"/>
  <c r="E157" i="110" a="1"/>
  <c r="E157" i="110" s="1"/>
  <c r="F157" i="110" a="1"/>
  <c r="F157" i="110" s="1"/>
  <c r="H141" i="110" a="1"/>
  <c r="H141" i="110" s="1"/>
  <c r="G141" i="110" a="1"/>
  <c r="G141" i="110" s="1"/>
  <c r="F141" i="110" a="1"/>
  <c r="F141" i="110" s="1"/>
  <c r="E141" i="110" a="1"/>
  <c r="E141" i="110" s="1"/>
  <c r="F153" i="110" a="1"/>
  <c r="F153" i="110" s="1"/>
  <c r="E153" i="110" a="1"/>
  <c r="E153" i="110" s="1"/>
  <c r="H153" i="110" a="1"/>
  <c r="H153" i="110" s="1"/>
  <c r="G153" i="110" a="1"/>
  <c r="G153" i="110" s="1"/>
  <c r="J157" i="110" a="1"/>
  <c r="J157" i="110" s="1"/>
  <c r="L157" i="110" a="1"/>
  <c r="L157" i="110" s="1"/>
  <c r="K157" i="110" a="1"/>
  <c r="K157" i="110" s="1"/>
  <c r="I157" i="110" a="1"/>
  <c r="I157" i="110" s="1"/>
  <c r="F134" i="110" a="1"/>
  <c r="F134" i="110" s="1"/>
  <c r="G134" i="110" a="1"/>
  <c r="G134" i="110" s="1"/>
  <c r="E134" i="110" a="1"/>
  <c r="E134" i="110" s="1"/>
  <c r="H134" i="110" a="1"/>
  <c r="H134" i="110" s="1"/>
  <c r="H138" i="110" a="1"/>
  <c r="H138" i="110" s="1"/>
  <c r="F138" i="110" a="1"/>
  <c r="F138" i="110" s="1"/>
  <c r="G138" i="110" a="1"/>
  <c r="G138" i="110" s="1"/>
  <c r="E138" i="110" a="1"/>
  <c r="E138" i="110" s="1"/>
  <c r="K141" i="110" a="1"/>
  <c r="K141" i="110" s="1"/>
  <c r="L141" i="110" a="1"/>
  <c r="L141" i="110" s="1"/>
  <c r="J141" i="110" a="1"/>
  <c r="J141" i="110" s="1"/>
  <c r="I141" i="110" a="1"/>
  <c r="I141" i="110" s="1"/>
  <c r="E145" i="110" a="1"/>
  <c r="E145" i="110" s="1"/>
  <c r="H145" i="110" a="1"/>
  <c r="H145" i="110" s="1"/>
  <c r="P145" i="110" s="1" a="1"/>
  <c r="P145" i="110" s="1"/>
  <c r="G145" i="110" a="1"/>
  <c r="G145" i="110" s="1"/>
  <c r="F145" i="110" a="1"/>
  <c r="F145" i="110" s="1"/>
  <c r="L153" i="110" a="1"/>
  <c r="L153" i="110" s="1"/>
  <c r="J153" i="110" a="1"/>
  <c r="J153" i="110" s="1"/>
  <c r="K153" i="110" a="1"/>
  <c r="K153" i="110" s="1"/>
  <c r="I153" i="110" a="1"/>
  <c r="I153" i="110" s="1"/>
  <c r="K145" i="110" a="1"/>
  <c r="K145" i="110" s="1"/>
  <c r="K149" i="110" a="1"/>
  <c r="K149" i="110" s="1"/>
  <c r="I149" i="110" a="1"/>
  <c r="I149" i="110" s="1"/>
  <c r="J128" i="110" a="1"/>
  <c r="J128" i="110" s="1"/>
  <c r="L128" i="110" a="1"/>
  <c r="L128" i="110" s="1"/>
  <c r="J142" i="110" a="1"/>
  <c r="J142" i="110" s="1"/>
  <c r="L142" i="110" a="1"/>
  <c r="L142" i="110" s="1"/>
  <c r="K142" i="110" a="1"/>
  <c r="K142" i="110" s="1"/>
  <c r="I142" i="110" a="1"/>
  <c r="I142" i="110" s="1"/>
  <c r="G140" i="110" a="1"/>
  <c r="G140" i="110" s="1"/>
  <c r="F140" i="110" a="1"/>
  <c r="F140" i="110" s="1"/>
  <c r="E126" i="110" a="1"/>
  <c r="E126" i="110" s="1"/>
  <c r="F126" i="110" a="1"/>
  <c r="F126" i="110" s="1"/>
  <c r="J149" i="110" a="1"/>
  <c r="J149" i="110" s="1"/>
  <c r="L149" i="110" a="1"/>
  <c r="L149" i="110" s="1"/>
  <c r="G126" i="110" a="1"/>
  <c r="G126" i="110" s="1"/>
  <c r="E140" i="110" a="1"/>
  <c r="E140" i="110" s="1"/>
  <c r="F147" i="110" a="1"/>
  <c r="F147" i="110" s="1"/>
  <c r="E161" i="110" a="1"/>
  <c r="E161" i="110" s="1"/>
  <c r="G161" i="110" a="1"/>
  <c r="G161" i="110" s="1"/>
  <c r="F161" i="110" a="1"/>
  <c r="F161" i="110" s="1"/>
  <c r="H161" i="110" a="1"/>
  <c r="H161" i="110" s="1"/>
  <c r="G147" i="110" a="1"/>
  <c r="G147" i="110" s="1"/>
  <c r="I145" i="110" a="1"/>
  <c r="I145" i="110" s="1"/>
  <c r="H147" i="110" a="1"/>
  <c r="H147" i="110" s="1"/>
  <c r="J156" i="110" a="1"/>
  <c r="J156" i="110" s="1"/>
  <c r="I156" i="110" a="1"/>
  <c r="I156" i="110" s="1"/>
  <c r="L156" i="110" a="1"/>
  <c r="L156" i="110" s="1"/>
  <c r="K156" i="110" a="1"/>
  <c r="K156" i="110" s="1"/>
  <c r="J145" i="110" a="1"/>
  <c r="J145" i="110" s="1"/>
  <c r="H154" i="110" a="1"/>
  <c r="H154" i="110" s="1"/>
  <c r="G154" i="110" a="1"/>
  <c r="G154" i="110" s="1"/>
  <c r="F154" i="110" a="1"/>
  <c r="F154" i="110" s="1"/>
  <c r="E154" i="110" a="1"/>
  <c r="E154" i="110" s="1"/>
  <c r="I128" i="110" a="1"/>
  <c r="I128" i="110" s="1"/>
  <c r="H140" i="110" a="1"/>
  <c r="H140" i="110" s="1"/>
  <c r="D36" i="109" a="1"/>
  <c r="I26" i="109"/>
  <c r="I24" i="109"/>
  <c r="I31" i="109"/>
  <c r="I27" i="109"/>
  <c r="L29" i="109"/>
  <c r="I25" i="109"/>
  <c r="I23" i="109"/>
  <c r="I30" i="109"/>
  <c r="I28" i="109"/>
  <c r="F36" i="82"/>
  <c r="F58" i="106"/>
  <c r="F49" i="106"/>
  <c r="F57" i="106"/>
  <c r="F46" i="106"/>
  <c r="F56" i="106"/>
  <c r="F45" i="106"/>
  <c r="F55" i="106"/>
  <c r="F44" i="106"/>
  <c r="F52" i="106"/>
  <c r="F43" i="106"/>
  <c r="F51" i="106"/>
  <c r="F50" i="106"/>
  <c r="D39" i="106"/>
  <c r="L39" i="106" s="1" a="1"/>
  <c r="L39" i="106" s="1"/>
  <c r="I36" i="82"/>
  <c r="D40" i="106"/>
  <c r="L40" i="106" s="1" a="1"/>
  <c r="L40" i="106" s="1"/>
  <c r="D30" i="105"/>
  <c r="L30" i="105" s="1" a="1"/>
  <c r="L30" i="105" s="1"/>
  <c r="F43" i="105"/>
  <c r="F52" i="105"/>
  <c r="F62" i="105"/>
  <c r="F44" i="105"/>
  <c r="D54" i="105"/>
  <c r="F63" i="105"/>
  <c r="F45" i="105"/>
  <c r="F55" i="105"/>
  <c r="F64" i="105"/>
  <c r="F46" i="105"/>
  <c r="F56" i="105"/>
  <c r="F67" i="105"/>
  <c r="D32" i="105"/>
  <c r="L32" i="105" s="1" a="1"/>
  <c r="L32" i="105" s="1"/>
  <c r="F57" i="105"/>
  <c r="D27" i="105"/>
  <c r="L27" i="105" s="1" a="1"/>
  <c r="L27" i="105" s="1"/>
  <c r="F49" i="105"/>
  <c r="F68" i="105"/>
  <c r="D36" i="105"/>
  <c r="L36" i="105" s="1" a="1"/>
  <c r="L36" i="105" s="1"/>
  <c r="F58" i="105"/>
  <c r="E40" i="82"/>
  <c r="D31" i="105"/>
  <c r="L31" i="105" s="1" a="1"/>
  <c r="L31" i="105" s="1"/>
  <c r="F50" i="105"/>
  <c r="F69" i="105"/>
  <c r="D26" i="105"/>
  <c r="L26" i="105" s="1" a="1"/>
  <c r="L26" i="105" s="1"/>
  <c r="D42" i="105"/>
  <c r="D35" i="105"/>
  <c r="L35" i="105" s="1" a="1"/>
  <c r="L35" i="105" s="1"/>
  <c r="F51" i="105"/>
  <c r="F61" i="105"/>
  <c r="I20" i="104"/>
  <c r="L33" i="105" s="1" a="1"/>
  <c r="L33" i="105" s="1"/>
  <c r="F40" i="82"/>
  <c r="I21" i="104"/>
  <c r="L39" i="105" s="1" a="1"/>
  <c r="L39" i="105" s="1"/>
  <c r="I18" i="104"/>
  <c r="L32" i="106" s="1" a="1"/>
  <c r="L32" i="106" s="1"/>
  <c r="I17" i="104"/>
  <c r="G40" i="82"/>
  <c r="H40" i="82"/>
  <c r="I40" i="82"/>
  <c r="E36" i="82"/>
  <c r="E54" i="82"/>
  <c r="I57" i="99"/>
  <c r="E53" i="82"/>
  <c r="J44" i="90"/>
  <c r="G59" i="98"/>
  <c r="G36" i="82"/>
  <c r="D40" i="93"/>
  <c r="F58" i="95"/>
  <c r="F80" i="94"/>
  <c r="O110" i="94"/>
  <c r="F60" i="94"/>
  <c r="R170" i="92"/>
  <c r="R165" i="92"/>
  <c r="F37" i="82"/>
  <c r="E121" i="84" s="1"/>
  <c r="G37" i="82"/>
  <c r="F121" i="84" s="1"/>
  <c r="I37" i="82"/>
  <c r="H121" i="84" s="1"/>
  <c r="R180" i="92"/>
  <c r="O182" i="92"/>
  <c r="F182" i="92"/>
  <c r="I180" i="92"/>
  <c r="I170" i="92"/>
  <c r="R80" i="92"/>
  <c r="I132" i="92"/>
  <c r="R132" i="92"/>
  <c r="R24" i="92"/>
  <c r="I24" i="92"/>
  <c r="I115" i="92"/>
  <c r="R115" i="92"/>
  <c r="I160" i="92"/>
  <c r="I165" i="92"/>
  <c r="Q30" i="90"/>
  <c r="V23" i="90"/>
  <c r="K28" i="90"/>
  <c r="H37" i="82"/>
  <c r="G121" i="84" s="1"/>
  <c r="E41" i="82"/>
  <c r="N121" i="84" s="1"/>
  <c r="F41" i="82"/>
  <c r="O121" i="84" s="1"/>
  <c r="G41" i="82"/>
  <c r="P121" i="84" s="1"/>
  <c r="H41" i="82"/>
  <c r="Q121" i="84" s="1"/>
  <c r="E37" i="82"/>
  <c r="D121" i="84" s="1"/>
  <c r="Q47" i="90"/>
  <c r="F47" i="90"/>
  <c r="T19" i="88"/>
  <c r="V28" i="90"/>
  <c r="F30" i="90"/>
  <c r="K23" i="90"/>
  <c r="Q45" i="89"/>
  <c r="F45" i="89"/>
  <c r="V24" i="89"/>
  <c r="Q26" i="89"/>
  <c r="K19" i="89"/>
  <c r="F26" i="89"/>
  <c r="V19" i="89"/>
  <c r="K24" i="89"/>
  <c r="V51" i="88"/>
  <c r="O38" i="89"/>
  <c r="K31" i="88"/>
  <c r="V31" i="88"/>
  <c r="G64" i="87"/>
  <c r="V25" i="88"/>
  <c r="V52" i="87"/>
  <c r="K51" i="88"/>
  <c r="F53" i="88"/>
  <c r="S103" i="84"/>
  <c r="I103" i="84"/>
  <c r="Q148" i="87"/>
  <c r="K106" i="87"/>
  <c r="K146" i="87"/>
  <c r="K142" i="87"/>
  <c r="V106" i="87"/>
  <c r="F148" i="87"/>
  <c r="K143" i="87"/>
  <c r="K139" i="87"/>
  <c r="V139" i="87"/>
  <c r="K144" i="87"/>
  <c r="K140" i="87"/>
  <c r="K145" i="87"/>
  <c r="K141" i="87"/>
  <c r="F85" i="87"/>
  <c r="G127" i="87"/>
  <c r="V76" i="87"/>
  <c r="Q85" i="87"/>
  <c r="K76" i="87"/>
  <c r="F115" i="87"/>
  <c r="K23" i="86"/>
  <c r="V23" i="86"/>
  <c r="V49" i="86"/>
  <c r="Q52" i="86"/>
  <c r="F52" i="86"/>
  <c r="K49" i="86"/>
  <c r="K29" i="86"/>
  <c r="V29" i="86"/>
  <c r="K40" i="85"/>
  <c r="Q49" i="85"/>
  <c r="V40" i="85"/>
  <c r="F49" i="85"/>
  <c r="Q68" i="85"/>
  <c r="F68" i="85"/>
  <c r="E119" i="82"/>
  <c r="O61" i="85"/>
  <c r="H95" i="82"/>
  <c r="I126" i="84"/>
  <c r="S126" i="84"/>
  <c r="S176" i="84"/>
  <c r="I176" i="84"/>
  <c r="V205" i="83"/>
  <c r="K206" i="83"/>
  <c r="I146" i="84"/>
  <c r="S146" i="84"/>
  <c r="I29" i="84"/>
  <c r="S29" i="84"/>
  <c r="S213" i="84"/>
  <c r="I213" i="84"/>
  <c r="I120" i="82"/>
  <c r="I171" i="84"/>
  <c r="I98" i="84"/>
  <c r="S121" i="84"/>
  <c r="I203" i="84"/>
  <c r="G95" i="82"/>
  <c r="F119" i="82"/>
  <c r="S208" i="84"/>
  <c r="F95" i="82"/>
  <c r="I55" i="84"/>
  <c r="S65" i="84"/>
  <c r="S203" i="84"/>
  <c r="I88" i="84"/>
  <c r="S88" i="84"/>
  <c r="S98" i="84"/>
  <c r="I121" i="84"/>
  <c r="F287" i="84"/>
  <c r="I208" i="84"/>
  <c r="I198" i="84"/>
  <c r="Q300" i="83"/>
  <c r="F300" i="83"/>
  <c r="K151" i="83"/>
  <c r="V152" i="83"/>
  <c r="T133" i="83"/>
  <c r="I133" i="83"/>
  <c r="T24" i="83"/>
  <c r="I24" i="83"/>
  <c r="T114" i="83"/>
  <c r="S50" i="84" s="1"/>
  <c r="I114" i="83"/>
  <c r="K173" i="83"/>
  <c r="V173" i="83"/>
  <c r="K205" i="83"/>
  <c r="I119" i="82"/>
  <c r="I79" i="83"/>
  <c r="I60" i="84" s="1"/>
  <c r="I45" i="83"/>
  <c r="G162" i="83"/>
  <c r="V206" i="83"/>
  <c r="G119" i="82"/>
  <c r="R162" i="83"/>
  <c r="V237" i="83"/>
  <c r="I95" i="82"/>
  <c r="D91" i="82"/>
  <c r="H119" i="82"/>
  <c r="D80" i="82"/>
  <c r="D81" i="82"/>
  <c r="D92" i="82"/>
  <c r="E120" i="82"/>
  <c r="F120" i="82"/>
  <c r="D104" i="82"/>
  <c r="G120" i="82"/>
  <c r="E95" i="82"/>
  <c r="H120" i="82"/>
  <c r="G41" i="13" a="1"/>
  <c r="G41" i="13" s="1"/>
  <c r="G40" i="13" a="1"/>
  <c r="G40" i="13" s="1"/>
  <c r="G39" i="13" a="1"/>
  <c r="G39" i="13" s="1"/>
  <c r="G38" i="13" a="1"/>
  <c r="G38" i="13" s="1"/>
  <c r="G37" i="13" a="1"/>
  <c r="G37" i="13" s="1"/>
  <c r="G36" i="13" a="1"/>
  <c r="G36" i="13" s="1"/>
  <c r="G35" i="13" a="1"/>
  <c r="G35" i="13" s="1"/>
  <c r="G34" i="13" a="1"/>
  <c r="G34" i="13" s="1"/>
  <c r="G33" i="13" a="1"/>
  <c r="G33" i="13" s="1"/>
  <c r="J157" i="112" l="1" a="1"/>
  <c r="J157" i="112" s="1"/>
  <c r="J125" i="112" a="1"/>
  <c r="J125" i="112" s="1"/>
  <c r="J136" i="112" a="1"/>
  <c r="J136" i="112" s="1"/>
  <c r="J116" i="112" a="1"/>
  <c r="J116" i="112" s="1"/>
  <c r="K28" i="109"/>
  <c r="L28" i="109" s="1"/>
  <c r="K26" i="109"/>
  <c r="L26" i="109" s="1"/>
  <c r="E39" i="109" s="1"/>
  <c r="N159" i="110" a="1"/>
  <c r="N159" i="110" s="1"/>
  <c r="P159" i="110" a="1"/>
  <c r="P159" i="110" s="1"/>
  <c r="O156" i="110" a="1"/>
  <c r="O156" i="110" s="1"/>
  <c r="P156" i="110" a="1"/>
  <c r="P156" i="110" s="1"/>
  <c r="O149" i="110" a="1"/>
  <c r="O149" i="110" s="1"/>
  <c r="P149" i="110" a="1"/>
  <c r="P149" i="110" s="1"/>
  <c r="N149" i="110" a="1"/>
  <c r="N149" i="110" s="1"/>
  <c r="O142" i="110" a="1"/>
  <c r="O142" i="110" s="1"/>
  <c r="P142" i="110" a="1"/>
  <c r="P142" i="110" s="1"/>
  <c r="N142" i="110" a="1"/>
  <c r="N142" i="110" s="1"/>
  <c r="N133" i="110" a="1"/>
  <c r="N133" i="110" s="1"/>
  <c r="N132" i="110" a="1"/>
  <c r="N132" i="110" s="1"/>
  <c r="P132" i="110" a="1"/>
  <c r="P132" i="110" s="1"/>
  <c r="O132" i="110" a="1"/>
  <c r="O132" i="110" s="1"/>
  <c r="N129" i="110" a="1"/>
  <c r="N129" i="110" s="1"/>
  <c r="P129" i="110" a="1"/>
  <c r="P129" i="110" s="1"/>
  <c r="O120" i="110" a="1"/>
  <c r="O120" i="110" s="1"/>
  <c r="O119" i="110" a="1"/>
  <c r="O119" i="110" s="1"/>
  <c r="N119" i="110" a="1"/>
  <c r="N119" i="110" s="1"/>
  <c r="P119" i="110" a="1"/>
  <c r="P119" i="110" s="1"/>
  <c r="N118" i="110" a="1"/>
  <c r="N118" i="110" s="1"/>
  <c r="P118" i="110" a="1"/>
  <c r="P118" i="110" s="1"/>
  <c r="O113" i="110" a="1"/>
  <c r="O113" i="110" s="1"/>
  <c r="P113" i="110" a="1"/>
  <c r="P113" i="110" s="1"/>
  <c r="N113" i="110" a="1"/>
  <c r="N113" i="110" s="1"/>
  <c r="G151" i="124"/>
  <c r="I151" i="124"/>
  <c r="G153" i="124"/>
  <c r="I153" i="124"/>
  <c r="G149" i="124"/>
  <c r="I149" i="124"/>
  <c r="I152" i="124"/>
  <c r="G152" i="124"/>
  <c r="I329" i="124"/>
  <c r="I322" i="124"/>
  <c r="I328" i="124"/>
  <c r="I321" i="124"/>
  <c r="I327" i="124"/>
  <c r="I320" i="124"/>
  <c r="I323" i="124"/>
  <c r="I326" i="124"/>
  <c r="I325" i="124"/>
  <c r="I324" i="124"/>
  <c r="H387" i="124"/>
  <c r="J387" i="124"/>
  <c r="H383" i="124"/>
  <c r="J383" i="124"/>
  <c r="H386" i="124"/>
  <c r="J386" i="124"/>
  <c r="H389" i="124"/>
  <c r="J389" i="124"/>
  <c r="H390" i="124"/>
  <c r="J390" i="124"/>
  <c r="J391" i="124"/>
  <c r="H391" i="124"/>
  <c r="H385" i="124"/>
  <c r="J385" i="124"/>
  <c r="H384" i="124"/>
  <c r="J384" i="124"/>
  <c r="F129" i="124"/>
  <c r="G129" i="124" s="1"/>
  <c r="F126" i="124"/>
  <c r="F122" i="124"/>
  <c r="G122" i="124" s="1"/>
  <c r="F128" i="124"/>
  <c r="H470" i="124"/>
  <c r="J470" i="124"/>
  <c r="H471" i="124"/>
  <c r="J471" i="124"/>
  <c r="H472" i="124"/>
  <c r="J472" i="124"/>
  <c r="H469" i="124"/>
  <c r="J469" i="124"/>
  <c r="J453" i="124"/>
  <c r="H453" i="124"/>
  <c r="J454" i="124"/>
  <c r="H454" i="124"/>
  <c r="J66" i="124"/>
  <c r="G62" i="124"/>
  <c r="J65" i="124"/>
  <c r="G61" i="124"/>
  <c r="J64" i="124"/>
  <c r="J63" i="124"/>
  <c r="G70" i="124"/>
  <c r="G69" i="124"/>
  <c r="J70" i="124"/>
  <c r="G66" i="124"/>
  <c r="G63" i="124"/>
  <c r="G67" i="124"/>
  <c r="J69" i="124"/>
  <c r="G65" i="124"/>
  <c r="J68" i="124"/>
  <c r="G64" i="124"/>
  <c r="J67" i="124"/>
  <c r="G68" i="124"/>
  <c r="M29" i="124"/>
  <c r="J29" i="124"/>
  <c r="J26" i="124"/>
  <c r="M26" i="124"/>
  <c r="M32" i="124"/>
  <c r="J32" i="124"/>
  <c r="J51" i="124"/>
  <c r="J50" i="124"/>
  <c r="J49" i="124"/>
  <c r="J48" i="124"/>
  <c r="J47" i="124"/>
  <c r="J46" i="124"/>
  <c r="J43" i="124"/>
  <c r="J44" i="124"/>
  <c r="J45" i="124"/>
  <c r="J25" i="124"/>
  <c r="M25" i="124"/>
  <c r="G88" i="124"/>
  <c r="G87" i="124"/>
  <c r="G86" i="124"/>
  <c r="G85" i="124"/>
  <c r="J88" i="124"/>
  <c r="G84" i="124"/>
  <c r="J87" i="124"/>
  <c r="G83" i="124"/>
  <c r="J86" i="124"/>
  <c r="G82" i="124"/>
  <c r="J85" i="124"/>
  <c r="G81" i="124"/>
  <c r="J82" i="124"/>
  <c r="J83" i="124"/>
  <c r="G79" i="124"/>
  <c r="J81" i="124"/>
  <c r="J80" i="124"/>
  <c r="J84" i="124"/>
  <c r="G80" i="124"/>
  <c r="M30" i="124"/>
  <c r="J30" i="124"/>
  <c r="M27" i="124"/>
  <c r="J27" i="124"/>
  <c r="M28" i="124"/>
  <c r="J28" i="124"/>
  <c r="M31" i="124"/>
  <c r="J31" i="124"/>
  <c r="Q40" i="106"/>
  <c r="P40" i="106"/>
  <c r="O40" i="106"/>
  <c r="N40" i="106"/>
  <c r="Q39" i="106"/>
  <c r="P39" i="106"/>
  <c r="O39" i="106"/>
  <c r="N39" i="106"/>
  <c r="Q29" i="106"/>
  <c r="P29" i="106"/>
  <c r="O29" i="106"/>
  <c r="N29" i="106"/>
  <c r="N35" i="106"/>
  <c r="Q35" i="106"/>
  <c r="O35" i="106"/>
  <c r="P35" i="106"/>
  <c r="Q38" i="106"/>
  <c r="P38" i="106"/>
  <c r="O38" i="106"/>
  <c r="N38" i="106"/>
  <c r="O30" i="106"/>
  <c r="N30" i="106"/>
  <c r="P30" i="106"/>
  <c r="Q30" i="106"/>
  <c r="H38" i="105" a="1"/>
  <c r="H38" i="105" s="1"/>
  <c r="G38" i="105" a="1"/>
  <c r="G38" i="105" s="1"/>
  <c r="P38" i="105" s="1"/>
  <c r="I37" i="105" a="1"/>
  <c r="I37" i="105" s="1"/>
  <c r="O37" i="105" s="1"/>
  <c r="P31" i="105"/>
  <c r="O31" i="105"/>
  <c r="N31" i="105"/>
  <c r="Q31" i="105"/>
  <c r="Q39" i="105"/>
  <c r="P39" i="105"/>
  <c r="O39" i="105"/>
  <c r="N39" i="105"/>
  <c r="P37" i="105"/>
  <c r="N37" i="105"/>
  <c r="Q29" i="105"/>
  <c r="P29" i="105"/>
  <c r="O29" i="105"/>
  <c r="N29" i="105"/>
  <c r="O36" i="105"/>
  <c r="Q36" i="105"/>
  <c r="P36" i="105"/>
  <c r="N36" i="105"/>
  <c r="Q30" i="105"/>
  <c r="P30" i="105"/>
  <c r="O30" i="105"/>
  <c r="N30" i="105"/>
  <c r="Q26" i="105"/>
  <c r="P26" i="105"/>
  <c r="O26" i="105"/>
  <c r="N26" i="105"/>
  <c r="Q34" i="105"/>
  <c r="P34" i="105"/>
  <c r="O34" i="105"/>
  <c r="N34" i="105"/>
  <c r="N28" i="105"/>
  <c r="Q28" i="105"/>
  <c r="P28" i="105"/>
  <c r="O28" i="105"/>
  <c r="P32" i="105"/>
  <c r="Q32" i="105"/>
  <c r="O32" i="105"/>
  <c r="N32" i="105"/>
  <c r="N33" i="105"/>
  <c r="E49" i="105" s="1"/>
  <c r="Q33" i="105"/>
  <c r="E52" i="105" s="1"/>
  <c r="P33" i="105"/>
  <c r="E51" i="105" s="1"/>
  <c r="O33" i="105"/>
  <c r="E50" i="105" s="1"/>
  <c r="Q27" i="105"/>
  <c r="P27" i="105"/>
  <c r="O27" i="105"/>
  <c r="N27" i="105"/>
  <c r="N35" i="105"/>
  <c r="Q35" i="105"/>
  <c r="P35" i="105"/>
  <c r="O35" i="105"/>
  <c r="X13" i="93"/>
  <c r="X14" i="93"/>
  <c r="AL236" i="124" a="1"/>
  <c r="AL236" i="124" s="1"/>
  <c r="X12" i="93"/>
  <c r="AK236" i="124" a="1"/>
  <c r="AK236" i="124" s="1"/>
  <c r="F109" i="98"/>
  <c r="F108" i="98"/>
  <c r="E140" i="98" s="1"/>
  <c r="F107" i="98"/>
  <c r="F106" i="98"/>
  <c r="F105" i="98"/>
  <c r="E137" i="98" s="1"/>
  <c r="F104" i="98"/>
  <c r="F103" i="98"/>
  <c r="F102" i="98"/>
  <c r="F112" i="98"/>
  <c r="E144" i="98" s="1"/>
  <c r="F111" i="98"/>
  <c r="E143" i="98" s="1"/>
  <c r="F110" i="98"/>
  <c r="E142" i="98" s="1"/>
  <c r="E139" i="98"/>
  <c r="E141" i="98"/>
  <c r="I48" i="125"/>
  <c r="E35" i="125"/>
  <c r="O35" i="125"/>
  <c r="S48" i="125" s="1"/>
  <c r="W255" i="124" a="1"/>
  <c r="W255" i="124" s="1"/>
  <c r="AA258" i="124" a="1"/>
  <c r="AA258" i="124" s="1"/>
  <c r="D115" i="82"/>
  <c r="E21" i="115"/>
  <c r="O21" i="115"/>
  <c r="G80" i="92"/>
  <c r="P19" i="92"/>
  <c r="P24" i="92" s="1"/>
  <c r="P80" i="92" s="1"/>
  <c r="R19" i="83"/>
  <c r="R24" i="83" s="1"/>
  <c r="R79" i="83" s="1"/>
  <c r="D21" i="112"/>
  <c r="G187" i="112" a="1"/>
  <c r="G187" i="112" s="1"/>
  <c r="G176" i="112" a="1"/>
  <c r="G176" i="112" s="1"/>
  <c r="G143" i="112" a="1"/>
  <c r="G143" i="112" s="1"/>
  <c r="G124" i="112" a="1"/>
  <c r="G124" i="112" s="1"/>
  <c r="G117" i="112" a="1"/>
  <c r="G117" i="112" s="1"/>
  <c r="G186" i="112" a="1"/>
  <c r="G186" i="112" s="1"/>
  <c r="G166" i="112" a="1"/>
  <c r="G166" i="112" s="1"/>
  <c r="G159" i="112" a="1"/>
  <c r="G159" i="112" s="1"/>
  <c r="G142" i="112" a="1"/>
  <c r="G142" i="112" s="1"/>
  <c r="G133" i="112" a="1"/>
  <c r="G133" i="112" s="1"/>
  <c r="G54" i="112" a="1"/>
  <c r="G54" i="112" s="1"/>
  <c r="G46" i="112" a="1"/>
  <c r="G46" i="112" s="1"/>
  <c r="G38" i="112" a="1"/>
  <c r="G38" i="112" s="1"/>
  <c r="G30" i="112" a="1"/>
  <c r="G30" i="112" s="1"/>
  <c r="G23" i="112" a="1"/>
  <c r="G23" i="112" s="1"/>
  <c r="G183" i="112" a="1"/>
  <c r="G183" i="112" s="1"/>
  <c r="G174" i="112" a="1"/>
  <c r="G174" i="112" s="1"/>
  <c r="G139" i="112" a="1"/>
  <c r="G139" i="112" s="1"/>
  <c r="G131" i="112" a="1"/>
  <c r="G131" i="112" s="1"/>
  <c r="G122" i="112" a="1"/>
  <c r="G122" i="112" s="1"/>
  <c r="G182" i="112" a="1"/>
  <c r="G182" i="112" s="1"/>
  <c r="G164" i="112" a="1"/>
  <c r="G164" i="112" s="1"/>
  <c r="G130" i="112" a="1"/>
  <c r="G130" i="112" s="1"/>
  <c r="G52" i="112" a="1"/>
  <c r="G52" i="112" s="1"/>
  <c r="G44" i="112" a="1"/>
  <c r="G44" i="112" s="1"/>
  <c r="G36" i="112" a="1"/>
  <c r="G36" i="112" s="1"/>
  <c r="G28" i="112" a="1"/>
  <c r="G28" i="112" s="1"/>
  <c r="G171" i="112" a="1"/>
  <c r="G171" i="112" s="1"/>
  <c r="G149" i="112" a="1"/>
  <c r="G149" i="112" s="1"/>
  <c r="G120" i="112" a="1"/>
  <c r="G120" i="112" s="1"/>
  <c r="G178" i="112" a="1"/>
  <c r="G178" i="112" s="1"/>
  <c r="G169" i="112" a="1"/>
  <c r="G169" i="112" s="1"/>
  <c r="G147" i="112" a="1"/>
  <c r="G147" i="112" s="1"/>
  <c r="G126" i="112" a="1"/>
  <c r="G126" i="112" s="1"/>
  <c r="G119" i="112" a="1"/>
  <c r="G119" i="112" s="1"/>
  <c r="G189" i="112" a="1"/>
  <c r="G189" i="112" s="1"/>
  <c r="G177" i="112" a="1"/>
  <c r="G177" i="112" s="1"/>
  <c r="G145" i="112" a="1"/>
  <c r="G145" i="112" s="1"/>
  <c r="G125" i="112" a="1"/>
  <c r="G125" i="112" s="1"/>
  <c r="G118" i="112" a="1"/>
  <c r="G118" i="112" s="1"/>
  <c r="G188" i="112" a="1"/>
  <c r="G188" i="112" s="1"/>
  <c r="G167" i="112" a="1"/>
  <c r="G167" i="112" s="1"/>
  <c r="G160" i="112" a="1"/>
  <c r="G160" i="112" s="1"/>
  <c r="G134" i="112" a="1"/>
  <c r="G134" i="112" s="1"/>
  <c r="G47" i="112" a="1"/>
  <c r="G47" i="112" s="1"/>
  <c r="G39" i="112" a="1"/>
  <c r="G39" i="112" s="1"/>
  <c r="G31" i="112" a="1"/>
  <c r="G31" i="112" s="1"/>
  <c r="G24" i="112" a="1"/>
  <c r="G24" i="112" s="1"/>
  <c r="G184" i="112" a="1"/>
  <c r="G184" i="112" s="1"/>
  <c r="G163" i="112" a="1"/>
  <c r="G163" i="112" s="1"/>
  <c r="G135" i="112" a="1"/>
  <c r="G135" i="112" s="1"/>
  <c r="G40" i="112" a="1"/>
  <c r="G40" i="112" s="1"/>
  <c r="G25" i="112" a="1"/>
  <c r="G25" i="112" s="1"/>
  <c r="G181" i="112" a="1"/>
  <c r="G181" i="112" s="1"/>
  <c r="G162" i="112" a="1"/>
  <c r="G162" i="112" s="1"/>
  <c r="G180" i="112" a="1"/>
  <c r="G180" i="112" s="1"/>
  <c r="G161" i="112" a="1"/>
  <c r="G161" i="112" s="1"/>
  <c r="G132" i="112" a="1"/>
  <c r="G132" i="112" s="1"/>
  <c r="G53" i="112" a="1"/>
  <c r="G53" i="112" s="1"/>
  <c r="G37" i="112" a="1"/>
  <c r="G37" i="112" s="1"/>
  <c r="G22" i="112" a="1"/>
  <c r="G22" i="112" s="1"/>
  <c r="G129" i="112" a="1"/>
  <c r="G129" i="112" s="1"/>
  <c r="G158" i="112" a="1"/>
  <c r="G158" i="112" s="1"/>
  <c r="G128" i="112" a="1"/>
  <c r="G128" i="112" s="1"/>
  <c r="G51" i="112" a="1"/>
  <c r="G51" i="112" s="1"/>
  <c r="G35" i="112" a="1"/>
  <c r="G35" i="112" s="1"/>
  <c r="G175" i="112" a="1"/>
  <c r="G175" i="112" s="1"/>
  <c r="G50" i="112" a="1"/>
  <c r="G50" i="112" s="1"/>
  <c r="G34" i="112" a="1"/>
  <c r="G34" i="112" s="1"/>
  <c r="G173" i="112" a="1"/>
  <c r="G173" i="112" s="1"/>
  <c r="G148" i="112" a="1"/>
  <c r="G148" i="112" s="1"/>
  <c r="G123" i="112" a="1"/>
  <c r="G123" i="112" s="1"/>
  <c r="G48" i="112" a="1"/>
  <c r="G48" i="112" s="1"/>
  <c r="G33" i="112" a="1"/>
  <c r="G33" i="112" s="1"/>
  <c r="G172" i="112" a="1"/>
  <c r="G172" i="112" s="1"/>
  <c r="G146" i="112" a="1"/>
  <c r="G146" i="112" s="1"/>
  <c r="G170" i="112" a="1"/>
  <c r="G170" i="112" s="1"/>
  <c r="G141" i="112" a="1"/>
  <c r="G141" i="112" s="1"/>
  <c r="G121" i="112" a="1"/>
  <c r="G121" i="112" s="1"/>
  <c r="G45" i="112" a="1"/>
  <c r="G45" i="112" s="1"/>
  <c r="G29" i="112" a="1"/>
  <c r="G29" i="112" s="1"/>
  <c r="G140" i="112" a="1"/>
  <c r="G140" i="112" s="1"/>
  <c r="G42" i="112" a="1"/>
  <c r="G42" i="112" s="1"/>
  <c r="G27" i="112" a="1"/>
  <c r="G27" i="112" s="1"/>
  <c r="G190" i="112" a="1"/>
  <c r="G190" i="112" s="1"/>
  <c r="G165" i="112" a="1"/>
  <c r="G165" i="112" s="1"/>
  <c r="G137" i="112" a="1"/>
  <c r="G137" i="112" s="1"/>
  <c r="G41" i="112" a="1"/>
  <c r="G41" i="112" s="1"/>
  <c r="G26" i="112" a="1"/>
  <c r="G26" i="112" s="1"/>
  <c r="G136" i="112" a="1"/>
  <c r="G136" i="112" s="1"/>
  <c r="E178" i="83"/>
  <c r="P111" i="87"/>
  <c r="E283" i="84"/>
  <c r="E296" i="83"/>
  <c r="E243" i="83"/>
  <c r="E144" i="87"/>
  <c r="E45" i="85"/>
  <c r="E167" i="83"/>
  <c r="P57" i="87"/>
  <c r="E45" i="87"/>
  <c r="D110" i="82"/>
  <c r="D109" i="82"/>
  <c r="E57" i="87"/>
  <c r="E111" i="87"/>
  <c r="P156" i="83"/>
  <c r="O283" i="84"/>
  <c r="P243" i="83"/>
  <c r="E236" i="84"/>
  <c r="P81" i="87"/>
  <c r="E248" i="84"/>
  <c r="P296" i="83"/>
  <c r="D111" i="82"/>
  <c r="P45" i="85"/>
  <c r="E69" i="87"/>
  <c r="P144" i="87"/>
  <c r="E81" i="87"/>
  <c r="P178" i="83"/>
  <c r="P167" i="83"/>
  <c r="O236" i="84"/>
  <c r="P45" i="87"/>
  <c r="O248" i="84"/>
  <c r="E24" i="85"/>
  <c r="E132" i="87"/>
  <c r="P24" i="85"/>
  <c r="E156" i="83"/>
  <c r="M105" i="92"/>
  <c r="O104" i="83"/>
  <c r="N98" i="84"/>
  <c r="O21" i="94" a="1"/>
  <c r="I231" i="84" a="1"/>
  <c r="I231" i="84" s="1"/>
  <c r="I232" i="84" a="1"/>
  <c r="I232" i="84" s="1"/>
  <c r="I233" i="84" a="1"/>
  <c r="I233" i="84" s="1"/>
  <c r="I234" i="84" a="1"/>
  <c r="I234" i="84" s="1"/>
  <c r="S238" i="84" a="1"/>
  <c r="S238" i="84" s="1"/>
  <c r="S235" i="84" a="1"/>
  <c r="S235" i="84" s="1"/>
  <c r="S237" i="84" a="1"/>
  <c r="S237" i="84" s="1"/>
  <c r="S236" i="84" a="1"/>
  <c r="S236" i="84" s="1"/>
  <c r="G165" i="92"/>
  <c r="G275" i="83"/>
  <c r="G171" i="84"/>
  <c r="P200" i="83"/>
  <c r="E71" i="87"/>
  <c r="O238" i="84"/>
  <c r="E200" i="83"/>
  <c r="J162" i="112" a="1"/>
  <c r="J162" i="112" s="1"/>
  <c r="D105" i="92"/>
  <c r="D98" i="84"/>
  <c r="D104" i="83"/>
  <c r="Q105" i="92"/>
  <c r="R98" i="84"/>
  <c r="S104" i="83"/>
  <c r="Y236" i="124" a="1"/>
  <c r="V17" i="93"/>
  <c r="X17" i="93" s="1"/>
  <c r="R231" i="84" a="1"/>
  <c r="R231" i="84" s="1"/>
  <c r="R232" i="84" a="1"/>
  <c r="R232" i="84" s="1"/>
  <c r="R233" i="84" a="1"/>
  <c r="R233" i="84" s="1"/>
  <c r="R234" i="84" a="1"/>
  <c r="R234" i="84" s="1"/>
  <c r="H165" i="92"/>
  <c r="H275" i="83"/>
  <c r="H203" i="84"/>
  <c r="F66" i="109" a="1"/>
  <c r="F66" i="109" s="1"/>
  <c r="I25" i="105" a="1"/>
  <c r="I25" i="105" s="1"/>
  <c r="O25" i="105" s="1"/>
  <c r="J179" i="112" a="1"/>
  <c r="J179" i="112" s="1"/>
  <c r="D19" i="95"/>
  <c r="F19" i="95" s="1" a="1"/>
  <c r="F19" i="95" s="1"/>
  <c r="F36" i="95" a="1"/>
  <c r="F36" i="95" s="1"/>
  <c r="F22" i="95" a="1"/>
  <c r="F22" i="95" s="1"/>
  <c r="F32" i="95" a="1"/>
  <c r="F32" i="95" s="1"/>
  <c r="F31" i="95" a="1"/>
  <c r="F31" i="95" s="1"/>
  <c r="F28" i="95" a="1"/>
  <c r="F28" i="95" s="1"/>
  <c r="F24" i="95" a="1"/>
  <c r="F24" i="95" s="1"/>
  <c r="F37" i="95" a="1"/>
  <c r="F37" i="95" s="1"/>
  <c r="F23" i="95" a="1"/>
  <c r="F23" i="95" s="1"/>
  <c r="F35" i="95" a="1"/>
  <c r="F35" i="95" s="1"/>
  <c r="F34" i="95" a="1"/>
  <c r="F34" i="95" s="1"/>
  <c r="F33" i="95" a="1"/>
  <c r="F33" i="95" s="1"/>
  <c r="F30" i="95" a="1"/>
  <c r="F30" i="95" s="1"/>
  <c r="F29" i="95" a="1"/>
  <c r="F29" i="95" s="1"/>
  <c r="F27" i="95" a="1"/>
  <c r="F27" i="95" s="1"/>
  <c r="F26" i="95" a="1"/>
  <c r="F26" i="95" s="1"/>
  <c r="F25" i="95" a="1"/>
  <c r="F25" i="95" s="1"/>
  <c r="F21" i="95" a="1"/>
  <c r="F21" i="95" s="1"/>
  <c r="F20" i="95" a="1"/>
  <c r="F20" i="95" s="1"/>
  <c r="H105" i="92"/>
  <c r="H104" i="83"/>
  <c r="H98" i="84"/>
  <c r="V15" i="93"/>
  <c r="X15" i="93" s="1"/>
  <c r="V236" i="124" a="1"/>
  <c r="V236" i="124" s="1"/>
  <c r="V13" i="93"/>
  <c r="AH236" i="124" a="1"/>
  <c r="AH236" i="124" s="1"/>
  <c r="J232" i="84" a="1"/>
  <c r="J232" i="84" s="1"/>
  <c r="J233" i="84" a="1"/>
  <c r="J233" i="84" s="1"/>
  <c r="J231" i="84" a="1"/>
  <c r="J231" i="84" s="1"/>
  <c r="J234" i="84" a="1"/>
  <c r="J234" i="84" s="1"/>
  <c r="Q151" i="83" a="1"/>
  <c r="Q25" i="88"/>
  <c r="D170" i="92"/>
  <c r="D208" i="84"/>
  <c r="N208" i="84"/>
  <c r="D285" i="83"/>
  <c r="Q19" i="83"/>
  <c r="Q24" i="83" s="1"/>
  <c r="Q79" i="83" s="1"/>
  <c r="O19" i="92"/>
  <c r="O24" i="92" s="1"/>
  <c r="O80" i="92" s="1"/>
  <c r="E19" i="92"/>
  <c r="E24" i="92" s="1"/>
  <c r="E80" i="92" s="1"/>
  <c r="E19" i="83"/>
  <c r="E24" i="83" s="1"/>
  <c r="E79" i="83" s="1"/>
  <c r="W261" i="124" a="1"/>
  <c r="W261" i="124" s="1"/>
  <c r="H25" i="105" a="1"/>
  <c r="H25" i="105" s="1"/>
  <c r="N25" i="105" s="1"/>
  <c r="I25" i="106"/>
  <c r="H25" i="106"/>
  <c r="K25" i="106"/>
  <c r="J25" i="106"/>
  <c r="G25" i="106"/>
  <c r="S256" i="124" a="1"/>
  <c r="S256" i="124" s="1"/>
  <c r="D59" i="112"/>
  <c r="G88" i="112" a="1"/>
  <c r="G88" i="112" s="1"/>
  <c r="G79" i="112" a="1"/>
  <c r="G79" i="112" s="1"/>
  <c r="G72" i="112" a="1"/>
  <c r="G72" i="112" s="1"/>
  <c r="G64" i="112" a="1"/>
  <c r="G64" i="112" s="1"/>
  <c r="G85" i="112" a="1"/>
  <c r="G85" i="112" s="1"/>
  <c r="G77" i="112" a="1"/>
  <c r="G77" i="112" s="1"/>
  <c r="G69" i="112" a="1"/>
  <c r="G69" i="112" s="1"/>
  <c r="G62" i="112" a="1"/>
  <c r="G62" i="112" s="1"/>
  <c r="G89" i="112" a="1"/>
  <c r="G89" i="112" s="1"/>
  <c r="G80" i="112" a="1"/>
  <c r="G80" i="112" s="1"/>
  <c r="G73" i="112" a="1"/>
  <c r="G73" i="112" s="1"/>
  <c r="G65" i="112" a="1"/>
  <c r="G65" i="112" s="1"/>
  <c r="G76" i="112" a="1"/>
  <c r="G76" i="112" s="1"/>
  <c r="G75" i="112" a="1"/>
  <c r="G75" i="112" s="1"/>
  <c r="G92" i="112" a="1"/>
  <c r="G92" i="112" s="1"/>
  <c r="G74" i="112" a="1"/>
  <c r="G74" i="112" s="1"/>
  <c r="G91" i="112" a="1"/>
  <c r="G91" i="112" s="1"/>
  <c r="G90" i="112" a="1"/>
  <c r="G90" i="112" s="1"/>
  <c r="G71" i="112" a="1"/>
  <c r="G71" i="112" s="1"/>
  <c r="G86" i="112" a="1"/>
  <c r="G86" i="112" s="1"/>
  <c r="G68" i="112" a="1"/>
  <c r="G68" i="112" s="1"/>
  <c r="G67" i="112" a="1"/>
  <c r="G67" i="112" s="1"/>
  <c r="G84" i="112" a="1"/>
  <c r="G84" i="112" s="1"/>
  <c r="G66" i="112" a="1"/>
  <c r="G66" i="112" s="1"/>
  <c r="G83" i="112" a="1"/>
  <c r="G83" i="112" s="1"/>
  <c r="G82" i="112" a="1"/>
  <c r="G82" i="112" s="1"/>
  <c r="G63" i="112" a="1"/>
  <c r="G63" i="112" s="1"/>
  <c r="G78" i="112" a="1"/>
  <c r="G78" i="112" s="1"/>
  <c r="G61" i="112" a="1"/>
  <c r="G61" i="112" s="1"/>
  <c r="G60" i="112" a="1"/>
  <c r="G60" i="112" s="1"/>
  <c r="AA254" i="124" a="1"/>
  <c r="AA254" i="124" s="1"/>
  <c r="D116" i="82"/>
  <c r="E145" i="87"/>
  <c r="P46" i="85"/>
  <c r="P25" i="85"/>
  <c r="E284" i="84"/>
  <c r="P58" i="87"/>
  <c r="P46" i="87"/>
  <c r="E25" i="85"/>
  <c r="O237" i="84"/>
  <c r="P244" i="83"/>
  <c r="P157" i="83"/>
  <c r="E112" i="87"/>
  <c r="O284" i="84"/>
  <c r="E244" i="83"/>
  <c r="E157" i="83"/>
  <c r="P82" i="87"/>
  <c r="E70" i="87"/>
  <c r="P168" i="83"/>
  <c r="E133" i="87"/>
  <c r="E249" i="84"/>
  <c r="E237" i="84"/>
  <c r="E297" i="83"/>
  <c r="E82" i="87"/>
  <c r="O249" i="84"/>
  <c r="P297" i="83"/>
  <c r="E46" i="85"/>
  <c r="P179" i="83"/>
  <c r="E58" i="87"/>
  <c r="E179" i="83"/>
  <c r="P145" i="87"/>
  <c r="E46" i="87"/>
  <c r="E168" i="83"/>
  <c r="P112" i="87"/>
  <c r="V19" i="93"/>
  <c r="X19" i="93" s="1"/>
  <c r="S231" i="84" a="1"/>
  <c r="S231" i="84" s="1"/>
  <c r="S232" i="84" a="1"/>
  <c r="S232" i="84" s="1"/>
  <c r="S233" i="84" a="1"/>
  <c r="S233" i="84" s="1"/>
  <c r="S234" i="84" a="1"/>
  <c r="S234" i="84" s="1"/>
  <c r="T238" i="84" a="1"/>
  <c r="T238" i="84" s="1"/>
  <c r="T235" i="84" a="1"/>
  <c r="T235" i="84" s="1"/>
  <c r="T237" i="84" a="1"/>
  <c r="T237" i="84" s="1"/>
  <c r="T236" i="84" a="1"/>
  <c r="T236" i="84" s="1"/>
  <c r="F170" i="92"/>
  <c r="F208" i="84"/>
  <c r="F285" i="83"/>
  <c r="E170" i="92"/>
  <c r="E208" i="84"/>
  <c r="O208" i="84"/>
  <c r="E285" i="83"/>
  <c r="W254" i="124" a="1"/>
  <c r="W254" i="124" s="1"/>
  <c r="D90" i="82"/>
  <c r="E141" i="87"/>
  <c r="P42" i="85"/>
  <c r="P21" i="85"/>
  <c r="E280" i="84"/>
  <c r="E21" i="85"/>
  <c r="O233" i="84"/>
  <c r="E165" i="83"/>
  <c r="E129" i="87"/>
  <c r="P54" i="87"/>
  <c r="P42" i="87"/>
  <c r="O245" i="84"/>
  <c r="E240" i="83"/>
  <c r="E66" i="87"/>
  <c r="P154" i="83"/>
  <c r="E293" i="83"/>
  <c r="P176" i="83"/>
  <c r="P141" i="87"/>
  <c r="E78" i="87"/>
  <c r="E176" i="83"/>
  <c r="P293" i="83"/>
  <c r="P78" i="87"/>
  <c r="E245" i="84"/>
  <c r="E154" i="83"/>
  <c r="P240" i="83"/>
  <c r="E42" i="87"/>
  <c r="P165" i="83"/>
  <c r="E108" i="87"/>
  <c r="E233" i="84"/>
  <c r="P108" i="87"/>
  <c r="E42" i="85"/>
  <c r="E54" i="87"/>
  <c r="O280" i="84"/>
  <c r="K32" i="106"/>
  <c r="G32" i="106"/>
  <c r="J32" i="106"/>
  <c r="I32" i="106"/>
  <c r="H32" i="106"/>
  <c r="S259" i="124" a="1"/>
  <c r="S259" i="124" s="1"/>
  <c r="E59" i="112"/>
  <c r="H59" i="112" s="1" a="1"/>
  <c r="H59" i="112" s="1"/>
  <c r="H88" i="112" a="1"/>
  <c r="H88" i="112" s="1"/>
  <c r="H79" i="112" a="1"/>
  <c r="H79" i="112" s="1"/>
  <c r="H72" i="112" a="1"/>
  <c r="H72" i="112" s="1"/>
  <c r="H64" i="112" a="1"/>
  <c r="H64" i="112" s="1"/>
  <c r="H85" i="112" a="1"/>
  <c r="H85" i="112" s="1"/>
  <c r="H77" i="112" a="1"/>
  <c r="H77" i="112" s="1"/>
  <c r="H69" i="112" a="1"/>
  <c r="H69" i="112" s="1"/>
  <c r="H62" i="112" a="1"/>
  <c r="H62" i="112" s="1"/>
  <c r="H91" i="112" a="1"/>
  <c r="H91" i="112" s="1"/>
  <c r="H83" i="112" a="1"/>
  <c r="H83" i="112" s="1"/>
  <c r="H75" i="112" a="1"/>
  <c r="H75" i="112" s="1"/>
  <c r="H67" i="112" a="1"/>
  <c r="H67" i="112" s="1"/>
  <c r="H60" i="112" a="1"/>
  <c r="H60" i="112" s="1"/>
  <c r="H90" i="112" a="1"/>
  <c r="H90" i="112" s="1"/>
  <c r="H82" i="112" a="1"/>
  <c r="H82" i="112" s="1"/>
  <c r="H74" i="112" a="1"/>
  <c r="H74" i="112" s="1"/>
  <c r="H66" i="112" a="1"/>
  <c r="H66" i="112" s="1"/>
  <c r="H89" i="112" a="1"/>
  <c r="H89" i="112" s="1"/>
  <c r="H80" i="112" a="1"/>
  <c r="H80" i="112" s="1"/>
  <c r="H73" i="112" a="1"/>
  <c r="H73" i="112" s="1"/>
  <c r="H65" i="112" a="1"/>
  <c r="H65" i="112" s="1"/>
  <c r="H92" i="112" a="1"/>
  <c r="H92" i="112" s="1"/>
  <c r="H71" i="112" a="1"/>
  <c r="H71" i="112" s="1"/>
  <c r="H86" i="112" a="1"/>
  <c r="H86" i="112" s="1"/>
  <c r="H68" i="112" a="1"/>
  <c r="H68" i="112" s="1"/>
  <c r="H84" i="112" a="1"/>
  <c r="H84" i="112" s="1"/>
  <c r="H63" i="112" a="1"/>
  <c r="H63" i="112" s="1"/>
  <c r="H78" i="112" a="1"/>
  <c r="H78" i="112" s="1"/>
  <c r="H61" i="112" a="1"/>
  <c r="H61" i="112" s="1"/>
  <c r="H76" i="112" a="1"/>
  <c r="H76" i="112" s="1"/>
  <c r="J117" i="112" a="1"/>
  <c r="J117" i="112" s="1"/>
  <c r="J121" i="112" a="1"/>
  <c r="J121" i="112" s="1"/>
  <c r="W256" i="124" a="1"/>
  <c r="W256" i="124" s="1"/>
  <c r="AA261" i="124" a="1"/>
  <c r="AA261" i="124" s="1"/>
  <c r="P110" i="87"/>
  <c r="O247" i="84"/>
  <c r="E143" i="87"/>
  <c r="P80" i="87"/>
  <c r="E68" i="87"/>
  <c r="P155" i="83"/>
  <c r="E247" i="84"/>
  <c r="E295" i="83"/>
  <c r="E23" i="85"/>
  <c r="E80" i="87"/>
  <c r="P143" i="87"/>
  <c r="P44" i="85"/>
  <c r="P177" i="83"/>
  <c r="P44" i="87"/>
  <c r="E235" i="84"/>
  <c r="P166" i="83"/>
  <c r="E44" i="85"/>
  <c r="E177" i="83"/>
  <c r="E166" i="83"/>
  <c r="E110" i="87"/>
  <c r="E56" i="87"/>
  <c r="O282" i="84"/>
  <c r="P242" i="83"/>
  <c r="D105" i="82"/>
  <c r="P56" i="87"/>
  <c r="E44" i="87"/>
  <c r="D106" i="82"/>
  <c r="O235" i="84"/>
  <c r="E282" i="84"/>
  <c r="P295" i="83"/>
  <c r="E131" i="87"/>
  <c r="P23" i="85"/>
  <c r="E155" i="83"/>
  <c r="E242" i="83"/>
  <c r="U236" i="124" a="1"/>
  <c r="F235" i="84" a="1"/>
  <c r="F235" i="84" s="1"/>
  <c r="F157" i="83" a="1"/>
  <c r="F237" i="84" a="1"/>
  <c r="F237" i="84" s="1"/>
  <c r="F156" i="83" a="1"/>
  <c r="F236" i="84" a="1"/>
  <c r="F236" i="84" s="1"/>
  <c r="F200" i="83" a="1"/>
  <c r="F238" i="84" a="1"/>
  <c r="F238" i="84" s="1"/>
  <c r="F155" i="83" a="1"/>
  <c r="G170" i="92"/>
  <c r="G285" i="83"/>
  <c r="G208" i="84"/>
  <c r="Q208" i="84"/>
  <c r="Q100" i="92"/>
  <c r="S99" i="83"/>
  <c r="R19" i="84"/>
  <c r="R29" i="84" s="1"/>
  <c r="W260" i="124" a="1"/>
  <c r="W260" i="124" s="1"/>
  <c r="E67" i="87"/>
  <c r="P199" i="83"/>
  <c r="E199" i="83"/>
  <c r="J26" i="106"/>
  <c r="K26" i="106"/>
  <c r="I26" i="106"/>
  <c r="H26" i="106"/>
  <c r="G26" i="106"/>
  <c r="AA256" i="124" a="1"/>
  <c r="AA256" i="124" s="1"/>
  <c r="D12" i="121"/>
  <c r="D137" i="124" s="1"/>
  <c r="F137" i="124" s="1" a="1"/>
  <c r="F137" i="124" s="1"/>
  <c r="G137" i="124" s="1"/>
  <c r="D140" i="124"/>
  <c r="F140" i="124" s="1" a="1"/>
  <c r="F140" i="124" s="1"/>
  <c r="D138" i="124"/>
  <c r="F138" i="124" s="1" a="1"/>
  <c r="F138" i="124" s="1"/>
  <c r="G138" i="124" s="1"/>
  <c r="D139" i="124"/>
  <c r="F139" i="124" s="1" a="1"/>
  <c r="F139" i="124" s="1"/>
  <c r="J124" i="112" a="1"/>
  <c r="J124" i="112" s="1"/>
  <c r="J138" i="112" a="1"/>
  <c r="J138" i="112" s="1"/>
  <c r="AE259" i="124" a="1"/>
  <c r="AE259" i="124" s="1"/>
  <c r="AE253" i="124" a="1"/>
  <c r="AE253" i="124" s="1"/>
  <c r="AA253" i="124" a="1"/>
  <c r="AA253" i="124" s="1"/>
  <c r="D19" i="98"/>
  <c r="F19" i="98" s="1" a="1"/>
  <c r="F19" i="98" s="1"/>
  <c r="G19" i="98" s="1" a="1"/>
  <c r="G19" i="98" s="1"/>
  <c r="F37" i="98" a="1"/>
  <c r="F37" i="98" s="1"/>
  <c r="G37" i="98" s="1" a="1"/>
  <c r="G37" i="98" s="1"/>
  <c r="F30" i="98" a="1"/>
  <c r="F30" i="98" s="1"/>
  <c r="G30" i="98" s="1" a="1"/>
  <c r="G30" i="98" s="1"/>
  <c r="F23" i="98" a="1"/>
  <c r="F23" i="98" s="1"/>
  <c r="G23" i="98" s="1" a="1"/>
  <c r="G23" i="98" s="1"/>
  <c r="F35" i="98" a="1"/>
  <c r="F35" i="98" s="1"/>
  <c r="G35" i="98" s="1" a="1"/>
  <c r="G35" i="98" s="1"/>
  <c r="F28" i="98" a="1"/>
  <c r="F28" i="98" s="1"/>
  <c r="G28" i="98" s="1" a="1"/>
  <c r="G28" i="98" s="1"/>
  <c r="F21" i="98" a="1"/>
  <c r="F21" i="98" s="1"/>
  <c r="G21" i="98" s="1" a="1"/>
  <c r="G21" i="98" s="1"/>
  <c r="F31" i="98" a="1"/>
  <c r="F31" i="98" s="1"/>
  <c r="G31" i="98" s="1" a="1"/>
  <c r="G31" i="98" s="1"/>
  <c r="F24" i="98" a="1"/>
  <c r="F24" i="98" s="1"/>
  <c r="G24" i="98" s="1" a="1"/>
  <c r="G24" i="98" s="1"/>
  <c r="F34" i="98" a="1"/>
  <c r="F34" i="98" s="1"/>
  <c r="G34" i="98" s="1" a="1"/>
  <c r="G34" i="98" s="1"/>
  <c r="F20" i="98" a="1"/>
  <c r="F20" i="98" s="1"/>
  <c r="G20" i="98" s="1" a="1"/>
  <c r="G20" i="98" s="1"/>
  <c r="F33" i="98" a="1"/>
  <c r="F33" i="98" s="1"/>
  <c r="G33" i="98" s="1" a="1"/>
  <c r="G33" i="98" s="1"/>
  <c r="F32" i="98" a="1"/>
  <c r="F32" i="98" s="1"/>
  <c r="G32" i="98" s="1" a="1"/>
  <c r="G32" i="98" s="1"/>
  <c r="F29" i="98" a="1"/>
  <c r="F29" i="98" s="1"/>
  <c r="G29" i="98" s="1" a="1"/>
  <c r="G29" i="98" s="1"/>
  <c r="F27" i="98" a="1"/>
  <c r="F27" i="98" s="1"/>
  <c r="G27" i="98" s="1" a="1"/>
  <c r="G27" i="98" s="1"/>
  <c r="F26" i="98" a="1"/>
  <c r="F26" i="98" s="1"/>
  <c r="G26" i="98" s="1" a="1"/>
  <c r="G26" i="98" s="1"/>
  <c r="F25" i="98" a="1"/>
  <c r="F25" i="98" s="1"/>
  <c r="G25" i="98" s="1" a="1"/>
  <c r="G25" i="98" s="1"/>
  <c r="F36" i="98" a="1"/>
  <c r="F36" i="98" s="1"/>
  <c r="G36" i="98" s="1" a="1"/>
  <c r="G36" i="98" s="1"/>
  <c r="F22" i="98" a="1"/>
  <c r="F22" i="98" s="1"/>
  <c r="G22" i="98" s="1" a="1"/>
  <c r="G22" i="98" s="1"/>
  <c r="D100" i="92"/>
  <c r="D19" i="84"/>
  <c r="D29" i="84" s="1"/>
  <c r="D99" i="83"/>
  <c r="AG236" i="124" a="1"/>
  <c r="E138" i="98"/>
  <c r="T232" i="84" a="1"/>
  <c r="T232" i="84" s="1"/>
  <c r="T233" i="84" a="1"/>
  <c r="T233" i="84" s="1"/>
  <c r="T234" i="84" a="1"/>
  <c r="T234" i="84" s="1"/>
  <c r="T231" i="84" a="1"/>
  <c r="T231" i="84" s="1"/>
  <c r="H170" i="92"/>
  <c r="H285" i="83"/>
  <c r="H208" i="84"/>
  <c r="H100" i="92"/>
  <c r="H115" i="92" s="1"/>
  <c r="H132" i="92" s="1"/>
  <c r="H19" i="84"/>
  <c r="H29" i="84" s="1"/>
  <c r="H99" i="83"/>
  <c r="W253" i="124" a="1"/>
  <c r="W253" i="124" s="1"/>
  <c r="AA260" i="124" a="1"/>
  <c r="AA260" i="124" s="1"/>
  <c r="J33" i="106"/>
  <c r="I33" i="106"/>
  <c r="K33" i="106"/>
  <c r="H33" i="106"/>
  <c r="G33" i="106"/>
  <c r="S261" i="124" a="1"/>
  <c r="S261" i="124" s="1"/>
  <c r="J144" i="112" a="1"/>
  <c r="J144" i="112" s="1"/>
  <c r="J173" i="112" a="1"/>
  <c r="J173" i="112" s="1"/>
  <c r="AE256" i="124" a="1"/>
  <c r="AE256" i="124" s="1"/>
  <c r="F70" i="109" a="1"/>
  <c r="F70" i="109" s="1"/>
  <c r="E100" i="92"/>
  <c r="E19" i="84"/>
  <c r="E29" i="84" s="1"/>
  <c r="E99" i="83"/>
  <c r="R236" i="124" a="1"/>
  <c r="R236" i="124" s="1"/>
  <c r="V21" i="93"/>
  <c r="X21" i="93" s="1"/>
  <c r="V18" i="93"/>
  <c r="X18" i="93" s="1"/>
  <c r="G235" i="84" a="1"/>
  <c r="G235" i="84" s="1"/>
  <c r="G236" i="84" a="1"/>
  <c r="G236" i="84" s="1"/>
  <c r="G238" i="84" a="1"/>
  <c r="G238" i="84" s="1"/>
  <c r="G237" i="84" a="1"/>
  <c r="G237" i="84" s="1"/>
  <c r="E29" i="82"/>
  <c r="M165" i="92"/>
  <c r="O275" i="83"/>
  <c r="N171" i="84"/>
  <c r="P100" i="92"/>
  <c r="Q19" i="84"/>
  <c r="Q29" i="84" s="1"/>
  <c r="R99" i="83"/>
  <c r="R114" i="83" s="1"/>
  <c r="R133" i="83" s="1"/>
  <c r="H19" i="92"/>
  <c r="H24" i="92" s="1"/>
  <c r="H80" i="92" s="1"/>
  <c r="H19" i="83"/>
  <c r="H24" i="83" s="1"/>
  <c r="H79" i="83" s="1"/>
  <c r="W259" i="124" a="1"/>
  <c r="W259" i="124" s="1"/>
  <c r="P106" i="87"/>
  <c r="O243" i="84"/>
  <c r="P76" i="87"/>
  <c r="O231" i="84"/>
  <c r="P174" i="83"/>
  <c r="P139" i="87"/>
  <c r="E76" i="87"/>
  <c r="P40" i="85"/>
  <c r="E174" i="83"/>
  <c r="E139" i="87"/>
  <c r="P40" i="87"/>
  <c r="E152" i="83"/>
  <c r="E40" i="85"/>
  <c r="P52" i="87"/>
  <c r="E40" i="87"/>
  <c r="E52" i="87"/>
  <c r="P238" i="83"/>
  <c r="P163" i="83"/>
  <c r="E278" i="84"/>
  <c r="E64" i="87"/>
  <c r="E238" i="83"/>
  <c r="D82" i="82"/>
  <c r="E106" i="87"/>
  <c r="O278" i="84"/>
  <c r="E231" i="84"/>
  <c r="P291" i="83"/>
  <c r="E163" i="83"/>
  <c r="P152" i="83"/>
  <c r="E243" i="84"/>
  <c r="E291" i="83"/>
  <c r="E127" i="87"/>
  <c r="E19" i="85"/>
  <c r="P19" i="85"/>
  <c r="S258" i="124" a="1"/>
  <c r="S258" i="124" s="1"/>
  <c r="J25" i="105" a="1"/>
  <c r="J25" i="105" s="1"/>
  <c r="P25" i="105" s="1"/>
  <c r="S255" i="124" a="1"/>
  <c r="S255" i="124" s="1"/>
  <c r="AE254" i="124" a="1"/>
  <c r="AE254" i="124" s="1"/>
  <c r="J176" i="112" a="1"/>
  <c r="J176" i="112" s="1"/>
  <c r="AA257" i="124" a="1"/>
  <c r="AA257" i="124" s="1"/>
  <c r="J118" i="112" a="1"/>
  <c r="J118" i="112" s="1"/>
  <c r="F71" i="109" a="1"/>
  <c r="F71" i="109" s="1"/>
  <c r="K38" i="105" a="1"/>
  <c r="K38" i="105" s="1"/>
  <c r="Q38" i="105" s="1"/>
  <c r="D19" i="94"/>
  <c r="F19" i="94" s="1" a="1"/>
  <c r="F19" i="94" s="1"/>
  <c r="F33" i="94" a="1"/>
  <c r="F33" i="94" s="1"/>
  <c r="F29" i="94" a="1"/>
  <c r="F29" i="94" s="1"/>
  <c r="F28" i="94" a="1"/>
  <c r="F28" i="94" s="1"/>
  <c r="F25" i="94" a="1"/>
  <c r="F25" i="94" s="1"/>
  <c r="F35" i="94" a="1"/>
  <c r="F35" i="94" s="1"/>
  <c r="F34" i="94" a="1"/>
  <c r="F34" i="94" s="1"/>
  <c r="F37" i="94" a="1"/>
  <c r="F37" i="94" s="1"/>
  <c r="F36" i="94" a="1"/>
  <c r="F36" i="94" s="1"/>
  <c r="F32" i="94" a="1"/>
  <c r="F32" i="94" s="1"/>
  <c r="F31" i="94" a="1"/>
  <c r="F31" i="94" s="1"/>
  <c r="F30" i="94" a="1"/>
  <c r="F30" i="94" s="1"/>
  <c r="F27" i="94" a="1"/>
  <c r="F27" i="94" s="1"/>
  <c r="F26" i="94" a="1"/>
  <c r="F26" i="94" s="1"/>
  <c r="F24" i="94" a="1"/>
  <c r="F24" i="94" s="1"/>
  <c r="F23" i="94" a="1"/>
  <c r="F23" i="94" s="1"/>
  <c r="F22" i="94" a="1"/>
  <c r="F22" i="94" s="1"/>
  <c r="F21" i="94" a="1"/>
  <c r="F21" i="94" s="1"/>
  <c r="F20" i="94" a="1"/>
  <c r="F20" i="94" s="1"/>
  <c r="F100" i="92"/>
  <c r="F19" i="84"/>
  <c r="F29" i="84" s="1"/>
  <c r="F99" i="83"/>
  <c r="P236" i="124" a="1"/>
  <c r="P236" i="124" s="1"/>
  <c r="AD236" i="124" a="1"/>
  <c r="AD236" i="124" s="1"/>
  <c r="V14" i="93"/>
  <c r="Q200" i="83" a="1"/>
  <c r="Q155" i="83" a="1"/>
  <c r="P237" i="84" a="1"/>
  <c r="P237" i="84" s="1"/>
  <c r="P236" i="84" a="1"/>
  <c r="P236" i="84" s="1"/>
  <c r="P235" i="84" a="1"/>
  <c r="P235" i="84" s="1"/>
  <c r="P238" i="84" a="1"/>
  <c r="P238" i="84" s="1"/>
  <c r="Q156" i="83" a="1"/>
  <c r="Q157" i="83" a="1"/>
  <c r="F29" i="82"/>
  <c r="N165" i="92"/>
  <c r="P275" i="83"/>
  <c r="O171" i="84"/>
  <c r="G100" i="92"/>
  <c r="G115" i="92" s="1"/>
  <c r="G132" i="92" s="1"/>
  <c r="G180" i="92" s="1"/>
  <c r="G19" i="84"/>
  <c r="G29" i="84" s="1"/>
  <c r="G99" i="83"/>
  <c r="O19" i="83"/>
  <c r="O24" i="83" s="1"/>
  <c r="O79" i="83" s="1"/>
  <c r="M19" i="92"/>
  <c r="M24" i="92" s="1"/>
  <c r="AE255" i="124" a="1"/>
  <c r="AE255" i="124" s="1"/>
  <c r="K25" i="105" a="1"/>
  <c r="K25" i="105" s="1"/>
  <c r="Q25" i="105" s="1"/>
  <c r="AA259" i="124" a="1"/>
  <c r="AA259" i="124" s="1"/>
  <c r="F67" i="109" a="1"/>
  <c r="F67" i="109" s="1"/>
  <c r="J122" i="112" a="1"/>
  <c r="J122" i="112" s="1"/>
  <c r="J134" i="112" a="1"/>
  <c r="J134" i="112" s="1"/>
  <c r="J164" i="112" a="1"/>
  <c r="J164" i="112" s="1"/>
  <c r="AE257" i="124" a="1"/>
  <c r="AE257" i="124" s="1"/>
  <c r="J185" i="112" a="1"/>
  <c r="J185" i="112" s="1"/>
  <c r="N105" i="92"/>
  <c r="O98" i="84"/>
  <c r="P104" i="83"/>
  <c r="F69" i="109" a="1"/>
  <c r="F69" i="109" s="1"/>
  <c r="F42" i="124" a="1"/>
  <c r="V16" i="93"/>
  <c r="X16" i="93" s="1"/>
  <c r="H235" i="84" a="1"/>
  <c r="H235" i="84" s="1"/>
  <c r="H236" i="84" a="1"/>
  <c r="H236" i="84" s="1"/>
  <c r="H237" i="84" a="1"/>
  <c r="H237" i="84" s="1"/>
  <c r="H238" i="84" a="1"/>
  <c r="H238" i="84" s="1"/>
  <c r="G29" i="82"/>
  <c r="O165" i="92"/>
  <c r="P203" i="84"/>
  <c r="Q275" i="83"/>
  <c r="P19" i="83"/>
  <c r="P24" i="83" s="1"/>
  <c r="P79" i="83" s="1"/>
  <c r="N19" i="92"/>
  <c r="N24" i="92" s="1"/>
  <c r="N80" i="92" s="1"/>
  <c r="D19" i="92"/>
  <c r="D24" i="92" s="1"/>
  <c r="D19" i="83"/>
  <c r="D24" i="83" s="1"/>
  <c r="D79" i="83" s="1"/>
  <c r="D60" i="84" s="1"/>
  <c r="E475" i="124"/>
  <c r="AA255" i="124" a="1"/>
  <c r="AA255" i="124" s="1"/>
  <c r="J132" i="112" a="1"/>
  <c r="J132" i="112" s="1"/>
  <c r="S257" i="124" a="1"/>
  <c r="S257" i="124" s="1"/>
  <c r="J168" i="112" a="1"/>
  <c r="J168" i="112" s="1"/>
  <c r="J160" i="112" a="1"/>
  <c r="J160" i="112" s="1"/>
  <c r="J123" i="112" a="1"/>
  <c r="J123" i="112" s="1"/>
  <c r="AE258" i="124" a="1"/>
  <c r="AE258" i="124" s="1"/>
  <c r="J163" i="112" a="1"/>
  <c r="J163" i="112" s="1"/>
  <c r="E105" i="92"/>
  <c r="E98" i="84"/>
  <c r="E104" i="83"/>
  <c r="P105" i="92"/>
  <c r="R104" i="83"/>
  <c r="Q98" i="84"/>
  <c r="Q236" i="124" a="1"/>
  <c r="V12" i="93"/>
  <c r="Q237" i="84" a="1"/>
  <c r="Q237" i="84" s="1"/>
  <c r="Q236" i="84" a="1"/>
  <c r="Q236" i="84" s="1"/>
  <c r="Q235" i="84" a="1"/>
  <c r="Q235" i="84" s="1"/>
  <c r="Q238" i="84" a="1"/>
  <c r="Q238" i="84" s="1"/>
  <c r="H29" i="82"/>
  <c r="P165" i="92"/>
  <c r="Q171" i="84"/>
  <c r="R275" i="83"/>
  <c r="I40" i="83"/>
  <c r="I40" i="92"/>
  <c r="W258" i="124" a="1"/>
  <c r="W258" i="124" s="1"/>
  <c r="J126" i="112" a="1"/>
  <c r="J126" i="112" s="1"/>
  <c r="J120" i="112" a="1"/>
  <c r="J120" i="112" s="1"/>
  <c r="J167" i="112" a="1"/>
  <c r="J167" i="112" s="1"/>
  <c r="J175" i="112" a="1"/>
  <c r="J175" i="112" s="1"/>
  <c r="AE252" i="124" a="1"/>
  <c r="AE252" i="124" s="1"/>
  <c r="K252" i="124" s="1"/>
  <c r="W252" i="124" a="1"/>
  <c r="W252" i="124" s="1"/>
  <c r="AE261" i="124" a="1"/>
  <c r="AE261" i="124" s="1"/>
  <c r="G105" i="92"/>
  <c r="G98" i="84"/>
  <c r="G104" i="83"/>
  <c r="O236" i="124" a="1"/>
  <c r="O236" i="124" s="1"/>
  <c r="AC236" i="124" a="1"/>
  <c r="G231" i="84" a="1"/>
  <c r="G231" i="84" s="1"/>
  <c r="G233" i="84" a="1"/>
  <c r="G233" i="84" s="1"/>
  <c r="G232" i="84" a="1"/>
  <c r="G232" i="84" s="1"/>
  <c r="G234" i="84" a="1"/>
  <c r="G234" i="84" s="1"/>
  <c r="I236" i="84" a="1"/>
  <c r="I236" i="84" s="1"/>
  <c r="I237" i="84" a="1"/>
  <c r="I237" i="84" s="1"/>
  <c r="I238" i="84" a="1"/>
  <c r="I238" i="84" s="1"/>
  <c r="I235" i="84" a="1"/>
  <c r="I235" i="84" s="1"/>
  <c r="F153" i="83" a="1"/>
  <c r="F152" i="83" a="1"/>
  <c r="F154" i="83" a="1"/>
  <c r="F233" i="84" a="1"/>
  <c r="F233" i="84" s="1"/>
  <c r="F199" i="83" a="1"/>
  <c r="F231" i="84" a="1"/>
  <c r="F231" i="84" s="1"/>
  <c r="F234" i="84" a="1"/>
  <c r="F234" i="84" s="1"/>
  <c r="F232" i="84" a="1"/>
  <c r="F232" i="84" s="1"/>
  <c r="D165" i="92"/>
  <c r="D275" i="83"/>
  <c r="D171" i="84"/>
  <c r="I39" i="83"/>
  <c r="I39" i="92"/>
  <c r="S19" i="83"/>
  <c r="S24" i="83" s="1"/>
  <c r="S79" i="83" s="1"/>
  <c r="Q19" i="92"/>
  <c r="Q24" i="92" s="1"/>
  <c r="Q80" i="92" s="1"/>
  <c r="F19" i="92"/>
  <c r="F24" i="92" s="1"/>
  <c r="F80" i="92" s="1"/>
  <c r="F19" i="83"/>
  <c r="AE260" i="124" a="1"/>
  <c r="AE260" i="124" s="1"/>
  <c r="D87" i="82"/>
  <c r="P107" i="87"/>
  <c r="E279" i="84"/>
  <c r="O232" i="84"/>
  <c r="E292" i="83"/>
  <c r="E239" i="83"/>
  <c r="P53" i="87"/>
  <c r="E41" i="87"/>
  <c r="P164" i="83"/>
  <c r="E107" i="87"/>
  <c r="E53" i="87"/>
  <c r="O279" i="84"/>
  <c r="P239" i="83"/>
  <c r="E164" i="83"/>
  <c r="E128" i="87"/>
  <c r="P20" i="85"/>
  <c r="O244" i="84"/>
  <c r="P292" i="83"/>
  <c r="P153" i="83"/>
  <c r="E65" i="87"/>
  <c r="E41" i="85"/>
  <c r="E175" i="83"/>
  <c r="E153" i="83"/>
  <c r="P41" i="85"/>
  <c r="P175" i="83"/>
  <c r="P41" i="87"/>
  <c r="E20" i="85"/>
  <c r="P140" i="87"/>
  <c r="E77" i="87"/>
  <c r="P77" i="87"/>
  <c r="E244" i="84"/>
  <c r="E140" i="87"/>
  <c r="E232" i="84"/>
  <c r="J178" i="112" a="1"/>
  <c r="J178" i="112" s="1"/>
  <c r="AA252" i="124" a="1"/>
  <c r="AA252" i="124" s="1"/>
  <c r="W257" i="124" a="1"/>
  <c r="W257" i="124" s="1"/>
  <c r="J135" i="112" a="1"/>
  <c r="J135" i="112" s="1"/>
  <c r="J133" i="112" a="1"/>
  <c r="J133" i="112" s="1"/>
  <c r="J165" i="112" a="1"/>
  <c r="J165" i="112" s="1"/>
  <c r="M100" i="92"/>
  <c r="O99" i="83"/>
  <c r="O114" i="83" s="1"/>
  <c r="O133" i="83" s="1"/>
  <c r="N19" i="84"/>
  <c r="N29" i="84" s="1"/>
  <c r="O105" i="92"/>
  <c r="Q104" i="83"/>
  <c r="P98" i="84"/>
  <c r="P234" i="84" a="1"/>
  <c r="P234" i="84" s="1"/>
  <c r="Q154" i="83" a="1"/>
  <c r="P231" i="84" a="1"/>
  <c r="P231" i="84" s="1"/>
  <c r="P232" i="84" a="1"/>
  <c r="P232" i="84" s="1"/>
  <c r="Q199" i="83" a="1"/>
  <c r="Q153" i="83" a="1"/>
  <c r="P233" i="84" a="1"/>
  <c r="P233" i="84" s="1"/>
  <c r="Q152" i="83" a="1"/>
  <c r="R238" i="84" a="1"/>
  <c r="R238" i="84" s="1"/>
  <c r="R235" i="84" a="1"/>
  <c r="R235" i="84" s="1"/>
  <c r="R237" i="84" a="1"/>
  <c r="R237" i="84" s="1"/>
  <c r="R236" i="84" a="1"/>
  <c r="R236" i="84" s="1"/>
  <c r="I29" i="82"/>
  <c r="Q165" i="92"/>
  <c r="R203" i="84"/>
  <c r="S275" i="83"/>
  <c r="S253" i="124" a="1"/>
  <c r="S253" i="124" s="1"/>
  <c r="D285" i="124"/>
  <c r="E292" i="124"/>
  <c r="F291" i="124" a="1"/>
  <c r="F291" i="124" s="1"/>
  <c r="E290" i="124"/>
  <c r="F296" i="124" a="1"/>
  <c r="F296" i="124" s="1"/>
  <c r="F289" i="124" a="1"/>
  <c r="F289" i="124" s="1"/>
  <c r="E295" i="124"/>
  <c r="E288" i="124"/>
  <c r="E294" i="124"/>
  <c r="E287" i="124"/>
  <c r="E293" i="124"/>
  <c r="E286" i="124"/>
  <c r="F292" i="124" a="1"/>
  <c r="F292" i="124" s="1"/>
  <c r="E296" i="124"/>
  <c r="F295" i="124" a="1"/>
  <c r="F295" i="124" s="1"/>
  <c r="F294" i="124" a="1"/>
  <c r="F294" i="124" s="1"/>
  <c r="F293" i="124" a="1"/>
  <c r="F293" i="124" s="1"/>
  <c r="E291" i="124"/>
  <c r="F290" i="124" a="1"/>
  <c r="F290" i="124" s="1"/>
  <c r="E289" i="124"/>
  <c r="F288" i="124" a="1"/>
  <c r="F288" i="124" s="1"/>
  <c r="F287" i="124" a="1"/>
  <c r="F287" i="124" s="1"/>
  <c r="F286" i="124" a="1"/>
  <c r="F286" i="124" s="1"/>
  <c r="J158" i="112" a="1"/>
  <c r="J158" i="112" s="1"/>
  <c r="K37" i="105" a="1"/>
  <c r="K37" i="105" s="1"/>
  <c r="Q37" i="105" s="1"/>
  <c r="K34" i="106"/>
  <c r="J34" i="106"/>
  <c r="G34" i="106"/>
  <c r="I34" i="106"/>
  <c r="H34" i="106"/>
  <c r="K37" i="106"/>
  <c r="H37" i="106"/>
  <c r="J37" i="106"/>
  <c r="I37" i="106"/>
  <c r="G37" i="106"/>
  <c r="J161" i="112" a="1"/>
  <c r="J161" i="112" s="1"/>
  <c r="J159" i="112" a="1"/>
  <c r="J159" i="112" s="1"/>
  <c r="J137" i="112" a="1"/>
  <c r="J137" i="112" s="1"/>
  <c r="K36" i="106"/>
  <c r="J36" i="106"/>
  <c r="G36" i="106"/>
  <c r="I36" i="106"/>
  <c r="H36" i="106"/>
  <c r="N100" i="92"/>
  <c r="P99" i="83"/>
  <c r="O19" i="84"/>
  <c r="O29" i="84" s="1"/>
  <c r="F105" i="92"/>
  <c r="F98" i="84"/>
  <c r="F104" i="83"/>
  <c r="V20" i="93"/>
  <c r="X20" i="93" s="1"/>
  <c r="Z236" i="124" a="1"/>
  <c r="Z236" i="124" s="1"/>
  <c r="H231" i="84" a="1"/>
  <c r="H231" i="84" s="1"/>
  <c r="H232" i="84" a="1"/>
  <c r="H232" i="84" s="1"/>
  <c r="H233" i="84" a="1"/>
  <c r="H233" i="84" s="1"/>
  <c r="H234" i="84" a="1"/>
  <c r="H234" i="84" s="1"/>
  <c r="F25" i="88"/>
  <c r="F151" i="83" a="1"/>
  <c r="E165" i="92"/>
  <c r="E171" i="84"/>
  <c r="E275" i="83"/>
  <c r="E21" i="112"/>
  <c r="H21" i="112" s="1" a="1"/>
  <c r="H21" i="112" s="1"/>
  <c r="H54" i="112" a="1"/>
  <c r="H54" i="112" s="1"/>
  <c r="H46" i="112" a="1"/>
  <c r="H46" i="112" s="1"/>
  <c r="H38" i="112" a="1"/>
  <c r="H38" i="112" s="1"/>
  <c r="H30" i="112" a="1"/>
  <c r="H30" i="112" s="1"/>
  <c r="H23" i="112" a="1"/>
  <c r="H23" i="112" s="1"/>
  <c r="H52" i="112" a="1"/>
  <c r="H52" i="112" s="1"/>
  <c r="H44" i="112" a="1"/>
  <c r="H44" i="112" s="1"/>
  <c r="H36" i="112" a="1"/>
  <c r="H36" i="112" s="1"/>
  <c r="H28" i="112" a="1"/>
  <c r="H28" i="112" s="1"/>
  <c r="H50" i="112" a="1"/>
  <c r="H50" i="112" s="1"/>
  <c r="H41" i="112" a="1"/>
  <c r="H41" i="112" s="1"/>
  <c r="H34" i="112" a="1"/>
  <c r="H34" i="112" s="1"/>
  <c r="H26" i="112" a="1"/>
  <c r="H26" i="112" s="1"/>
  <c r="H47" i="112" a="1"/>
  <c r="H47" i="112" s="1"/>
  <c r="H39" i="112" a="1"/>
  <c r="H39" i="112" s="1"/>
  <c r="H31" i="112" a="1"/>
  <c r="H31" i="112" s="1"/>
  <c r="H24" i="112" a="1"/>
  <c r="H24" i="112" s="1"/>
  <c r="H53" i="112" a="1"/>
  <c r="H53" i="112" s="1"/>
  <c r="H37" i="112" a="1"/>
  <c r="H37" i="112" s="1"/>
  <c r="H22" i="112" a="1"/>
  <c r="H22" i="112" s="1"/>
  <c r="H51" i="112" a="1"/>
  <c r="H51" i="112" s="1"/>
  <c r="H35" i="112" a="1"/>
  <c r="H35" i="112" s="1"/>
  <c r="H48" i="112" a="1"/>
  <c r="H48" i="112" s="1"/>
  <c r="H33" i="112" a="1"/>
  <c r="H33" i="112" s="1"/>
  <c r="H45" i="112" a="1"/>
  <c r="H45" i="112" s="1"/>
  <c r="H29" i="112" a="1"/>
  <c r="H29" i="112" s="1"/>
  <c r="H42" i="112" a="1"/>
  <c r="H42" i="112" s="1"/>
  <c r="H27" i="112" a="1"/>
  <c r="H27" i="112" s="1"/>
  <c r="H40" i="112" a="1"/>
  <c r="H40" i="112" s="1"/>
  <c r="H25" i="112" a="1"/>
  <c r="H25" i="112" s="1"/>
  <c r="J177" i="112" a="1"/>
  <c r="J177" i="112" s="1"/>
  <c r="J174" i="112" a="1"/>
  <c r="J174" i="112" s="1"/>
  <c r="J28" i="106"/>
  <c r="I28" i="106"/>
  <c r="K28" i="106"/>
  <c r="H28" i="106"/>
  <c r="G28" i="106"/>
  <c r="K31" i="106"/>
  <c r="J31" i="106"/>
  <c r="G31" i="106"/>
  <c r="I31" i="106"/>
  <c r="H31" i="106"/>
  <c r="J127" i="112" a="1"/>
  <c r="J127" i="112" s="1"/>
  <c r="J166" i="112" a="1"/>
  <c r="J166" i="112" s="1"/>
  <c r="J119" i="112" a="1"/>
  <c r="J119" i="112" s="1"/>
  <c r="O100" i="92"/>
  <c r="O115" i="92" s="1"/>
  <c r="O132" i="92" s="1"/>
  <c r="Q99" i="83"/>
  <c r="P19" i="84"/>
  <c r="P29" i="84" s="1"/>
  <c r="Q234" i="84" a="1"/>
  <c r="Q234" i="84" s="1"/>
  <c r="Q231" i="84" a="1"/>
  <c r="Q231" i="84" s="1"/>
  <c r="Q232" i="84" a="1"/>
  <c r="Q232" i="84" s="1"/>
  <c r="Q233" i="84" a="1"/>
  <c r="Q233" i="84" s="1"/>
  <c r="J236" i="84" a="1"/>
  <c r="J236" i="84" s="1"/>
  <c r="J237" i="84" a="1"/>
  <c r="J237" i="84" s="1"/>
  <c r="J238" i="84" a="1"/>
  <c r="J238" i="84" s="1"/>
  <c r="J235" i="84" a="1"/>
  <c r="J235" i="84" s="1"/>
  <c r="F165" i="92"/>
  <c r="F275" i="83"/>
  <c r="F203" i="84"/>
  <c r="H60" i="84"/>
  <c r="G60" i="84"/>
  <c r="E37" i="109"/>
  <c r="D36" i="109"/>
  <c r="D65" i="109"/>
  <c r="D64" i="109"/>
  <c r="D63" i="109"/>
  <c r="E498" i="124"/>
  <c r="E488" i="124"/>
  <c r="E654" i="124"/>
  <c r="E657" i="124" s="1"/>
  <c r="E487" i="124"/>
  <c r="E363" i="124"/>
  <c r="F123" i="124"/>
  <c r="F125" i="124"/>
  <c r="F124" i="124"/>
  <c r="F120" i="124"/>
  <c r="G120" i="124" s="1"/>
  <c r="F121" i="124"/>
  <c r="G121" i="124" s="1"/>
  <c r="F127" i="124"/>
  <c r="E456" i="124"/>
  <c r="E426" i="124"/>
  <c r="E517" i="124"/>
  <c r="E155" i="124"/>
  <c r="E457" i="124"/>
  <c r="P135" i="110" a="1"/>
  <c r="P135" i="110" s="1"/>
  <c r="O118" i="110" a="1"/>
  <c r="O118" i="110" s="1"/>
  <c r="N120" i="110" a="1"/>
  <c r="N120" i="110" s="1"/>
  <c r="O159" i="110" a="1"/>
  <c r="O159" i="110" s="1"/>
  <c r="O150" i="110" a="1"/>
  <c r="O150" i="110" s="1"/>
  <c r="O121" i="110" a="1"/>
  <c r="O121" i="110" s="1"/>
  <c r="P120" i="110" a="1"/>
  <c r="P120" i="110" s="1"/>
  <c r="P128" i="110" a="1"/>
  <c r="P128" i="110" s="1"/>
  <c r="P144" i="110" a="1"/>
  <c r="P144" i="110" s="1"/>
  <c r="O130" i="110" a="1"/>
  <c r="O130" i="110" s="1"/>
  <c r="P151" i="110" a="1"/>
  <c r="P151" i="110" s="1"/>
  <c r="N116" i="110" a="1"/>
  <c r="N116" i="110" s="1"/>
  <c r="P152" i="110" a="1"/>
  <c r="P152" i="110" s="1"/>
  <c r="N139" i="110" a="1"/>
  <c r="N139" i="110" s="1"/>
  <c r="N117" i="110" a="1"/>
  <c r="N117" i="110" s="1"/>
  <c r="O148" i="110" a="1"/>
  <c r="O148" i="110" s="1"/>
  <c r="O145" i="110" a="1"/>
  <c r="O145" i="110" s="1"/>
  <c r="O117" i="110" a="1"/>
  <c r="O117" i="110" s="1"/>
  <c r="N115" i="110" a="1"/>
  <c r="N115" i="110" s="1"/>
  <c r="N146" i="110" a="1"/>
  <c r="N146" i="110" s="1"/>
  <c r="O160" i="110" a="1"/>
  <c r="O160" i="110" s="1"/>
  <c r="E38" i="109"/>
  <c r="O141" i="110" a="1"/>
  <c r="O141" i="110" s="1"/>
  <c r="P123" i="110" a="1"/>
  <c r="P123" i="110" s="1"/>
  <c r="P141" i="110" a="1"/>
  <c r="P141" i="110" s="1"/>
  <c r="P130" i="110" a="1"/>
  <c r="P130" i="110" s="1"/>
  <c r="P160" i="110" a="1"/>
  <c r="P160" i="110" s="1"/>
  <c r="N123" i="110" a="1"/>
  <c r="N123" i="110" s="1"/>
  <c r="P137" i="110" a="1"/>
  <c r="P137" i="110" s="1"/>
  <c r="N137" i="110" a="1"/>
  <c r="N137" i="110" s="1"/>
  <c r="N155" i="110" a="1"/>
  <c r="N155" i="110" s="1"/>
  <c r="P116" i="110" a="1"/>
  <c r="P116" i="110" s="1"/>
  <c r="O133" i="110" a="1"/>
  <c r="O133" i="110" s="1"/>
  <c r="O143" i="110" a="1"/>
  <c r="O143" i="110" s="1"/>
  <c r="P127" i="110" a="1"/>
  <c r="P127" i="110" s="1"/>
  <c r="O115" i="110" a="1"/>
  <c r="O115" i="110" s="1"/>
  <c r="N130" i="110" a="1"/>
  <c r="N130" i="110" s="1"/>
  <c r="P143" i="110" a="1"/>
  <c r="P143" i="110" s="1"/>
  <c r="O157" i="110" a="1"/>
  <c r="O157" i="110" s="1"/>
  <c r="P115" i="110" a="1"/>
  <c r="P115" i="110" s="1"/>
  <c r="P157" i="110" a="1"/>
  <c r="P157" i="110" s="1"/>
  <c r="P139" i="110" a="1"/>
  <c r="P139" i="110" s="1"/>
  <c r="P146" i="110" a="1"/>
  <c r="P146" i="110" s="1"/>
  <c r="N157" i="110" a="1"/>
  <c r="N157" i="110" s="1"/>
  <c r="O139" i="110" a="1"/>
  <c r="O139" i="110" s="1"/>
  <c r="N135" i="110" a="1"/>
  <c r="N135" i="110" s="1"/>
  <c r="O129" i="110" a="1"/>
  <c r="O129" i="110" s="1"/>
  <c r="O144" i="110" a="1"/>
  <c r="O144" i="110" s="1"/>
  <c r="O140" i="110" a="1"/>
  <c r="O140" i="110" s="1"/>
  <c r="O135" i="110" a="1"/>
  <c r="O135" i="110" s="1"/>
  <c r="P158" i="110" a="1"/>
  <c r="P158" i="110" s="1"/>
  <c r="O123" i="110" a="1"/>
  <c r="O123" i="110" s="1"/>
  <c r="N140" i="110" a="1"/>
  <c r="N140" i="110" s="1"/>
  <c r="Q112" i="110" a="1"/>
  <c r="Q112" i="110" s="1"/>
  <c r="O137" i="110" a="1"/>
  <c r="O137" i="110" s="1"/>
  <c r="O158" i="110" a="1"/>
  <c r="O158" i="110" s="1"/>
  <c r="P117" i="110" a="1"/>
  <c r="P117" i="110" s="1"/>
  <c r="N151" i="110" a="1"/>
  <c r="N151" i="110" s="1"/>
  <c r="N128" i="110" a="1"/>
  <c r="N128" i="110" s="1"/>
  <c r="N145" i="110" a="1"/>
  <c r="N145" i="110" s="1"/>
  <c r="N156" i="110" a="1"/>
  <c r="N156" i="110" s="1"/>
  <c r="Q110" i="110" a="1"/>
  <c r="Q110" i="110" s="1"/>
  <c r="O152" i="110" a="1"/>
  <c r="O152" i="110" s="1"/>
  <c r="P121" i="110" a="1"/>
  <c r="P121" i="110" s="1"/>
  <c r="O147" i="110" a="1"/>
  <c r="O147" i="110" s="1"/>
  <c r="O116" i="110" a="1"/>
  <c r="O116" i="110" s="1"/>
  <c r="M121" i="110" a="1"/>
  <c r="M121" i="110" s="1"/>
  <c r="M146" i="110" a="1"/>
  <c r="M146" i="110" s="1"/>
  <c r="M134" i="110" a="1"/>
  <c r="M134" i="110" s="1"/>
  <c r="N127" i="110" a="1"/>
  <c r="N127" i="110" s="1"/>
  <c r="Q111" i="110" a="1"/>
  <c r="Q111" i="110" s="1"/>
  <c r="M125" i="110" a="1"/>
  <c r="M125" i="110" s="1"/>
  <c r="P124" i="110" a="1"/>
  <c r="P124" i="110" s="1"/>
  <c r="M141" i="110" a="1"/>
  <c r="M141" i="110" s="1"/>
  <c r="M148" i="110" a="1"/>
  <c r="M148" i="110" s="1"/>
  <c r="M160" i="110" a="1"/>
  <c r="M160" i="110" s="1"/>
  <c r="P147" i="110" a="1"/>
  <c r="P147" i="110" s="1"/>
  <c r="M113" i="110" a="1"/>
  <c r="M113" i="110" s="1"/>
  <c r="M129" i="110" a="1"/>
  <c r="M129" i="110" s="1"/>
  <c r="N154" i="110" a="1"/>
  <c r="N154" i="110" s="1"/>
  <c r="N134" i="110" a="1"/>
  <c r="N134" i="110" s="1"/>
  <c r="N125" i="110" a="1"/>
  <c r="N125" i="110" s="1"/>
  <c r="M124" i="110" a="1"/>
  <c r="M124" i="110" s="1"/>
  <c r="N141" i="110" a="1"/>
  <c r="N141" i="110" s="1"/>
  <c r="N144" i="110" a="1"/>
  <c r="N144" i="110" s="1"/>
  <c r="N148" i="110" a="1"/>
  <c r="N148" i="110" s="1"/>
  <c r="M130" i="110" a="1"/>
  <c r="M130" i="110" s="1"/>
  <c r="N160" i="110" a="1"/>
  <c r="N160" i="110" s="1"/>
  <c r="N147" i="110" a="1"/>
  <c r="N147" i="110" s="1"/>
  <c r="M143" i="110" a="1"/>
  <c r="M143" i="110" s="1"/>
  <c r="O154" i="110" a="1"/>
  <c r="O154" i="110" s="1"/>
  <c r="P134" i="110" a="1"/>
  <c r="P134" i="110" s="1"/>
  <c r="O127" i="110" a="1"/>
  <c r="O127" i="110" s="1"/>
  <c r="O125" i="110" a="1"/>
  <c r="O125" i="110" s="1"/>
  <c r="M128" i="110" a="1"/>
  <c r="M128" i="110" s="1"/>
  <c r="M159" i="110" a="1"/>
  <c r="M159" i="110" s="1"/>
  <c r="P154" i="110" a="1"/>
  <c r="P154" i="110" s="1"/>
  <c r="O134" i="110" a="1"/>
  <c r="O134" i="110" s="1"/>
  <c r="M127" i="110" a="1"/>
  <c r="M127" i="110" s="1"/>
  <c r="M115" i="110" a="1"/>
  <c r="M115" i="110" s="1"/>
  <c r="P125" i="110" a="1"/>
  <c r="P125" i="110" s="1"/>
  <c r="M149" i="110" a="1"/>
  <c r="M149" i="110" s="1"/>
  <c r="Q149" i="110" s="1" a="1"/>
  <c r="Q149" i="110" s="1"/>
  <c r="M139" i="110" a="1"/>
  <c r="M139" i="110" s="1"/>
  <c r="M154" i="110" a="1"/>
  <c r="M154" i="110" s="1"/>
  <c r="M123" i="110" a="1"/>
  <c r="M123" i="110" s="1"/>
  <c r="P140" i="110" a="1"/>
  <c r="P140" i="110" s="1"/>
  <c r="M135" i="110" a="1"/>
  <c r="M135" i="110" s="1"/>
  <c r="M158" i="110" a="1"/>
  <c r="M158" i="110" s="1"/>
  <c r="N138" i="110" a="1"/>
  <c r="N138" i="110" s="1"/>
  <c r="M131" i="110" a="1"/>
  <c r="M131" i="110" s="1"/>
  <c r="M144" i="110" a="1"/>
  <c r="M144" i="110" s="1"/>
  <c r="O161" i="110" a="1"/>
  <c r="O161" i="110" s="1"/>
  <c r="M136" i="110" a="1"/>
  <c r="M136" i="110" s="1"/>
  <c r="M132" i="110" a="1"/>
  <c r="M132" i="110" s="1"/>
  <c r="N158" i="110" a="1"/>
  <c r="N158" i="110" s="1"/>
  <c r="O138" i="110" a="1"/>
  <c r="O138" i="110" s="1"/>
  <c r="N131" i="110" a="1"/>
  <c r="N131" i="110" s="1"/>
  <c r="P138" i="110" a="1"/>
  <c r="P138" i="110" s="1"/>
  <c r="P122" i="110" a="1"/>
  <c r="P122" i="110" s="1"/>
  <c r="O131" i="110" a="1"/>
  <c r="O131" i="110" s="1"/>
  <c r="M153" i="110" a="1"/>
  <c r="M153" i="110" s="1"/>
  <c r="M156" i="110" a="1"/>
  <c r="M156" i="110" s="1"/>
  <c r="N136" i="110" a="1"/>
  <c r="N136" i="110" s="1"/>
  <c r="N153" i="110" a="1"/>
  <c r="N153" i="110" s="1"/>
  <c r="M137" i="110" a="1"/>
  <c r="M137" i="110" s="1"/>
  <c r="N161" i="110" a="1"/>
  <c r="N161" i="110" s="1"/>
  <c r="O136" i="110" a="1"/>
  <c r="O136" i="110" s="1"/>
  <c r="P155" i="110" a="1"/>
  <c r="P155" i="110" s="1"/>
  <c r="M150" i="110" a="1"/>
  <c r="M150" i="110" s="1"/>
  <c r="M118" i="110" a="1"/>
  <c r="M118" i="110" s="1"/>
  <c r="M120" i="110" a="1"/>
  <c r="M120" i="110" s="1"/>
  <c r="M138" i="110" a="1"/>
  <c r="M138" i="110" s="1"/>
  <c r="N122" i="110" a="1"/>
  <c r="N122" i="110" s="1"/>
  <c r="P131" i="110" a="1"/>
  <c r="P131" i="110" s="1"/>
  <c r="P148" i="110" a="1"/>
  <c r="P148" i="110" s="1"/>
  <c r="O153" i="110" a="1"/>
  <c r="O153" i="110" s="1"/>
  <c r="M161" i="110" a="1"/>
  <c r="M161" i="110" s="1"/>
  <c r="P153" i="110" a="1"/>
  <c r="P153" i="110" s="1"/>
  <c r="P161" i="110" a="1"/>
  <c r="P161" i="110" s="1"/>
  <c r="P136" i="110" a="1"/>
  <c r="P136" i="110" s="1"/>
  <c r="O151" i="110" a="1"/>
  <c r="O151" i="110" s="1"/>
  <c r="N150" i="110" a="1"/>
  <c r="N150" i="110" s="1"/>
  <c r="O126" i="110" a="1"/>
  <c r="O126" i="110" s="1"/>
  <c r="O122" i="110" a="1"/>
  <c r="O122" i="110" s="1"/>
  <c r="O114" i="110" a="1"/>
  <c r="O114" i="110" s="1"/>
  <c r="M117" i="110" a="1"/>
  <c r="M117" i="110" s="1"/>
  <c r="M140" i="110" a="1"/>
  <c r="M140" i="110" s="1"/>
  <c r="M145" i="110" a="1"/>
  <c r="M145" i="110" s="1"/>
  <c r="M152" i="110" a="1"/>
  <c r="M152" i="110" s="1"/>
  <c r="M151" i="110" a="1"/>
  <c r="M151" i="110" s="1"/>
  <c r="M116" i="110" a="1"/>
  <c r="M116" i="110" s="1"/>
  <c r="O155" i="110" a="1"/>
  <c r="O155" i="110" s="1"/>
  <c r="N121" i="110" a="1"/>
  <c r="N121" i="110" s="1"/>
  <c r="M122" i="110" a="1"/>
  <c r="M122" i="110" s="1"/>
  <c r="P114" i="110" a="1"/>
  <c r="P114" i="110" s="1"/>
  <c r="M142" i="110" a="1"/>
  <c r="M142" i="110" s="1"/>
  <c r="N152" i="110" a="1"/>
  <c r="N152" i="110" s="1"/>
  <c r="P133" i="110" a="1"/>
  <c r="P133" i="110" s="1"/>
  <c r="M155" i="110" a="1"/>
  <c r="M155" i="110" s="1"/>
  <c r="P150" i="110" a="1"/>
  <c r="P150" i="110" s="1"/>
  <c r="M126" i="110" a="1"/>
  <c r="M126" i="110" s="1"/>
  <c r="M114" i="110" a="1"/>
  <c r="M114" i="110" s="1"/>
  <c r="O124" i="110" a="1"/>
  <c r="O124" i="110" s="1"/>
  <c r="M157" i="110" a="1"/>
  <c r="M157" i="110" s="1"/>
  <c r="M133" i="110" a="1"/>
  <c r="M133" i="110" s="1"/>
  <c r="M119" i="110" a="1"/>
  <c r="M119" i="110" s="1"/>
  <c r="M147" i="110" a="1"/>
  <c r="M147" i="110" s="1"/>
  <c r="N143" i="110" a="1"/>
  <c r="N143" i="110" s="1"/>
  <c r="O146" i="110" a="1"/>
  <c r="O146" i="110" s="1"/>
  <c r="N126" i="110" a="1"/>
  <c r="N126" i="110" s="1"/>
  <c r="N114" i="110" a="1"/>
  <c r="N114" i="110" s="1"/>
  <c r="N124" i="110" a="1"/>
  <c r="N124" i="110" s="1"/>
  <c r="I19" i="88"/>
  <c r="K40" i="87"/>
  <c r="V40" i="87"/>
  <c r="K19" i="85"/>
  <c r="V19" i="85"/>
  <c r="I72" i="112" l="1"/>
  <c r="I66" i="112"/>
  <c r="H164" i="112" s="1"/>
  <c r="I164" i="112" s="1"/>
  <c r="I78" i="112"/>
  <c r="H176" i="112" s="1"/>
  <c r="I176" i="112" s="1"/>
  <c r="K176" i="112" s="1"/>
  <c r="I75" i="112"/>
  <c r="H173" i="112" s="1"/>
  <c r="I173" i="112" s="1"/>
  <c r="K173" i="112" s="1"/>
  <c r="I63" i="112"/>
  <c r="H161" i="112" s="1"/>
  <c r="I161" i="112" s="1"/>
  <c r="K161" i="112" s="1"/>
  <c r="I76" i="112"/>
  <c r="H174" i="112" s="1"/>
  <c r="I174" i="112" s="1"/>
  <c r="K174" i="112" s="1"/>
  <c r="I84" i="112"/>
  <c r="H182" i="112" s="1"/>
  <c r="I77" i="112"/>
  <c r="H175" i="112" s="1"/>
  <c r="I175" i="112" s="1"/>
  <c r="K175" i="112" s="1"/>
  <c r="I91" i="112"/>
  <c r="H189" i="112" s="1"/>
  <c r="I26" i="112"/>
  <c r="H121" i="112" s="1"/>
  <c r="I121" i="112" s="1"/>
  <c r="K121" i="112" s="1"/>
  <c r="I74" i="112"/>
  <c r="H172" i="112" s="1"/>
  <c r="I23" i="112"/>
  <c r="H118" i="112" s="1"/>
  <c r="I118" i="112" s="1"/>
  <c r="K118" i="112" s="1"/>
  <c r="I82" i="112"/>
  <c r="H180" i="112" s="1"/>
  <c r="I65" i="112"/>
  <c r="H163" i="112" s="1"/>
  <c r="I163" i="112" s="1"/>
  <c r="K163" i="112" s="1"/>
  <c r="I27" i="112"/>
  <c r="H122" i="112" s="1"/>
  <c r="I122" i="112" s="1"/>
  <c r="K122" i="112" s="1"/>
  <c r="I30" i="112"/>
  <c r="H125" i="112" s="1"/>
  <c r="I125" i="112" s="1"/>
  <c r="K125" i="112" s="1"/>
  <c r="I83" i="112"/>
  <c r="I73" i="112"/>
  <c r="I42" i="112"/>
  <c r="H137" i="112" s="1"/>
  <c r="I137" i="112" s="1"/>
  <c r="K137" i="112" s="1"/>
  <c r="I34" i="112"/>
  <c r="H129" i="112" s="1"/>
  <c r="I28" i="112"/>
  <c r="H123" i="112" s="1"/>
  <c r="I123" i="112" s="1"/>
  <c r="K123" i="112" s="1"/>
  <c r="I38" i="112"/>
  <c r="H133" i="112" s="1"/>
  <c r="I133" i="112" s="1"/>
  <c r="K133" i="112" s="1"/>
  <c r="K164" i="112"/>
  <c r="I80" i="112"/>
  <c r="H178" i="112" s="1"/>
  <c r="I178" i="112" s="1"/>
  <c r="K178" i="112" s="1"/>
  <c r="I50" i="112"/>
  <c r="H145" i="112" s="1"/>
  <c r="I36" i="112"/>
  <c r="H131" i="112" s="1"/>
  <c r="I46" i="112"/>
  <c r="H141" i="112" s="1"/>
  <c r="I44" i="112"/>
  <c r="H139" i="112" s="1"/>
  <c r="I54" i="112"/>
  <c r="H149" i="112" s="1"/>
  <c r="I29" i="112"/>
  <c r="H124" i="112" s="1"/>
  <c r="I124" i="112" s="1"/>
  <c r="K124" i="112" s="1"/>
  <c r="I25" i="112"/>
  <c r="H120" i="112" s="1"/>
  <c r="I120" i="112" s="1"/>
  <c r="K120" i="112" s="1"/>
  <c r="I35" i="112"/>
  <c r="H130" i="112" s="1"/>
  <c r="I40" i="112"/>
  <c r="H135" i="112" s="1"/>
  <c r="I135" i="112" s="1"/>
  <c r="K135" i="112" s="1"/>
  <c r="I52" i="112"/>
  <c r="H147" i="112" s="1"/>
  <c r="I69" i="112"/>
  <c r="H167" i="112" s="1"/>
  <c r="I167" i="112" s="1"/>
  <c r="K167" i="112" s="1"/>
  <c r="I51" i="112"/>
  <c r="H146" i="112" s="1"/>
  <c r="I86" i="112"/>
  <c r="H184" i="112" s="1"/>
  <c r="I71" i="112"/>
  <c r="H169" i="112" s="1"/>
  <c r="I90" i="112"/>
  <c r="H188" i="112" s="1"/>
  <c r="I64" i="112"/>
  <c r="H162" i="112" s="1"/>
  <c r="I162" i="112" s="1"/>
  <c r="K162" i="112" s="1"/>
  <c r="I24" i="112"/>
  <c r="H119" i="112" s="1"/>
  <c r="I119" i="112" s="1"/>
  <c r="K119" i="112" s="1"/>
  <c r="I22" i="112"/>
  <c r="H117" i="112" s="1"/>
  <c r="I117" i="112" s="1"/>
  <c r="K117" i="112" s="1"/>
  <c r="I31" i="112"/>
  <c r="H126" i="112" s="1"/>
  <c r="I126" i="112" s="1"/>
  <c r="K126" i="112" s="1"/>
  <c r="I41" i="112"/>
  <c r="H136" i="112" s="1"/>
  <c r="I136" i="112" s="1"/>
  <c r="K136" i="112" s="1"/>
  <c r="I33" i="112"/>
  <c r="H128" i="112" s="1"/>
  <c r="I37" i="112"/>
  <c r="H132" i="112" s="1"/>
  <c r="I132" i="112" s="1"/>
  <c r="K132" i="112" s="1"/>
  <c r="I39" i="112"/>
  <c r="H134" i="112" s="1"/>
  <c r="I134" i="112" s="1"/>
  <c r="K134" i="112" s="1"/>
  <c r="I61" i="112"/>
  <c r="H159" i="112" s="1"/>
  <c r="I159" i="112" s="1"/>
  <c r="K159" i="112" s="1"/>
  <c r="I92" i="112"/>
  <c r="H190" i="112" s="1"/>
  <c r="I88" i="112"/>
  <c r="H186" i="112" s="1"/>
  <c r="I48" i="112"/>
  <c r="H143" i="112" s="1"/>
  <c r="I53" i="112"/>
  <c r="H148" i="112" s="1"/>
  <c r="I47" i="112"/>
  <c r="H142" i="112" s="1"/>
  <c r="I60" i="112"/>
  <c r="H158" i="112" s="1"/>
  <c r="I158" i="112" s="1"/>
  <c r="K158" i="112" s="1"/>
  <c r="I79" i="112"/>
  <c r="H177" i="112" s="1"/>
  <c r="I177" i="112" s="1"/>
  <c r="K177" i="112" s="1"/>
  <c r="I89" i="112"/>
  <c r="H187" i="112" s="1"/>
  <c r="I67" i="112"/>
  <c r="H165" i="112" s="1"/>
  <c r="I165" i="112" s="1"/>
  <c r="K165" i="112" s="1"/>
  <c r="I62" i="112"/>
  <c r="H160" i="112" s="1"/>
  <c r="I160" i="112" s="1"/>
  <c r="K160" i="112" s="1"/>
  <c r="I45" i="112"/>
  <c r="H140" i="112" s="1"/>
  <c r="I68" i="112"/>
  <c r="H166" i="112" s="1"/>
  <c r="I166" i="112" s="1"/>
  <c r="K166" i="112" s="1"/>
  <c r="I85" i="112"/>
  <c r="H183" i="112" s="1"/>
  <c r="E65" i="109"/>
  <c r="E35" i="13" a="1"/>
  <c r="E35" i="13" s="1"/>
  <c r="F35" i="13" s="1"/>
  <c r="E45" i="109"/>
  <c r="E41" i="13" s="1" a="1"/>
  <c r="E41" i="13" s="1"/>
  <c r="F41" i="13" s="1"/>
  <c r="E44" i="109"/>
  <c r="E70" i="109" s="1"/>
  <c r="G70" i="109" s="1"/>
  <c r="E41" i="109"/>
  <c r="E67" i="109" s="1"/>
  <c r="E43" i="109"/>
  <c r="E69" i="109" s="1"/>
  <c r="G69" i="109" s="1"/>
  <c r="E42" i="109"/>
  <c r="E68" i="109" s="1"/>
  <c r="E40" i="109"/>
  <c r="E66" i="109" s="1"/>
  <c r="Q142" i="110" a="1"/>
  <c r="Q142" i="110" s="1"/>
  <c r="Q132" i="110" a="1"/>
  <c r="Q132" i="110" s="1"/>
  <c r="Q119" i="110" a="1"/>
  <c r="Q119" i="110" s="1"/>
  <c r="Q113" i="110" a="1"/>
  <c r="Q113" i="110" s="1"/>
  <c r="Q118" i="110" a="1"/>
  <c r="Q118" i="110" s="1"/>
  <c r="E156" i="124"/>
  <c r="G294" i="124"/>
  <c r="I294" i="124"/>
  <c r="I288" i="124"/>
  <c r="G288" i="124"/>
  <c r="G295" i="124"/>
  <c r="I295" i="124"/>
  <c r="G289" i="124"/>
  <c r="I289" i="124"/>
  <c r="G291" i="124"/>
  <c r="I291" i="124"/>
  <c r="G290" i="124"/>
  <c r="I290" i="124"/>
  <c r="I287" i="124"/>
  <c r="G287" i="124"/>
  <c r="I293" i="124"/>
  <c r="G293" i="124"/>
  <c r="I292" i="124"/>
  <c r="G292" i="124"/>
  <c r="G296" i="124"/>
  <c r="I296" i="124"/>
  <c r="G286" i="124"/>
  <c r="I286" i="124"/>
  <c r="I140" i="124"/>
  <c r="G140" i="124"/>
  <c r="I139" i="124"/>
  <c r="G139" i="124"/>
  <c r="I129" i="124"/>
  <c r="I124" i="124"/>
  <c r="G124" i="124"/>
  <c r="I125" i="124"/>
  <c r="G125" i="124"/>
  <c r="G123" i="124"/>
  <c r="I123" i="124"/>
  <c r="G128" i="124"/>
  <c r="I128" i="124"/>
  <c r="I127" i="124"/>
  <c r="G127" i="124"/>
  <c r="I126" i="124"/>
  <c r="G126" i="124"/>
  <c r="E474" i="124"/>
  <c r="E73" i="124"/>
  <c r="E54" i="124"/>
  <c r="E72" i="124"/>
  <c r="E91" i="124"/>
  <c r="E90" i="124"/>
  <c r="Q25" i="106"/>
  <c r="P25" i="106"/>
  <c r="O25" i="106"/>
  <c r="N25" i="106"/>
  <c r="N28" i="106"/>
  <c r="Q28" i="106"/>
  <c r="P28" i="106"/>
  <c r="O28" i="106"/>
  <c r="N34" i="106"/>
  <c r="Q34" i="106"/>
  <c r="P34" i="106"/>
  <c r="O34" i="106"/>
  <c r="O37" i="106"/>
  <c r="P37" i="106"/>
  <c r="N37" i="106"/>
  <c r="Q37" i="106"/>
  <c r="Q26" i="106"/>
  <c r="O26" i="106"/>
  <c r="P26" i="106"/>
  <c r="N26" i="106"/>
  <c r="Q32" i="106"/>
  <c r="P32" i="106"/>
  <c r="O32" i="106"/>
  <c r="N32" i="106"/>
  <c r="Q36" i="106"/>
  <c r="P36" i="106"/>
  <c r="O36" i="106"/>
  <c r="N36" i="106"/>
  <c r="Q31" i="106"/>
  <c r="P31" i="106"/>
  <c r="O31" i="106"/>
  <c r="N31" i="106"/>
  <c r="Q33" i="106"/>
  <c r="O33" i="106"/>
  <c r="P33" i="106"/>
  <c r="N33" i="106"/>
  <c r="O38" i="105"/>
  <c r="E62" i="105" s="1"/>
  <c r="N38" i="105"/>
  <c r="E61" i="105" s="1"/>
  <c r="E64" i="105"/>
  <c r="AM243" i="124" a="1"/>
  <c r="AM243" i="124" s="1"/>
  <c r="F252" i="124"/>
  <c r="G252" i="124" s="1"/>
  <c r="O11" i="94" a="1"/>
  <c r="O11" i="94" s="1"/>
  <c r="F254" i="124"/>
  <c r="G254" i="124" s="1"/>
  <c r="K260" i="124"/>
  <c r="H257" i="124"/>
  <c r="F257" i="124"/>
  <c r="G257" i="124" s="1"/>
  <c r="K257" i="124"/>
  <c r="H255" i="124"/>
  <c r="K255" i="124"/>
  <c r="F255" i="124"/>
  <c r="G255" i="124" s="1"/>
  <c r="H256" i="124"/>
  <c r="F256" i="124"/>
  <c r="G256" i="124" s="1"/>
  <c r="K256" i="124"/>
  <c r="K254" i="124"/>
  <c r="H252" i="124"/>
  <c r="H258" i="124"/>
  <c r="F258" i="124"/>
  <c r="G258" i="124" s="1"/>
  <c r="K258" i="124"/>
  <c r="H254" i="124"/>
  <c r="H261" i="124"/>
  <c r="F261" i="124"/>
  <c r="G261" i="124" s="1"/>
  <c r="K261" i="124"/>
  <c r="F260" i="124"/>
  <c r="G260" i="124" s="1"/>
  <c r="H260" i="124"/>
  <c r="K253" i="124"/>
  <c r="H253" i="124"/>
  <c r="F253" i="124"/>
  <c r="G253" i="124" s="1"/>
  <c r="K259" i="124"/>
  <c r="H259" i="124"/>
  <c r="F259" i="124"/>
  <c r="G259" i="124" s="1"/>
  <c r="D50" i="92"/>
  <c r="D50" i="83"/>
  <c r="D88" i="84" s="1"/>
  <c r="Q115" i="92"/>
  <c r="Q132" i="92" s="1"/>
  <c r="F24" i="83"/>
  <c r="F79" i="83" s="1"/>
  <c r="F60" i="84" s="1"/>
  <c r="M80" i="92"/>
  <c r="M115" i="92" s="1"/>
  <c r="M132" i="92" s="1"/>
  <c r="M180" i="92" s="1"/>
  <c r="D80" i="92"/>
  <c r="D115" i="92" s="1"/>
  <c r="D132" i="92" s="1"/>
  <c r="D180" i="92" s="1"/>
  <c r="H180" i="92"/>
  <c r="P115" i="92"/>
  <c r="P132" i="92" s="1"/>
  <c r="P180" i="92" s="1"/>
  <c r="F115" i="92"/>
  <c r="F132" i="92" s="1"/>
  <c r="F180" i="92" s="1"/>
  <c r="E115" i="92"/>
  <c r="E132" i="92" s="1"/>
  <c r="E180" i="92" s="1"/>
  <c r="N115" i="92"/>
  <c r="N132" i="92" s="1"/>
  <c r="N180" i="92" s="1"/>
  <c r="H114" i="83"/>
  <c r="H133" i="83" s="1"/>
  <c r="Q114" i="83"/>
  <c r="Q133" i="83" s="1"/>
  <c r="S114" i="83"/>
  <c r="S133" i="83" s="1"/>
  <c r="P114" i="83"/>
  <c r="P133" i="83" s="1"/>
  <c r="E114" i="83"/>
  <c r="E133" i="83" s="1"/>
  <c r="G51" i="124"/>
  <c r="G50" i="124"/>
  <c r="G49" i="124"/>
  <c r="G48" i="124"/>
  <c r="G47" i="124"/>
  <c r="G46" i="124"/>
  <c r="G45" i="124"/>
  <c r="G44" i="124"/>
  <c r="G43" i="124"/>
  <c r="G114" i="83"/>
  <c r="G133" i="83" s="1"/>
  <c r="D114" i="83"/>
  <c r="D133" i="83" s="1"/>
  <c r="U206" i="83"/>
  <c r="T206" i="83"/>
  <c r="R206" i="83"/>
  <c r="S206" i="83"/>
  <c r="U205" i="83"/>
  <c r="T205" i="83"/>
  <c r="S205" i="83"/>
  <c r="R205" i="83"/>
  <c r="I206" i="83"/>
  <c r="J206" i="83"/>
  <c r="J205" i="83"/>
  <c r="G206" i="83"/>
  <c r="H206" i="83"/>
  <c r="H205" i="83"/>
  <c r="I205" i="83"/>
  <c r="G205" i="83"/>
  <c r="T179" i="83"/>
  <c r="U179" i="83"/>
  <c r="R179" i="83"/>
  <c r="S179" i="83"/>
  <c r="T178" i="83"/>
  <c r="U178" i="83"/>
  <c r="R178" i="83"/>
  <c r="S178" i="83"/>
  <c r="T177" i="83"/>
  <c r="U177" i="83"/>
  <c r="R177" i="83"/>
  <c r="S177" i="83"/>
  <c r="T176" i="83"/>
  <c r="U176" i="83"/>
  <c r="R176" i="83"/>
  <c r="S176" i="83"/>
  <c r="T175" i="83"/>
  <c r="U175" i="83"/>
  <c r="R175" i="83"/>
  <c r="S175" i="83"/>
  <c r="T174" i="83"/>
  <c r="U174" i="83"/>
  <c r="R174" i="83"/>
  <c r="S174" i="83"/>
  <c r="I179" i="83"/>
  <c r="J179" i="83"/>
  <c r="G179" i="83"/>
  <c r="H179" i="83"/>
  <c r="I178" i="83"/>
  <c r="J178" i="83"/>
  <c r="G178" i="83"/>
  <c r="H178" i="83"/>
  <c r="I177" i="83"/>
  <c r="J177" i="83"/>
  <c r="G177" i="83"/>
  <c r="H177" i="83"/>
  <c r="I176" i="83"/>
  <c r="J176" i="83"/>
  <c r="G176" i="83"/>
  <c r="H176" i="83"/>
  <c r="I175" i="83"/>
  <c r="J175" i="83"/>
  <c r="G175" i="83"/>
  <c r="H175" i="83"/>
  <c r="I174" i="83"/>
  <c r="J174" i="83"/>
  <c r="G174" i="83"/>
  <c r="H174" i="83"/>
  <c r="T173" i="83"/>
  <c r="U173" i="83"/>
  <c r="R173" i="83"/>
  <c r="S173" i="83"/>
  <c r="I173" i="83"/>
  <c r="J173" i="83"/>
  <c r="G173" i="83"/>
  <c r="H173" i="83"/>
  <c r="E60" i="84"/>
  <c r="Q151" i="83"/>
  <c r="Q173" i="83" s="1"/>
  <c r="Q154" i="83"/>
  <c r="Q176" i="83" s="1"/>
  <c r="Y236" i="124"/>
  <c r="AA236" i="124" s="1" a="1"/>
  <c r="AA236" i="124" s="1"/>
  <c r="AA245" i="124" a="1"/>
  <c r="AA245" i="124" s="1"/>
  <c r="AA238" i="124" a="1"/>
  <c r="AA238" i="124" s="1"/>
  <c r="AA242" i="124" a="1"/>
  <c r="AA242" i="124" s="1"/>
  <c r="AA239" i="124" a="1"/>
  <c r="AA239" i="124" s="1"/>
  <c r="AA241" i="124" a="1"/>
  <c r="AA241" i="124" s="1"/>
  <c r="AA243" i="124" a="1"/>
  <c r="AA243" i="124" s="1"/>
  <c r="AA244" i="124" a="1"/>
  <c r="AA244" i="124" s="1"/>
  <c r="AA237" i="124" a="1"/>
  <c r="AA237" i="124" s="1"/>
  <c r="AA240" i="124" a="1"/>
  <c r="AA240" i="124" s="1"/>
  <c r="AM238" i="124" a="1"/>
  <c r="AM238" i="124" s="1"/>
  <c r="AM244" i="124" a="1"/>
  <c r="AM244" i="124" s="1"/>
  <c r="F42" i="124"/>
  <c r="G42" i="124" s="1"/>
  <c r="F155" i="83"/>
  <c r="F177" i="83" s="1"/>
  <c r="AM240" i="124" a="1"/>
  <c r="AM240" i="124" s="1"/>
  <c r="Q170" i="92"/>
  <c r="Q180" i="92" s="1"/>
  <c r="S285" i="83"/>
  <c r="R208" i="84"/>
  <c r="Q155" i="83"/>
  <c r="Q177" i="83" s="1"/>
  <c r="AM239" i="124" a="1"/>
  <c r="AM239" i="124" s="1"/>
  <c r="Q200" i="83"/>
  <c r="F200" i="83"/>
  <c r="H170" i="112"/>
  <c r="AM242" i="124" a="1"/>
  <c r="AM242" i="124" s="1"/>
  <c r="AC236" i="124"/>
  <c r="AE236" i="124" s="1" a="1"/>
  <c r="AE236" i="124" s="1"/>
  <c r="AE240" i="124" a="1"/>
  <c r="AE240" i="124" s="1"/>
  <c r="AE244" i="124" a="1"/>
  <c r="AE244" i="124" s="1"/>
  <c r="AE237" i="124" a="1"/>
  <c r="AE237" i="124" s="1"/>
  <c r="AE245" i="124" a="1"/>
  <c r="AE245" i="124" s="1"/>
  <c r="AE238" i="124" a="1"/>
  <c r="AE238" i="124" s="1"/>
  <c r="AE239" i="124" a="1"/>
  <c r="AE239" i="124" s="1"/>
  <c r="AE243" i="124" a="1"/>
  <c r="AE243" i="124" s="1"/>
  <c r="AE242" i="124" a="1"/>
  <c r="AE242" i="124" s="1"/>
  <c r="AE241" i="124" a="1"/>
  <c r="AE241" i="124" s="1"/>
  <c r="AM236" i="124" a="1"/>
  <c r="AM236" i="124" s="1"/>
  <c r="Q236" i="124"/>
  <c r="S236" i="124" s="1" a="1"/>
  <c r="S236" i="124" s="1"/>
  <c r="S243" i="124" a="1"/>
  <c r="S243" i="124" s="1"/>
  <c r="S240" i="124" a="1"/>
  <c r="S240" i="124" s="1"/>
  <c r="S244" i="124" a="1"/>
  <c r="S244" i="124" s="1"/>
  <c r="S237" i="124" a="1"/>
  <c r="S237" i="124" s="1"/>
  <c r="S239" i="124" a="1"/>
  <c r="S239" i="124" s="1"/>
  <c r="S241" i="124" a="1"/>
  <c r="S241" i="124" s="1"/>
  <c r="S245" i="124" a="1"/>
  <c r="S245" i="124" s="1"/>
  <c r="S238" i="124" a="1"/>
  <c r="S238" i="124" s="1"/>
  <c r="S242" i="124" a="1"/>
  <c r="S242" i="124" s="1"/>
  <c r="F199" i="83"/>
  <c r="F156" i="83"/>
  <c r="F178" i="83" s="1"/>
  <c r="O21" i="94"/>
  <c r="AG236" i="124"/>
  <c r="AI236" i="124" s="1" a="1"/>
  <c r="AI236" i="124" s="1"/>
  <c r="AI240" i="124" a="1"/>
  <c r="AI240" i="124" s="1"/>
  <c r="AI244" i="124" a="1"/>
  <c r="AI244" i="124" s="1"/>
  <c r="AI237" i="124" a="1"/>
  <c r="AI237" i="124" s="1"/>
  <c r="AI241" i="124" a="1"/>
  <c r="AI241" i="124" s="1"/>
  <c r="AI243" i="124" a="1"/>
  <c r="AI243" i="124" s="1"/>
  <c r="AI245" i="124" a="1"/>
  <c r="AI245" i="124" s="1"/>
  <c r="AI238" i="124" a="1"/>
  <c r="AI238" i="124" s="1"/>
  <c r="AI239" i="124" a="1"/>
  <c r="AI239" i="124" s="1"/>
  <c r="AI242" i="124" a="1"/>
  <c r="AI242" i="124" s="1"/>
  <c r="G59" i="112" a="1"/>
  <c r="G59" i="112" s="1"/>
  <c r="Q152" i="83"/>
  <c r="Q174" i="83" s="1"/>
  <c r="F154" i="83"/>
  <c r="F176" i="83" s="1"/>
  <c r="F157" i="83"/>
  <c r="F179" i="83" s="1"/>
  <c r="F63" i="109" a="1"/>
  <c r="F63" i="109" s="1"/>
  <c r="F152" i="83"/>
  <c r="F174" i="83" s="1"/>
  <c r="P170" i="92"/>
  <c r="R285" i="83"/>
  <c r="G157" i="112" a="1"/>
  <c r="G157" i="112" s="1"/>
  <c r="G21" i="112" a="1"/>
  <c r="G21" i="112" s="1"/>
  <c r="G116" i="112" a="1"/>
  <c r="G116" i="112" s="1"/>
  <c r="F64" i="109" a="1"/>
  <c r="F64" i="109" s="1"/>
  <c r="F151" i="83"/>
  <c r="F173" i="83" s="1"/>
  <c r="E285" i="124"/>
  <c r="F285" i="124" a="1"/>
  <c r="F285" i="124" s="1"/>
  <c r="Q153" i="83"/>
  <c r="Q175" i="83" s="1"/>
  <c r="F153" i="83"/>
  <c r="F175" i="83" s="1"/>
  <c r="O170" i="92"/>
  <c r="O180" i="92" s="1"/>
  <c r="Q285" i="83"/>
  <c r="P208" i="84"/>
  <c r="N170" i="92"/>
  <c r="P285" i="83"/>
  <c r="U236" i="124"/>
  <c r="W236" i="124" s="1" a="1"/>
  <c r="W236" i="124" s="1"/>
  <c r="W245" i="124" a="1"/>
  <c r="W245" i="124" s="1"/>
  <c r="W238" i="124" a="1"/>
  <c r="W238" i="124" s="1"/>
  <c r="W242" i="124" a="1"/>
  <c r="W242" i="124" s="1"/>
  <c r="W243" i="124" a="1"/>
  <c r="W243" i="124" s="1"/>
  <c r="W239" i="124" a="1"/>
  <c r="W239" i="124" s="1"/>
  <c r="W244" i="124" a="1"/>
  <c r="W244" i="124" s="1"/>
  <c r="W237" i="124" a="1"/>
  <c r="W237" i="124" s="1"/>
  <c r="W241" i="124" a="1"/>
  <c r="W241" i="124" s="1"/>
  <c r="W240" i="124" a="1"/>
  <c r="W240" i="124" s="1"/>
  <c r="H181" i="112"/>
  <c r="H171" i="112"/>
  <c r="AM245" i="124" a="1"/>
  <c r="AM245" i="124" s="1"/>
  <c r="Q199" i="83"/>
  <c r="Q157" i="83"/>
  <c r="Q179" i="83" s="1"/>
  <c r="AM241" i="124" a="1"/>
  <c r="AM241" i="124" s="1"/>
  <c r="Q156" i="83"/>
  <c r="Q178" i="83" s="1"/>
  <c r="M170" i="92"/>
  <c r="O285" i="83"/>
  <c r="AM237" i="124" a="1"/>
  <c r="AM237" i="124" s="1"/>
  <c r="J33" i="115"/>
  <c r="E25" i="116"/>
  <c r="T33" i="115"/>
  <c r="O25" i="116"/>
  <c r="D62" i="109"/>
  <c r="G32" i="13" a="1"/>
  <c r="G32" i="13" s="1"/>
  <c r="E36" i="109"/>
  <c r="E63" i="109"/>
  <c r="E33" i="13" a="1"/>
  <c r="E33" i="13" s="1"/>
  <c r="F33" i="13" s="1"/>
  <c r="E64" i="109"/>
  <c r="E34" i="13" a="1"/>
  <c r="E34" i="13" s="1"/>
  <c r="F34" i="13" s="1"/>
  <c r="Q159" i="110" a="1"/>
  <c r="Q159" i="110" s="1"/>
  <c r="E394" i="124"/>
  <c r="E34" i="124"/>
  <c r="E35" i="124"/>
  <c r="E393" i="124"/>
  <c r="Q120" i="110" a="1"/>
  <c r="Q120" i="110" s="1"/>
  <c r="Q139" i="110" a="1"/>
  <c r="Q139" i="110" s="1"/>
  <c r="Q135" i="110" a="1"/>
  <c r="Q135" i="110" s="1"/>
  <c r="Q129" i="110" a="1"/>
  <c r="Q129" i="110" s="1"/>
  <c r="Q155" i="110" a="1"/>
  <c r="Q155" i="110" s="1"/>
  <c r="F65" i="109" s="1" a="1"/>
  <c r="F65" i="109" s="1"/>
  <c r="G65" i="109" s="1"/>
  <c r="H35" i="13" s="1"/>
  <c r="I35" i="13" s="1"/>
  <c r="Q140" i="110" a="1"/>
  <c r="Q140" i="110" s="1"/>
  <c r="Q133" i="110" a="1"/>
  <c r="Q133" i="110" s="1"/>
  <c r="Q115" i="110" a="1"/>
  <c r="Q115" i="110" s="1"/>
  <c r="Q151" i="110" a="1"/>
  <c r="Q151" i="110" s="1"/>
  <c r="Q156" i="110" a="1"/>
  <c r="Q156" i="110" s="1"/>
  <c r="Q138" i="110" a="1"/>
  <c r="Q138" i="110" s="1"/>
  <c r="Q161" i="110" a="1"/>
  <c r="Q161" i="110" s="1"/>
  <c r="Q126" i="110" a="1"/>
  <c r="Q126" i="110" s="1"/>
  <c r="Q123" i="110" a="1"/>
  <c r="Q123" i="110" s="1"/>
  <c r="Q143" i="110" a="1"/>
  <c r="Q143" i="110" s="1"/>
  <c r="Q141" i="110" a="1"/>
  <c r="Q141" i="110" s="1"/>
  <c r="Q136" i="110" a="1"/>
  <c r="Q136" i="110" s="1"/>
  <c r="Q130" i="110" a="1"/>
  <c r="Q130" i="110" s="1"/>
  <c r="Q137" i="110" a="1"/>
  <c r="Q137" i="110" s="1"/>
  <c r="Q116" i="110" a="1"/>
  <c r="Q116" i="110" s="1"/>
  <c r="Q153" i="110" a="1"/>
  <c r="Q153" i="110" s="1"/>
  <c r="Q127" i="110" a="1"/>
  <c r="Q127" i="110" s="1"/>
  <c r="Q124" i="110" a="1"/>
  <c r="Q124" i="110" s="1"/>
  <c r="Q152" i="110" a="1"/>
  <c r="Q152" i="110" s="1"/>
  <c r="Q158" i="110" a="1"/>
  <c r="Q158" i="110" s="1"/>
  <c r="Q145" i="110" a="1"/>
  <c r="Q145" i="110" s="1"/>
  <c r="Q128" i="110" a="1"/>
  <c r="Q128" i="110" s="1"/>
  <c r="Q144" i="110" a="1"/>
  <c r="Q144" i="110" s="1"/>
  <c r="Q160" i="110" a="1"/>
  <c r="Q160" i="110" s="1"/>
  <c r="Q131" i="110" a="1"/>
  <c r="Q131" i="110" s="1"/>
  <c r="Q148" i="110" a="1"/>
  <c r="Q148" i="110" s="1"/>
  <c r="Q147" i="110" a="1"/>
  <c r="Q147" i="110" s="1"/>
  <c r="Q117" i="110" a="1"/>
  <c r="Q117" i="110" s="1"/>
  <c r="Q154" i="110" a="1"/>
  <c r="Q154" i="110" s="1"/>
  <c r="Q122" i="110" a="1"/>
  <c r="Q122" i="110" s="1"/>
  <c r="Q150" i="110" a="1"/>
  <c r="Q150" i="110" s="1"/>
  <c r="Q125" i="110" a="1"/>
  <c r="Q125" i="110" s="1"/>
  <c r="Q134" i="110" a="1"/>
  <c r="Q134" i="110" s="1"/>
  <c r="Q157" i="110" a="1"/>
  <c r="Q157" i="110" s="1"/>
  <c r="Q146" i="110" a="1"/>
  <c r="Q146" i="110" s="1"/>
  <c r="Q121" i="110" a="1"/>
  <c r="Q121" i="110" s="1"/>
  <c r="Q114" i="110" a="1"/>
  <c r="Q114" i="110" s="1"/>
  <c r="E63" i="105"/>
  <c r="E43" i="105"/>
  <c r="E55" i="105"/>
  <c r="E44" i="105"/>
  <c r="E56" i="105"/>
  <c r="E45" i="105"/>
  <c r="E57" i="105"/>
  <c r="E46" i="105"/>
  <c r="E58" i="105"/>
  <c r="J78" i="78"/>
  <c r="I144" i="112" l="1"/>
  <c r="K144" i="112" s="1"/>
  <c r="I168" i="112"/>
  <c r="K168" i="112" s="1"/>
  <c r="I138" i="112"/>
  <c r="K138" i="112" s="1"/>
  <c r="I127" i="112"/>
  <c r="K127" i="112" s="1"/>
  <c r="I179" i="112"/>
  <c r="K179" i="112" s="1"/>
  <c r="I21" i="112"/>
  <c r="H116" i="112" s="1"/>
  <c r="I116" i="112" s="1"/>
  <c r="K116" i="112" s="1"/>
  <c r="I59" i="112"/>
  <c r="H157" i="112" s="1"/>
  <c r="I157" i="112" s="1"/>
  <c r="K157" i="112" s="1"/>
  <c r="E71" i="109"/>
  <c r="G71" i="109" s="1"/>
  <c r="E40" i="13" a="1"/>
  <c r="E40" i="13" s="1"/>
  <c r="F40" i="13" s="1"/>
  <c r="E39" i="13" a="1"/>
  <c r="E39" i="13" s="1"/>
  <c r="F39" i="13" s="1"/>
  <c r="G64" i="109"/>
  <c r="H34" i="13" s="1"/>
  <c r="I34" i="13" s="1"/>
  <c r="G68" i="109"/>
  <c r="H38" i="13" s="1"/>
  <c r="I38" i="13" s="1"/>
  <c r="G66" i="109"/>
  <c r="H36" i="13" s="1"/>
  <c r="I36" i="13" s="1"/>
  <c r="G67" i="109"/>
  <c r="H37" i="13" s="1"/>
  <c r="I37" i="13" s="1"/>
  <c r="H41" i="13"/>
  <c r="I41" i="13" s="1"/>
  <c r="E38" i="13" a="1"/>
  <c r="E38" i="13" s="1"/>
  <c r="F38" i="13" s="1"/>
  <c r="E37" i="13" a="1"/>
  <c r="E37" i="13" s="1"/>
  <c r="F37" i="13" s="1"/>
  <c r="H40" i="13"/>
  <c r="I40" i="13" s="1"/>
  <c r="H39" i="13"/>
  <c r="I39" i="13" s="1"/>
  <c r="G63" i="109"/>
  <c r="H33" i="13" s="1"/>
  <c r="I33" i="13" s="1"/>
  <c r="E36" i="13" a="1"/>
  <c r="E36" i="13" s="1"/>
  <c r="F36" i="13" s="1"/>
  <c r="F62" i="109" a="1"/>
  <c r="F62" i="109" s="1"/>
  <c r="G285" i="124"/>
  <c r="I285" i="124"/>
  <c r="E299" i="124" s="1"/>
  <c r="E143" i="124"/>
  <c r="E94" i="124"/>
  <c r="E44" i="106"/>
  <c r="E43" i="106"/>
  <c r="E46" i="106"/>
  <c r="E49" i="106"/>
  <c r="E45" i="106"/>
  <c r="E50" i="106"/>
  <c r="E51" i="106"/>
  <c r="E52" i="106"/>
  <c r="F236" i="124"/>
  <c r="F242" i="124"/>
  <c r="F238" i="124"/>
  <c r="F241" i="124"/>
  <c r="F239" i="124"/>
  <c r="F237" i="124"/>
  <c r="F245" i="124"/>
  <c r="F243" i="124"/>
  <c r="F240" i="124"/>
  <c r="F244" i="124"/>
  <c r="E50" i="84"/>
  <c r="E65" i="84" s="1"/>
  <c r="E103" i="84" s="1"/>
  <c r="F114" i="83"/>
  <c r="H50" i="84"/>
  <c r="H126" i="84" s="1"/>
  <c r="D50" i="84"/>
  <c r="D65" i="84" s="1"/>
  <c r="D103" i="84" s="1"/>
  <c r="G50" i="84"/>
  <c r="G65" i="84" s="1"/>
  <c r="G103" i="84" s="1"/>
  <c r="R50" i="84"/>
  <c r="I185" i="112"/>
  <c r="Q206" i="83"/>
  <c r="Q205" i="83"/>
  <c r="F206" i="83"/>
  <c r="F205" i="83"/>
  <c r="Q50" i="84"/>
  <c r="E298" i="124"/>
  <c r="E182" i="92"/>
  <c r="G184" i="92" s="1"/>
  <c r="O50" i="84"/>
  <c r="E53" i="124"/>
  <c r="E93" i="124" s="1"/>
  <c r="P50" i="84"/>
  <c r="N182" i="92"/>
  <c r="P184" i="92" s="1"/>
  <c r="E142" i="124"/>
  <c r="N50" i="84"/>
  <c r="E131" i="124"/>
  <c r="E132" i="124"/>
  <c r="E160" i="124" s="1"/>
  <c r="E62" i="109"/>
  <c r="E32" i="13" a="1"/>
  <c r="E32" i="13" s="1"/>
  <c r="F32" i="13" s="1"/>
  <c r="E67" i="105"/>
  <c r="E70" i="105"/>
  <c r="I530" i="124" s="1"/>
  <c r="E68" i="105"/>
  <c r="E69" i="105"/>
  <c r="J38" i="78"/>
  <c r="J37" i="78"/>
  <c r="J36" i="78"/>
  <c r="J35" i="78"/>
  <c r="J34" i="78"/>
  <c r="J33" i="78"/>
  <c r="J32" i="78"/>
  <c r="J79" i="78"/>
  <c r="J77" i="78"/>
  <c r="J76" i="78"/>
  <c r="J75" i="78"/>
  <c r="J68" i="78"/>
  <c r="J67" i="78"/>
  <c r="J66" i="78"/>
  <c r="J65" i="78"/>
  <c r="J59" i="78"/>
  <c r="J58" i="78"/>
  <c r="J57" i="78"/>
  <c r="J56" i="78"/>
  <c r="J50" i="78"/>
  <c r="J49" i="78"/>
  <c r="J48" i="78"/>
  <c r="J47" i="78"/>
  <c r="J46" i="78"/>
  <c r="J40" i="78"/>
  <c r="J39" i="78"/>
  <c r="J26" i="78"/>
  <c r="J25" i="78"/>
  <c r="J24" i="78"/>
  <c r="J23" i="78"/>
  <c r="J22" i="78"/>
  <c r="J21" i="78"/>
  <c r="J15" i="78"/>
  <c r="J14" i="78"/>
  <c r="J13" i="78"/>
  <c r="J12" i="78"/>
  <c r="J11" i="78"/>
  <c r="J10" i="78"/>
  <c r="J9" i="78"/>
  <c r="J8" i="78"/>
  <c r="E151" i="112" l="1"/>
  <c r="E42" i="13" s="1" a="1"/>
  <c r="E42" i="13" s="1"/>
  <c r="H42" i="13" s="1"/>
  <c r="K185" i="112"/>
  <c r="E192" i="112" s="1"/>
  <c r="E603" i="124" s="1"/>
  <c r="G62" i="109"/>
  <c r="H32" i="13" s="1"/>
  <c r="I32" i="13" s="1"/>
  <c r="E55" i="106"/>
  <c r="E56" i="106"/>
  <c r="E58" i="106"/>
  <c r="I531" i="124" s="1"/>
  <c r="E533" i="124" s="1"/>
  <c r="E57" i="106"/>
  <c r="E126" i="84"/>
  <c r="H65" i="84"/>
  <c r="H103" i="84" s="1"/>
  <c r="H146" i="84" s="1"/>
  <c r="F133" i="83"/>
  <c r="F50" i="84"/>
  <c r="D126" i="84"/>
  <c r="D146" i="84" s="1"/>
  <c r="G126" i="84"/>
  <c r="G146" i="84" s="1"/>
  <c r="R126" i="84"/>
  <c r="R65" i="84"/>
  <c r="R103" i="84" s="1"/>
  <c r="E146" i="84"/>
  <c r="Q126" i="84"/>
  <c r="Q65" i="84"/>
  <c r="Q103" i="84" s="1"/>
  <c r="N126" i="84"/>
  <c r="N65" i="84"/>
  <c r="N103" i="84" s="1"/>
  <c r="P126" i="84"/>
  <c r="P65" i="84"/>
  <c r="P103" i="84" s="1"/>
  <c r="O126" i="84"/>
  <c r="O65" i="84"/>
  <c r="O103" i="84" s="1"/>
  <c r="E159" i="124"/>
  <c r="D79" i="78"/>
  <c r="D77" i="78"/>
  <c r="D76" i="78"/>
  <c r="D75" i="78"/>
  <c r="D68" i="78"/>
  <c r="D67" i="78"/>
  <c r="D66" i="78"/>
  <c r="D65" i="78"/>
  <c r="D59" i="78"/>
  <c r="D58" i="78"/>
  <c r="D57" i="78"/>
  <c r="J61" i="78"/>
  <c r="D56" i="78"/>
  <c r="D50" i="78"/>
  <c r="D49" i="78"/>
  <c r="D48" i="78"/>
  <c r="D47" i="78"/>
  <c r="D46" i="78"/>
  <c r="D40" i="78"/>
  <c r="D39" i="78"/>
  <c r="D37" i="78"/>
  <c r="D36" i="78"/>
  <c r="D35" i="78"/>
  <c r="D34" i="78"/>
  <c r="D33" i="78"/>
  <c r="D32" i="78"/>
  <c r="D26" i="78"/>
  <c r="D25" i="78"/>
  <c r="D24" i="78"/>
  <c r="D23" i="78"/>
  <c r="D22" i="78"/>
  <c r="D21" i="78"/>
  <c r="D15" i="78"/>
  <c r="D14" i="78"/>
  <c r="D12" i="78"/>
  <c r="D11" i="78"/>
  <c r="D10" i="78"/>
  <c r="F42" i="13" l="1"/>
  <c r="I42" i="13" s="1"/>
  <c r="E73" i="109"/>
  <c r="F65" i="84"/>
  <c r="F103" i="84" s="1"/>
  <c r="F126" i="84"/>
  <c r="R146" i="84"/>
  <c r="D176" i="84"/>
  <c r="D19" i="88" s="1"/>
  <c r="F31" i="88" s="1"/>
  <c r="D213" i="84"/>
  <c r="O146" i="84"/>
  <c r="N146" i="84"/>
  <c r="H176" i="84"/>
  <c r="H213" i="84"/>
  <c r="H19" i="88" s="1"/>
  <c r="J31" i="88" s="1"/>
  <c r="Q146" i="84"/>
  <c r="G176" i="84"/>
  <c r="G213" i="84"/>
  <c r="E176" i="84"/>
  <c r="E213" i="84"/>
  <c r="P146" i="84"/>
  <c r="J81" i="78"/>
  <c r="J52" i="78"/>
  <c r="J28" i="78"/>
  <c r="J42" i="78"/>
  <c r="J70" i="78"/>
  <c r="J17" i="78"/>
  <c r="F146" i="84" l="1"/>
  <c r="R176" i="84"/>
  <c r="R213" i="84"/>
  <c r="S19" i="88" s="1"/>
  <c r="U31" i="88" s="1"/>
  <c r="U23" i="90" s="1"/>
  <c r="P213" i="84"/>
  <c r="Q19" i="88" s="1"/>
  <c r="P176" i="84"/>
  <c r="G248" i="84"/>
  <c r="G245" i="84"/>
  <c r="G250" i="84"/>
  <c r="G247" i="84"/>
  <c r="G244" i="84"/>
  <c r="G246" i="84"/>
  <c r="G249" i="84"/>
  <c r="G243" i="84"/>
  <c r="I250" i="84"/>
  <c r="I247" i="84"/>
  <c r="I244" i="84"/>
  <c r="I249" i="84"/>
  <c r="I246" i="84"/>
  <c r="I243" i="84"/>
  <c r="I248" i="84"/>
  <c r="I245" i="84"/>
  <c r="Q213" i="84"/>
  <c r="Q176" i="84"/>
  <c r="J250" i="84"/>
  <c r="J247" i="84"/>
  <c r="J244" i="84"/>
  <c r="J249" i="84"/>
  <c r="J246" i="84"/>
  <c r="J243" i="84"/>
  <c r="J248" i="84"/>
  <c r="J245" i="84"/>
  <c r="N213" i="84"/>
  <c r="N176" i="84"/>
  <c r="O213" i="84"/>
  <c r="O176" i="84"/>
  <c r="F248" i="84"/>
  <c r="F245" i="84"/>
  <c r="F250" i="84"/>
  <c r="F247" i="84"/>
  <c r="F249" i="84"/>
  <c r="F244" i="84"/>
  <c r="F246" i="84"/>
  <c r="F243" i="84"/>
  <c r="J23" i="90"/>
  <c r="J19" i="89"/>
  <c r="J24" i="89" s="1"/>
  <c r="E19" i="88"/>
  <c r="G31" i="88" s="1"/>
  <c r="G19" i="88"/>
  <c r="I31" i="88" s="1"/>
  <c r="F23" i="90"/>
  <c r="F19" i="89"/>
  <c r="F24" i="89" s="1"/>
  <c r="E83" i="78"/>
  <c r="G58" i="80"/>
  <c r="G59" i="80" s="1"/>
  <c r="G56" i="80"/>
  <c r="G57" i="80" s="1"/>
  <c r="G54" i="80"/>
  <c r="F60" i="80"/>
  <c r="F58" i="80"/>
  <c r="F59" i="80" s="1"/>
  <c r="F50" i="80"/>
  <c r="F48" i="80"/>
  <c r="F49" i="80" s="1"/>
  <c r="E23" i="72" a="1"/>
  <c r="E23" i="72" s="1"/>
  <c r="F176" i="84" l="1"/>
  <c r="F213" i="84"/>
  <c r="F22" i="85"/>
  <c r="F43" i="85" s="1"/>
  <c r="U19" i="89"/>
  <c r="U24" i="89" s="1"/>
  <c r="T245" i="84"/>
  <c r="T250" i="84"/>
  <c r="T247" i="84"/>
  <c r="T244" i="84"/>
  <c r="T243" i="84"/>
  <c r="T249" i="84"/>
  <c r="T246" i="84"/>
  <c r="T248" i="84"/>
  <c r="F23" i="85"/>
  <c r="F44" i="85" s="1"/>
  <c r="F40" i="87"/>
  <c r="F76" i="87" s="1"/>
  <c r="F21" i="85"/>
  <c r="F42" i="85" s="1"/>
  <c r="F45" i="87"/>
  <c r="F144" i="87" s="1"/>
  <c r="Q248" i="84"/>
  <c r="Q245" i="84"/>
  <c r="Q250" i="84"/>
  <c r="Q247" i="84"/>
  <c r="Q244" i="84"/>
  <c r="Q249" i="84"/>
  <c r="Q246" i="84"/>
  <c r="Q243" i="84"/>
  <c r="P243" i="84"/>
  <c r="P248" i="84"/>
  <c r="P245" i="84"/>
  <c r="P250" i="84"/>
  <c r="P247" i="84"/>
  <c r="P244" i="84"/>
  <c r="P249" i="84"/>
  <c r="P246" i="84"/>
  <c r="O19" i="88"/>
  <c r="Q31" i="88" s="1"/>
  <c r="I25" i="85"/>
  <c r="I46" i="85" s="1"/>
  <c r="S248" i="84"/>
  <c r="S245" i="84"/>
  <c r="S250" i="84"/>
  <c r="S247" i="84"/>
  <c r="S244" i="84"/>
  <c r="S246" i="84"/>
  <c r="S249" i="84"/>
  <c r="S243" i="84"/>
  <c r="F46" i="87"/>
  <c r="R248" i="84"/>
  <c r="R245" i="84"/>
  <c r="R250" i="84"/>
  <c r="R247" i="84"/>
  <c r="R249" i="84"/>
  <c r="R244" i="84"/>
  <c r="R246" i="84"/>
  <c r="R243" i="84"/>
  <c r="S31" i="88"/>
  <c r="F41" i="87"/>
  <c r="F43" i="87"/>
  <c r="F23" i="86"/>
  <c r="F47" i="87"/>
  <c r="F20" i="85"/>
  <c r="F41" i="85" s="1"/>
  <c r="F42" i="87"/>
  <c r="F19" i="85"/>
  <c r="F40" i="85" s="1"/>
  <c r="F24" i="85"/>
  <c r="F45" i="85" s="1"/>
  <c r="F44" i="87"/>
  <c r="F24" i="86"/>
  <c r="F26" i="85"/>
  <c r="F47" i="85" s="1"/>
  <c r="F25" i="85"/>
  <c r="F46" i="85" s="1"/>
  <c r="P19" i="88"/>
  <c r="R19" i="88"/>
  <c r="T31" i="88" s="1"/>
  <c r="I46" i="87"/>
  <c r="I24" i="86"/>
  <c r="I26" i="85"/>
  <c r="I47" i="85" s="1"/>
  <c r="I47" i="87"/>
  <c r="G41" i="87"/>
  <c r="G20" i="85"/>
  <c r="G41" i="85" s="1"/>
  <c r="G25" i="85"/>
  <c r="G46" i="85" s="1"/>
  <c r="G46" i="87"/>
  <c r="J21" i="85"/>
  <c r="J42" i="85" s="1"/>
  <c r="J42" i="87"/>
  <c r="I24" i="85"/>
  <c r="I45" i="85" s="1"/>
  <c r="I45" i="87"/>
  <c r="I41" i="87"/>
  <c r="I20" i="85"/>
  <c r="I41" i="85" s="1"/>
  <c r="I23" i="90"/>
  <c r="I19" i="89"/>
  <c r="I24" i="89" s="1"/>
  <c r="J40" i="87"/>
  <c r="J19" i="85"/>
  <c r="J40" i="85" s="1"/>
  <c r="J25" i="85"/>
  <c r="J46" i="85" s="1"/>
  <c r="J46" i="87"/>
  <c r="J47" i="87"/>
  <c r="J24" i="86"/>
  <c r="J26" i="85"/>
  <c r="J47" i="85" s="1"/>
  <c r="I19" i="85"/>
  <c r="I40" i="85" s="1"/>
  <c r="I40" i="87"/>
  <c r="I44" i="87"/>
  <c r="I23" i="85"/>
  <c r="I44" i="85" s="1"/>
  <c r="G23" i="90"/>
  <c r="G19" i="89"/>
  <c r="G24" i="89" s="1"/>
  <c r="I21" i="85"/>
  <c r="I42" i="85" s="1"/>
  <c r="I42" i="87"/>
  <c r="J23" i="85"/>
  <c r="J44" i="85" s="1"/>
  <c r="J44" i="87"/>
  <c r="G40" i="87"/>
  <c r="G19" i="85"/>
  <c r="G40" i="85" s="1"/>
  <c r="G44" i="87"/>
  <c r="G23" i="85"/>
  <c r="G44" i="85" s="1"/>
  <c r="G26" i="85"/>
  <c r="G47" i="85" s="1"/>
  <c r="G24" i="86"/>
  <c r="G47" i="87"/>
  <c r="J20" i="85"/>
  <c r="J41" i="85" s="1"/>
  <c r="J41" i="87"/>
  <c r="G45" i="87"/>
  <c r="G24" i="85"/>
  <c r="G45" i="85" s="1"/>
  <c r="J45" i="87"/>
  <c r="J24" i="85"/>
  <c r="J45" i="85" s="1"/>
  <c r="I23" i="86"/>
  <c r="I43" i="87"/>
  <c r="I22" i="85"/>
  <c r="I43" i="85" s="1"/>
  <c r="G43" i="87"/>
  <c r="G22" i="85"/>
  <c r="G43" i="85" s="1"/>
  <c r="G23" i="86"/>
  <c r="G21" i="85"/>
  <c r="G42" i="85" s="1"/>
  <c r="G42" i="87"/>
  <c r="J43" i="87"/>
  <c r="J22" i="85"/>
  <c r="J43" i="85" s="1"/>
  <c r="J23" i="86"/>
  <c r="H250" i="84" l="1"/>
  <c r="F19" i="88"/>
  <c r="H31" i="88" s="1"/>
  <c r="H245" i="84"/>
  <c r="H248" i="84"/>
  <c r="H246" i="84"/>
  <c r="H243" i="84"/>
  <c r="H249" i="84"/>
  <c r="H244" i="84"/>
  <c r="H247" i="84"/>
  <c r="R42" i="87"/>
  <c r="R141" i="87" s="1"/>
  <c r="R21" i="85"/>
  <c r="R42" i="85" s="1"/>
  <c r="R24" i="85"/>
  <c r="R45" i="85" s="1"/>
  <c r="R47" i="87"/>
  <c r="S26" i="85"/>
  <c r="S47" i="85" s="1"/>
  <c r="R44" i="87"/>
  <c r="R80" i="87" s="1"/>
  <c r="F111" i="87"/>
  <c r="R20" i="85"/>
  <c r="R41" i="85" s="1"/>
  <c r="F106" i="87"/>
  <c r="S19" i="85"/>
  <c r="S40" i="85" s="1"/>
  <c r="F81" i="87"/>
  <c r="U46" i="87"/>
  <c r="U25" i="85"/>
  <c r="U46" i="85" s="1"/>
  <c r="F139" i="87"/>
  <c r="U40" i="87"/>
  <c r="U19" i="85"/>
  <c r="U40" i="85" s="1"/>
  <c r="U41" i="87"/>
  <c r="U20" i="85"/>
  <c r="U41" i="85" s="1"/>
  <c r="U45" i="87"/>
  <c r="U24" i="85"/>
  <c r="U45" i="85" s="1"/>
  <c r="U44" i="87"/>
  <c r="U23" i="85"/>
  <c r="U44" i="85" s="1"/>
  <c r="U23" i="86"/>
  <c r="U22" i="85"/>
  <c r="U43" i="85" s="1"/>
  <c r="U43" i="87"/>
  <c r="U24" i="86"/>
  <c r="U47" i="87"/>
  <c r="U26" i="85"/>
  <c r="U47" i="85" s="1"/>
  <c r="U21" i="85"/>
  <c r="U42" i="85" s="1"/>
  <c r="U42" i="87"/>
  <c r="R22" i="85"/>
  <c r="R43" i="85" s="1"/>
  <c r="S23" i="86"/>
  <c r="S42" i="87"/>
  <c r="S141" i="87" s="1"/>
  <c r="S24" i="85"/>
  <c r="S45" i="85" s="1"/>
  <c r="R25" i="85"/>
  <c r="R46" i="85" s="1"/>
  <c r="S20" i="85"/>
  <c r="S41" i="85" s="1"/>
  <c r="R40" i="87"/>
  <c r="R139" i="87" s="1"/>
  <c r="S45" i="87"/>
  <c r="S144" i="87" s="1"/>
  <c r="S19" i="89"/>
  <c r="S24" i="89" s="1"/>
  <c r="I143" i="87"/>
  <c r="I110" i="87"/>
  <c r="I80" i="87"/>
  <c r="G143" i="87"/>
  <c r="G80" i="87"/>
  <c r="G110" i="87"/>
  <c r="I139" i="87"/>
  <c r="I106" i="87"/>
  <c r="I76" i="87"/>
  <c r="I140" i="87"/>
  <c r="I107" i="87"/>
  <c r="I77" i="87"/>
  <c r="G140" i="87"/>
  <c r="G107" i="87"/>
  <c r="G77" i="87"/>
  <c r="I144" i="87"/>
  <c r="I111" i="87"/>
  <c r="I81" i="87"/>
  <c r="S23" i="90"/>
  <c r="J143" i="87"/>
  <c r="J80" i="87"/>
  <c r="J110" i="87"/>
  <c r="S25" i="85"/>
  <c r="S46" i="85" s="1"/>
  <c r="G139" i="87"/>
  <c r="G106" i="87"/>
  <c r="G76" i="87"/>
  <c r="S44" i="87"/>
  <c r="J144" i="87"/>
  <c r="J81" i="87"/>
  <c r="J111" i="87"/>
  <c r="G144" i="87"/>
  <c r="G111" i="87"/>
  <c r="G81" i="87"/>
  <c r="J141" i="87"/>
  <c r="J78" i="87"/>
  <c r="J108" i="87"/>
  <c r="S46" i="87"/>
  <c r="F143" i="87"/>
  <c r="F110" i="87"/>
  <c r="F80" i="87"/>
  <c r="F141" i="87"/>
  <c r="F78" i="87"/>
  <c r="F108" i="87"/>
  <c r="J140" i="87"/>
  <c r="J107" i="87"/>
  <c r="J77" i="87"/>
  <c r="I145" i="87"/>
  <c r="I82" i="87"/>
  <c r="I112" i="87"/>
  <c r="G141" i="87"/>
  <c r="G108" i="87"/>
  <c r="G78" i="87"/>
  <c r="J145" i="87"/>
  <c r="J112" i="87"/>
  <c r="J82" i="87"/>
  <c r="I141" i="87"/>
  <c r="I78" i="87"/>
  <c r="I108" i="87"/>
  <c r="G145" i="87"/>
  <c r="G112" i="87"/>
  <c r="G82" i="87"/>
  <c r="J139" i="87"/>
  <c r="J76" i="87"/>
  <c r="J106" i="87"/>
  <c r="F140" i="87"/>
  <c r="F77" i="87"/>
  <c r="F107" i="87"/>
  <c r="Q19" i="89"/>
  <c r="Q24" i="89" s="1"/>
  <c r="Q23" i="90"/>
  <c r="F145" i="87"/>
  <c r="F82" i="87"/>
  <c r="F112" i="87"/>
  <c r="R31" i="88"/>
  <c r="S23" i="85"/>
  <c r="S44" i="85" s="1"/>
  <c r="S41" i="87"/>
  <c r="R19" i="85"/>
  <c r="R40" i="85" s="1"/>
  <c r="S21" i="85"/>
  <c r="S42" i="85" s="1"/>
  <c r="S22" i="85"/>
  <c r="S43" i="85" s="1"/>
  <c r="S47" i="87"/>
  <c r="R26" i="85"/>
  <c r="R47" i="85" s="1"/>
  <c r="S43" i="87"/>
  <c r="S40" i="87"/>
  <c r="S24" i="86"/>
  <c r="R24" i="86"/>
  <c r="R45" i="87"/>
  <c r="R23" i="85"/>
  <c r="R44" i="85" s="1"/>
  <c r="R43" i="87"/>
  <c r="R23" i="86"/>
  <c r="R41" i="87"/>
  <c r="R46" i="87"/>
  <c r="Q46" i="87"/>
  <c r="Q25" i="85"/>
  <c r="Q46" i="85" s="1"/>
  <c r="Q22" i="85"/>
  <c r="Q43" i="85" s="1"/>
  <c r="Q43" i="87"/>
  <c r="Q23" i="86"/>
  <c r="Q44" i="87"/>
  <c r="Q23" i="85"/>
  <c r="Q44" i="85" s="1"/>
  <c r="Q45" i="87"/>
  <c r="Q24" i="85"/>
  <c r="Q45" i="85" s="1"/>
  <c r="Q21" i="85"/>
  <c r="Q42" i="85" s="1"/>
  <c r="Q42" i="87"/>
  <c r="Q41" i="87"/>
  <c r="Q20" i="85"/>
  <c r="Q41" i="85" s="1"/>
  <c r="Q19" i="85"/>
  <c r="Q40" i="85" s="1"/>
  <c r="Q40" i="87"/>
  <c r="Q24" i="86"/>
  <c r="Q26" i="85"/>
  <c r="Q47" i="85" s="1"/>
  <c r="Q47" i="87"/>
  <c r="T21" i="85"/>
  <c r="T42" i="85" s="1"/>
  <c r="T42" i="87"/>
  <c r="T20" i="85"/>
  <c r="T41" i="85" s="1"/>
  <c r="T41" i="87"/>
  <c r="T25" i="85"/>
  <c r="T46" i="85" s="1"/>
  <c r="T46" i="87"/>
  <c r="T23" i="90"/>
  <c r="T19" i="89"/>
  <c r="T24" i="89" s="1"/>
  <c r="T44" i="87"/>
  <c r="T23" i="85"/>
  <c r="T44" i="85" s="1"/>
  <c r="T19" i="85"/>
  <c r="T40" i="85" s="1"/>
  <c r="T40" i="87"/>
  <c r="T43" i="87"/>
  <c r="T22" i="85"/>
  <c r="T43" i="85" s="1"/>
  <c r="T23" i="86"/>
  <c r="T26" i="85"/>
  <c r="T47" i="85" s="1"/>
  <c r="T47" i="87"/>
  <c r="T24" i="86"/>
  <c r="T24" i="85"/>
  <c r="T45" i="85" s="1"/>
  <c r="T45" i="87"/>
  <c r="G55" i="80"/>
  <c r="D39" i="80"/>
  <c r="D32" i="80"/>
  <c r="D76" i="72" a="1"/>
  <c r="D73" i="72"/>
  <c r="E69" i="72"/>
  <c r="E68" i="72"/>
  <c r="D65" i="72" a="1"/>
  <c r="E66" i="72" s="1"/>
  <c r="D62" i="72"/>
  <c r="F56" i="72"/>
  <c r="E56" i="72"/>
  <c r="F55" i="72"/>
  <c r="E55" i="72"/>
  <c r="D52" i="72" a="1"/>
  <c r="F54" i="72" s="1"/>
  <c r="D48" i="72" a="1"/>
  <c r="D48" i="72" s="1"/>
  <c r="D46" i="72"/>
  <c r="G40" i="72"/>
  <c r="E76" i="13" s="1"/>
  <c r="R78" i="87" l="1"/>
  <c r="R108" i="87"/>
  <c r="H44" i="87"/>
  <c r="H23" i="85"/>
  <c r="H44" i="85" s="1"/>
  <c r="H20" i="85"/>
  <c r="H41" i="85" s="1"/>
  <c r="H41" i="87"/>
  <c r="H46" i="87"/>
  <c r="H25" i="85"/>
  <c r="H46" i="85" s="1"/>
  <c r="H19" i="85"/>
  <c r="H40" i="85" s="1"/>
  <c r="H40" i="87"/>
  <c r="H23" i="86"/>
  <c r="H22" i="85"/>
  <c r="H43" i="85" s="1"/>
  <c r="H43" i="87"/>
  <c r="H45" i="87"/>
  <c r="H24" i="85"/>
  <c r="H45" i="85" s="1"/>
  <c r="H21" i="85"/>
  <c r="H42" i="85" s="1"/>
  <c r="H42" i="87"/>
  <c r="H23" i="90"/>
  <c r="H19" i="89"/>
  <c r="H24" i="89" s="1"/>
  <c r="E26" i="89" s="1"/>
  <c r="I38" i="89" s="1"/>
  <c r="H47" i="87"/>
  <c r="H26" i="85"/>
  <c r="H47" i="85" s="1"/>
  <c r="H24" i="86"/>
  <c r="R110" i="87"/>
  <c r="R143" i="87"/>
  <c r="S108" i="87"/>
  <c r="S78" i="87"/>
  <c r="U140" i="87"/>
  <c r="U77" i="87"/>
  <c r="U107" i="87"/>
  <c r="R106" i="87"/>
  <c r="R76" i="87"/>
  <c r="U110" i="87"/>
  <c r="U143" i="87"/>
  <c r="U80" i="87"/>
  <c r="U139" i="87"/>
  <c r="U76" i="87"/>
  <c r="U106" i="87"/>
  <c r="U141" i="87"/>
  <c r="U78" i="87"/>
  <c r="U108" i="87"/>
  <c r="U111" i="87"/>
  <c r="U144" i="87"/>
  <c r="U81" i="87"/>
  <c r="U145" i="87"/>
  <c r="U82" i="87"/>
  <c r="U112" i="87"/>
  <c r="S111" i="87"/>
  <c r="S81" i="87"/>
  <c r="R19" i="89"/>
  <c r="R24" i="89" s="1"/>
  <c r="P26" i="89" s="1"/>
  <c r="S38" i="89" s="1"/>
  <c r="T141" i="87"/>
  <c r="T108" i="87"/>
  <c r="T78" i="87"/>
  <c r="Q143" i="87"/>
  <c r="Q80" i="87"/>
  <c r="Q110" i="87"/>
  <c r="T140" i="87"/>
  <c r="T77" i="87"/>
  <c r="T107" i="87"/>
  <c r="R144" i="87"/>
  <c r="R81" i="87"/>
  <c r="R111" i="87"/>
  <c r="S139" i="87"/>
  <c r="S106" i="87"/>
  <c r="S76" i="87"/>
  <c r="S145" i="87"/>
  <c r="S112" i="87"/>
  <c r="S82" i="87"/>
  <c r="Q144" i="87"/>
  <c r="Q81" i="87"/>
  <c r="Q111" i="87"/>
  <c r="T139" i="87"/>
  <c r="T106" i="87"/>
  <c r="T76" i="87"/>
  <c r="Q145" i="87"/>
  <c r="Q112" i="87"/>
  <c r="Q82" i="87"/>
  <c r="R145" i="87"/>
  <c r="R112" i="87"/>
  <c r="R82" i="87"/>
  <c r="R140" i="87"/>
  <c r="R77" i="87"/>
  <c r="R107" i="87"/>
  <c r="T143" i="87"/>
  <c r="T80" i="87"/>
  <c r="T110" i="87"/>
  <c r="Q140" i="87"/>
  <c r="Q107" i="87"/>
  <c r="Q77" i="87"/>
  <c r="S140" i="87"/>
  <c r="S77" i="87"/>
  <c r="S107" i="87"/>
  <c r="Q139" i="87"/>
  <c r="Q76" i="87"/>
  <c r="Q106" i="87"/>
  <c r="Q141" i="87"/>
  <c r="Q108" i="87"/>
  <c r="Q78" i="87"/>
  <c r="T144" i="87"/>
  <c r="T81" i="87"/>
  <c r="T111" i="87"/>
  <c r="S143" i="87"/>
  <c r="S80" i="87"/>
  <c r="S110" i="87"/>
  <c r="T145" i="87"/>
  <c r="T112" i="87"/>
  <c r="T82" i="87"/>
  <c r="R23" i="90"/>
  <c r="P49" i="85"/>
  <c r="R61" i="85" s="1"/>
  <c r="E78" i="72"/>
  <c r="F78" i="72"/>
  <c r="E67" i="72"/>
  <c r="E54" i="72"/>
  <c r="D52" i="72"/>
  <c r="D76" i="72"/>
  <c r="D65" i="72"/>
  <c r="E65" i="72" s="1"/>
  <c r="H139" i="87" l="1"/>
  <c r="H106" i="87"/>
  <c r="H76" i="87"/>
  <c r="E49" i="85"/>
  <c r="I61" i="85" s="1"/>
  <c r="H141" i="87"/>
  <c r="H108" i="87"/>
  <c r="H78" i="87"/>
  <c r="H145" i="87"/>
  <c r="H82" i="87"/>
  <c r="H112" i="87"/>
  <c r="H107" i="87"/>
  <c r="H140" i="87"/>
  <c r="H77" i="87"/>
  <c r="H144" i="87"/>
  <c r="H81" i="87"/>
  <c r="H111" i="87"/>
  <c r="H80" i="87"/>
  <c r="H110" i="87"/>
  <c r="H143" i="87"/>
  <c r="E70" i="72"/>
  <c r="E76" i="72"/>
  <c r="F76" i="72"/>
  <c r="F52" i="72"/>
  <c r="E52" i="72"/>
  <c r="F70" i="13" l="1" a="1"/>
  <c r="F70" i="13" s="1"/>
  <c r="I70" i="13" s="1"/>
  <c r="E70" i="13" a="1"/>
  <c r="E70" i="13" s="1"/>
  <c r="H70" i="13" s="1"/>
  <c r="E69" i="13" a="1"/>
  <c r="E69" i="13" s="1"/>
  <c r="H69" i="13" s="1"/>
  <c r="F68" i="13" a="1"/>
  <c r="F68" i="13" s="1"/>
  <c r="I68" i="13" s="1"/>
  <c r="E68" i="13" a="1"/>
  <c r="E68" i="13" s="1"/>
  <c r="H68" i="13" s="1"/>
  <c r="E67" i="13" a="1"/>
  <c r="E67" i="13" s="1"/>
  <c r="H67" i="13" s="1"/>
  <c r="D67" i="13" a="1"/>
  <c r="D67" i="13" s="1"/>
  <c r="E66" i="13" a="1"/>
  <c r="E66" i="13" s="1"/>
  <c r="F65" i="13" a="1"/>
  <c r="F65" i="13" s="1"/>
  <c r="I65" i="13" s="1"/>
  <c r="E65" i="13" a="1"/>
  <c r="E65" i="13" s="1"/>
  <c r="H65" i="13" s="1"/>
  <c r="F64" i="13" a="1"/>
  <c r="F64" i="13" s="1"/>
  <c r="I64" i="13" s="1"/>
  <c r="E64" i="13" a="1"/>
  <c r="E64" i="13" s="1"/>
  <c r="H64" i="13" s="1"/>
  <c r="F63" i="13" a="1"/>
  <c r="F63" i="13" s="1"/>
  <c r="I63" i="13" s="1"/>
  <c r="E63" i="13" a="1"/>
  <c r="E63" i="13" s="1"/>
  <c r="H63" i="13" s="1"/>
  <c r="F62" i="13" a="1"/>
  <c r="F62" i="13" s="1"/>
  <c r="I62" i="13" s="1"/>
  <c r="E62" i="13" a="1"/>
  <c r="E62" i="13" s="1"/>
  <c r="H62" i="13" s="1"/>
  <c r="F61" i="13" a="1"/>
  <c r="F61" i="13" s="1"/>
  <c r="I61" i="13" s="1"/>
  <c r="E61" i="13" a="1"/>
  <c r="E61" i="13" s="1"/>
  <c r="H61" i="13" s="1"/>
  <c r="F59" i="13" a="1"/>
  <c r="F59" i="13" s="1"/>
  <c r="I59" i="13" s="1"/>
  <c r="E59" i="13" a="1"/>
  <c r="E59" i="13" s="1"/>
  <c r="H59" i="13" s="1"/>
  <c r="F57" i="13" a="1"/>
  <c r="F57" i="13" s="1"/>
  <c r="I57" i="13" s="1"/>
  <c r="E57" i="13" a="1"/>
  <c r="E57" i="13" s="1"/>
  <c r="H57" i="13" s="1"/>
  <c r="F56" i="13" a="1"/>
  <c r="F56" i="13" s="1"/>
  <c r="I56" i="13" s="1"/>
  <c r="E56" i="13" a="1"/>
  <c r="E56" i="13" s="1"/>
  <c r="H56" i="13" s="1"/>
  <c r="F55" i="13" a="1"/>
  <c r="F55" i="13" s="1"/>
  <c r="I55" i="13" s="1"/>
  <c r="E55" i="13" a="1"/>
  <c r="E55" i="13" s="1"/>
  <c r="H55" i="13" s="1"/>
  <c r="F66" i="13" l="1"/>
  <c r="I66" i="13" s="1"/>
  <c r="H66" i="13"/>
  <c r="F69" i="13"/>
  <c r="I69" i="13" s="1"/>
  <c r="F67" i="13"/>
  <c r="I67" i="13" s="1"/>
  <c r="I49" i="13" l="1"/>
  <c r="I50" i="13" s="1"/>
  <c r="H49" i="13"/>
  <c r="H50" i="13" s="1"/>
  <c r="F49" i="13"/>
  <c r="E49" i="13" a="1"/>
  <c r="E49" i="13" s="1"/>
  <c r="D49" i="13" a="1"/>
  <c r="D49" i="13" s="1"/>
  <c r="G9" i="91" l="1"/>
  <c r="I222" i="83"/>
  <c r="D117" i="79" a="1"/>
  <c r="D117" i="79" s="1"/>
  <c r="D107" i="79" a="1"/>
  <c r="D107" i="79" s="1"/>
  <c r="D83" i="79" a="1"/>
  <c r="D83" i="79" s="1"/>
  <c r="D59" i="79" a="1"/>
  <c r="D59" i="79" s="1"/>
  <c r="Q43" i="115" l="1"/>
  <c r="G43" i="115"/>
  <c r="G53" i="96"/>
  <c r="P113" i="94"/>
  <c r="Q290" i="84"/>
  <c r="O591" i="124"/>
  <c r="G97" i="99"/>
  <c r="G50" i="90"/>
  <c r="G56" i="88"/>
  <c r="G55" i="86"/>
  <c r="G149" i="98"/>
  <c r="P185" i="92"/>
  <c r="N187" i="92" s="1" a="1"/>
  <c r="N187" i="92" s="1"/>
  <c r="R56" i="88"/>
  <c r="R71" i="85"/>
  <c r="G71" i="85"/>
  <c r="R50" i="90"/>
  <c r="R303" i="83"/>
  <c r="G290" i="84"/>
  <c r="G303" i="83"/>
  <c r="R48" i="89"/>
  <c r="G48" i="89"/>
  <c r="G82" i="98"/>
  <c r="Q51" i="116"/>
  <c r="G591" i="124"/>
  <c r="G51" i="116"/>
  <c r="G185" i="92"/>
  <c r="E187" i="92" s="1" a="1"/>
  <c r="E187" i="92" s="1"/>
  <c r="G83" i="94"/>
  <c r="R55" i="86"/>
  <c r="I14" i="90"/>
  <c r="J14" i="86"/>
  <c r="I68" i="125"/>
  <c r="H25" i="116"/>
  <c r="I223" i="83"/>
  <c r="J15" i="116"/>
  <c r="J37" i="116"/>
  <c r="P229" i="83"/>
  <c r="P232" i="83"/>
  <c r="P231" i="83"/>
  <c r="U240" i="83" s="1"/>
  <c r="U293" i="83" s="1"/>
  <c r="P230" i="83"/>
  <c r="Q243" i="83" s="1"/>
  <c r="Q296" i="83" s="1"/>
  <c r="G8" i="91"/>
  <c r="I62" i="85"/>
  <c r="I39" i="89"/>
  <c r="I49" i="125"/>
  <c r="E19" i="75"/>
  <c r="H51" i="79"/>
  <c r="E22" i="75"/>
  <c r="H50" i="79"/>
  <c r="I51" i="94" s="1"/>
  <c r="H48" i="79"/>
  <c r="I51" i="95" s="1"/>
  <c r="H54" i="79"/>
  <c r="H49" i="79"/>
  <c r="H52" i="79"/>
  <c r="H53" i="79"/>
  <c r="S244" i="83" l="1"/>
  <c r="S297" i="83" s="1"/>
  <c r="R239" i="83"/>
  <c r="R292" i="83" s="1"/>
  <c r="T239" i="83"/>
  <c r="T292" i="83" s="1"/>
  <c r="Q244" i="83"/>
  <c r="Q297" i="83" s="1"/>
  <c r="U243" i="83"/>
  <c r="U296" i="83" s="1"/>
  <c r="T243" i="83"/>
  <c r="T296" i="83" s="1"/>
  <c r="R240" i="83"/>
  <c r="R293" i="83" s="1"/>
  <c r="U244" i="83"/>
  <c r="U297" i="83" s="1"/>
  <c r="R243" i="83"/>
  <c r="R296" i="83" s="1"/>
  <c r="R244" i="83"/>
  <c r="R297" i="83" s="1"/>
  <c r="Q240" i="83"/>
  <c r="Q293" i="83" s="1"/>
  <c r="Q239" i="83"/>
  <c r="Q292" i="83" s="1"/>
  <c r="T240" i="83"/>
  <c r="T293" i="83" s="1"/>
  <c r="S240" i="83"/>
  <c r="S293" i="83" s="1"/>
  <c r="S243" i="83"/>
  <c r="S296" i="83" s="1"/>
  <c r="U239" i="83"/>
  <c r="U292" i="83" s="1"/>
  <c r="T244" i="83"/>
  <c r="T297" i="83" s="1"/>
  <c r="S239" i="83"/>
  <c r="S292" i="83" s="1"/>
  <c r="S25" i="116"/>
  <c r="I25" i="116"/>
  <c r="E74" i="125"/>
  <c r="O74" i="125"/>
  <c r="T86" i="125" s="1"/>
  <c r="G30" i="86"/>
  <c r="J29" i="86"/>
  <c r="F30" i="86"/>
  <c r="J30" i="86"/>
  <c r="G29" i="86"/>
  <c r="I29" i="86"/>
  <c r="F29" i="86"/>
  <c r="I30" i="86"/>
  <c r="R29" i="86"/>
  <c r="T30" i="86"/>
  <c r="U29" i="86"/>
  <c r="Q29" i="86"/>
  <c r="S30" i="86"/>
  <c r="T29" i="86"/>
  <c r="Q30" i="86"/>
  <c r="U30" i="86"/>
  <c r="R30" i="86"/>
  <c r="S29" i="86"/>
  <c r="H30" i="86"/>
  <c r="H29" i="86"/>
  <c r="F28" i="90"/>
  <c r="U28" i="90"/>
  <c r="J28" i="90"/>
  <c r="G28" i="90"/>
  <c r="I28" i="90"/>
  <c r="S28" i="90"/>
  <c r="Q28" i="90"/>
  <c r="T28" i="90"/>
  <c r="R28" i="90"/>
  <c r="H28" i="90"/>
  <c r="T241" i="83"/>
  <c r="T294" i="83" s="1"/>
  <c r="T245" i="83"/>
  <c r="T298" i="83" s="1"/>
  <c r="S241" i="83"/>
  <c r="S294" i="83" s="1"/>
  <c r="U245" i="83"/>
  <c r="U298" i="83" s="1"/>
  <c r="R241" i="83"/>
  <c r="R294" i="83" s="1"/>
  <c r="S245" i="83"/>
  <c r="S298" i="83" s="1"/>
  <c r="R245" i="83"/>
  <c r="R298" i="83" s="1"/>
  <c r="U241" i="83"/>
  <c r="U294" i="83" s="1"/>
  <c r="Q245" i="83"/>
  <c r="Q298" i="83" s="1"/>
  <c r="Q241" i="83"/>
  <c r="Q294" i="83" s="1"/>
  <c r="T242" i="83"/>
  <c r="T295" i="83" s="1"/>
  <c r="T238" i="83"/>
  <c r="T291" i="83" s="1"/>
  <c r="Q238" i="83"/>
  <c r="Q291" i="83" s="1"/>
  <c r="R238" i="83"/>
  <c r="R291" i="83" s="1"/>
  <c r="Q242" i="83"/>
  <c r="Q295" i="83" s="1"/>
  <c r="U238" i="83"/>
  <c r="U291" i="83" s="1"/>
  <c r="S238" i="83"/>
  <c r="S291" i="83" s="1"/>
  <c r="S242" i="83"/>
  <c r="S295" i="83" s="1"/>
  <c r="U242" i="83"/>
  <c r="U295" i="83" s="1"/>
  <c r="R242" i="83"/>
  <c r="R295" i="83" s="1"/>
  <c r="J88" i="125"/>
  <c r="S94" i="94"/>
  <c r="K46" i="96"/>
  <c r="I20" i="97"/>
  <c r="I53" i="125"/>
  <c r="I55" i="94"/>
  <c r="I129" i="98"/>
  <c r="S99" i="94"/>
  <c r="J54" i="98"/>
  <c r="I43" i="89"/>
  <c r="I66" i="85"/>
  <c r="I264" i="84"/>
  <c r="I50" i="125"/>
  <c r="J35" i="115"/>
  <c r="I44" i="86"/>
  <c r="J51" i="98"/>
  <c r="J38" i="116"/>
  <c r="I126" i="98"/>
  <c r="I40" i="89"/>
  <c r="J15" i="125"/>
  <c r="J45" i="90"/>
  <c r="E228" i="83" a="1"/>
  <c r="E228" i="83" s="1"/>
  <c r="E229" i="83" a="1"/>
  <c r="E229" i="83" s="1"/>
  <c r="E232" i="83" a="1"/>
  <c r="E232" i="83" s="1"/>
  <c r="E230" i="83" a="1"/>
  <c r="E230" i="83" s="1"/>
  <c r="E231" i="83" a="1"/>
  <c r="E231" i="83" s="1"/>
  <c r="P228" i="83" a="1"/>
  <c r="P228" i="83" s="1"/>
  <c r="J92" i="99"/>
  <c r="N46" i="116"/>
  <c r="D46" i="116"/>
  <c r="J45" i="88"/>
  <c r="J86" i="125"/>
  <c r="I63" i="85"/>
  <c r="E24" i="72" a="1"/>
  <c r="E24" i="72" s="1"/>
  <c r="F24" i="72"/>
  <c r="E90" i="125" l="1"/>
  <c r="P68" i="85"/>
  <c r="R70" i="85" s="1"/>
  <c r="P73" i="85" s="1" a="1"/>
  <c r="P73" i="85" s="1"/>
  <c r="E68" i="85"/>
  <c r="G70" i="85" s="1"/>
  <c r="E73" i="85" s="1" a="1"/>
  <c r="E73" i="85" s="1"/>
  <c r="P45" i="89"/>
  <c r="R47" i="89" s="1"/>
  <c r="P50" i="89" s="1" a="1"/>
  <c r="P50" i="89" s="1"/>
  <c r="E45" i="89"/>
  <c r="G47" i="89" s="1"/>
  <c r="E50" i="89" s="1" a="1"/>
  <c r="E50" i="89" s="1"/>
  <c r="E46" i="116"/>
  <c r="E48" i="116" s="1"/>
  <c r="G50" i="116" s="1"/>
  <c r="E53" i="116" s="1" a="1"/>
  <c r="E53" i="116" s="1"/>
  <c r="O46" i="116"/>
  <c r="O48" i="116" s="1"/>
  <c r="Q50" i="116" s="1"/>
  <c r="O53" i="116" s="1" a="1"/>
  <c r="O53" i="116" s="1"/>
  <c r="O55" i="125"/>
  <c r="R585" i="124" s="1"/>
  <c r="E55" i="125"/>
  <c r="H29" i="97"/>
  <c r="H28" i="97"/>
  <c r="H25" i="97"/>
  <c r="H26" i="97"/>
  <c r="H27" i="97"/>
  <c r="G280" i="84"/>
  <c r="J282" i="84"/>
  <c r="J278" i="84"/>
  <c r="F285" i="84"/>
  <c r="I282" i="84"/>
  <c r="G283" i="84"/>
  <c r="I281" i="84"/>
  <c r="J280" i="84"/>
  <c r="J285" i="84"/>
  <c r="J281" i="84"/>
  <c r="F278" i="84"/>
  <c r="G279" i="84"/>
  <c r="I285" i="84"/>
  <c r="F279" i="84"/>
  <c r="F280" i="84"/>
  <c r="J284" i="84"/>
  <c r="G281" i="84"/>
  <c r="G282" i="84"/>
  <c r="G278" i="84"/>
  <c r="I283" i="84"/>
  <c r="F283" i="84"/>
  <c r="G284" i="84"/>
  <c r="G285" i="84"/>
  <c r="J283" i="84"/>
  <c r="I278" i="84"/>
  <c r="F284" i="84"/>
  <c r="I284" i="84"/>
  <c r="J279" i="84"/>
  <c r="I279" i="84"/>
  <c r="F282" i="84"/>
  <c r="I280" i="84"/>
  <c r="F281" i="84"/>
  <c r="R280" i="84"/>
  <c r="S282" i="84"/>
  <c r="P279" i="84"/>
  <c r="Q278" i="84"/>
  <c r="T285" i="84"/>
  <c r="R279" i="84"/>
  <c r="P282" i="84"/>
  <c r="S283" i="84"/>
  <c r="R285" i="84"/>
  <c r="T283" i="84"/>
  <c r="T280" i="84"/>
  <c r="Q279" i="84"/>
  <c r="S284" i="84"/>
  <c r="R283" i="84"/>
  <c r="Q282" i="84"/>
  <c r="P280" i="84"/>
  <c r="S278" i="84"/>
  <c r="P285" i="84"/>
  <c r="T282" i="84"/>
  <c r="R284" i="84"/>
  <c r="S281" i="84"/>
  <c r="S285" i="84"/>
  <c r="T284" i="84"/>
  <c r="R282" i="84"/>
  <c r="R278" i="84"/>
  <c r="T281" i="84"/>
  <c r="Q285" i="84"/>
  <c r="S279" i="84"/>
  <c r="Q281" i="84"/>
  <c r="P284" i="84"/>
  <c r="P278" i="84"/>
  <c r="R281" i="84"/>
  <c r="Q283" i="84"/>
  <c r="Q280" i="84"/>
  <c r="S280" i="84"/>
  <c r="T278" i="84"/>
  <c r="P281" i="84"/>
  <c r="Q284" i="84"/>
  <c r="T279" i="84"/>
  <c r="P283" i="84"/>
  <c r="H278" i="84"/>
  <c r="H283" i="84"/>
  <c r="H279" i="84"/>
  <c r="H280" i="84"/>
  <c r="H284" i="84"/>
  <c r="H285" i="84"/>
  <c r="H281" i="84"/>
  <c r="H282" i="84"/>
  <c r="I49" i="86"/>
  <c r="G50" i="86"/>
  <c r="J50" i="86"/>
  <c r="F49" i="86"/>
  <c r="G49" i="86"/>
  <c r="F50" i="86"/>
  <c r="I50" i="86"/>
  <c r="J49" i="86"/>
  <c r="U49" i="86"/>
  <c r="Q50" i="86"/>
  <c r="T50" i="86"/>
  <c r="R50" i="86"/>
  <c r="S50" i="86"/>
  <c r="Q49" i="86"/>
  <c r="U50" i="86"/>
  <c r="R49" i="86"/>
  <c r="S49" i="86"/>
  <c r="T49" i="86"/>
  <c r="H50" i="86"/>
  <c r="H49" i="86"/>
  <c r="O90" i="125"/>
  <c r="R586" i="124" s="1"/>
  <c r="G243" i="83"/>
  <c r="G296" i="83" s="1"/>
  <c r="J243" i="83"/>
  <c r="J296" i="83" s="1"/>
  <c r="F243" i="83"/>
  <c r="F296" i="83" s="1"/>
  <c r="H243" i="83"/>
  <c r="H296" i="83" s="1"/>
  <c r="H239" i="83"/>
  <c r="H292" i="83" s="1"/>
  <c r="I239" i="83"/>
  <c r="I292" i="83" s="1"/>
  <c r="J239" i="83"/>
  <c r="J292" i="83" s="1"/>
  <c r="G239" i="83"/>
  <c r="G292" i="83" s="1"/>
  <c r="F239" i="83"/>
  <c r="F292" i="83" s="1"/>
  <c r="I243" i="83"/>
  <c r="I296" i="83" s="1"/>
  <c r="Q237" i="83"/>
  <c r="Q290" i="83" s="1"/>
  <c r="R237" i="83"/>
  <c r="R290" i="83" s="1"/>
  <c r="S237" i="83"/>
  <c r="S290" i="83" s="1"/>
  <c r="U237" i="83"/>
  <c r="U290" i="83" s="1"/>
  <c r="T237" i="83"/>
  <c r="T290" i="83" s="1"/>
  <c r="F240" i="83"/>
  <c r="F293" i="83" s="1"/>
  <c r="J244" i="83"/>
  <c r="J297" i="83" s="1"/>
  <c r="J240" i="83"/>
  <c r="J293" i="83" s="1"/>
  <c r="I244" i="83"/>
  <c r="I297" i="83" s="1"/>
  <c r="I240" i="83"/>
  <c r="I293" i="83" s="1"/>
  <c r="H240" i="83"/>
  <c r="H293" i="83" s="1"/>
  <c r="H244" i="83"/>
  <c r="H297" i="83" s="1"/>
  <c r="G244" i="83"/>
  <c r="G297" i="83" s="1"/>
  <c r="F244" i="83"/>
  <c r="F297" i="83" s="1"/>
  <c r="G240" i="83"/>
  <c r="G293" i="83" s="1"/>
  <c r="I242" i="83"/>
  <c r="I295" i="83" s="1"/>
  <c r="G238" i="83"/>
  <c r="G291" i="83" s="1"/>
  <c r="G242" i="83"/>
  <c r="G295" i="83" s="1"/>
  <c r="J238" i="83"/>
  <c r="J291" i="83" s="1"/>
  <c r="F242" i="83"/>
  <c r="F295" i="83" s="1"/>
  <c r="H242" i="83"/>
  <c r="H295" i="83" s="1"/>
  <c r="F238" i="83"/>
  <c r="F291" i="83" s="1"/>
  <c r="J242" i="83"/>
  <c r="J295" i="83" s="1"/>
  <c r="H238" i="83"/>
  <c r="H291" i="83" s="1"/>
  <c r="I238" i="83"/>
  <c r="I291" i="83" s="1"/>
  <c r="J237" i="83"/>
  <c r="J290" i="83" s="1"/>
  <c r="F237" i="83"/>
  <c r="F290" i="83" s="1"/>
  <c r="G237" i="83"/>
  <c r="G290" i="83" s="1"/>
  <c r="H237" i="83"/>
  <c r="H290" i="83" s="1"/>
  <c r="I237" i="83"/>
  <c r="I290" i="83" s="1"/>
  <c r="G241" i="83"/>
  <c r="G294" i="83" s="1"/>
  <c r="H241" i="83"/>
  <c r="H294" i="83" s="1"/>
  <c r="J241" i="83"/>
  <c r="J294" i="83" s="1"/>
  <c r="H245" i="83"/>
  <c r="H298" i="83" s="1"/>
  <c r="I245" i="83"/>
  <c r="I298" i="83" s="1"/>
  <c r="G245" i="83"/>
  <c r="G298" i="83" s="1"/>
  <c r="J245" i="83"/>
  <c r="J298" i="83" s="1"/>
  <c r="I241" i="83"/>
  <c r="I294" i="83" s="1"/>
  <c r="F241" i="83"/>
  <c r="F294" i="83" s="1"/>
  <c r="F245" i="83"/>
  <c r="F298" i="83" s="1"/>
  <c r="G55" i="87"/>
  <c r="J59" i="87"/>
  <c r="H55" i="87"/>
  <c r="T59" i="87"/>
  <c r="Q55" i="87"/>
  <c r="G59" i="87"/>
  <c r="F59" i="87"/>
  <c r="T55" i="87"/>
  <c r="F55" i="87"/>
  <c r="H59" i="87"/>
  <c r="Q59" i="87"/>
  <c r="U55" i="87"/>
  <c r="U59" i="87"/>
  <c r="I59" i="87"/>
  <c r="J55" i="87"/>
  <c r="S55" i="87"/>
  <c r="P30" i="90"/>
  <c r="U43" i="90" s="1"/>
  <c r="R59" i="87"/>
  <c r="E30" i="90"/>
  <c r="J43" i="90" s="1"/>
  <c r="I55" i="87"/>
  <c r="S59" i="87"/>
  <c r="R55" i="87"/>
  <c r="F44" i="80"/>
  <c r="F54" i="80"/>
  <c r="F55" i="80" s="1"/>
  <c r="I16" i="77"/>
  <c r="I15" i="77"/>
  <c r="I14" i="77"/>
  <c r="I13" i="77"/>
  <c r="I12" i="77"/>
  <c r="I11" i="77"/>
  <c r="I10" i="77"/>
  <c r="I9" i="77"/>
  <c r="I8" i="77"/>
  <c r="I7" i="77"/>
  <c r="E22" i="72" s="1"/>
  <c r="U113" i="87" l="1"/>
  <c r="U146" i="87"/>
  <c r="U83" i="87"/>
  <c r="H146" i="87"/>
  <c r="H113" i="87"/>
  <c r="H83" i="87"/>
  <c r="T142" i="87"/>
  <c r="T109" i="87"/>
  <c r="T79" i="87"/>
  <c r="I146" i="87"/>
  <c r="I113" i="87"/>
  <c r="I83" i="87"/>
  <c r="S146" i="87"/>
  <c r="S83" i="87"/>
  <c r="S113" i="87"/>
  <c r="F146" i="87"/>
  <c r="F83" i="87"/>
  <c r="F113" i="87"/>
  <c r="F142" i="87"/>
  <c r="F79" i="87"/>
  <c r="F109" i="87"/>
  <c r="I142" i="87"/>
  <c r="I79" i="87"/>
  <c r="I109" i="87"/>
  <c r="G113" i="87"/>
  <c r="G83" i="87"/>
  <c r="G146" i="87"/>
  <c r="E47" i="90"/>
  <c r="E17" i="13" s="1" a="1"/>
  <c r="E17" i="13" s="1"/>
  <c r="H17" i="13" s="1" a="1"/>
  <c r="H17" i="13" s="1"/>
  <c r="Q142" i="87"/>
  <c r="Q79" i="87"/>
  <c r="Q109" i="87"/>
  <c r="Q146" i="87"/>
  <c r="Q113" i="87"/>
  <c r="Q83" i="87"/>
  <c r="R146" i="87"/>
  <c r="R83" i="87"/>
  <c r="R113" i="87"/>
  <c r="T83" i="87"/>
  <c r="T146" i="87"/>
  <c r="T113" i="87"/>
  <c r="H142" i="87"/>
  <c r="H79" i="87"/>
  <c r="H109" i="87"/>
  <c r="R109" i="87"/>
  <c r="R142" i="87"/>
  <c r="R79" i="87"/>
  <c r="S79" i="87"/>
  <c r="S142" i="87"/>
  <c r="S109" i="87"/>
  <c r="J146" i="87"/>
  <c r="J113" i="87"/>
  <c r="J83" i="87"/>
  <c r="U142" i="87"/>
  <c r="U109" i="87"/>
  <c r="U79" i="87"/>
  <c r="P47" i="90"/>
  <c r="R49" i="90" s="1"/>
  <c r="P52" i="90" s="1" a="1"/>
  <c r="P52" i="90" s="1"/>
  <c r="J79" i="87"/>
  <c r="J142" i="87"/>
  <c r="J109" i="87"/>
  <c r="G142" i="87"/>
  <c r="G79" i="87"/>
  <c r="G109" i="87"/>
  <c r="P300" i="83"/>
  <c r="E300" i="83"/>
  <c r="P52" i="86"/>
  <c r="R54" i="86" s="1"/>
  <c r="P57" i="86" s="1" a="1"/>
  <c r="P57" i="86" s="1"/>
  <c r="O287" i="84"/>
  <c r="Q289" i="84" s="1"/>
  <c r="O292" i="84" s="1" a="1"/>
  <c r="O292" i="84" s="1"/>
  <c r="E52" i="86"/>
  <c r="G54" i="86" s="1"/>
  <c r="E57" i="86" s="1" a="1"/>
  <c r="E57" i="86" s="1"/>
  <c r="F56" i="80"/>
  <c r="F57" i="80" s="1"/>
  <c r="F46" i="80"/>
  <c r="F47" i="80" s="1"/>
  <c r="E287" i="84"/>
  <c r="G289" i="84" s="1"/>
  <c r="E292" i="84" s="1" a="1"/>
  <c r="E292" i="84" s="1"/>
  <c r="G44" i="80"/>
  <c r="G45" i="80" s="1"/>
  <c r="F45" i="80"/>
  <c r="F16" i="13" a="1"/>
  <c r="F16" i="13" s="1"/>
  <c r="I16" i="13" s="1" a="1"/>
  <c r="I16" i="13" s="1"/>
  <c r="E16" i="13" a="1"/>
  <c r="E16" i="13" s="1"/>
  <c r="H16" i="13" s="1" a="1"/>
  <c r="H16" i="13" s="1"/>
  <c r="F13" i="13" a="1"/>
  <c r="F13" i="13" s="1"/>
  <c r="I13" i="13" s="1" a="1"/>
  <c r="I13" i="13" s="1"/>
  <c r="E13" i="13" a="1"/>
  <c r="E13" i="13" s="1"/>
  <c r="H13" i="13" s="1" a="1"/>
  <c r="H13" i="13" s="1"/>
  <c r="G49" i="90" l="1"/>
  <c r="E52" i="90" s="1" a="1"/>
  <c r="E52" i="90" s="1"/>
  <c r="F17" i="13" a="1"/>
  <c r="F17" i="13" s="1"/>
  <c r="I17" i="13" s="1" a="1"/>
  <c r="I17" i="13" s="1"/>
  <c r="E14" i="13" a="1"/>
  <c r="E14" i="13" s="1"/>
  <c r="H14" i="13" s="1" a="1"/>
  <c r="H14" i="13" s="1"/>
  <c r="E12" i="13" a="1"/>
  <c r="E12" i="13" s="1"/>
  <c r="H12" i="13" s="1" a="1"/>
  <c r="H12" i="13" s="1"/>
  <c r="F12" i="13" a="1"/>
  <c r="F12" i="13" s="1"/>
  <c r="I12" i="13" s="1" a="1"/>
  <c r="I12" i="13" s="1"/>
  <c r="P115" i="87"/>
  <c r="E148" i="87"/>
  <c r="G46" i="80"/>
  <c r="G47" i="80" s="1"/>
  <c r="P85" i="87"/>
  <c r="G48" i="80"/>
  <c r="G49" i="80" s="1"/>
  <c r="P148" i="87"/>
  <c r="F14" i="13" a="1"/>
  <c r="F14" i="13" s="1"/>
  <c r="I14" i="13" s="1" a="1"/>
  <c r="I14" i="13" s="1"/>
  <c r="E85" i="87"/>
  <c r="E115" i="87"/>
  <c r="F10" i="13" a="1"/>
  <c r="F10" i="13" s="1"/>
  <c r="I10" i="13" s="1" a="1"/>
  <c r="I10" i="13" s="1"/>
  <c r="E10" i="13" a="1"/>
  <c r="E10" i="13" s="1"/>
  <c r="H10" i="13" s="1" a="1"/>
  <c r="H10" i="13" s="1"/>
  <c r="E10" i="76" l="1" a="1"/>
  <c r="E10" i="76" s="1"/>
  <c r="E9" i="76" a="1"/>
  <c r="E9" i="76" s="1"/>
  <c r="I128" i="98" l="1"/>
  <c r="I125" i="98" s="1"/>
  <c r="I18" i="99"/>
  <c r="I14" i="99" s="1"/>
  <c r="I60" i="99"/>
  <c r="I56" i="99" s="1"/>
  <c r="S98" i="94"/>
  <c r="I54" i="94"/>
  <c r="I50" i="94" s="1"/>
  <c r="J53" i="98"/>
  <c r="J50" i="98" s="1"/>
  <c r="F33" i="93"/>
  <c r="G33" i="93" s="1"/>
  <c r="G16" i="93"/>
  <c r="I16" i="93" s="1"/>
  <c r="H56" i="93"/>
  <c r="F31" i="93"/>
  <c r="G31" i="93" s="1"/>
  <c r="G13" i="93"/>
  <c r="I13" i="93" s="1"/>
  <c r="F30" i="93"/>
  <c r="G30" i="93" s="1"/>
  <c r="G12" i="93"/>
  <c r="H55" i="93"/>
  <c r="F27" i="93"/>
  <c r="G27" i="93" s="1"/>
  <c r="F26" i="93"/>
  <c r="G26" i="93" s="1"/>
  <c r="H54" i="93"/>
  <c r="F25" i="93"/>
  <c r="G18" i="93"/>
  <c r="I18" i="93" s="1"/>
  <c r="F43" i="93"/>
  <c r="G43" i="93" s="1"/>
  <c r="G17" i="93"/>
  <c r="I17" i="93" s="1"/>
  <c r="G15" i="93"/>
  <c r="I15" i="93" s="1"/>
  <c r="F42" i="93"/>
  <c r="G42" i="93" s="1"/>
  <c r="G21" i="93"/>
  <c r="I21" i="93" s="1"/>
  <c r="G20" i="93"/>
  <c r="I20" i="93" s="1"/>
  <c r="F44" i="93"/>
  <c r="G44" i="93" s="1"/>
  <c r="G19" i="93"/>
  <c r="I19" i="93" s="1"/>
  <c r="F28" i="93"/>
  <c r="G28" i="93" s="1"/>
  <c r="G14" i="93"/>
  <c r="I14" i="93" s="1"/>
  <c r="F34" i="93"/>
  <c r="G34" i="93" s="1"/>
  <c r="F32" i="93"/>
  <c r="G32" i="93" s="1"/>
  <c r="F29" i="93"/>
  <c r="G29" i="93" s="1"/>
  <c r="E31" i="13" a="1"/>
  <c r="E31" i="13" s="1"/>
  <c r="H31" i="13" s="1" a="1"/>
  <c r="H31" i="13" s="1"/>
  <c r="E30" i="13" a="1"/>
  <c r="E30" i="13" s="1"/>
  <c r="E29" i="13" a="1"/>
  <c r="E29" i="13" s="1"/>
  <c r="H29" i="13" s="1"/>
  <c r="E28" i="13" a="1"/>
  <c r="E28" i="13" s="1"/>
  <c r="E27" i="13" a="1"/>
  <c r="E27" i="13" s="1"/>
  <c r="H27" i="13" s="1" a="1"/>
  <c r="H27" i="13" s="1"/>
  <c r="E26" i="13" a="1"/>
  <c r="E26" i="13" s="1"/>
  <c r="H26" i="13" s="1"/>
  <c r="F25" i="13" a="1"/>
  <c r="F25" i="13" s="1"/>
  <c r="I25" i="13" s="1" a="1"/>
  <c r="I25" i="13" s="1"/>
  <c r="E25" i="13" a="1"/>
  <c r="E25" i="13" s="1"/>
  <c r="H25" i="13" s="1" a="1"/>
  <c r="H25" i="13" s="1"/>
  <c r="E13" i="72"/>
  <c r="E18" i="75"/>
  <c r="E20" i="75" s="1"/>
  <c r="E21" i="75" s="1"/>
  <c r="E20" i="72"/>
  <c r="F74" i="99" l="1"/>
  <c r="F73" i="99"/>
  <c r="F66" i="99"/>
  <c r="F72" i="99"/>
  <c r="F71" i="99"/>
  <c r="F70" i="99"/>
  <c r="F69" i="99"/>
  <c r="F68" i="99"/>
  <c r="F67" i="99"/>
  <c r="F75" i="99"/>
  <c r="F65" i="99"/>
  <c r="F143" i="98"/>
  <c r="F144" i="98"/>
  <c r="F138" i="98"/>
  <c r="F140" i="98"/>
  <c r="F141" i="98"/>
  <c r="F139" i="98"/>
  <c r="F142" i="98"/>
  <c r="F137" i="98"/>
  <c r="I55" i="93"/>
  <c r="J55" i="93"/>
  <c r="I12" i="93"/>
  <c r="P11" i="94" a="1"/>
  <c r="E25" i="97" a="1"/>
  <c r="E320" i="124" a="1"/>
  <c r="E320" i="124" s="1"/>
  <c r="I56" i="93"/>
  <c r="J56" i="93"/>
  <c r="D5" i="13"/>
  <c r="E30" i="101"/>
  <c r="D24" i="82"/>
  <c r="D10" i="82"/>
  <c r="D25" i="82"/>
  <c r="D28" i="82"/>
  <c r="D29" i="82"/>
  <c r="D37" i="72"/>
  <c r="D79" i="13"/>
  <c r="D74" i="13"/>
  <c r="J17" i="125"/>
  <c r="J14" i="125" s="1"/>
  <c r="J37" i="115"/>
  <c r="J34" i="115" s="1" a="1"/>
  <c r="J34" i="115" s="1"/>
  <c r="K48" i="96"/>
  <c r="K45" i="96" s="1"/>
  <c r="E50" i="96" s="1"/>
  <c r="J46" i="88"/>
  <c r="J44" i="88" s="1"/>
  <c r="G25" i="93"/>
  <c r="E252" i="124" s="1" a="1"/>
  <c r="P21" i="94" a="1"/>
  <c r="N106" i="94"/>
  <c r="N105" i="94"/>
  <c r="O108" i="94" a="1"/>
  <c r="O108" i="94" s="1"/>
  <c r="J54" i="93"/>
  <c r="F20" i="96" a="1"/>
  <c r="F20" i="96" s="1"/>
  <c r="I54" i="93"/>
  <c r="G20" i="96" a="1"/>
  <c r="F30" i="13"/>
  <c r="I30" i="13" s="1" a="1"/>
  <c r="I30" i="13" s="1"/>
  <c r="H30" i="13" a="1"/>
  <c r="H30" i="13" s="1"/>
  <c r="F28" i="13"/>
  <c r="I28" i="13" s="1" a="1"/>
  <c r="I28" i="13" s="1"/>
  <c r="H28" i="13" a="1"/>
  <c r="H28" i="13" s="1"/>
  <c r="F26" i="13"/>
  <c r="I26" i="13" s="1"/>
  <c r="F27" i="13"/>
  <c r="I27" i="13" s="1" a="1"/>
  <c r="I27" i="13" s="1"/>
  <c r="F29" i="13"/>
  <c r="I29" i="13" s="1"/>
  <c r="F31" i="13"/>
  <c r="I31" i="13" s="1" a="1"/>
  <c r="I31" i="13" s="1"/>
  <c r="R51" i="88" l="1"/>
  <c r="H51" i="88"/>
  <c r="G51" i="88"/>
  <c r="Q51" i="88"/>
  <c r="I51" i="88"/>
  <c r="S51" i="88"/>
  <c r="J51" i="88"/>
  <c r="T51" i="88"/>
  <c r="F51" i="88"/>
  <c r="U51" i="88"/>
  <c r="O19" i="125"/>
  <c r="R584" i="124" s="1"/>
  <c r="E19" i="125"/>
  <c r="J584" i="124" s="1"/>
  <c r="E40" i="115"/>
  <c r="O40" i="115"/>
  <c r="N108" i="94"/>
  <c r="S93" i="94" s="1"/>
  <c r="I37" i="101"/>
  <c r="I39" i="101"/>
  <c r="I47" i="101"/>
  <c r="I46" i="101"/>
  <c r="I38" i="101"/>
  <c r="I48" i="101"/>
  <c r="H320" i="124" a="1"/>
  <c r="H320" i="124" s="1"/>
  <c r="F320" i="124" a="1"/>
  <c r="G320" i="124" a="1"/>
  <c r="G320" i="124" s="1"/>
  <c r="G20" i="96"/>
  <c r="E25" i="97"/>
  <c r="P11" i="94"/>
  <c r="Q13" i="94"/>
  <c r="Q16" i="94"/>
  <c r="Q15" i="94"/>
  <c r="Q19" i="94"/>
  <c r="Q14" i="94"/>
  <c r="Q17" i="94"/>
  <c r="Q20" i="94"/>
  <c r="Q18" i="94"/>
  <c r="Q12" i="94"/>
  <c r="P21" i="94"/>
  <c r="Q21" i="94" s="1"/>
  <c r="Q29" i="94"/>
  <c r="Q22" i="94"/>
  <c r="Q25" i="94"/>
  <c r="Q27" i="94"/>
  <c r="Q26" i="94"/>
  <c r="Q28" i="94"/>
  <c r="Q23" i="94"/>
  <c r="Q30" i="94"/>
  <c r="Q24" i="94"/>
  <c r="E35" i="94" a="1"/>
  <c r="E35" i="94" s="1"/>
  <c r="G35" i="94" s="1"/>
  <c r="E76" i="94" s="1"/>
  <c r="E31" i="95" a="1"/>
  <c r="E31" i="95" s="1"/>
  <c r="G31" i="95" s="1"/>
  <c r="E70" i="95" s="1"/>
  <c r="E36" i="95" a="1"/>
  <c r="E36" i="95" s="1"/>
  <c r="G36" i="95" s="1"/>
  <c r="E75" i="95" s="1"/>
  <c r="E28" i="94" a="1"/>
  <c r="E28" i="94" s="1"/>
  <c r="G28" i="94" s="1"/>
  <c r="E69" i="94" s="1"/>
  <c r="E24" i="95" a="1"/>
  <c r="E24" i="95" s="1"/>
  <c r="G24" i="95" s="1"/>
  <c r="E63" i="95" s="1"/>
  <c r="E32" i="94" a="1"/>
  <c r="E32" i="94" s="1"/>
  <c r="G32" i="94" s="1"/>
  <c r="E73" i="94" s="1"/>
  <c r="E33" i="94" a="1"/>
  <c r="E33" i="94" s="1"/>
  <c r="G33" i="94" s="1"/>
  <c r="E74" i="94" s="1"/>
  <c r="E19" i="94" a="1"/>
  <c r="E19" i="94" s="1"/>
  <c r="G19" i="94" s="1"/>
  <c r="E60" i="94" s="1"/>
  <c r="E26" i="94" a="1"/>
  <c r="E26" i="94" s="1"/>
  <c r="G26" i="94" s="1"/>
  <c r="E67" i="94" s="1"/>
  <c r="E34" i="95" a="1"/>
  <c r="E34" i="95" s="1"/>
  <c r="G34" i="95" s="1"/>
  <c r="E73" i="95" s="1"/>
  <c r="E29" i="95" a="1"/>
  <c r="E29" i="95" s="1"/>
  <c r="G29" i="95" s="1"/>
  <c r="E68" i="95" s="1"/>
  <c r="E37" i="95" a="1"/>
  <c r="E37" i="95" s="1"/>
  <c r="G37" i="95" s="1"/>
  <c r="E76" i="95" s="1"/>
  <c r="E27" i="95" a="1"/>
  <c r="E27" i="95" s="1"/>
  <c r="G27" i="95" s="1"/>
  <c r="E66" i="95" s="1"/>
  <c r="E22" i="95" a="1"/>
  <c r="E22" i="95" s="1"/>
  <c r="G22" i="95" s="1"/>
  <c r="E61" i="95" s="1"/>
  <c r="E24" i="94" a="1"/>
  <c r="E24" i="94" s="1"/>
  <c r="G24" i="94" s="1"/>
  <c r="E65" i="94" s="1"/>
  <c r="E20" i="95" a="1"/>
  <c r="E20" i="95" s="1"/>
  <c r="G20" i="95" s="1"/>
  <c r="E59" i="95" s="1"/>
  <c r="E32" i="95" a="1"/>
  <c r="E32" i="95" s="1"/>
  <c r="G32" i="95" s="1"/>
  <c r="E71" i="95" s="1"/>
  <c r="E20" i="94" a="1"/>
  <c r="E20" i="94" s="1"/>
  <c r="G20" i="94" s="1"/>
  <c r="E61" i="94" s="1"/>
  <c r="E33" i="95" a="1"/>
  <c r="E33" i="95" s="1"/>
  <c r="G33" i="95" s="1"/>
  <c r="E72" i="95" s="1"/>
  <c r="E36" i="94" a="1"/>
  <c r="E36" i="94" s="1"/>
  <c r="G36" i="94" s="1"/>
  <c r="E77" i="94" s="1"/>
  <c r="E25" i="95" a="1"/>
  <c r="E25" i="95" s="1"/>
  <c r="G25" i="95" s="1"/>
  <c r="E64" i="95" s="1"/>
  <c r="E35" i="95" a="1"/>
  <c r="E35" i="95" s="1"/>
  <c r="G35" i="95" s="1"/>
  <c r="E74" i="95" s="1"/>
  <c r="E29" i="94" a="1"/>
  <c r="E29" i="94" s="1"/>
  <c r="G29" i="94" s="1"/>
  <c r="E70" i="94" s="1"/>
  <c r="E34" i="94" a="1"/>
  <c r="E34" i="94" s="1"/>
  <c r="G34" i="94" s="1"/>
  <c r="E75" i="94" s="1"/>
  <c r="E28" i="95" a="1"/>
  <c r="E28" i="95" s="1"/>
  <c r="G28" i="95" s="1"/>
  <c r="E67" i="95" s="1"/>
  <c r="E22" i="94" a="1"/>
  <c r="E22" i="94" s="1"/>
  <c r="G22" i="94" s="1"/>
  <c r="E63" i="94" s="1"/>
  <c r="E27" i="94" a="1"/>
  <c r="E27" i="94" s="1"/>
  <c r="G27" i="94" s="1"/>
  <c r="E68" i="94" s="1"/>
  <c r="E21" i="95" a="1"/>
  <c r="E21" i="95" s="1"/>
  <c r="G21" i="95" s="1"/>
  <c r="E60" i="95" s="1"/>
  <c r="E25" i="94" a="1"/>
  <c r="E25" i="94" s="1"/>
  <c r="G25" i="94" s="1"/>
  <c r="E66" i="94" s="1"/>
  <c r="E21" i="94" a="1"/>
  <c r="E21" i="94" s="1"/>
  <c r="G21" i="94" s="1"/>
  <c r="E62" i="94" s="1"/>
  <c r="E23" i="95" a="1"/>
  <c r="E23" i="95" s="1"/>
  <c r="G23" i="95" s="1"/>
  <c r="E62" i="95" s="1"/>
  <c r="E37" i="94" a="1"/>
  <c r="E37" i="94" s="1"/>
  <c r="G37" i="94" s="1"/>
  <c r="E78" i="94" s="1"/>
  <c r="E30" i="94" a="1"/>
  <c r="E30" i="94" s="1"/>
  <c r="G30" i="94" s="1"/>
  <c r="E71" i="94" s="1"/>
  <c r="E26" i="95" a="1"/>
  <c r="E26" i="95" s="1"/>
  <c r="G26" i="95" s="1"/>
  <c r="E65" i="95" s="1"/>
  <c r="E30" i="95" a="1"/>
  <c r="E30" i="95" s="1"/>
  <c r="G30" i="95" s="1"/>
  <c r="E69" i="95" s="1"/>
  <c r="E23" i="94" a="1"/>
  <c r="E23" i="94" s="1"/>
  <c r="G23" i="94" s="1"/>
  <c r="E64" i="94" s="1"/>
  <c r="E19" i="95" a="1"/>
  <c r="E19" i="95" s="1"/>
  <c r="G19" i="95" s="1"/>
  <c r="E58" i="95" s="1"/>
  <c r="E31" i="94" a="1"/>
  <c r="E31" i="94" s="1"/>
  <c r="G31" i="94" s="1"/>
  <c r="E72" i="94" s="1"/>
  <c r="E236" i="124" a="1"/>
  <c r="E252" i="124"/>
  <c r="R302" i="83"/>
  <c r="P305" i="83" s="1" a="1"/>
  <c r="P305" i="83" s="1"/>
  <c r="G302" i="83"/>
  <c r="E305" i="83" s="1" a="1"/>
  <c r="E305" i="83" s="1"/>
  <c r="J245" i="124" l="1"/>
  <c r="J244" i="124"/>
  <c r="J243" i="124"/>
  <c r="J242" i="124"/>
  <c r="J241" i="124"/>
  <c r="J240" i="124"/>
  <c r="J239" i="124"/>
  <c r="J238" i="124"/>
  <c r="J237" i="124"/>
  <c r="K237" i="124"/>
  <c r="H243" i="124"/>
  <c r="H241" i="124"/>
  <c r="H237" i="124"/>
  <c r="K244" i="124"/>
  <c r="H240" i="124"/>
  <c r="H242" i="124"/>
  <c r="K243" i="124"/>
  <c r="K242" i="124"/>
  <c r="K245" i="124"/>
  <c r="H238" i="124"/>
  <c r="H245" i="124"/>
  <c r="K238" i="124"/>
  <c r="K241" i="124"/>
  <c r="K239" i="124"/>
  <c r="H244" i="124"/>
  <c r="H239" i="124"/>
  <c r="K240" i="124"/>
  <c r="G239" i="124"/>
  <c r="G241" i="124"/>
  <c r="G245" i="124"/>
  <c r="G238" i="124"/>
  <c r="G237" i="124"/>
  <c r="G240" i="124"/>
  <c r="G242" i="124"/>
  <c r="G244" i="124"/>
  <c r="G243" i="124"/>
  <c r="M588" i="124"/>
  <c r="O590" i="124" s="1"/>
  <c r="M593" i="124" s="1" a="1"/>
  <c r="M593" i="124" s="1"/>
  <c r="P53" i="88"/>
  <c r="R55" i="88" s="1"/>
  <c r="P58" i="88" s="1" a="1"/>
  <c r="P58" i="88" s="1"/>
  <c r="E25" i="99"/>
  <c r="F25" i="99" s="1"/>
  <c r="E21" i="98"/>
  <c r="E39" i="99"/>
  <c r="F39" i="99" s="1"/>
  <c r="E35" i="98"/>
  <c r="E53" i="88"/>
  <c r="E30" i="98"/>
  <c r="E34" i="99"/>
  <c r="F34" i="99" s="1"/>
  <c r="E31" i="97"/>
  <c r="E21" i="13" s="1" a="1"/>
  <c r="E21" i="13" s="1"/>
  <c r="E25" i="98"/>
  <c r="E29" i="99"/>
  <c r="F29" i="99" s="1"/>
  <c r="E37" i="98"/>
  <c r="E41" i="99"/>
  <c r="F41" i="99" s="1"/>
  <c r="E24" i="99"/>
  <c r="F24" i="99" s="1"/>
  <c r="E20" i="98"/>
  <c r="E32" i="99"/>
  <c r="F32" i="99" s="1"/>
  <c r="E28" i="98"/>
  <c r="E103" i="98"/>
  <c r="E135" i="98" s="1"/>
  <c r="F135" i="98" s="1"/>
  <c r="E66" i="99"/>
  <c r="E102" i="98"/>
  <c r="E134" i="98" s="1"/>
  <c r="F134" i="98" s="1"/>
  <c r="E32" i="96"/>
  <c r="K44" i="96" s="1"/>
  <c r="E65" i="99"/>
  <c r="E28" i="99"/>
  <c r="F28" i="99" s="1"/>
  <c r="E24" i="98"/>
  <c r="E67" i="99"/>
  <c r="E104" i="98"/>
  <c r="E136" i="98" s="1"/>
  <c r="F136" i="98" s="1"/>
  <c r="E31" i="98"/>
  <c r="E35" i="99"/>
  <c r="F35" i="99" s="1"/>
  <c r="E38" i="99"/>
  <c r="F38" i="99" s="1"/>
  <c r="E34" i="98"/>
  <c r="G42" i="115"/>
  <c r="E45" i="115" s="1" a="1"/>
  <c r="E45" i="115" s="1"/>
  <c r="E24" i="13" a="1"/>
  <c r="E24" i="13" s="1"/>
  <c r="H24" i="13" s="1" a="1"/>
  <c r="H24" i="13" s="1"/>
  <c r="E50" i="101"/>
  <c r="E31" i="99"/>
  <c r="F31" i="99" s="1"/>
  <c r="E27" i="98"/>
  <c r="E236" i="124"/>
  <c r="E78" i="95"/>
  <c r="E19" i="13" s="1" a="1"/>
  <c r="E19" i="13" s="1"/>
  <c r="E29" i="98"/>
  <c r="E33" i="99"/>
  <c r="F33" i="99" s="1"/>
  <c r="E26" i="98"/>
  <c r="E30" i="99"/>
  <c r="F30" i="99" s="1"/>
  <c r="N34" i="94"/>
  <c r="Q11" i="94"/>
  <c r="N33" i="94" s="1"/>
  <c r="S92" i="94" s="1"/>
  <c r="N110" i="94" s="1"/>
  <c r="Q42" i="115"/>
  <c r="O45" i="115" s="1" a="1"/>
  <c r="O45" i="115" s="1"/>
  <c r="F24" i="13" a="1"/>
  <c r="F24" i="13" s="1"/>
  <c r="I24" i="13" s="1" a="1"/>
  <c r="I24" i="13" s="1"/>
  <c r="F320" i="124"/>
  <c r="E23" i="98"/>
  <c r="E27" i="99"/>
  <c r="F27" i="99" s="1"/>
  <c r="E19" i="98"/>
  <c r="E23" i="99"/>
  <c r="F23" i="99" s="1"/>
  <c r="E22" i="98"/>
  <c r="E26" i="99"/>
  <c r="F26" i="99" s="1"/>
  <c r="E33" i="98"/>
  <c r="E37" i="99"/>
  <c r="F37" i="99" s="1"/>
  <c r="E41" i="101"/>
  <c r="E36" i="98"/>
  <c r="E40" i="99"/>
  <c r="F40" i="99" s="1"/>
  <c r="E32" i="98"/>
  <c r="E36" i="99"/>
  <c r="F36" i="99" s="1"/>
  <c r="F11" i="13" a="1"/>
  <c r="F11" i="13" s="1"/>
  <c r="I11" i="13" s="1" a="1"/>
  <c r="I11" i="13" s="1"/>
  <c r="E11" i="13" a="1"/>
  <c r="E11" i="13" s="1"/>
  <c r="H11" i="13" s="1" a="1"/>
  <c r="H11" i="13" s="1"/>
  <c r="J236" i="124" l="1"/>
  <c r="E264" i="124" s="1"/>
  <c r="H236" i="124"/>
  <c r="E266" i="124" s="1"/>
  <c r="E58" i="13" s="1" a="1"/>
  <c r="E58" i="13" s="1"/>
  <c r="H58" i="13" s="1"/>
  <c r="K236" i="124"/>
  <c r="E267" i="124" s="1"/>
  <c r="F58" i="13" s="1" a="1"/>
  <c r="F58" i="13" s="1"/>
  <c r="I58" i="13" s="1"/>
  <c r="G236" i="124"/>
  <c r="E263" i="124" s="1"/>
  <c r="H33" i="98"/>
  <c r="E73" i="98" s="1"/>
  <c r="F73" i="98" s="1"/>
  <c r="H29" i="98"/>
  <c r="E69" i="98" s="1"/>
  <c r="F69" i="98" s="1"/>
  <c r="H24" i="98"/>
  <c r="E64" i="98" s="1"/>
  <c r="F64" i="98" s="1"/>
  <c r="H25" i="98"/>
  <c r="E65" i="98" s="1"/>
  <c r="F65" i="98" s="1"/>
  <c r="H19" i="98"/>
  <c r="E59" i="98" s="1"/>
  <c r="F59" i="98" s="1"/>
  <c r="H27" i="98"/>
  <c r="E67" i="98" s="1"/>
  <c r="F67" i="98" s="1"/>
  <c r="H30" i="98"/>
  <c r="E70" i="98" s="1"/>
  <c r="F70" i="98" s="1"/>
  <c r="H37" i="98"/>
  <c r="E77" i="98" s="1"/>
  <c r="F77" i="98" s="1"/>
  <c r="H23" i="98"/>
  <c r="E63" i="98" s="1"/>
  <c r="F63" i="98" s="1"/>
  <c r="H35" i="98"/>
  <c r="E75" i="98" s="1"/>
  <c r="F75" i="98" s="1"/>
  <c r="H22" i="98"/>
  <c r="E62" i="98" s="1"/>
  <c r="F62" i="98" s="1"/>
  <c r="H28" i="98"/>
  <c r="E68" i="98" s="1"/>
  <c r="F68" i="98" s="1"/>
  <c r="H21" i="98"/>
  <c r="E61" i="98" s="1"/>
  <c r="F61" i="98" s="1"/>
  <c r="H26" i="98"/>
  <c r="E66" i="98" s="1"/>
  <c r="F66" i="98" s="1"/>
  <c r="H34" i="98"/>
  <c r="E74" i="98" s="1"/>
  <c r="F74" i="98" s="1"/>
  <c r="H32" i="98"/>
  <c r="E72" i="98" s="1"/>
  <c r="F72" i="98" s="1"/>
  <c r="H20" i="98"/>
  <c r="E60" i="98" s="1"/>
  <c r="F60" i="98" s="1"/>
  <c r="H36" i="98"/>
  <c r="E76" i="98" s="1"/>
  <c r="F76" i="98" s="1"/>
  <c r="H31" i="98"/>
  <c r="E71" i="98" s="1"/>
  <c r="F71" i="98" s="1"/>
  <c r="E146" i="98"/>
  <c r="G148" i="98" s="1"/>
  <c r="E151" i="98" s="1" a="1"/>
  <c r="E151" i="98" s="1"/>
  <c r="F15" i="13" a="1"/>
  <c r="F15" i="13" s="1"/>
  <c r="I15" i="13" s="1" a="1"/>
  <c r="I15" i="13" s="1"/>
  <c r="P112" i="94"/>
  <c r="N115" i="94" s="1" a="1"/>
  <c r="N115" i="94" s="1"/>
  <c r="F18" i="13" a="1"/>
  <c r="F18" i="13" s="1"/>
  <c r="I18" i="13" s="1" a="1"/>
  <c r="I18" i="13" s="1"/>
  <c r="N35" i="94"/>
  <c r="F21" i="13"/>
  <c r="I21" i="13" s="1"/>
  <c r="H21" i="13"/>
  <c r="G55" i="88"/>
  <c r="E58" i="88" s="1" a="1"/>
  <c r="E58" i="88" s="1"/>
  <c r="E15" i="13" a="1"/>
  <c r="E15" i="13" s="1"/>
  <c r="H15" i="13" s="1" a="1"/>
  <c r="H15" i="13" s="1"/>
  <c r="I565" i="124"/>
  <c r="J34" i="102"/>
  <c r="I566" i="124"/>
  <c r="J35" i="102"/>
  <c r="E80" i="94"/>
  <c r="E43" i="99"/>
  <c r="J89" i="99" s="1"/>
  <c r="F19" i="13"/>
  <c r="I19" i="13" s="1"/>
  <c r="H19" i="13"/>
  <c r="E77" i="99"/>
  <c r="J90" i="99" s="1"/>
  <c r="E332" i="124"/>
  <c r="F60" i="13" s="1" a="1"/>
  <c r="F60" i="13" s="1"/>
  <c r="I60" i="13" s="1"/>
  <c r="E331" i="124"/>
  <c r="E60" i="13" s="1" a="1"/>
  <c r="E60" i="13" s="1"/>
  <c r="H60" i="13" s="1"/>
  <c r="G52" i="96"/>
  <c r="E55" i="96" s="1" a="1"/>
  <c r="E55" i="96" s="1"/>
  <c r="E20" i="13" a="1"/>
  <c r="E20" i="13" s="1"/>
  <c r="E94" i="99" l="1"/>
  <c r="E79" i="98"/>
  <c r="G81" i="98" s="1"/>
  <c r="E84" i="98" s="1" a="1"/>
  <c r="E84" i="98" s="1"/>
  <c r="I71" i="13"/>
  <c r="H71" i="13"/>
  <c r="J586" i="124"/>
  <c r="E22" i="13" a="1"/>
  <c r="E22" i="13" s="1"/>
  <c r="F22" i="13" s="1"/>
  <c r="I22" i="13" s="1" a="1"/>
  <c r="I22" i="13" s="1"/>
  <c r="J585" i="124"/>
  <c r="H20" i="13" a="1"/>
  <c r="H20" i="13" s="1"/>
  <c r="F20" i="13"/>
  <c r="I20" i="13" s="1" a="1"/>
  <c r="I20" i="13" s="1"/>
  <c r="G82" i="94"/>
  <c r="E85" i="94" s="1" a="1"/>
  <c r="E85" i="94" s="1"/>
  <c r="E18" i="13" a="1"/>
  <c r="E18" i="13" s="1"/>
  <c r="H18" i="13" s="1" a="1"/>
  <c r="H18" i="13" s="1"/>
  <c r="R46" i="94"/>
  <c r="R60" i="94"/>
  <c r="R76" i="94"/>
  <c r="E588" i="124" l="1"/>
  <c r="G590" i="124" s="1"/>
  <c r="E593" i="124" s="1" a="1"/>
  <c r="E593" i="124" s="1"/>
  <c r="N63" i="94"/>
  <c r="O106" i="94" s="1"/>
  <c r="N49" i="94"/>
  <c r="O105" i="94" s="1"/>
  <c r="N79" i="94"/>
  <c r="O107" i="94" s="1"/>
  <c r="E23" i="13" a="1"/>
  <c r="E23" i="13" s="1"/>
  <c r="F23" i="13" s="1"/>
  <c r="I23" i="13" s="1" a="1"/>
  <c r="I23" i="13" s="1"/>
  <c r="I43" i="13" s="1"/>
  <c r="F82" i="13" s="1"/>
  <c r="G96" i="99"/>
  <c r="E99" i="99" s="1" a="1"/>
  <c r="E99" i="99" s="1"/>
  <c r="H22" i="13" a="1"/>
  <c r="H22" i="13" s="1"/>
  <c r="H23" i="13" l="1" a="1"/>
  <c r="H23" i="13" s="1"/>
  <c r="H43" i="13" s="1"/>
  <c r="E82" i="13" s="1"/>
  <c r="E83" i="13" s="1"/>
  <c r="E37" i="80" s="1"/>
  <c r="F83" i="13"/>
  <c r="F37" i="80" s="1"/>
  <c r="F36" i="80"/>
  <c r="F53" i="72"/>
  <c r="E53" i="72" l="1"/>
  <c r="E57" i="72" s="1"/>
  <c r="E36" i="80"/>
  <c r="H54" i="80" s="1"/>
  <c r="H49" i="80"/>
  <c r="H57" i="80"/>
  <c r="H59" i="80"/>
  <c r="H45" i="80"/>
  <c r="H47" i="80"/>
  <c r="H55" i="80"/>
  <c r="F77" i="72"/>
  <c r="F81" i="72" s="1"/>
  <c r="F57" i="72"/>
  <c r="I48" i="80"/>
  <c r="I56" i="80"/>
  <c r="I44" i="80"/>
  <c r="I46" i="80"/>
  <c r="I54" i="80"/>
  <c r="I58" i="80"/>
  <c r="I49" i="80"/>
  <c r="I59" i="80"/>
  <c r="I45" i="80"/>
  <c r="I55" i="80"/>
  <c r="I57" i="80"/>
  <c r="I47" i="80"/>
  <c r="H46" i="80" l="1"/>
  <c r="H44" i="80"/>
  <c r="H58" i="80"/>
  <c r="H48" i="80"/>
  <c r="H56" i="80"/>
  <c r="E77" i="72"/>
  <c r="E81" i="7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<sst xmlns="http://schemas.openxmlformats.org/spreadsheetml/2006/main" count="10187" uniqueCount="3161">
  <si>
    <t>INPUTS</t>
  </si>
  <si>
    <t>APPENDICES</t>
  </si>
  <si>
    <t>CALCULATIONS</t>
  </si>
  <si>
    <t>Scope 1 source</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</si>
  <si>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</si>
  <si>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</si>
  <si>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</si>
  <si>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</si>
  <si>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</si>
  <si>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</si>
  <si>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</si>
  <si>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</si>
  <si>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</si>
  <si>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</si>
  <si>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</si>
  <si>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</si>
  <si>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</si>
  <si>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</si>
  <si>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Liveweight sold</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</si>
  <si>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</si>
  <si>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</si>
  <si>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</si>
  <si>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</si>
  <si>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</si>
  <si>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</si>
  <si>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</si>
  <si>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</si>
  <si>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</si>
  <si>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</si>
  <si>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</si>
  <si>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</si>
  <si>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</si>
  <si>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</si>
  <si>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</si>
  <si>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</si>
  <si>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</si>
  <si>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</si>
  <si>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</si>
  <si>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</si>
  <si>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</si>
  <si>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</si>
  <si>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</si>
  <si>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</si>
  <si>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</si>
  <si>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</si>
  <si>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</si>
  <si>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</si>
  <si>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</si>
  <si>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</si>
  <si>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</si>
  <si>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</si>
  <si>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</si>
  <si>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</si>
  <si>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</si>
  <si>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</si>
  <si>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</si>
  <si>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</si>
  <si>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</si>
  <si>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</si>
  <si>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</si>
  <si>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</si>
  <si>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</si>
  <si>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</si>
  <si>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</si>
  <si>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</si>
  <si>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</si>
  <si>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</si>
  <si>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</si>
  <si>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</si>
  <si>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</si>
  <si>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</si>
  <si>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</si>
  <si>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</si>
  <si>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</si>
  <si>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</si>
  <si>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</si>
  <si>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</si>
  <si>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</si>
  <si>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</si>
  <si>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</si>
  <si>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</si>
  <si>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</si>
  <si>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</si>
  <si>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</si>
  <si>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</si>
  <si>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</si>
  <si>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</si>
  <si>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</si>
  <si>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</si>
  <si>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</si>
  <si>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</si>
  <si>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</si>
  <si>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</si>
  <si>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</si>
  <si>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</si>
  <si>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</si>
  <si>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</si>
  <si>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</si>
  <si>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</si>
  <si>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</si>
  <si>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</si>
  <si>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</si>
  <si>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</si>
  <si>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</si>
  <si>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</si>
  <si>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</si>
  <si>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</si>
  <si>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</si>
  <si>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</si>
  <si>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</si>
  <si>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</si>
  <si>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</si>
  <si>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</si>
  <si>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</si>
  <si>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</si>
  <si>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</si>
  <si>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</si>
  <si>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</si>
  <si>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</si>
  <si>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t co2e/t liveweight sold</t>
  </si>
  <si>
    <t>Emissions intensity (Method 1)</t>
  </si>
  <si>
    <t>Emissions intensity (Method 2)</t>
  </si>
  <si>
    <t>Product type</t>
  </si>
  <si>
    <t>Main product</t>
  </si>
  <si>
    <t>Co-product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</si>
  <si>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</si>
  <si>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</si>
  <si>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</si>
  <si>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</si>
  <si>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</si>
  <si>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</si>
  <si>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</si>
  <si>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</si>
  <si>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</si>
  <si>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</si>
  <si>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</si>
  <si>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</si>
  <si>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</si>
  <si>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</si>
  <si>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</si>
  <si>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</si>
  <si>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</si>
  <si>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</si>
  <si>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</si>
  <si>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</si>
  <si>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</si>
  <si>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</si>
  <si>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</si>
  <si>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Percentage of income from liveweight sold</t>
  </si>
  <si>
    <t>Percentage of income from manure sold</t>
  </si>
  <si>
    <t>Product emissions - Mass</t>
  </si>
  <si>
    <t>Product emissions - Economic</t>
  </si>
  <si>
    <t>Mass emissions assignment</t>
  </si>
  <si>
    <t>Economic emissions assignment</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</si>
  <si>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</si>
  <si>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</si>
  <si>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</si>
  <si>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</si>
  <si>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</si>
  <si>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</si>
  <si>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</si>
  <si>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</si>
  <si>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</si>
  <si>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</si>
  <si>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3.3.1.1-2 Enteric methane</t>
  </si>
  <si>
    <t>4.3.1.1-2 Manure methane</t>
  </si>
  <si>
    <t>4.3.1.3-4 Manure direct N2O</t>
  </si>
  <si>
    <t>4.3.1.5 Manure atmospheric deposition</t>
  </si>
  <si>
    <t>4.3.1.6-7 Manure leaching and runoff</t>
  </si>
  <si>
    <t>4.3.1.9 Soil direct N2O</t>
  </si>
  <si>
    <t>4.3.1.10-11 Soil atmospheric deposition</t>
  </si>
  <si>
    <t>4.3.1.12-13 Soil leaching and runoff</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</si>
  <si>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</si>
  <si>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</si>
  <si>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</si>
  <si>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</si>
  <si>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</si>
  <si>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</si>
  <si>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</si>
  <si>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</si>
  <si>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Milk produced</t>
  </si>
  <si>
    <t>Milk produced unit</t>
  </si>
  <si>
    <t>Percentage of income from milk sold</t>
  </si>
  <si>
    <t>Manure sold</t>
  </si>
  <si>
    <t>Milk sold - excluding removals</t>
  </si>
  <si>
    <t>Milk sold - net emissions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</si>
  <si>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</si>
  <si>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</si>
  <si>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</si>
  <si>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</si>
  <si>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</si>
  <si>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</si>
  <si>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</si>
  <si>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</si>
  <si>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</si>
  <si>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</si>
  <si>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</si>
  <si>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</si>
  <si>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</si>
  <si>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</si>
  <si>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</si>
  <si>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</si>
  <si>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</si>
  <si>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</si>
  <si>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</si>
  <si>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</si>
  <si>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</si>
  <si>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</si>
  <si>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</si>
  <si>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</si>
  <si>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</si>
  <si>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</si>
  <si>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</si>
  <si>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</si>
  <si>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</si>
  <si>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</si>
  <si>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</si>
  <si>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</si>
  <si>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</si>
  <si>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</si>
  <si>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</si>
  <si>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</si>
  <si>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</si>
  <si>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</si>
  <si>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</si>
  <si>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</si>
  <si>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</si>
  <si>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</si>
  <si>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</si>
  <si>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</si>
  <si>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</si>
  <si>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</si>
  <si>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</si>
  <si>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</si>
  <si>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</si>
  <si>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</si>
  <si>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</si>
  <si>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Manure used as fertiliser on own farm</t>
  </si>
  <si>
    <t>Results - Activity period</t>
  </si>
  <si>
    <t>Scope 1</t>
  </si>
  <si>
    <t>Total scope 1</t>
  </si>
  <si>
    <t>Scope 2</t>
  </si>
  <si>
    <t>Scope 2 source</t>
  </si>
  <si>
    <t>Total scope 2</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</si>
  <si>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</si>
  <si>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</si>
  <si>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</si>
  <si>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</si>
  <si>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</si>
  <si>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</si>
  <si>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</si>
  <si>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</si>
  <si>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</si>
  <si>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</si>
  <si>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</si>
  <si>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</si>
  <si>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</si>
  <si>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</si>
  <si>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</si>
  <si>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</si>
  <si>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</si>
  <si>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</si>
  <si>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</si>
  <si>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</si>
  <si>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</si>
  <si>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</si>
  <si>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</si>
  <si>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</si>
  <si>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</si>
  <si>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</si>
  <si>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</si>
  <si>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</si>
  <si>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</si>
  <si>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Results - Product emissions intensity</t>
  </si>
  <si>
    <t>Emissions for production cycle excluding removals</t>
  </si>
  <si>
    <t>Net emissions for production cycle</t>
  </si>
  <si>
    <t>Residual product</t>
  </si>
  <si>
    <t>N/A</t>
  </si>
  <si>
    <t>Emissions intestity (Method 1)</t>
  </si>
  <si>
    <t>Emissions intestity (Method 2)</t>
  </si>
  <si>
    <t>t co2e/t milk sold</t>
  </si>
  <si>
    <t>t co2e/t manure sold</t>
  </si>
  <si>
    <t>Enterprise</t>
  </si>
  <si>
    <t>Data type</t>
  </si>
  <si>
    <t>When was the data sourced?</t>
  </si>
  <si>
    <t>Where is the data sourced from?</t>
  </si>
  <si>
    <t>How much of the data was from direct samples?</t>
  </si>
  <si>
    <t>During this emissions calculation period</t>
  </si>
  <si>
    <t>This location with spatial partitioning</t>
  </si>
  <si>
    <t>Over 90%</t>
  </si>
  <si>
    <t>Within 2 years of this emissions calculation period</t>
  </si>
  <si>
    <t>This location without spatial partitioning</t>
  </si>
  <si>
    <t>Between 51% and 90%</t>
  </si>
  <si>
    <t>Within 3 years of this emissions calculation period</t>
  </si>
  <si>
    <t>Regional-level data from a government or industry database/survey</t>
  </si>
  <si>
    <t>Within 4 years of this emissions calculation period</t>
  </si>
  <si>
    <t>State-level data from a government or industry database/survey</t>
  </si>
  <si>
    <t>Less than 20%</t>
  </si>
  <si>
    <t>Unknown, or more than 4 years of this emissions calculation period</t>
  </si>
  <si>
    <t>National-level data from a government or industry database/survey</t>
  </si>
  <si>
    <t>Unknown</t>
  </si>
  <si>
    <t>Site</t>
  </si>
  <si>
    <t>Between 21% and 50%</t>
  </si>
  <si>
    <t>Pasture management</t>
  </si>
  <si>
    <t>Fertiliser applications</t>
  </si>
  <si>
    <t>Fuel and electricity</t>
  </si>
  <si>
    <t>Farm input purchases, freight and waste outputs</t>
  </si>
  <si>
    <t>Total data quality score</t>
  </si>
  <si>
    <t>Dairy cattle</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</si>
  <si>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</si>
  <si>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</si>
  <si>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</si>
  <si>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</si>
  <si>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</si>
  <si>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</si>
  <si>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10.1.1-2 Solid waste treatment</t>
  </si>
  <si>
    <t>9.1.1.1-2 Refrigerant leakage - Gas 1</t>
  </si>
  <si>
    <t>9.1.1.1-2 Refrigerant leakage - Gas 2</t>
  </si>
  <si>
    <t>9.1.1.1-2 Refrigerant leakage - Gas 3</t>
  </si>
  <si>
    <t>9.1.1.1-2 Refrigerant leakage - Gas 4</t>
  </si>
  <si>
    <t>9.1.1.1-2 Refrigerant leakage - Gas 5</t>
  </si>
  <si>
    <t>9.1.1.1-2 Refrigerant leakage - Gas 6</t>
  </si>
  <si>
    <t>9.1.1.1-2 Refrigerant leakage - Gas 7</t>
  </si>
  <si>
    <t>9.1.1.1-2 Refrigerant leakage - Gas 8</t>
  </si>
  <si>
    <t>9.1.1.1-2 Refrigerant leakage - Gas 9</t>
  </si>
  <si>
    <t>9.1.1.1-2 Refrigerant leakage - Gas 10</t>
  </si>
  <si>
    <t>Input -Dairy</t>
  </si>
  <si>
    <t>Herd movement</t>
  </si>
  <si>
    <t>Breed</t>
  </si>
  <si>
    <t>Medium Friesian</t>
  </si>
  <si>
    <t>Milking cows</t>
  </si>
  <si>
    <t>Heifers &gt; 1 year</t>
  </si>
  <si>
    <t>Heifers &lt; 1 year</t>
  </si>
  <si>
    <t>Bulls &gt; 1 year</t>
  </si>
  <si>
    <t>Bulls &lt; 1 year</t>
  </si>
  <si>
    <t>head</t>
  </si>
  <si>
    <t>Liveweight</t>
  </si>
  <si>
    <t>Method 1 default values (Do not edit)</t>
  </si>
  <si>
    <t>Average liveweight</t>
  </si>
  <si>
    <t>kg/head</t>
  </si>
  <si>
    <t>Average liveweight gain</t>
  </si>
  <si>
    <t>kg/head/day</t>
  </si>
  <si>
    <t>Method 2 custom values (Edit if known)</t>
  </si>
  <si>
    <t>Duration of stay</t>
  </si>
  <si>
    <t>Diet</t>
  </si>
  <si>
    <t>Dry matter digestibility</t>
  </si>
  <si>
    <t>Fraction</t>
  </si>
  <si>
    <t>Crude protein</t>
  </si>
  <si>
    <t>Milk production</t>
  </si>
  <si>
    <t>Milk production unit</t>
  </si>
  <si>
    <t>Litres of milk</t>
  </si>
  <si>
    <t>Average daily milk production</t>
  </si>
  <si>
    <t>For milk solids only:</t>
  </si>
  <si>
    <t>Method 1 (don't edit)</t>
  </si>
  <si>
    <t>Method 2 (edit if known)</t>
  </si>
  <si>
    <t>Fat content in fat and protein corrected milk</t>
  </si>
  <si>
    <t>Protein content in fat and protein corrected milk</t>
  </si>
  <si>
    <t>Production systems</t>
  </si>
  <si>
    <t>Time spent in production systems</t>
  </si>
  <si>
    <t>Production system template</t>
  </si>
  <si>
    <t>System 3: Pasture-grazed 3-9 months/year</t>
  </si>
  <si>
    <t>Percent</t>
  </si>
  <si>
    <t>Milking shed</t>
  </si>
  <si>
    <t>Feed pad</t>
  </si>
  <si>
    <t>Manure management systems</t>
  </si>
  <si>
    <t>Stage 1 MMS</t>
  </si>
  <si>
    <t>►</t>
  </si>
  <si>
    <t>Destination after stage 2 MMS (Percent)</t>
  </si>
  <si>
    <t>Sold</t>
  </si>
  <si>
    <t>Fert for own farm (eg crop)</t>
  </si>
  <si>
    <t>Direct application to soil</t>
  </si>
  <si>
    <t>Yes</t>
  </si>
  <si>
    <t>Solid storage (after solid separation) - Method 1</t>
  </si>
  <si>
    <t>Solid storage (after solid separation) - Method 2</t>
  </si>
  <si>
    <t>No</t>
  </si>
  <si>
    <t>Where deposited on farm soils as waste, what is the closest match?</t>
  </si>
  <si>
    <t>Sprinkler irrigation</t>
  </si>
  <si>
    <t>4.3.1.1-2 Manure Methane</t>
  </si>
  <si>
    <t>Variable</t>
  </si>
  <si>
    <t>M1_Table_DMD_j</t>
  </si>
  <si>
    <t>M2_Table_DMD_j</t>
  </si>
  <si>
    <t>Dry matter digestibility (Method 1)</t>
  </si>
  <si>
    <t>Dry matter digestibility (Method 2)</t>
  </si>
  <si>
    <t>fraction</t>
  </si>
  <si>
    <t>M1_Table_qm_j</t>
  </si>
  <si>
    <t>M2_Table_qm_j</t>
  </si>
  <si>
    <t>Metabolisability of diet (Method 1)</t>
  </si>
  <si>
    <t>Metabolisability of diet (Method 2)</t>
  </si>
  <si>
    <t>M1_Table_MS_j</t>
  </si>
  <si>
    <t>Milk solids production (Method 1)</t>
  </si>
  <si>
    <t>M1_Table_MP_j_from_solids</t>
  </si>
  <si>
    <t>M2_Table_MP_j_from_solids</t>
  </si>
  <si>
    <t>Milk production from milk solids (Method 1)</t>
  </si>
  <si>
    <t>Milk production from milk solids (Method 2)</t>
  </si>
  <si>
    <t>L/head/day</t>
  </si>
  <si>
    <t>Table_MP_j</t>
  </si>
  <si>
    <t>M1_Table_MI_j</t>
  </si>
  <si>
    <t>M2_Table_MI_j</t>
  </si>
  <si>
    <t>Additional intake for milk production (Method 1)</t>
  </si>
  <si>
    <t>Additional intake for milk production (Method 2)</t>
  </si>
  <si>
    <t>M1_Table_W_j</t>
  </si>
  <si>
    <t>M2_Table_W_j</t>
  </si>
  <si>
    <t>Liveweight for each animal class j (Method 1)</t>
  </si>
  <si>
    <t>Liveweight for each animal class j (Method 2)</t>
  </si>
  <si>
    <t>M1_Table_LWG_j</t>
  </si>
  <si>
    <t>M2_Table_LWG_j</t>
  </si>
  <si>
    <t>Liveweight gain for each animal class j (Method 1)</t>
  </si>
  <si>
    <t>Liveweight gain for each animal class j (Method 2)</t>
  </si>
  <si>
    <t>Table_MR_j</t>
  </si>
  <si>
    <t>Increase in metabolic rate when producing milk</t>
  </si>
  <si>
    <t>M1_Table_I_j</t>
  </si>
  <si>
    <t>M2_Table_I_j</t>
  </si>
  <si>
    <t>Feed intake (Method 1)</t>
  </si>
  <si>
    <t>Feed intake (Method 2)</t>
  </si>
  <si>
    <t>M1_Table_VS_j</t>
  </si>
  <si>
    <t>M2_Table_VS_j</t>
  </si>
  <si>
    <t>Volatile solids for weaned cattle (Method 1)</t>
  </si>
  <si>
    <t>Volatile solids for weaned cattle (Method 2)</t>
  </si>
  <si>
    <t>M1_Table_MMS_j_m</t>
  </si>
  <si>
    <t>M2_Table_MMS_j_m</t>
  </si>
  <si>
    <t>Fraction of manure in each MMS prior to solid separation (Method 1)</t>
  </si>
  <si>
    <t>Fraction of manure in each MMS prior to solid separation (Method 2)</t>
  </si>
  <si>
    <t>MMS</t>
  </si>
  <si>
    <t>M1_Table_SS_m</t>
  </si>
  <si>
    <t>M2_Table_SS_m</t>
  </si>
  <si>
    <t>Fraction volatile solids separated to solid storage (Method 1)</t>
  </si>
  <si>
    <t>Fraction volatile solids separated to solid storage (Method 2)</t>
  </si>
  <si>
    <t>SS</t>
  </si>
  <si>
    <t>M1_Table_FVS_j_m</t>
  </si>
  <si>
    <t>Fraction volatile solids to MMS other than solid storage (Method 1)</t>
  </si>
  <si>
    <t>Fraction volatile solids to MMS other than solid storage (Method 2)</t>
  </si>
  <si>
    <t>M1_Table_MMS_j_m-4</t>
  </si>
  <si>
    <t>M2_Table_MMS_j_m-4</t>
  </si>
  <si>
    <t>Fraction volatile solids to in solid storage before transfer (Method 1)</t>
  </si>
  <si>
    <t>Fraction volatile solids to in solid storage before transfer (Method 2)</t>
  </si>
  <si>
    <t>M1_Table_FVS_j_m-4</t>
  </si>
  <si>
    <t>M2_Table_FVS_j_m-4</t>
  </si>
  <si>
    <t>Fraction volatile solids to in solid storage (Method 1)</t>
  </si>
  <si>
    <t>Fraction volatile solids to in solid storage (Method 2)</t>
  </si>
  <si>
    <t>M1_Table_MCF_i_m</t>
  </si>
  <si>
    <t>M2_Table_MCF_i_m</t>
  </si>
  <si>
    <t>Methane conversion factor for state (Method 1)</t>
  </si>
  <si>
    <t>Methane conversion factor for state (Method 2)</t>
  </si>
  <si>
    <r>
      <t>MCF</t>
    </r>
    <r>
      <rPr>
        <b/>
        <vertAlign val="subscript"/>
        <sz val="10"/>
        <color rgb="FF183C1B"/>
        <rFont val="Arial"/>
        <family val="1"/>
      </rPr>
      <t>im</t>
    </r>
  </si>
  <si>
    <t>NOTE: 'Pasture range and paddock' MCF is state-based</t>
  </si>
  <si>
    <t>NOTE: 'Sump and dispersal' uses 'Daily spread' MCFs</t>
  </si>
  <si>
    <t>NOTE: Drains to paddock uses 'Liquid slurry' MCFs</t>
  </si>
  <si>
    <t>M1_M_j_m</t>
  </si>
  <si>
    <t>M2_M_j_m</t>
  </si>
  <si>
    <t>Methane from manure production of weaned cattle (Method 1)</t>
  </si>
  <si>
    <t>Methane from manure production of weaned cattle (Method 2)</t>
  </si>
  <si>
    <t>Table_N_j</t>
  </si>
  <si>
    <t>Number of dairy cattle in all classes</t>
  </si>
  <si>
    <t>Head</t>
  </si>
  <si>
    <t>M1_Table_D_j</t>
  </si>
  <si>
    <t>M2_Table_D_j</t>
  </si>
  <si>
    <t>Duration of stay of weaned dairy cattle in all classes (Method 1)</t>
  </si>
  <si>
    <t>Duration of stay of weaned dairy cattle in all classes (Method 2)</t>
  </si>
  <si>
    <t>Table_MPW_manure_j-3-5</t>
  </si>
  <si>
    <t>Methane production of pre-weaned cattle</t>
  </si>
  <si>
    <t>CH4/head/day</t>
  </si>
  <si>
    <t>M1_Table_DPW_j</t>
  </si>
  <si>
    <t>Duration of stay of of pre-weaned dairy cattle in all classes (Method 1)</t>
  </si>
  <si>
    <t>M1_Table_E_CH4</t>
  </si>
  <si>
    <t>Methane production from manure management (Method 1)</t>
  </si>
  <si>
    <t>Methane production from manure management (Method 2)</t>
  </si>
  <si>
    <t>ECH4 (Method 1)</t>
  </si>
  <si>
    <t>ECH4 (Method 2)</t>
  </si>
  <si>
    <r>
      <t>E</t>
    </r>
    <r>
      <rPr>
        <vertAlign val="subscript"/>
        <sz val="10"/>
        <color theme="1" tint="0.24994659260841701"/>
        <rFont val="Arial"/>
        <family val="1"/>
      </rPr>
      <t>CO2e</t>
    </r>
    <r>
      <rPr>
        <sz val="10"/>
        <color theme="1" tint="0.24994659260841701"/>
        <rFont val="Arial"/>
        <family val="1"/>
      </rPr>
      <t xml:space="preserve"> (Method 1)</t>
    </r>
  </si>
  <si>
    <r>
      <t>E</t>
    </r>
    <r>
      <rPr>
        <vertAlign val="subscript"/>
        <sz val="10"/>
        <color theme="1" tint="0.24994659260841701"/>
        <rFont val="Arial"/>
        <family val="1"/>
      </rPr>
      <t>CO2e</t>
    </r>
    <r>
      <rPr>
        <sz val="10"/>
        <color theme="1" tint="0.24994659260841701"/>
        <rFont val="Arial"/>
        <family val="1"/>
      </rPr>
      <t xml:space="preserve"> (Method 2)</t>
    </r>
  </si>
  <si>
    <t>4.3.1.3-4 Manure Direct N2O</t>
  </si>
  <si>
    <t>Table_WR_j</t>
  </si>
  <si>
    <t>Reference weight for each animal class</t>
  </si>
  <si>
    <t>M1_Table_Z_j</t>
  </si>
  <si>
    <t>Relative size for each animal class (Method 1)</t>
  </si>
  <si>
    <t>Relative size for each animal class (Method 2)</t>
  </si>
  <si>
    <t>M1_Table_L_j</t>
  </si>
  <si>
    <t>M2_Table_L_j</t>
  </si>
  <si>
    <t>Intake relative to maintenance (Method 1)</t>
  </si>
  <si>
    <t>Intake relative to maintenance (Method 2)</t>
  </si>
  <si>
    <t>M1_Table_NR_j</t>
  </si>
  <si>
    <t>M2_Table_NR_j</t>
  </si>
  <si>
    <t>Nitrogen retained in the body for each animal class j (Method 1)</t>
  </si>
  <si>
    <t>Nitrogen retained in the body for each animal class j (Method 2)</t>
  </si>
  <si>
    <t>M1_Table_CP_j</t>
  </si>
  <si>
    <t>M2_Table_CP_j</t>
  </si>
  <si>
    <t>Crude protein content of feed intake for each animal class j (Method 1)</t>
  </si>
  <si>
    <t>Crude protein content of feed intake for each animal class j (Method 2)</t>
  </si>
  <si>
    <t>M1_Table_CPI_j</t>
  </si>
  <si>
    <t>M2_Table_CPI_j</t>
  </si>
  <si>
    <t>Crude protein intake for each animal class j (Method 1)</t>
  </si>
  <si>
    <t>Crude protein intake for each animal class j (Method 2)</t>
  </si>
  <si>
    <t>M1_Table_NE_j</t>
  </si>
  <si>
    <t>M2_Table_NE_j</t>
  </si>
  <si>
    <t>Nitrogen excreted for each animal class j (Method 1)</t>
  </si>
  <si>
    <t>Nitrogen excreted for each animal class j (Method 2)</t>
  </si>
  <si>
    <t>M1_Table_D_j-1-2-4</t>
  </si>
  <si>
    <t>M2_Table_D_j-1-2-4</t>
  </si>
  <si>
    <t>Duration of stay of cattle &gt; 1 year (Method 1)</t>
  </si>
  <si>
    <t>Duration of stay of cattle &gt; 1 year (Method 2)</t>
  </si>
  <si>
    <t>M1_Table_AE_j-1-2-4</t>
  </si>
  <si>
    <t>M2_Table_AE_j-1-2-4</t>
  </si>
  <si>
    <t>Total annual nitrogen excreted cattle &gt; 1 year old (Method 1)</t>
  </si>
  <si>
    <t>Total annual nitrogen excreted cattle &gt; 1 year old (Method 2)</t>
  </si>
  <si>
    <t>Table_NPW_j-3-5</t>
  </si>
  <si>
    <t>Nitrogen excretion of pre-weaned cattle</t>
  </si>
  <si>
    <t>M1_Table_D_j-3-5</t>
  </si>
  <si>
    <t>Duration of stay of weaned cattle &lt; 1 year (Method 1)</t>
  </si>
  <si>
    <t>Duration of stay of weaned cattle &lt; 1 year (Method 2)</t>
  </si>
  <si>
    <t>Duration of stay of of pre-weaned dairy cattle in all classes (Method 2)</t>
  </si>
  <si>
    <t>M1_Table_AE_j</t>
  </si>
  <si>
    <t>Total annual nitrogen excreted cattle &lt; 1 year old (Method 1)</t>
  </si>
  <si>
    <t>Total annual nitrogen excreted cattle &lt; 1 year old (Method 2)</t>
  </si>
  <si>
    <t>Fraction of manure sent to each MMS (Method 1)</t>
  </si>
  <si>
    <t>Fraction of manure sent to each MMS (Method 2)</t>
  </si>
  <si>
    <t>M1_Table_MN_j_m</t>
  </si>
  <si>
    <t>M2_Table_MN_j_m</t>
  </si>
  <si>
    <t>Total nitrogen in each MMS (Method 1)</t>
  </si>
  <si>
    <t>Total nitrogen in each MMS (Method 2)</t>
  </si>
  <si>
    <t>Table_EF_m</t>
  </si>
  <si>
    <t>Nitrous oxide EF for each MMS</t>
  </si>
  <si>
    <r>
      <t>EF</t>
    </r>
    <r>
      <rPr>
        <b/>
        <vertAlign val="subscript"/>
        <sz val="10"/>
        <color rgb="FF183C1B"/>
        <rFont val="Arial"/>
        <family val="1"/>
      </rPr>
      <t>m</t>
    </r>
  </si>
  <si>
    <t>M1_Table_E_N2O_dir</t>
  </si>
  <si>
    <t>M2_Table_E_N2O_dir</t>
  </si>
  <si>
    <t>Total annual direct N2O emissions from each MMS (Method 1)</t>
  </si>
  <si>
    <t>Total annual direct N2O emissions from each MMS (Method 2)</t>
  </si>
  <si>
    <r>
      <t>E</t>
    </r>
    <r>
      <rPr>
        <b/>
        <vertAlign val="subscript"/>
        <sz val="14"/>
        <color theme="1" tint="0.24994659260841701"/>
        <rFont val="Arial"/>
        <family val="1"/>
      </rPr>
      <t>N2O,dir</t>
    </r>
  </si>
  <si>
    <r>
      <t>E</t>
    </r>
    <r>
      <rPr>
        <vertAlign val="subscript"/>
        <sz val="10"/>
        <color theme="1" tint="0.24994659260841701"/>
        <rFont val="Arial"/>
        <family val="1"/>
      </rPr>
      <t>CO2e</t>
    </r>
  </si>
  <si>
    <t>4.3.1.5 Manure Atmospheric Deposition</t>
  </si>
  <si>
    <t>Table_FracGASM_m</t>
  </si>
  <si>
    <t>Fraction N volatilised from each MS</t>
  </si>
  <si>
    <r>
      <t>FracGASM</t>
    </r>
    <r>
      <rPr>
        <b/>
        <vertAlign val="subscript"/>
        <sz val="10"/>
        <color rgb="FF183C1B"/>
        <rFont val="Arial"/>
        <family val="1"/>
      </rPr>
      <t>m</t>
    </r>
  </si>
  <si>
    <t>M1_Table_MN_atmos</t>
  </si>
  <si>
    <t>M2_Table_MN_atmos</t>
  </si>
  <si>
    <t>Total nitrogen volatilised from each MMS (Method 1)</t>
  </si>
  <si>
    <t>Total nitrogen volatilised from each MMS (Method 2)</t>
  </si>
  <si>
    <r>
      <t>MN</t>
    </r>
    <r>
      <rPr>
        <b/>
        <vertAlign val="subscript"/>
        <sz val="10"/>
        <color theme="1" tint="0.24994659260841701"/>
        <rFont val="Arial"/>
        <family val="1"/>
      </rPr>
      <t>ATMOS</t>
    </r>
  </si>
  <si>
    <t>`</t>
  </si>
  <si>
    <r>
      <t>E</t>
    </r>
    <r>
      <rPr>
        <b/>
        <vertAlign val="subscript"/>
        <sz val="14"/>
        <color theme="1" tint="0.24994659260841701"/>
        <rFont val="Arial"/>
        <family val="1"/>
      </rPr>
      <t>N2O,MMS,ad</t>
    </r>
  </si>
  <si>
    <t>4.1.1.6-7 Manure leaching and runoff</t>
  </si>
  <si>
    <t>M1_Table_MN_j_m-4</t>
  </si>
  <si>
    <t>M2_Table_MN_j_m-4</t>
  </si>
  <si>
    <t>Total nitrogen in solid storage MMS (Method 1)</t>
  </si>
  <si>
    <t>Total nitrogen in solid storage MMS (Method 2)</t>
  </si>
  <si>
    <t>M1_Table_MN_leach_j_m-4</t>
  </si>
  <si>
    <t>M2_Table_MN_leach_j_m-4</t>
  </si>
  <si>
    <t>Mass of N lost to leaching and runoff from solid storage (Method 1)</t>
  </si>
  <si>
    <t>Mass of N lost to leaching and runoff from solid storage (Method 2)</t>
  </si>
  <si>
    <t>M1_Table_EF_N2O_leach</t>
  </si>
  <si>
    <t>M2_Table_EF_N2O_leach</t>
  </si>
  <si>
    <t>Emissions from leaching and runoff (Method 1)</t>
  </si>
  <si>
    <t>Emissions from leaching and runoff (Method 2)</t>
  </si>
  <si>
    <t>4.3.1.8 Manure applied to soils</t>
  </si>
  <si>
    <t>M1_Table_MN_leach_j_m</t>
  </si>
  <si>
    <t>M2_Table_MN_leach_j_m</t>
  </si>
  <si>
    <t>Mass of N lost to leaching and runoff from MMS (Method 1)</t>
  </si>
  <si>
    <t>Mass of N lost to leaching and runoff from MMS (Method 2)</t>
  </si>
  <si>
    <t>Table_PF_scope</t>
  </si>
  <si>
    <t>Fraction of manure applied to soils within farm boundary</t>
  </si>
  <si>
    <t>PF_scope</t>
  </si>
  <si>
    <t>M1_Table_MN_soil_scope1</t>
  </si>
  <si>
    <t>M2_Table_MN_soil_scope1</t>
  </si>
  <si>
    <t>Mass of nitrogen from manure applied to soils for scope 1 emissions (Method 1)</t>
  </si>
  <si>
    <t>Mass of nitrogen from manure applied to soils for scope 1 emissions (Method 2)</t>
  </si>
  <si>
    <r>
      <t>MNSoil</t>
    </r>
    <r>
      <rPr>
        <b/>
        <vertAlign val="subscript"/>
        <sz val="14"/>
        <color theme="1" tint="0.24994659260841701"/>
        <rFont val="Arial"/>
        <family val="1"/>
      </rPr>
      <t>scope1</t>
    </r>
  </si>
  <si>
    <t>M1_Table_MN_soil_scope3</t>
  </si>
  <si>
    <t>M2_Table_MN_soil_scope3</t>
  </si>
  <si>
    <t>Mass of nitrogen from manure applied to soils for scope 3 emissions (Method 1)</t>
  </si>
  <si>
    <t>Mass of nitrogen from manure applied to soils for scope 3 emissions (Method 2)</t>
  </si>
  <si>
    <r>
      <t>MNSoil</t>
    </r>
    <r>
      <rPr>
        <b/>
        <vertAlign val="subscript"/>
        <sz val="14"/>
        <color theme="1" tint="0.24994659260841701"/>
        <rFont val="Arial"/>
        <family val="1"/>
      </rPr>
      <t>scope3</t>
    </r>
  </si>
  <si>
    <t>* Scope 1: Manure that is removed from MMS and used as fertiliser on the farm, for other enterprises (eg crops)</t>
  </si>
  <si>
    <t>Scope 1: Mass of nitrogen applied as fertiliser on own farm</t>
  </si>
  <si>
    <t>Table_PF_fert</t>
  </si>
  <si>
    <t>Fraction of manure applied to as fertiliser on own farm from MMS</t>
  </si>
  <si>
    <t>PF_fert</t>
  </si>
  <si>
    <t>M1_Table_MNSoil_scope3_fert</t>
  </si>
  <si>
    <t>M2_Table_MNSoil_scope3_fert</t>
  </si>
  <si>
    <t>Mass of N applied to own farm as fertiliser (Method 1)</t>
  </si>
  <si>
    <t>Mass of N applied to own farm as fertiliser (Method 2)</t>
  </si>
  <si>
    <r>
      <t>MNSoil</t>
    </r>
    <r>
      <rPr>
        <b/>
        <vertAlign val="subscript"/>
        <sz val="14"/>
        <color theme="1" tint="0.24994659260841701"/>
        <rFont val="Arial"/>
        <family val="1"/>
      </rPr>
      <t>scope3,fert</t>
    </r>
  </si>
  <si>
    <t>M2_Table_AE_j</t>
  </si>
  <si>
    <t>Total annual nitrogen excreted all cattle (Method 1)</t>
  </si>
  <si>
    <t>Total annual nitrogen excreted all cattle (Method 2)</t>
  </si>
  <si>
    <t>M1_Table_MMS_j_m-14</t>
  </si>
  <si>
    <t>M2_Table_MMS_j_m-14</t>
  </si>
  <si>
    <t>Fraction of manure deposited on pasture range and paddock (Method 1)</t>
  </si>
  <si>
    <t>Fraction of manure deposited on pasture range and paddock (Method 2)</t>
  </si>
  <si>
    <t>M1_Table_MN_j_m-14</t>
  </si>
  <si>
    <t>M2_Table_MN_j_m-14</t>
  </si>
  <si>
    <t>Total nitrogen deposited on pasture range and paddock (Method 1)</t>
  </si>
  <si>
    <t>Total nitrogen deposited on pasture range and paddock (Method 2)</t>
  </si>
  <si>
    <t>Formula name</t>
  </si>
  <si>
    <t>Direct nitrous oxide emissions from urine and dung deposited on pasture (Method 1)</t>
  </si>
  <si>
    <t>Direct nitrous oxide emissions from urine and dung deposited on pasture (Method 2)</t>
  </si>
  <si>
    <t>4.3.1.10-11 Soil atmospheric deposition N2O</t>
  </si>
  <si>
    <t>M1_Table_M_vol_m-14</t>
  </si>
  <si>
    <t>M2_Table_M_vol_m-14</t>
  </si>
  <si>
    <t>Mass of N volatilised from urine and dung on pasture (Method 1)</t>
  </si>
  <si>
    <t>Mass of N volatilised from urine and dung on pasture (Method 2)</t>
  </si>
  <si>
    <r>
      <t>M</t>
    </r>
    <r>
      <rPr>
        <b/>
        <vertAlign val="subscript"/>
        <sz val="10"/>
        <color theme="1" tint="0.24994659260841701"/>
        <rFont val="Arial"/>
        <family val="1"/>
      </rPr>
      <t>vol,m=14</t>
    </r>
  </si>
  <si>
    <r>
      <t>E</t>
    </r>
    <r>
      <rPr>
        <b/>
        <vertAlign val="subscript"/>
        <sz val="14"/>
        <color theme="1" tint="0.24994659260841701"/>
        <rFont val="Arial"/>
        <family val="1"/>
      </rPr>
      <t>N2O,ad</t>
    </r>
  </si>
  <si>
    <t>4.3.1.12-13 Soil leaching and runoff N2O</t>
  </si>
  <si>
    <t xml:space="preserve"> </t>
  </si>
  <si>
    <t>M1_Table_M_leach_M-14</t>
  </si>
  <si>
    <t>M2_Table_M_leach_M-14</t>
  </si>
  <si>
    <t>Mass of N lost to leaching and runoff urine and faeces on pasture (Method 1)</t>
  </si>
  <si>
    <t>Mass of N lost to leaching and runoff urine and faeces on pasture (Method 2)</t>
  </si>
  <si>
    <r>
      <t>M</t>
    </r>
    <r>
      <rPr>
        <b/>
        <vertAlign val="subscript"/>
        <sz val="10"/>
        <color theme="1" tint="0.24994659260841701"/>
        <rFont val="Arial"/>
        <family val="1"/>
      </rPr>
      <t>leach,m=14</t>
    </r>
  </si>
  <si>
    <r>
      <t>E</t>
    </r>
    <r>
      <rPr>
        <b/>
        <vertAlign val="subscript"/>
        <sz val="14"/>
        <color theme="1" tint="0.24994659260841701"/>
        <rFont val="Arial"/>
        <family val="1"/>
      </rPr>
      <t>N2O,leach</t>
    </r>
  </si>
  <si>
    <t>Source Data - Dairy</t>
  </si>
  <si>
    <t>Dairy manure management systems</t>
  </si>
  <si>
    <t>Dairy crop or pasture production systems</t>
  </si>
  <si>
    <t>Irrigation methods</t>
  </si>
  <si>
    <t>Livestock classes</t>
  </si>
  <si>
    <t>Table_LivestockClasses_Dairy</t>
  </si>
  <si>
    <t>Symbol and MMS</t>
  </si>
  <si>
    <t>Livestock class</t>
  </si>
  <si>
    <t>Not irrigated</t>
  </si>
  <si>
    <t>Drip irrigation</t>
  </si>
  <si>
    <t>Surface irrigation</t>
  </si>
  <si>
    <t>Other irrigation</t>
  </si>
  <si>
    <t>Heifers &gt; 1</t>
  </si>
  <si>
    <t>Heifers &lt; 1 (weaned)</t>
  </si>
  <si>
    <t>Bulls &gt; 1</t>
  </si>
  <si>
    <t>Bulls &lt; 1 (weaned)</t>
  </si>
  <si>
    <t>Animal class j</t>
  </si>
  <si>
    <t>CH4 production</t>
  </si>
  <si>
    <t>Volatile solids (VSj=3,5)</t>
  </si>
  <si>
    <t>Nitrogen Excreted (NPWj=3,5)</t>
  </si>
  <si>
    <t>MMS m</t>
  </si>
  <si>
    <t>ACT</t>
  </si>
  <si>
    <t>NSW</t>
  </si>
  <si>
    <t>NT</t>
  </si>
  <si>
    <t>QLD</t>
  </si>
  <si>
    <t>SA</t>
  </si>
  <si>
    <t>TAS</t>
  </si>
  <si>
    <t>VIC</t>
  </si>
  <si>
    <t>WA</t>
  </si>
  <si>
    <t>NIR reference</t>
  </si>
  <si>
    <t>EFm</t>
  </si>
  <si>
    <t>FracGASMm</t>
  </si>
  <si>
    <t>MPW ENTERIC</t>
  </si>
  <si>
    <t>MRj</t>
  </si>
  <si>
    <t>Area</t>
  </si>
  <si>
    <t>Feedpad</t>
  </si>
  <si>
    <t>Duplicate of data in table 1.3.7</t>
  </si>
  <si>
    <t>Duration (weaned)</t>
  </si>
  <si>
    <t>Duration (pre-weaned)</t>
  </si>
  <si>
    <t>3.3.1.1-2 Enteric Methane</t>
  </si>
  <si>
    <t>M1_Table_M_j</t>
  </si>
  <si>
    <t>M2_Table_M_j</t>
  </si>
  <si>
    <t>Daily production of neteric methane (Method 1)</t>
  </si>
  <si>
    <t>Daily production of neteric methane (Method 2)</t>
  </si>
  <si>
    <t>Number of dairy cattle</t>
  </si>
  <si>
    <t>Duration of stay of weaned cattle (Method 1)</t>
  </si>
  <si>
    <t>Duration of stay of weaned cattle (Method 2)</t>
  </si>
  <si>
    <t>M1_Table_DPW_j-3-5</t>
  </si>
  <si>
    <t>M2_Table_DPW_j</t>
  </si>
  <si>
    <t>Duration of stay of pre-weaned cattle (Method 1)</t>
  </si>
  <si>
    <t>Duration of stay of pre-weaned cattle (Method 2)</t>
  </si>
  <si>
    <t>M1_Table_MPW_j-3-5</t>
  </si>
  <si>
    <t>M1_Table_E_enteric</t>
  </si>
  <si>
    <t>Total annual enteric methane production</t>
  </si>
  <si>
    <r>
      <t>E</t>
    </r>
    <r>
      <rPr>
        <b/>
        <vertAlign val="subscript"/>
        <sz val="14"/>
        <color theme="1" tint="0.24994659260841701"/>
        <rFont val="Arial"/>
        <family val="1"/>
      </rPr>
      <t>CH4</t>
    </r>
  </si>
  <si>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</si>
  <si>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</si>
  <si>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</si>
  <si>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</si>
  <si>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</si>
  <si>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</si>
  <si>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</si>
  <si>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</si>
  <si>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</si>
  <si>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</si>
  <si>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</si>
  <si>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</si>
  <si>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</si>
  <si>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</si>
  <si>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</si>
  <si>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</si>
  <si>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</si>
  <si>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</si>
  <si>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</si>
  <si>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</si>
  <si>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</si>
  <si>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</si>
  <si>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</si>
  <si>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</si>
  <si>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</si>
  <si>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</si>
  <si>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</si>
  <si>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</si>
  <si>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</si>
  <si>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</si>
  <si>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</si>
  <si>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</si>
  <si>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</si>
  <si>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</si>
  <si>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</si>
  <si>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</si>
  <si>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</si>
  <si>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</si>
  <si>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</si>
  <si>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</si>
  <si>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</si>
  <si>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</si>
  <si>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</si>
  <si>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</si>
  <si>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</si>
  <si>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</si>
  <si>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</si>
  <si>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</si>
  <si>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</si>
  <si>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</si>
  <si>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</si>
  <si>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</si>
  <si>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</si>
  <si>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Total</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</si>
  <si>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</si>
  <si>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</si>
  <si>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</si>
  <si>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</si>
  <si>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</si>
  <si>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</si>
  <si>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</si>
  <si>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</si>
  <si>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</si>
  <si>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</si>
  <si>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</si>
  <si>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</si>
  <si>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</si>
  <si>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</si>
  <si>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</si>
  <si>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</si>
  <si>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</si>
  <si>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</si>
  <si>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</si>
  <si>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</si>
  <si>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</si>
  <si>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</si>
  <si>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</si>
  <si>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</si>
  <si>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</si>
  <si>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</si>
  <si>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</si>
  <si>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</si>
  <si>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</si>
  <si>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</si>
  <si>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</si>
  <si>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</si>
  <si>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</si>
  <si>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</si>
  <si>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</si>
  <si>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</si>
  <si>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</si>
  <si>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</si>
  <si>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</si>
  <si>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</si>
  <si>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</si>
  <si>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</si>
  <si>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</si>
  <si>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</si>
  <si>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</si>
  <si>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</si>
  <si>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</si>
  <si>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</si>
  <si>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</si>
  <si>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</si>
  <si>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</si>
  <si>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</si>
  <si>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</si>
  <si>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</si>
  <si>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</si>
  <si>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</si>
  <si>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</si>
  <si>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</si>
  <si>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</si>
  <si>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</si>
  <si>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</si>
  <si>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</si>
  <si>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</si>
  <si>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</si>
  <si>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</si>
  <si>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</si>
  <si>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</si>
  <si>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</si>
  <si>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</si>
  <si>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</si>
  <si>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</si>
  <si>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</si>
  <si>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</si>
  <si>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</si>
  <si>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</si>
  <si>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</si>
  <si>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</si>
  <si>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</si>
  <si>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</si>
  <si>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</si>
  <si>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</si>
  <si>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</si>
  <si>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</si>
  <si>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</si>
  <si>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</si>
  <si>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</si>
  <si>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</si>
  <si>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</si>
  <si>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</si>
  <si>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</si>
  <si>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</si>
  <si>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</si>
  <si>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</si>
  <si>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</si>
  <si>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</si>
  <si>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</si>
  <si>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</si>
  <si>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</si>
  <si>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</si>
  <si>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</si>
  <si>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</si>
  <si>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</si>
  <si>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</si>
  <si>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</si>
  <si>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</si>
  <si>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</si>
  <si>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</si>
  <si>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</si>
  <si>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</si>
  <si>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</si>
  <si>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</si>
  <si>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Source</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</si>
  <si>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</si>
  <si>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</si>
  <si>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</si>
  <si>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</si>
  <si>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</si>
  <si>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</si>
  <si>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</si>
  <si>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</si>
  <si>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</si>
  <si>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</si>
  <si>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</si>
  <si>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</si>
  <si>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</si>
  <si>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</si>
  <si>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</si>
  <si>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</si>
  <si>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</si>
  <si>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</si>
  <si>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</si>
  <si>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</si>
  <si>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</si>
  <si>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</si>
  <si>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</si>
  <si>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</si>
  <si>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</si>
  <si>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</si>
  <si>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</si>
  <si>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</si>
  <si>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</si>
  <si>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</si>
  <si>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</si>
  <si>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</si>
  <si>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</si>
  <si>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</si>
  <si>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</si>
  <si>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</si>
  <si>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</si>
  <si>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</si>
  <si>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</si>
  <si>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</si>
  <si>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</si>
  <si>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</si>
  <si>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</si>
  <si>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</si>
  <si>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</si>
  <si>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</si>
  <si>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</si>
  <si>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</si>
  <si>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</si>
  <si>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</si>
  <si>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</si>
  <si>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</si>
  <si>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</si>
  <si>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</si>
  <si>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</si>
  <si>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</si>
  <si>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</si>
  <si>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</si>
  <si>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</si>
  <si>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</si>
  <si>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</si>
  <si>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</si>
  <si>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</si>
  <si>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</si>
  <si>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</si>
  <si>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</si>
  <si>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</si>
  <si>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</si>
  <si>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</si>
  <si>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</si>
  <si>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</si>
  <si>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</si>
  <si>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</si>
  <si>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</si>
  <si>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</si>
  <si>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</si>
  <si>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</si>
  <si>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</si>
  <si>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</si>
  <si>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</si>
  <si>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</si>
  <si>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</si>
  <si>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</si>
  <si>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</si>
  <si>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</si>
  <si>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</si>
  <si>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</si>
  <si>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</si>
  <si>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</si>
  <si>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</si>
  <si>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</si>
  <si>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</si>
  <si>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</si>
  <si>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</si>
  <si>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</si>
  <si>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</si>
  <si>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</si>
  <si>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</si>
  <si>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</si>
  <si>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</si>
  <si>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</si>
  <si>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</si>
  <si>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</si>
  <si>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</si>
  <si>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</si>
  <si>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</si>
  <si>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</si>
  <si>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</si>
  <si>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</si>
  <si>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</si>
  <si>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</si>
  <si>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</si>
  <si>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</si>
  <si>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</si>
  <si>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</si>
  <si>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</si>
  <si>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</si>
  <si>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</si>
  <si>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</si>
  <si>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</si>
  <si>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</si>
  <si>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</si>
  <si>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</si>
  <si>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</si>
  <si>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</si>
  <si>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</si>
  <si>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</si>
  <si>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</si>
  <si>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</si>
  <si>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</si>
  <si>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</si>
  <si>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</si>
  <si>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</si>
  <si>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</si>
  <si>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</si>
  <si>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</si>
  <si>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</si>
  <si>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</si>
  <si>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</si>
  <si>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</si>
  <si>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</si>
  <si>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</si>
  <si>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</si>
  <si>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</si>
  <si>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</si>
  <si>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</si>
  <si>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</si>
  <si>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</si>
  <si>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</si>
  <si>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</si>
  <si>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</si>
  <si>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</si>
  <si>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</si>
  <si>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</si>
  <si>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</si>
  <si>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</si>
  <si>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</si>
  <si>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</si>
  <si>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</si>
  <si>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</si>
  <si>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</si>
  <si>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</si>
  <si>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</si>
  <si>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</si>
  <si>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</si>
  <si>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</si>
  <si>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</si>
  <si>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Refrigerants</t>
  </si>
  <si>
    <t>Refrigerants</t>
  </si>
  <si>
    <t>Refrigeration unit name</t>
  </si>
  <si>
    <t>Appliance type (select)</t>
  </si>
  <si>
    <t>Refrigerant used (select)</t>
  </si>
  <si>
    <t>Unit refrigerant gas capacity (kg)</t>
  </si>
  <si>
    <t>Number of units in use</t>
  </si>
  <si>
    <t>Cool room</t>
  </si>
  <si>
    <t>Domestic refrigerators</t>
  </si>
  <si>
    <t>R-402A</t>
  </si>
  <si>
    <t>Office air con units</t>
  </si>
  <si>
    <t>Domestic A/C split</t>
  </si>
  <si>
    <t>R-422B</t>
  </si>
  <si>
    <t>Car AC</t>
  </si>
  <si>
    <t>Light vehicle A/C</t>
  </si>
  <si>
    <t>R-400 60/40</t>
  </si>
  <si>
    <t>Storage AC</t>
  </si>
  <si>
    <t>Refrigerated trucks</t>
  </si>
  <si>
    <t>Transport refrigeration</t>
  </si>
  <si>
    <t>R-504</t>
  </si>
  <si>
    <t>9.1.1.1-2 Refrigerant use</t>
  </si>
  <si>
    <t>Table_E_R_Appliance</t>
  </si>
  <si>
    <t>Refrigerant leakage emissions by appliance</t>
  </si>
  <si>
    <t>Appliance type a</t>
  </si>
  <si>
    <t>Refrigerant blend R</t>
  </si>
  <si>
    <t>Total capacity</t>
  </si>
  <si>
    <t>Leakage rate (percent)</t>
  </si>
  <si>
    <r>
      <t>E</t>
    </r>
    <r>
      <rPr>
        <b/>
        <vertAlign val="subscript"/>
        <sz val="10"/>
        <color rgb="FF183C1B"/>
        <rFont val="Arial"/>
        <family val="1"/>
      </rPr>
      <t>Ra</t>
    </r>
  </si>
  <si>
    <r>
      <t>E</t>
    </r>
    <r>
      <rPr>
        <b/>
        <vertAlign val="subscript"/>
        <sz val="10"/>
        <color rgb="FF183C1B"/>
        <rFont val="Arial"/>
        <family val="1"/>
      </rPr>
      <t>R</t>
    </r>
  </si>
  <si>
    <t>Table_E_R</t>
  </si>
  <si>
    <t>Refrigerant leakage emisssions</t>
  </si>
  <si>
    <t>Table_E_CO2e</t>
  </si>
  <si>
    <t>Refrigerant leakage emisssions carbon dioxide equivalent</t>
  </si>
  <si>
    <t>Refrigerant GWP</t>
  </si>
  <si>
    <r>
      <t>E</t>
    </r>
    <r>
      <rPr>
        <b/>
        <vertAlign val="subscript"/>
        <sz val="10"/>
        <color rgb="FF183C1B"/>
        <rFont val="Arial"/>
        <family val="1"/>
      </rPr>
      <t>CO2-e</t>
    </r>
  </si>
  <si>
    <r>
      <t>E</t>
    </r>
    <r>
      <rPr>
        <b/>
        <vertAlign val="subscript"/>
        <sz val="14"/>
        <color theme="1" tint="0.24994659260841701"/>
        <rFont val="Arial"/>
        <family val="1"/>
      </rPr>
      <t>CO2e</t>
    </r>
  </si>
  <si>
    <t>Constants - Refrigerants</t>
  </si>
  <si>
    <t>Chemical formula</t>
  </si>
  <si>
    <t>Global warming potential (AR5)</t>
  </si>
  <si>
    <t>Gas - FC name</t>
  </si>
  <si>
    <t>Aditional data source</t>
  </si>
  <si>
    <t>Blend</t>
  </si>
  <si>
    <t>Constituents</t>
  </si>
  <si>
    <t>Composition (%)</t>
  </si>
  <si>
    <t>Blended refrigerants - Cleaned for calculations</t>
  </si>
  <si>
    <t>Constituent 1</t>
  </si>
  <si>
    <t>Constituent 2</t>
  </si>
  <si>
    <t>Constituent 3</t>
  </si>
  <si>
    <t>Constituent 4</t>
  </si>
  <si>
    <t>Constituent 1 fraction</t>
  </si>
  <si>
    <t>Constituent 2 fraction</t>
  </si>
  <si>
    <t>Constituent 3 fraction</t>
  </si>
  <si>
    <t>Constituent 4 fraction</t>
  </si>
  <si>
    <t>Constituent 1 GWP</t>
  </si>
  <si>
    <t>Constituent 2 GWP</t>
  </si>
  <si>
    <t>Constituent 3 GWP</t>
  </si>
  <si>
    <t>Constituent 4 GWP</t>
  </si>
  <si>
    <t>Blend GWP</t>
  </si>
  <si>
    <t>Annual leakage rate (%)</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</si>
  <si>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</si>
  <si>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</si>
  <si>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</si>
  <si>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</si>
  <si>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</si>
  <si>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</si>
  <si>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</si>
  <si>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</si>
  <si>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</si>
  <si>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</si>
  <si>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</si>
  <si>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</si>
  <si>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</si>
  <si>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</si>
  <si>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</si>
  <si>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</si>
  <si>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</si>
  <si>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</si>
  <si>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</si>
  <si>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</si>
  <si>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</si>
  <si>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</si>
  <si>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</si>
  <si>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</si>
  <si>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</si>
  <si>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</si>
  <si>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</si>
  <si>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</si>
  <si>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</si>
  <si>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</si>
  <si>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</si>
  <si>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</si>
  <si>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</si>
  <si>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</si>
  <si>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</si>
  <si>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</si>
  <si>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</si>
  <si>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</si>
  <si>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</si>
  <si>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</si>
  <si>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</si>
  <si>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</si>
  <si>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</si>
  <si>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</si>
  <si>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</si>
  <si>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</si>
  <si>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</si>
  <si>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</si>
  <si>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</si>
  <si>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</si>
  <si>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</si>
  <si>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</si>
  <si>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</si>
  <si>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</si>
  <si>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</si>
  <si>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</si>
  <si>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</si>
  <si>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</si>
  <si>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</si>
  <si>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</si>
  <si>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</si>
  <si>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</si>
  <si>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</si>
  <si>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</si>
  <si>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</si>
  <si>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</si>
  <si>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</si>
  <si>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</si>
  <si>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</si>
  <si>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</si>
  <si>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</si>
  <si>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</si>
  <si>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</si>
  <si>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</si>
  <si>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</si>
  <si>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</si>
  <si>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</si>
  <si>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</si>
  <si>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</si>
  <si>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</si>
  <si>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</si>
  <si>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</si>
  <si>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</si>
  <si>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</si>
  <si>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0"/>
        <color theme="1" tint="0.24994659260841701"/>
        <rFont val="Arial"/>
        <family val="1"/>
      </rPr>
      <t>p</t>
    </r>
  </si>
  <si>
    <r>
      <t>E</t>
    </r>
    <r>
      <rPr>
        <vertAlign val="subscript"/>
        <sz val="10"/>
        <color theme="1" tint="0.24994659260841701"/>
        <rFont val="Arial"/>
        <family val="1"/>
      </rPr>
      <t>N2O</t>
    </r>
    <r>
      <rPr>
        <sz val="10"/>
        <color theme="1" tint="0.24994659260841701"/>
        <rFont val="Arial"/>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</si>
  <si>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</si>
  <si>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</si>
  <si>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</si>
  <si>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</si>
  <si>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</si>
  <si>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</si>
  <si>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</si>
  <si>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</si>
  <si>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</si>
  <si>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</si>
  <si>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</si>
  <si>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</si>
  <si>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4"/>
        <color theme="1"/>
        <rFont val="Arial"/>
        <family val="1"/>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</si>
  <si>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</si>
  <si>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</si>
  <si>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</si>
  <si>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</si>
  <si>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</si>
  <si>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</si>
  <si>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</si>
  <si>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</si>
  <si>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</si>
  <si>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</si>
  <si>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</si>
  <si>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</si>
  <si>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</si>
  <si>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</si>
  <si>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</si>
  <si>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</si>
  <si>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</si>
  <si>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</si>
  <si>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</si>
  <si>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</si>
  <si>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</si>
  <si>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</si>
  <si>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</si>
  <si>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</si>
  <si>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</si>
  <si>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</si>
  <si>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</si>
  <si>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</si>
  <si>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</si>
  <si>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Dairy Cattle Purchases</t>
  </si>
  <si>
    <t>⚠️ Livestock sales and purchases are not automatically reflected in the duration and head count tables - you will need to manually adjust head count, duration and average liveweight</t>
  </si>
  <si>
    <t>Breed (select)</t>
  </si>
  <si>
    <t>Quantity (head)</t>
  </si>
  <si>
    <t>Liveweight (kg/head) Method 1</t>
  </si>
  <si>
    <t>Liveweight (kg/head) Method 2</t>
  </si>
  <si>
    <t>Dairy cows from Denise</t>
  </si>
  <si>
    <t>Jersey crossbred</t>
  </si>
  <si>
    <t>Ayrshire</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</si>
  <si>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</si>
  <si>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</si>
  <si>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</si>
  <si>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</si>
  <si>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</si>
  <si>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</si>
  <si>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</si>
  <si>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</si>
  <si>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</si>
  <si>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</si>
  <si>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</si>
  <si>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</si>
  <si>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</si>
  <si>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</si>
  <si>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</si>
  <si>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</si>
  <si>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</si>
  <si>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</si>
  <si>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</si>
  <si>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</si>
  <si>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</si>
  <si>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</si>
  <si>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</si>
  <si>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</si>
  <si>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</si>
  <si>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</si>
  <si>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</si>
  <si>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</si>
  <si>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</si>
  <si>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</si>
  <si>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</si>
  <si>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</si>
  <si>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</si>
  <si>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</si>
  <si>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</si>
  <si>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</si>
  <si>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</si>
  <si>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</si>
  <si>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</si>
  <si>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</si>
  <si>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</si>
  <si>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</si>
  <si>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</si>
  <si>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</si>
  <si>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</si>
  <si>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</si>
  <si>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</si>
  <si>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</si>
  <si>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</si>
  <si>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</si>
  <si>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</si>
  <si>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</si>
  <si>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</si>
  <si>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</si>
  <si>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</si>
  <si>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</si>
  <si>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</si>
  <si>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</si>
  <si>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</si>
  <si>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</si>
  <si>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</si>
  <si>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</si>
  <si>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</si>
  <si>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</si>
  <si>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</si>
  <si>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</si>
  <si>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</si>
  <si>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</si>
  <si>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</si>
  <si>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</si>
  <si>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</si>
  <si>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</si>
  <si>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</si>
  <si>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</si>
  <si>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</si>
  <si>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</si>
  <si>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</si>
  <si>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</si>
  <si>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</si>
  <si>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</si>
  <si>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</si>
  <si>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</si>
  <si>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</si>
  <si>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</si>
  <si>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</si>
  <si>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</si>
  <si>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</si>
  <si>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</si>
  <si>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</si>
  <si>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</si>
  <si>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</si>
  <si>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</si>
  <si>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</si>
  <si>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</si>
  <si>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</si>
  <si>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</si>
  <si>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</si>
  <si>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</si>
  <si>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</si>
  <si>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</si>
  <si>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</si>
  <si>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</si>
  <si>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</si>
  <si>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</si>
  <si>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</si>
  <si>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</si>
  <si>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</si>
  <si>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</si>
  <si>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</si>
  <si>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</si>
  <si>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</si>
  <si>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</si>
  <si>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</si>
  <si>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</si>
  <si>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</si>
  <si>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</si>
  <si>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</si>
  <si>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</si>
  <si>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</si>
  <si>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</si>
  <si>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</si>
  <si>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</si>
  <si>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</si>
  <si>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</si>
  <si>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</si>
  <si>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</si>
  <si>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</si>
  <si>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</si>
  <si>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</si>
  <si>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</si>
  <si>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</si>
  <si>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</si>
  <si>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</si>
  <si>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</si>
  <si>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</si>
  <si>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</si>
  <si>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</si>
  <si>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</si>
  <si>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</si>
  <si>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</si>
  <si>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</si>
  <si>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</si>
  <si>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</si>
  <si>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</si>
  <si>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</si>
  <si>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</si>
  <si>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</si>
  <si>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</si>
  <si>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</si>
  <si>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</si>
  <si>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</si>
  <si>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</si>
  <si>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</si>
  <si>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</si>
  <si>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</si>
  <si>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</si>
  <si>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</si>
  <si>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</si>
  <si>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</si>
  <si>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</si>
  <si>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</si>
  <si>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</si>
  <si>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</si>
  <si>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</si>
  <si>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</si>
  <si>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</si>
  <si>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</si>
  <si>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</si>
  <si>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</si>
  <si>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</si>
  <si>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</si>
  <si>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</si>
  <si>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</si>
  <si>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</si>
  <si>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</si>
  <si>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</si>
  <si>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</si>
  <si>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</si>
  <si>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</si>
  <si>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</si>
  <si>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</si>
  <si>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</si>
  <si>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</si>
  <si>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</si>
  <si>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</si>
  <si>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</si>
  <si>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</si>
  <si>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</si>
  <si>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</si>
  <si>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</si>
  <si>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</si>
  <si>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</si>
  <si>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</si>
  <si>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</si>
  <si>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</si>
  <si>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</si>
  <si>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</si>
  <si>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</si>
  <si>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</si>
  <si>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</si>
  <si>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</si>
  <si>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</si>
  <si>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</si>
  <si>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</si>
  <si>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</si>
  <si>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</si>
  <si>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</si>
  <si>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</si>
  <si>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</si>
  <si>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</si>
  <si>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</si>
  <si>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</si>
  <si>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</si>
  <si>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</si>
  <si>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</si>
  <si>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</si>
  <si>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</si>
  <si>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</si>
  <si>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</si>
  <si>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</si>
  <si>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</si>
  <si>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</si>
  <si>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</si>
  <si>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</si>
  <si>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</si>
  <si>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</si>
  <si>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</si>
  <si>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</si>
  <si>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</si>
  <si>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</si>
  <si>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</si>
  <si>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</si>
  <si>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</si>
  <si>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</si>
  <si>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</si>
  <si>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</si>
  <si>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</si>
  <si>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</si>
  <si>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</si>
  <si>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</si>
  <si>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Table_ProductRegions_Beefcattle</t>
  </si>
  <si>
    <t>Category</t>
  </si>
  <si>
    <t>Region of origin</t>
  </si>
  <si>
    <t>Quantity Unit</t>
  </si>
  <si>
    <t>Emissions intensity</t>
  </si>
  <si>
    <t>System boundary</t>
  </si>
  <si>
    <t>Region</t>
  </si>
  <si>
    <t>Scope3 region</t>
  </si>
  <si>
    <t>GHGEI-MIAFF</t>
  </si>
  <si>
    <t>WA - South west</t>
  </si>
  <si>
    <t>WA - Pilbara</t>
  </si>
  <si>
    <t>WA - Kimberley</t>
  </si>
  <si>
    <t>NT - Alice Springs</t>
  </si>
  <si>
    <t>NT - Barkly</t>
  </si>
  <si>
    <t>NT - Northern</t>
  </si>
  <si>
    <t>QLD - High</t>
  </si>
  <si>
    <t>QLD - Moderate/High</t>
  </si>
  <si>
    <t>QLD - Moderate/Low</t>
  </si>
  <si>
    <t>QLD - Low</t>
  </si>
  <si>
    <t>Chemicals</t>
  </si>
  <si>
    <t>Inorganic fertilisers</t>
  </si>
  <si>
    <t>Quantity</t>
  </si>
  <si>
    <t>Other agricultural inputs</t>
  </si>
  <si>
    <t>Packaging</t>
  </si>
  <si>
    <t>Soil ameliorants</t>
  </si>
  <si>
    <t>Fish feed and bait</t>
  </si>
  <si>
    <t>VEERG</t>
  </si>
  <si>
    <t>Constants - Livestock</t>
  </si>
  <si>
    <t>Symbol</t>
  </si>
  <si>
    <t>Manure management system</t>
  </si>
  <si>
    <t>Metabolisability of diet</t>
  </si>
  <si>
    <t>VARIATION ON SOURCE: changed 0.795 to 0.00795 which is the value used in the National Inventory Report</t>
  </si>
  <si>
    <t>VEERG 2026: 3.3.1.1, Equation (6)</t>
  </si>
  <si>
    <t>qm_j</t>
  </si>
  <si>
    <t>DMD_j</t>
  </si>
  <si>
    <t>dry matter digestibility expressed as a fraction</t>
  </si>
  <si>
    <t>Input</t>
  </si>
  <si>
    <t>Milk production converted from milk solids</t>
  </si>
  <si>
    <t>VEERG 2026: 3.3.1.1, Equation (5)</t>
  </si>
  <si>
    <t>VARATION ON SOURCE: Added milk production unit variable to allow for use of either milk solids or litres of milk. Converted input FC and PC percent to integer.</t>
  </si>
  <si>
    <t>MP_j</t>
  </si>
  <si>
    <t>MPU</t>
  </si>
  <si>
    <t>input milk production unit</t>
  </si>
  <si>
    <t>MS_j</t>
  </si>
  <si>
    <t>daily production of milk solids</t>
  </si>
  <si>
    <t>FC_j</t>
  </si>
  <si>
    <t>fat content in fat and protein corrected milk</t>
  </si>
  <si>
    <t>PC_j</t>
  </si>
  <si>
    <t>protein content in fat and protein corrected milk</t>
  </si>
  <si>
    <t>kg MS/head/day</t>
  </si>
  <si>
    <t>per cent</t>
  </si>
  <si>
    <t>milk production unit</t>
  </si>
  <si>
    <t>Additional intake required for milk production</t>
  </si>
  <si>
    <t>VEERG 2026: 3.3.1.1, Equation (4)</t>
  </si>
  <si>
    <t>VARATION ON SOURCE: Added milk production unit variable to allow for use of either milk solids or litres of milk.</t>
  </si>
  <si>
    <t>MI_j</t>
  </si>
  <si>
    <t>kg DM/head/day</t>
  </si>
  <si>
    <t>milk production (if input as litres of milk)</t>
  </si>
  <si>
    <t>milk production (if input as milk solids)</t>
  </si>
  <si>
    <t>NE</t>
  </si>
  <si>
    <t>net energy</t>
  </si>
  <si>
    <t>GEC</t>
  </si>
  <si>
    <t>gross energy content</t>
  </si>
  <si>
    <t>k</t>
  </si>
  <si>
    <t>efficiency of metabolizable energy use for milk production</t>
  </si>
  <si>
    <t>metabolisability of the diet</t>
  </si>
  <si>
    <t>Calculated from 3.3.1.1 (5)</t>
  </si>
  <si>
    <t>MJ net energy/kg milk</t>
  </si>
  <si>
    <t>Constant</t>
  </si>
  <si>
    <t>MJ/kgDM</t>
  </si>
  <si>
    <t>Calculated from 3.3.1.1 (6)</t>
  </si>
  <si>
    <t>Feed intake</t>
  </si>
  <si>
    <t>VEERG 2026: 3.3.1.1, Equation (3)</t>
  </si>
  <si>
    <t>I_j</t>
  </si>
  <si>
    <t>W_j</t>
  </si>
  <si>
    <t>liveweight</t>
  </si>
  <si>
    <t>LWG_j</t>
  </si>
  <si>
    <t>liveweight gain</t>
  </si>
  <si>
    <t>MR_j</t>
  </si>
  <si>
    <t>increase in metabolic rate when producing milk</t>
  </si>
  <si>
    <t>additional intake required for milk production</t>
  </si>
  <si>
    <t>Calculated from 3.3.1.1 (4)</t>
  </si>
  <si>
    <t>Daily production of enteric methane</t>
  </si>
  <si>
    <t>VEERG 2026: 3.3.1.1, Equation (2)</t>
  </si>
  <si>
    <t>M_j</t>
  </si>
  <si>
    <t>kg CH4/head/day</t>
  </si>
  <si>
    <t>Total annual methane production from enteric fermentation in dairy cattle</t>
  </si>
  <si>
    <t>VEERG 2026: 3.3.1.1, Equation (1)</t>
  </si>
  <si>
    <t>VARIATION ON SOURCE: Added 'DPW' variable to allow for a separate handling of pre-weaned duration.</t>
  </si>
  <si>
    <t>E_enteric</t>
  </si>
  <si>
    <t>N_j124</t>
  </si>
  <si>
    <t>number of dairy cattle in classes j=1,2,4</t>
  </si>
  <si>
    <t>M_j124</t>
  </si>
  <si>
    <t>daily enteric methane production for classes j=1,2,4</t>
  </si>
  <si>
    <t>D_j124</t>
  </si>
  <si>
    <t>duration of stay on the farm for classes j=1,2,4</t>
  </si>
  <si>
    <t>N_j35</t>
  </si>
  <si>
    <t>number of dairy cattle in classes j=3,5</t>
  </si>
  <si>
    <t>M_j35</t>
  </si>
  <si>
    <t>daily enteric methane production for weaned classes j=3,5</t>
  </si>
  <si>
    <t>D_j35</t>
  </si>
  <si>
    <t>duration of stay on the farm for weaned classes j=3,5</t>
  </si>
  <si>
    <t>DPW_j35</t>
  </si>
  <si>
    <t>duration of stay on the farm for pre-weaned heifer and bull calves</t>
  </si>
  <si>
    <t>MPW_ENTERIC_j35</t>
  </si>
  <si>
    <t>daily methane production for pre-weaned heifer and bull calves</t>
  </si>
  <si>
    <t>Calculated from 3.3.1.1 (2)</t>
  </si>
  <si>
    <t>days</t>
  </si>
  <si>
    <t>Volatile solids for weaned dairy cattle</t>
  </si>
  <si>
    <t>VEERG 2026: 4.3.1.1, Equation (3)</t>
  </si>
  <si>
    <t>VS_j</t>
  </si>
  <si>
    <t>dry matter feed intake (kgDM/head/day)</t>
  </si>
  <si>
    <t>dry matter digestibility</t>
  </si>
  <si>
    <t>A</t>
  </si>
  <si>
    <t>ash content of feed intake</t>
  </si>
  <si>
    <t>kgDM/head/day</t>
  </si>
  <si>
    <t>Calculated from 3.3.1.1 (3)</t>
  </si>
  <si>
    <t>Fraction of volatile solids in each system other than solid storage</t>
  </si>
  <si>
    <t>VEERG 2026: 4.3.1.1, Equation (4)</t>
  </si>
  <si>
    <t>FVS_jm</t>
  </si>
  <si>
    <t>MMS_jm</t>
  </si>
  <si>
    <t>fraction of manure to each primary MMS for each class prior to solid separation</t>
  </si>
  <si>
    <t>SS_m</t>
  </si>
  <si>
    <t>fraction of volatile solids separated to solid storage for each MMS</t>
  </si>
  <si>
    <t>Fraction of volatile solids in solid storage</t>
  </si>
  <si>
    <t>VEERG 2026: 4.3.1.1, Equation (5)</t>
  </si>
  <si>
    <t>Used separate variables for MMS and SS m 1, 7 and 9.</t>
  </si>
  <si>
    <t>FVS_jm4</t>
  </si>
  <si>
    <t>MMS_jm4</t>
  </si>
  <si>
    <t>fraction of volatile solids in solid storage before transfer</t>
  </si>
  <si>
    <t>MMS_jm179</t>
  </si>
  <si>
    <t>fraction of volatile solids in MMS m=1,7,9 before transfer</t>
  </si>
  <si>
    <t>Methane from manure production from weaned dairy cattle</t>
  </si>
  <si>
    <t>VEERG 2026: 4.3.1.1, Equation (2)</t>
  </si>
  <si>
    <t>M_jm</t>
  </si>
  <si>
    <t>daily volatile solids production per head for dairy cattle (kg/head/day)</t>
  </si>
  <si>
    <t>FVS_jmT1</t>
  </si>
  <si>
    <t>fraction of waste from each class in each management system</t>
  </si>
  <si>
    <t>MCF_im</t>
  </si>
  <si>
    <t>methane conversion factor for temperature zone and MMS</t>
  </si>
  <si>
    <t>B_o</t>
  </si>
  <si>
    <t>emissions potential (m3 CH4/kgVS)</t>
  </si>
  <si>
    <t>rho</t>
  </si>
  <si>
    <t>density of methane (kg/m3)</t>
  </si>
  <si>
    <t>i</t>
  </si>
  <si>
    <t>state</t>
  </si>
  <si>
    <t>Calculated from 4.3.1.1 (3)</t>
  </si>
  <si>
    <t>Calculated from 4.3.1.1 (4)(5)</t>
  </si>
  <si>
    <t>m3 CH4/kgVS</t>
  </si>
  <si>
    <t>kg/m3</t>
  </si>
  <si>
    <t>Mean annual temperature</t>
  </si>
  <si>
    <t>°C</t>
  </si>
  <si>
    <t>Total annual methane production from manure management</t>
  </si>
  <si>
    <t>VEERG 2026: 4.3.1.1, Equation (1)</t>
  </si>
  <si>
    <t>VARIATION: Used separate variable for duration of stay on farm for pre-weaned heifer and bull calves.</t>
  </si>
  <si>
    <t>E_CH4</t>
  </si>
  <si>
    <t>M_j124m</t>
  </si>
  <si>
    <t>methane production from manure of weaned dairy cattle in classes j=1,2,4 in MMS m</t>
  </si>
  <si>
    <t>duration of stay on farm for classes j=1,2,4</t>
  </si>
  <si>
    <t>M_j35m</t>
  </si>
  <si>
    <t>methane production from manure of weaned dairy cattle in classes j=3,5 in MMS m</t>
  </si>
  <si>
    <t>duration of stay on farm for classes j=3,5</t>
  </si>
  <si>
    <t>MPW_manure_j35</t>
  </si>
  <si>
    <t>methane production from manure of pre-weaned heifer and bull calves</t>
  </si>
  <si>
    <t>duration of stay on farm for pre-weaned heifer and bull calves</t>
  </si>
  <si>
    <t>Calculated from 4.3.1.1 (2)</t>
  </si>
  <si>
    <t>Relative size</t>
  </si>
  <si>
    <t>VEERG 2026: 4.3.1.3, Equation (8)</t>
  </si>
  <si>
    <t>Z_j</t>
  </si>
  <si>
    <t>ratio</t>
  </si>
  <si>
    <t>WR_j</t>
  </si>
  <si>
    <t>reference weight</t>
  </si>
  <si>
    <t>Intake relative to maintenance</t>
  </si>
  <si>
    <t>VEERG 2026: 4.3.1.3, Equation (7)</t>
  </si>
  <si>
    <t>L_j</t>
  </si>
  <si>
    <t>dry matter intake</t>
  </si>
  <si>
    <t>Amount of nitrogen retained by the body</t>
  </si>
  <si>
    <t>VEERG 2026: 4.3.1.3, Equation (6)</t>
  </si>
  <si>
    <t>VARIATION ON SOURCE: Added check for milk production input unit and choose corresponding MP_j value accordingly.</t>
  </si>
  <si>
    <t>NR_j</t>
  </si>
  <si>
    <t>kg N/head/day</t>
  </si>
  <si>
    <t>intake relative to maintenance</t>
  </si>
  <si>
    <t>relative size</t>
  </si>
  <si>
    <t>Calculated from 4.3.1.3 (7)</t>
  </si>
  <si>
    <t>Calculated from 4.3.1.3 (8)</t>
  </si>
  <si>
    <t>Crude protein intake of dairy cattle</t>
  </si>
  <si>
    <t>VEERG 2026: 4.3.1.3, Equation (5)</t>
  </si>
  <si>
    <t>CPI_j</t>
  </si>
  <si>
    <t>Nitrogen excreted by dairy cattle greater than one year old</t>
  </si>
  <si>
    <t>VEERG 2026: 4.3.1.3, Equation (4)</t>
  </si>
  <si>
    <t>NE_j</t>
  </si>
  <si>
    <t>crude protein intake (kg/head/day)</t>
  </si>
  <si>
    <t>amount of nitrogen retained by the body</t>
  </si>
  <si>
    <t>liveweight (kg)</t>
  </si>
  <si>
    <t>Calculated from 4.3.1.3 (5)</t>
  </si>
  <si>
    <t>Calculated from 4.3.1.3 (6)</t>
  </si>
  <si>
    <t>Total annual nitrogen excreted by dairy cattle greater than one year old</t>
  </si>
  <si>
    <t>VEERG 2026: 4.3.1.3, Equation (3a)</t>
  </si>
  <si>
    <t>VARIATION: Used Duration variables instead of hard-coded 365 value.</t>
  </si>
  <si>
    <t>AE_j124</t>
  </si>
  <si>
    <t>NE_j124</t>
  </si>
  <si>
    <t>nitrogen excreted by dairy cattle greater than one year old (kg N/head/day)</t>
  </si>
  <si>
    <t>duration of stay on farm for classes j=1,2,4 (days)</t>
  </si>
  <si>
    <t>Calculated from 4.3.1.3 (4)</t>
  </si>
  <si>
    <t>Total annual nitrogen excreted by dairy cattle less than one year old</t>
  </si>
  <si>
    <t>VEERG 2026: 4.3.1.3, Equation (3b)</t>
  </si>
  <si>
    <t>VARIATION: Used Duration variables instead of hard-coded 281 and 84 values.</t>
  </si>
  <si>
    <t>AE_j35</t>
  </si>
  <si>
    <t>NE_j35</t>
  </si>
  <si>
    <t>nitrogen excreted by weaned dairy cattle less than one year old (kg N/head/day)</t>
  </si>
  <si>
    <t>NPW_j35</t>
  </si>
  <si>
    <t>nitrogen excreted by pre-weaned calves (kg N/head/day)</t>
  </si>
  <si>
    <t>duration of stay on farm for weaned dairy cattle less than one year old (days)</t>
  </si>
  <si>
    <t>duration of stay on farm for pre-weaned calves (days)</t>
  </si>
  <si>
    <t>Total nitrogen in each MMS</t>
  </si>
  <si>
    <t>VEERG 2026: 4.3.1.3, Equation (2)</t>
  </si>
  <si>
    <t>MN_jm</t>
  </si>
  <si>
    <t>AE_j</t>
  </si>
  <si>
    <t>total nitrogen excreted by each dairy class</t>
  </si>
  <si>
    <t>manure management system fraction for class j and system m</t>
  </si>
  <si>
    <t>Calculated from 4.3.1.3 (3a) and (3b)</t>
  </si>
  <si>
    <t>Total annual direct nitrous oxide emissions from manure management systems</t>
  </si>
  <si>
    <t>VEERG 2026: 4.3.1.3, Equation (1)</t>
  </si>
  <si>
    <t>E_N2Odir</t>
  </si>
  <si>
    <t>total nitrogen in each MMS for dairy cattle classes</t>
  </si>
  <si>
    <t>EF_m</t>
  </si>
  <si>
    <t>nitrous oxide emission factor for each MMS (kg N2O-N/kg N deposited)</t>
  </si>
  <si>
    <t>C_N2O</t>
  </si>
  <si>
    <t>factor to convert elemental mass of N2O to molecular mass</t>
  </si>
  <si>
    <t>Calculated from 4.3.1.3 (2)</t>
  </si>
  <si>
    <t>kg N2O-N/kg N</t>
  </si>
  <si>
    <t>Total nitrogen volatilised from MMS</t>
  </si>
  <si>
    <t>VEERG 2026: 4.3.1.5, Equation (2)</t>
  </si>
  <si>
    <t>MN_ATMOS</t>
  </si>
  <si>
    <t>FracGASM_m</t>
  </si>
  <si>
    <t>fraction of N volatilised from MMS</t>
  </si>
  <si>
    <t>Annual atmospheric deposition emissions from MMS</t>
  </si>
  <si>
    <t>VEERG 2026: 4.3.1.5, Equation (1)</t>
  </si>
  <si>
    <t>E_N2OMMSad</t>
  </si>
  <si>
    <t>mass of N volatilised from MMS</t>
  </si>
  <si>
    <t>EF_N2O</t>
  </si>
  <si>
    <t>nitrous oxide emission factor for atmospheric deposition</t>
  </si>
  <si>
    <t>j</t>
  </si>
  <si>
    <t>production system</t>
  </si>
  <si>
    <t>ir</t>
  </si>
  <si>
    <t>irrigation method</t>
  </si>
  <si>
    <t>r</t>
  </si>
  <si>
    <t>rainfall region</t>
  </si>
  <si>
    <t>Calculated from 4.3.1.5 (2)</t>
  </si>
  <si>
    <t>Mass of nitrogen lost to leaching and runoff from solid storage systems</t>
  </si>
  <si>
    <t>VEERG 2026: 4.3.1.6, Equation (2)</t>
  </si>
  <si>
    <t>MNLeach_jm4</t>
  </si>
  <si>
    <t>MN_jm4</t>
  </si>
  <si>
    <t>total nitrogen in solid storage system m=4 (kg N)</t>
  </si>
  <si>
    <t>FracWET_i</t>
  </si>
  <si>
    <t>fraction of N that is available for leaching and runoff from the leaching zone z and irrigation type ir</t>
  </si>
  <si>
    <t>FracLEACH_MS</t>
  </si>
  <si>
    <t>fraction of N that is lost through leaching and runoff</t>
  </si>
  <si>
    <t>z</t>
  </si>
  <si>
    <t>location in leaching zone</t>
  </si>
  <si>
    <t>Annual emissions from leaching and runoff from each MMS</t>
  </si>
  <si>
    <t>VEERG 2026: 4.3.1.6, Equation (1)</t>
  </si>
  <si>
    <t>E_N2Oleach</t>
  </si>
  <si>
    <t>MNLeach_jm</t>
  </si>
  <si>
    <t>mass of N lost through leaching and runoff</t>
  </si>
  <si>
    <t>EF_leach</t>
  </si>
  <si>
    <t>nitrous oxide emission factor for leaching and runoff</t>
  </si>
  <si>
    <t>Calculated from 4.3.1.6 (2)</t>
  </si>
  <si>
    <t>Mass of nitrogen from manure applied to soils for scope 1 emissions</t>
  </si>
  <si>
    <t>VEERG 2026: 4.3.1.8, Equation (1)</t>
  </si>
  <si>
    <t>MNSoil_scope1</t>
  </si>
  <si>
    <t>emission factor for nitrous oxide emissions per MMS</t>
  </si>
  <si>
    <t>mass of N lost through leaching and runoff from each MMS</t>
  </si>
  <si>
    <t>fraction of manure applied to soil within farm boundary</t>
  </si>
  <si>
    <t>Mass of nitrogen from manure applied to soils for scope 3 emissions</t>
  </si>
  <si>
    <t>VEERG 2026: 4.3.1.8, Equation (2)</t>
  </si>
  <si>
    <t>MNSoil_scope3</t>
  </si>
  <si>
    <t>PF</t>
  </si>
  <si>
    <t>Direct nitrous oxide emissions on pasture</t>
  </si>
  <si>
    <t>VEERG 2026: 4.3.1.9, Equation (1)</t>
  </si>
  <si>
    <t>MN_jm14</t>
  </si>
  <si>
    <t>mass of nitrogen excreted on pasture, range, and paddock for each dairy cattle class</t>
  </si>
  <si>
    <t>EF_PRP</t>
  </si>
  <si>
    <t>emission factor for nitrous oxide emissions for urine and dung deposited on PRP</t>
  </si>
  <si>
    <t>kg N2O-N/kg N deposited</t>
  </si>
  <si>
    <t>Mass of nitrogen volatilised from urine and faeces deposited on pasture</t>
  </si>
  <si>
    <t>VEERG 2026: 4.3.1.10, Equation (2)</t>
  </si>
  <si>
    <t>M_vol_m14</t>
  </si>
  <si>
    <t>mass of nitrogen excreted on pasture, range and paddock for each dairy class</t>
  </si>
  <si>
    <t>FracGASMsoil</t>
  </si>
  <si>
    <t>fraction of nitrogen volatilised from urine and faeces deposited on pasture</t>
  </si>
  <si>
    <t>(kg NH3-N + NOx-N)/kg N)</t>
  </si>
  <si>
    <t>Atmospheric deposition emissions from urine and dung deposited on pasture</t>
  </si>
  <si>
    <t>VEERG 2026: 4.3.1.10, Equation (1)</t>
  </si>
  <si>
    <t>E_N2Oad</t>
  </si>
  <si>
    <t>mass of nitrogen volatilised from urine and faeces deposited on pasture</t>
  </si>
  <si>
    <t>Calculated from 4.3.1.10 (2)</t>
  </si>
  <si>
    <t>Mass of nitrogen lost to leaching and runoff from urine and faeces on pasture</t>
  </si>
  <si>
    <t>VEERG 2026: 4.3.1.12, Equation (2)</t>
  </si>
  <si>
    <t>M_leach_m14</t>
  </si>
  <si>
    <t>FracWet</t>
  </si>
  <si>
    <t>fraction of N available for leaching and runoff</t>
  </si>
  <si>
    <t>FracLEACH</t>
  </si>
  <si>
    <t>fraction of N lost through leaching and runoff</t>
  </si>
  <si>
    <t>Leaching and runoff emissions from urine and dung deposited on pasture</t>
  </si>
  <si>
    <t>VEERG 2026: 4.3.1.12, Equation (1)</t>
  </si>
  <si>
    <t>mass of nitrogen lost to leaching and runoff from urine and faeces deposited on pasture</t>
  </si>
  <si>
    <t>Calculated from 4.3.1.12 (2)</t>
  </si>
  <si>
    <t>Mass of nitrogen in inorganic fertiliser applied to production system</t>
  </si>
  <si>
    <t>VEERG 2026: 5.1.1.1, Equation (2)</t>
  </si>
  <si>
    <t>MN_jf</t>
  </si>
  <si>
    <t>TM_jf</t>
  </si>
  <si>
    <t>total mass of inorganic fertiliser type f applied to production system j</t>
  </si>
  <si>
    <t>FN_inorganicf</t>
  </si>
  <si>
    <t xml:space="preserve">fraction of nitrogen in inorganic fertiliser type f </t>
  </si>
  <si>
    <t>kg N/kg</t>
  </si>
  <si>
    <t>Emission factor for nitrous oxide for irrigated maize</t>
  </si>
  <si>
    <t>VEERG 2026: 5.1.1.2, Equation (1)</t>
  </si>
  <si>
    <t>Nitrous oxide emissions from the application of all inorganic fertiliser types f to all production systems j</t>
  </si>
  <si>
    <t>VEERG 2026: 5.1.1.1, Equation (1)</t>
  </si>
  <si>
    <t>EF_fjIrrigatedMaizeN2O</t>
  </si>
  <si>
    <t>kg N2O-N/kg N applied</t>
  </si>
  <si>
    <t>N_fjIrrigatedMaize</t>
  </si>
  <si>
    <t>application rate of inorganic fertiliser type f in the irrigated maize crop</t>
  </si>
  <si>
    <t>f</t>
  </si>
  <si>
    <t>Inorganic fertiliser type</t>
  </si>
  <si>
    <t>kg N/ha</t>
  </si>
  <si>
    <t>mass of nitrogen in inorganic fertiliser type f applied to production system j</t>
  </si>
  <si>
    <t>EF_jN2O</t>
  </si>
  <si>
    <t>emission factor for nitrous oxide for inorganic fertilisers</t>
  </si>
  <si>
    <t>factor to convert elemental mass of nitrous oxide to molecular mass</t>
  </si>
  <si>
    <t>rainfall zone</t>
  </si>
  <si>
    <t>Calculated from 5.1.1.1 (2)</t>
  </si>
  <si>
    <t>Emission factor for nitrous oxide for non-irrigated grains in high rainfall zone</t>
  </si>
  <si>
    <t>VEERG 2026: 5.1.1.2, Equation (2)</t>
  </si>
  <si>
    <t>EF_fjNonIrrigatedGrainsN2O</t>
  </si>
  <si>
    <t>N_fjNonIrrigatedGrains</t>
  </si>
  <si>
    <t>application rate of inorganic fertiliser type f in the grains crop</t>
  </si>
  <si>
    <t>Emission factor for nitrous oxide for cotton</t>
  </si>
  <si>
    <t>VEERG 2026: 5.1.1.2, Equation (3)</t>
  </si>
  <si>
    <t>EF_fjCottonN2O</t>
  </si>
  <si>
    <t>N_fjCotton</t>
  </si>
  <si>
    <t>application rate of inorganic fertiliser type f in the cotton crop</t>
  </si>
  <si>
    <t>c</t>
  </si>
  <si>
    <t>Calculated from 5.1.1.2 (1)(2)(3)</t>
  </si>
  <si>
    <t>Mass of urea applied to production system</t>
  </si>
  <si>
    <t>VEERG 2026: 5.1.1.3, Equation (2)</t>
  </si>
  <si>
    <t>MU_jf</t>
  </si>
  <si>
    <t>kg urea</t>
  </si>
  <si>
    <t>FU_f</t>
  </si>
  <si>
    <t>fraction of urea in fertiliser type f</t>
  </si>
  <si>
    <t>kg urea/kg</t>
  </si>
  <si>
    <t>Lookup</t>
  </si>
  <si>
    <t>Carbon dioxide emissions resulting from the use of all inorganic, urea-based fertilisers</t>
  </si>
  <si>
    <t>VEERG 2026: 5.1.1.3, Equation (1)</t>
  </si>
  <si>
    <t>E_CO2</t>
  </si>
  <si>
    <t>mass of urea of inorganic fertiliser type f applied to production system j</t>
  </si>
  <si>
    <t>EF_ureaCO2</t>
  </si>
  <si>
    <t>emission factor for carbon emissions from urea-based fertilisers</t>
  </si>
  <si>
    <t>C_CO2</t>
  </si>
  <si>
    <t>factor to convert elemental mass of carbon to molecular mass of carbon dioxide</t>
  </si>
  <si>
    <t>Calculated</t>
  </si>
  <si>
    <t>kg C/kg urea</t>
  </si>
  <si>
    <t>Mass of nitrogen in purchased organic fertilisers applied to production system</t>
  </si>
  <si>
    <t>VEERG 2026: 5.2.1.1, Equation (2)</t>
  </si>
  <si>
    <t>MNSoil_jf</t>
  </si>
  <si>
    <t>M_organicjf</t>
  </si>
  <si>
    <t>mass of organic fertiliser type f applied to production system j</t>
  </si>
  <si>
    <t>FN_organicf</t>
  </si>
  <si>
    <t>nitrogen fraction of organic fertiliser type f</t>
  </si>
  <si>
    <t>Nitrous oxide emissions from the application of all organic fertiliser types f to all production systems j</t>
  </si>
  <si>
    <t>VEERG 2026: 5.2.1.1, Equation (1)</t>
  </si>
  <si>
    <t>mass of nitrogen in organic fertiliser type f applied to production system j</t>
  </si>
  <si>
    <t>EF_N2Oi</t>
  </si>
  <si>
    <t>emission factor for direct nitrous oxide emissions from organic fertiliser applied to soils and aquatic systems in climate zone i</t>
  </si>
  <si>
    <t>Calculated from 5.2.1.1 (2)</t>
  </si>
  <si>
    <t>Emissions from the application of lime and dolomite to production systems</t>
  </si>
  <si>
    <t>VEERG 2026: 5.3.1.1, Equation (1)</t>
  </si>
  <si>
    <t>E_lime</t>
  </si>
  <si>
    <t>M_lime</t>
  </si>
  <si>
    <t>total mass of lime applied to production system</t>
  </si>
  <si>
    <t>fraction of lime as limestone (CaCO3)</t>
  </si>
  <si>
    <t>P_lime</t>
  </si>
  <si>
    <t>fractional purity of limestone</t>
  </si>
  <si>
    <t>EF_lime</t>
  </si>
  <si>
    <t>emission factor for limestone fraction of lime</t>
  </si>
  <si>
    <t>fraction of lime as dolomite</t>
  </si>
  <si>
    <t>P_dol</t>
  </si>
  <si>
    <t>fractional purity of dolomite</t>
  </si>
  <si>
    <t>EF_dol</t>
  </si>
  <si>
    <t>emission factor for dolomite fraction of lime</t>
  </si>
  <si>
    <t>factor to convert elemental mass of carbon dioxide to molecular mass</t>
  </si>
  <si>
    <t>kg C/kg</t>
  </si>
  <si>
    <t>Mass of nitrogen volatilised from inorganic fertiliser applied to production system</t>
  </si>
  <si>
    <t>VEERG 2026: 5.4.1.1, Equation (2)</t>
  </si>
  <si>
    <t>M_volinorganicjf</t>
  </si>
  <si>
    <t>mass of nitrogen in inorganic fertiliser applied</t>
  </si>
  <si>
    <t>FracGASF_f</t>
  </si>
  <si>
    <t>fraction of inorganic fertiliser that volatilises</t>
  </si>
  <si>
    <t>(kg NH3-N + NOx-N)/kg N</t>
  </si>
  <si>
    <t>Nitrous oxide emissions from atmospheric deposition from all inorganic fertiliser types f and all production systems j</t>
  </si>
  <si>
    <t>VEERG 2026: 5.4.1.1, Equation (1)</t>
  </si>
  <si>
    <t>E_adinorganic</t>
  </si>
  <si>
    <t>mass of nitrogen volatilised from inorganic fertiliser applied to production system</t>
  </si>
  <si>
    <t>EF_N2Oj</t>
  </si>
  <si>
    <t>emission factor for atmospheric deposition</t>
  </si>
  <si>
    <t>Calculated from 5.4.1.1 (2)</t>
  </si>
  <si>
    <t>Mass of nitrogen volatilised from organic fertiliser applied to production system</t>
  </si>
  <si>
    <t>VEERG 2026: 5.4.1.3, Equation (2)</t>
  </si>
  <si>
    <t>M_volorganicjf</t>
  </si>
  <si>
    <t>FracGASM_soil</t>
  </si>
  <si>
    <t>fraction of organic fertiliser N that volatilises</t>
  </si>
  <si>
    <t>Nitrous oxide emissions from atmospheric deposition of all organic fertiliser types f and all production systems j</t>
  </si>
  <si>
    <t>VEERG 2026: 5.4.1.3, Equation (1)</t>
  </si>
  <si>
    <t>E_adorganic</t>
  </si>
  <si>
    <t>mass of nitrogen volatilised from organic fertiliser applied to production system</t>
  </si>
  <si>
    <t>emission factor for atmospheric deposition in production system j</t>
  </si>
  <si>
    <t>Calculated from 5.4.1.3 (2)</t>
  </si>
  <si>
    <t>Mass of nitrogen lost through leaching and runoff from inorganic fertiliser application in production system j</t>
  </si>
  <si>
    <t>VEERG 2026: 5.5, Equation (2)</t>
  </si>
  <si>
    <t>M_leachinorganicj</t>
  </si>
  <si>
    <t>mass of nitrogen in inorganic fertiliser</t>
  </si>
  <si>
    <t>FracWETj</t>
  </si>
  <si>
    <t>Mass of nitrogen lost through leaching and runoff from organic fertiliser application in production system j</t>
  </si>
  <si>
    <t>VEERG 2026: 5.5, Equation (3)</t>
  </si>
  <si>
    <t>M_leachorganicj</t>
  </si>
  <si>
    <t>mass of nitrogen in organic fertiliser</t>
  </si>
  <si>
    <t>Nitrous oxide emissions from nitrogen leaching and runoff from the application of all fertilisers across all production systems j</t>
  </si>
  <si>
    <t>VEERG 2026: 5.5, Equation (1)</t>
  </si>
  <si>
    <t>E_fertleach</t>
  </si>
  <si>
    <t>mass of nitrogen lost through leaching and runoff from inorganic fertiliser application in production system j</t>
  </si>
  <si>
    <t>mass of nitrogen lost through leaching and runoff from organic fertiliser application</t>
  </si>
  <si>
    <t>emission factor for nitrogen leaching and runoff</t>
  </si>
  <si>
    <t>Calculated from 5.5.1.1 (2)</t>
  </si>
  <si>
    <t>Calculated from 5.5.1.1 (3)</t>
  </si>
  <si>
    <t>Mass of nitrogen in pasture residues returned to the soil</t>
  </si>
  <si>
    <t>VEERG 2026: 6.2.1.1, Equation (2)</t>
  </si>
  <si>
    <t>Mp</t>
  </si>
  <si>
    <t>A_p</t>
  </si>
  <si>
    <t>area of pasture renewed or removed</t>
  </si>
  <si>
    <t>Y_p</t>
  </si>
  <si>
    <t>average yield of pasture crop</t>
  </si>
  <si>
    <t>NC_AGp</t>
  </si>
  <si>
    <t>N content of above-ground pasture residue</t>
  </si>
  <si>
    <t>R_BGp</t>
  </si>
  <si>
    <t>below-ground residue to above-ground residue ratio for pasture crop</t>
  </si>
  <si>
    <t>NC_BGp</t>
  </si>
  <si>
    <t>N content of below-ground pasture crop residue</t>
  </si>
  <si>
    <t>FFOD_p</t>
  </si>
  <si>
    <t>fraction of pasture yield that is removed</t>
  </si>
  <si>
    <t>p</t>
  </si>
  <si>
    <t>ha</t>
  </si>
  <si>
    <t>t DM/ha</t>
  </si>
  <si>
    <t>kg N/kg DM</t>
  </si>
  <si>
    <t>Nitrous oxide emissions from the return of pasture residues from all pasture types to the soil</t>
  </si>
  <si>
    <t>VEERG 2026: 6.2.1.1, Equation (1)</t>
  </si>
  <si>
    <t>EN2O</t>
  </si>
  <si>
    <t>M_p</t>
  </si>
  <si>
    <t>mass of nitrogen in pasture p residues returned to the soil</t>
  </si>
  <si>
    <t>EF_Ni</t>
  </si>
  <si>
    <t>emission factor for crop residues returned to the soil in climate zone i</t>
  </si>
  <si>
    <t>Calculated from 6.2.1.1 (2)</t>
  </si>
  <si>
    <t>dimensionless</t>
  </si>
  <si>
    <t>Mass of nitrogen lost through leaching and runoff</t>
  </si>
  <si>
    <t>VEERG 2026: 6.3.1.1, Equation (2)</t>
  </si>
  <si>
    <t>mass of nitrogen in crop residues c or pasture residues p applied to soils</t>
  </si>
  <si>
    <t>Location in leaching zone</t>
  </si>
  <si>
    <t>Crop residue type</t>
  </si>
  <si>
    <t>Pasture residue type</t>
  </si>
  <si>
    <t>Irrigation type</t>
  </si>
  <si>
    <t>Calc from 6.1.1.1 (2) and 6.2.1.1 (2)</t>
  </si>
  <si>
    <t>Nitrous oxide leaching and runoff emissions from crop and pasture residues returned to the soil</t>
  </si>
  <si>
    <t>VEERG 2026: 6.3.1.1, Equation (1)</t>
  </si>
  <si>
    <t>mass of nitrogen lost through leaching and runoff from the crop residue c or pasture residue p</t>
  </si>
  <si>
    <t>emission factor for leaching and runoff</t>
  </si>
  <si>
    <t>Calculated from 6.3.1.1 (2)</t>
  </si>
  <si>
    <t>Emissions for each GHG from the combustion of fuels for transport energy purposes</t>
  </si>
  <si>
    <t>VEERG 2026: 8.1.1.1, Equation (1)</t>
  </si>
  <si>
    <t>Upstream emissions from scope 1 fuel use for transport purposes</t>
  </si>
  <si>
    <t>VEERG 2026: 15.11.1.1, Equation (2)</t>
  </si>
  <si>
    <t>E_g</t>
  </si>
  <si>
    <t>E_WTTtransq</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</si>
  <si>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</si>
  <si>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</si>
  <si>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</si>
  <si>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</si>
  <si>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</si>
  <si>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</si>
  <si>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</si>
  <si>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</si>
  <si>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</si>
  <si>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t>
  </si>
  <si>
    <t>Greenhouse gas</t>
  </si>
  <si>
    <t>Varies based on fuel type: kL, m3, GJ</t>
  </si>
  <si>
    <t>GJ / unit of fuel</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</si>
  <si>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</si>
  <si>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</si>
  <si>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</si>
  <si>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</si>
  <si>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</si>
  <si>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</si>
  <si>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</si>
  <si>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</si>
  <si>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</si>
  <si>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</si>
  <si>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</si>
  <si>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</si>
  <si>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</si>
  <si>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E_WTTSCq</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</si>
  <si>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</si>
  <si>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</si>
  <si>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</si>
  <si>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</si>
  <si>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</si>
  <si>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</si>
  <si>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</si>
  <si>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</si>
  <si>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</si>
  <si>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</si>
  <si>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</si>
  <si>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</si>
  <si>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m</t>
  </si>
  <si>
    <t>metropolitan/non-metropolitan location</t>
  </si>
  <si>
    <t>GJ/kL</t>
  </si>
  <si>
    <t>The total emissions of refrigerant leaking during operation (not during installation or disposal)</t>
  </si>
  <si>
    <t>VEERG 2026: 9.1.1, Equation (1)</t>
  </si>
  <si>
    <t>VARIATION ON SOURCE: Added equation to convert refrigerant R to CO2-e using the refrigerant's global warming potential (GWP).</t>
  </si>
  <si>
    <t>E_R</t>
  </si>
  <si>
    <t>t refrigerant gas</t>
  </si>
  <si>
    <t>charge_Ra</t>
  </si>
  <si>
    <t>Amount of refrigerant R contained in appliance a</t>
  </si>
  <si>
    <t>leakagerate_a</t>
  </si>
  <si>
    <t>Prcentage of total charge leaked from appliance a each year</t>
  </si>
  <si>
    <t>a</t>
  </si>
  <si>
    <t>Appliance type</t>
  </si>
  <si>
    <t>R</t>
  </si>
  <si>
    <t>Refrigerant</t>
  </si>
  <si>
    <t>Refrigerant leakage emissions converted to CO2-e</t>
  </si>
  <si>
    <t>E_CO2e</t>
  </si>
  <si>
    <t>Total emissions of refrigerant R</t>
  </si>
  <si>
    <t>GWP_R</t>
  </si>
  <si>
    <t>Global warming potential of refrigerant R</t>
  </si>
  <si>
    <t>Calculated from 9.1.1 (1)</t>
  </si>
  <si>
    <t>Dimensionless</t>
  </si>
  <si>
    <t>Mass of waste from waste volume</t>
  </si>
  <si>
    <t>VEERG 2026: 10.1.1.1, Equation (2)</t>
  </si>
  <si>
    <t>Q_wt</t>
  </si>
  <si>
    <t>t</t>
  </si>
  <si>
    <t>V_wt</t>
  </si>
  <si>
    <t>volume of solid waste type w being sent to treatment facility t</t>
  </si>
  <si>
    <t>VTM_w</t>
  </si>
  <si>
    <t>conversion factor of volume to mass for waste type w</t>
  </si>
  <si>
    <t>w</t>
  </si>
  <si>
    <t>waste type</t>
  </si>
  <si>
    <t>treatment facility</t>
  </si>
  <si>
    <t>m3</t>
  </si>
  <si>
    <t>t/m3</t>
  </si>
  <si>
    <t>Emissions from waste management by greenhouse gas</t>
  </si>
  <si>
    <t>VEERG 2026: 10.1.1.1, Equation (1)</t>
  </si>
  <si>
    <t>VARIATION ON SOURCE: Added Q_volwt and Q_masswt variables to clearly track input or calculated Q values</t>
  </si>
  <si>
    <t>quantity of solid waste of type w being sent to treatment facility t, on a wet weight basis</t>
  </si>
  <si>
    <t>EF_wtg</t>
  </si>
  <si>
    <t>emission factor for greenhouse gas g for the management of waste at treatment facility t</t>
  </si>
  <si>
    <t>greenhouse gas</t>
  </si>
  <si>
    <t>Q_volwt</t>
  </si>
  <si>
    <t>quantity of sold waste input as volume and converted to tonnes</t>
  </si>
  <si>
    <t>Q_masswt</t>
  </si>
  <si>
    <t>quantity of solid waste input as mass</t>
  </si>
  <si>
    <t>Sum of Q_volwt and Q_masswt</t>
  </si>
  <si>
    <t>t CO2e/t</t>
  </si>
  <si>
    <t>Calculated from 10.1.1.1 (2)</t>
  </si>
  <si>
    <t>Location-based Scope 2 emissions from purchased electricity</t>
  </si>
  <si>
    <t>VEERG 2026: 14.1.1, Equation (1)</t>
  </si>
  <si>
    <t>Added g variable to capture which grid electricity was purchased from</t>
  </si>
  <si>
    <t>E_2elec</t>
  </si>
  <si>
    <t>Q_elec</t>
  </si>
  <si>
    <t>amount of electricity purchased from the grid</t>
  </si>
  <si>
    <t>EF_2elec</t>
  </si>
  <si>
    <t>location-based Scope 2 emission factor for electricity</t>
  </si>
  <si>
    <t>Grid electricity was purchased from</t>
  </si>
  <si>
    <t>kg CO2e/kWh</t>
  </si>
  <si>
    <t>Market-based Scope 2 emissions from purchased electricity</t>
  </si>
  <si>
    <t>VEERG 2026: 14.1.2, Equation (1)</t>
  </si>
  <si>
    <t>VARIATION ON SOURCE: In order to convert megawatt hours to kilowatt hours, the REC_surrendered and REC_onsite variables are multiplied by 10^3 instead of 10^-3.</t>
  </si>
  <si>
    <t>RPP</t>
  </si>
  <si>
    <t>Renewable Power Percentage under the Large-scale Renewable Energy Target (LRET)</t>
  </si>
  <si>
    <t>JRPP</t>
  </si>
  <si>
    <t>jurisdictional renewable power percentage for the applicable period (ACT only)</t>
  </si>
  <si>
    <t>REC_surrendered</t>
  </si>
  <si>
    <t>Renewable Energy Certificates voluntarily surrendered in the reporting year</t>
  </si>
  <si>
    <t>REC_onsite</t>
  </si>
  <si>
    <t>Renewable Energy Certificates issued for electricity produced on-site during the year and consumed by the entity</t>
  </si>
  <si>
    <t>EF_RMF2elec</t>
  </si>
  <si>
    <t>Scope 2 residual mix emission factor for electricity</t>
  </si>
  <si>
    <t>Total emissions from purchased livestock</t>
  </si>
  <si>
    <t>VEERG 2026: 15.1.1.1, Equation (1)</t>
  </si>
  <si>
    <t>N_co</t>
  </si>
  <si>
    <t>number of animals purchased in livestock type c from origin o</t>
  </si>
  <si>
    <t>W_co</t>
  </si>
  <si>
    <t>average liveweight of purchased livestock at point of purchase</t>
  </si>
  <si>
    <t>EF_co</t>
  </si>
  <si>
    <t>emission factor per livestock type and origin</t>
  </si>
  <si>
    <t>livestock type</t>
  </si>
  <si>
    <t>o</t>
  </si>
  <si>
    <t>origin</t>
  </si>
  <si>
    <t>kg CO2e/kg</t>
  </si>
  <si>
    <t>Emissions from purchased feed</t>
  </si>
  <si>
    <t>VEERG 2026: 15.2.1.1, Equation (1)</t>
  </si>
  <si>
    <t>VARIATION ON SOURCE: Input Q_j in kg instead of t to match EF units. Multiply by 10^-3 to convert kg CO2e to t CO2e.</t>
  </si>
  <si>
    <t>Q_j</t>
  </si>
  <si>
    <t>quantity of feed type j purchased</t>
  </si>
  <si>
    <t>EF_j</t>
  </si>
  <si>
    <t>emission factor of purchased feed</t>
  </si>
  <si>
    <t>feed type</t>
  </si>
  <si>
    <t>Total emissions from purchased mineral supplements</t>
  </si>
  <si>
    <t>VEERG 2026: 15.3.1.1, Equation (1)</t>
  </si>
  <si>
    <t>Q_m</t>
  </si>
  <si>
    <t>total quantity of mineral supplement type m used</t>
  </si>
  <si>
    <t>emission factor of purchased mineral supplement</t>
  </si>
  <si>
    <t>mineral supplement type</t>
  </si>
  <si>
    <t>Emission factor for fertiliser product derived from components</t>
  </si>
  <si>
    <t>GAF</t>
  </si>
  <si>
    <t>VARIATION ON SOURCE: This equation is added to calculate an EF value from fertiliser components that can be used in 15.4.1.1 (1)</t>
  </si>
  <si>
    <t>EF_f</t>
  </si>
  <si>
    <t>kg CO2e/kg fertiliser</t>
  </si>
  <si>
    <t>F_cf</t>
  </si>
  <si>
    <t>fraction of component c contained within the inorganic fertiliser f</t>
  </si>
  <si>
    <t>EF_c</t>
  </si>
  <si>
    <t>emission factor for the production of component c</t>
  </si>
  <si>
    <t>fertiliser component</t>
  </si>
  <si>
    <t>inorganic fertiliser type</t>
  </si>
  <si>
    <t>wt%</t>
  </si>
  <si>
    <t>kg CO2e/kg component</t>
  </si>
  <si>
    <t>Emissions from purchased fertiliser</t>
  </si>
  <si>
    <t>VEERG 2026: 15.4.1.1, Equation (1)</t>
  </si>
  <si>
    <t>quantity of inorganic fertiliser type f purchased and applied to production system j</t>
  </si>
  <si>
    <t>emission factor of purchased inorganic fertiliser</t>
  </si>
  <si>
    <t>Emissions from purchased fertiliser components</t>
  </si>
  <si>
    <t>VEERG 2026: 15.4.1.1, Equation (2)</t>
  </si>
  <si>
    <t>VARIATION ON SOURCE: removes division by 100 for F_cf, treating F_cf as fraction instead of percent because it is a fraction in scope 1 equations. Convert kg to tonnes by mutiplying by 10^-3.</t>
  </si>
  <si>
    <t>Total emissions from purchased agrichemicals</t>
  </si>
  <si>
    <t>VEERG 2026: 15.5.1.1, Equation (1)</t>
  </si>
  <si>
    <t>Q_h</t>
  </si>
  <si>
    <t>quantity of active ingredients in agrichemical type h purchased and applied to soils</t>
  </si>
  <si>
    <t>EF_h</t>
  </si>
  <si>
    <t>emission factor for purchased agrichemical active ingredient</t>
  </si>
  <si>
    <t>h</t>
  </si>
  <si>
    <t>agrichemical type</t>
  </si>
  <si>
    <t>kg ai</t>
  </si>
  <si>
    <t>kg CO2e/kg ai</t>
  </si>
  <si>
    <t>Embedded emissions for purchased lime</t>
  </si>
  <si>
    <t>VEERG 2026: 15.6.1.1, Equation (1)</t>
  </si>
  <si>
    <t>total quantity of lime applied to soils</t>
  </si>
  <si>
    <t>EF_l</t>
  </si>
  <si>
    <t>emission factor for purchased lime</t>
  </si>
  <si>
    <t>Emissions of purchased services and contractor operations</t>
  </si>
  <si>
    <t>VEERG 2026: 15.7.1.1, Equation (1)</t>
  </si>
  <si>
    <t>activity data of the service that was purchased</t>
  </si>
  <si>
    <t>EF_p</t>
  </si>
  <si>
    <t>life cycle emission factor for the purchased service</t>
  </si>
  <si>
    <t>service type</t>
  </si>
  <si>
    <t>ha or h</t>
  </si>
  <si>
    <t>kg CO2e/ha or kg CO2e/h</t>
  </si>
  <si>
    <t>Embedded emissions from use of packaging materials</t>
  </si>
  <si>
    <t>VEERG 2026: 15.8.1.1, Equation (1)</t>
  </si>
  <si>
    <t>VARIATION ON SOURCE: Changed unit of Q from 'units' to 'kg' as EF data is in kg.</t>
  </si>
  <si>
    <t>Q_p</t>
  </si>
  <si>
    <t>units of packaging type p</t>
  </si>
  <si>
    <t>emission factor for packaging type p</t>
  </si>
  <si>
    <t>packaging type</t>
  </si>
  <si>
    <t>units</t>
  </si>
  <si>
    <t>kg CO2e/unit</t>
  </si>
  <si>
    <t>Embedded emissions from use of grow media products</t>
  </si>
  <si>
    <t>VEERG 2026: 15.9.1.1, Equation (1)</t>
  </si>
  <si>
    <t>Q_g</t>
  </si>
  <si>
    <t>total quantity of grow media type g</t>
  </si>
  <si>
    <t>EF_g</t>
  </si>
  <si>
    <t>emission factor for grow media type g</t>
  </si>
  <si>
    <t>grow media type</t>
  </si>
  <si>
    <t>kg or m3</t>
  </si>
  <si>
    <t>kg CO2e/kg or kg CO2e/m3</t>
  </si>
  <si>
    <t>Other purchased goods and services generic estimate</t>
  </si>
  <si>
    <t>VEERG 2026: 15.10, generic placeholder equation</t>
  </si>
  <si>
    <t>emissions</t>
  </si>
  <si>
    <t>activity_data</t>
  </si>
  <si>
    <t>measured activity for the purchased good or service</t>
  </si>
  <si>
    <t>emission_factor</t>
  </si>
  <si>
    <t>lifecycle emissions per unit of activity</t>
  </si>
  <si>
    <t>varies</t>
  </si>
  <si>
    <t>Total upstream emissions from scope 1 fuel consumption</t>
  </si>
  <si>
    <t>VEERG 2026: 15.11.1.1, Equation (1)</t>
  </si>
  <si>
    <t>upstream emissions from scope 1 transport fuel use</t>
  </si>
  <si>
    <t>upstream emissions from scope 1 stationary combustion fuel use</t>
  </si>
  <si>
    <t>Calculated by 15.11.1.1 (2)</t>
  </si>
  <si>
    <t>Calculated by 15.11.1.1 (3)</t>
  </si>
  <si>
    <t>Scope 3 emissions from purchased electricity location based</t>
  </si>
  <si>
    <t>VEERG 2026: 15.12.1.1, Equation (1)</t>
  </si>
  <si>
    <t>E_3elec</t>
  </si>
  <si>
    <t>EF_3elec</t>
  </si>
  <si>
    <t>scope 3 emission factor for purchased electricity</t>
  </si>
  <si>
    <t>grid electricity was purchased from</t>
  </si>
  <si>
    <t>Scope 3 emissions from purchased electricity market based</t>
  </si>
  <si>
    <t>VEERG 2026: 15.12.1.2, Equation (1)</t>
  </si>
  <si>
    <t>renewable power percentage under LRET for the applicable period</t>
  </si>
  <si>
    <t>jurisdictional renewable power percentage for the applicable period</t>
  </si>
  <si>
    <t>eligible renewable energy certificates voluntarily surrendered</t>
  </si>
  <si>
    <t>eligible renewable energy certificates issued for onsite generated electricity</t>
  </si>
  <si>
    <t>EF_RMF3elec</t>
  </si>
  <si>
    <t>scope 3 residual mix emission factor for electricity</t>
  </si>
  <si>
    <t>Emissions from manure sent off site applied to soils in another farming system or enterprise</t>
  </si>
  <si>
    <t>VEERG 2026: 15.13.1.1, Equation (1)</t>
  </si>
  <si>
    <t>direct nitrous oxide emissions from application of manure to soils outside of scope 1 boundary</t>
  </si>
  <si>
    <t>E_ad</t>
  </si>
  <si>
    <t>nitrous oxide emissions from atmospheric deposition of manure to soils</t>
  </si>
  <si>
    <t>E_leach</t>
  </si>
  <si>
    <t>nitrous oxide emissions from nitrogen leaching and runoff of manure to soils</t>
  </si>
  <si>
    <t>Emissions from solid waste sent to a treatment facility</t>
  </si>
  <si>
    <t>VEERG 2026: 15.13.1.3</t>
  </si>
  <si>
    <t>Embedded emissions from upstream freight</t>
  </si>
  <si>
    <t>VEERG 2026: 15.14.1.1, Equation (1)</t>
  </si>
  <si>
    <t>W_f</t>
  </si>
  <si>
    <t>total mass of goods transported per freight type f</t>
  </si>
  <si>
    <t>D_f</t>
  </si>
  <si>
    <t>total distance transported per freight type f</t>
  </si>
  <si>
    <t>emission factor for freight type f</t>
  </si>
  <si>
    <t>freight type</t>
  </si>
  <si>
    <t>km</t>
  </si>
  <si>
    <t>t CO2e/(t km)</t>
  </si>
  <si>
    <t>Table A.1.3.1: Dairy cattle - Liveweight (kg) - Cows and Heifers (Wj)</t>
  </si>
  <si>
    <t>VEERG 2026: Table A.1.3.1</t>
  </si>
  <si>
    <t>Wj</t>
  </si>
  <si>
    <t>Large Friesian</t>
  </si>
  <si>
    <t>Holstein-Friesian</t>
  </si>
  <si>
    <t>Friesian crossbred</t>
  </si>
  <si>
    <t>Jersey</t>
  </si>
  <si>
    <t>Guernsey</t>
  </si>
  <si>
    <t>Brown Swiss</t>
  </si>
  <si>
    <t>Illawarra/Aussie Red</t>
  </si>
  <si>
    <t>Table A.1.3.2: Dairy cattle - Liveweight (kg) - Bulls (Wj)</t>
  </si>
  <si>
    <t>VEERG 2026: Table A.1.3.2</t>
  </si>
  <si>
    <t>All breeds</t>
  </si>
  <si>
    <t>Table A.1.3.3: Dairy cattle - Liveweight gain (kg) (LWGj)</t>
  </si>
  <si>
    <t>VEERG 2026: Table A.1.3.3</t>
  </si>
  <si>
    <t>LWGj</t>
  </si>
  <si>
    <t>Table A.1.3.4: Dairy cattle - Reference weights (kg) (WRj)</t>
  </si>
  <si>
    <t>VEERG 2026: Table A.1.3.4</t>
  </si>
  <si>
    <t>WRj</t>
  </si>
  <si>
    <t>Table A.1.3.5: Dairy cattle - Data for pre - weaned calves</t>
  </si>
  <si>
    <t>VEERG 2026: Table A.1.3.5</t>
  </si>
  <si>
    <t>VSj=3,5; NPWj=3,5</t>
  </si>
  <si>
    <t>kg/day</t>
  </si>
  <si>
    <t>Heifers&lt;1</t>
  </si>
  <si>
    <t>Bulls&lt;1</t>
  </si>
  <si>
    <t>Table A.1.3.6: Dairy cattle - Dairy cattle - MCFs (fraction) (MCFjm)</t>
  </si>
  <si>
    <t>VEERG 2026: Table A.1.3.6</t>
  </si>
  <si>
    <t>MCFjm</t>
  </si>
  <si>
    <t>VARIATION OF SOURCE: Added 'NIR reference' column to aid lookup</t>
  </si>
  <si>
    <t>Daily spread - Sump and dispersal systems</t>
  </si>
  <si>
    <t>Sump and dispersal system</t>
  </si>
  <si>
    <t>Daily spread - Drains to paddocks (a)</t>
  </si>
  <si>
    <t>Drains to paddock</t>
  </si>
  <si>
    <t>Solid Storage</t>
  </si>
  <si>
    <t>Direct Application to soil</t>
  </si>
  <si>
    <t>Table A.1.3.7: Dairy cattle - Nitrous oxide EFs and fraction of N volatilised by MMS</t>
  </si>
  <si>
    <t>VEERG 2026: Table A.1.3.7</t>
  </si>
  <si>
    <t>EFm; FracGASMm</t>
  </si>
  <si>
    <t>kg N2O-N/kg N excreted</t>
  </si>
  <si>
    <t>M=14 Pasture</t>
  </si>
  <si>
    <t>M=1 Anaerobic lagoon</t>
  </si>
  <si>
    <t>M=2 Daily Spread - Sump and Dispersal</t>
  </si>
  <si>
    <t>M=3 Daily Spread - Drains to Paddock</t>
  </si>
  <si>
    <t>M=3 Solid Storage</t>
  </si>
  <si>
    <t>Table A.1.3.8: Dairy cattle - Methane production for pre-weaned heifer and bull calves (kg CH4/head/day) (MPWENTERIC,j=3,5)</t>
  </si>
  <si>
    <t>VEERG 2026: Table A.1.3.8</t>
  </si>
  <si>
    <t>MPWENTERIC,j=3,5</t>
  </si>
  <si>
    <t>Table A.1.3.9: Dairy cattle - Increased metabolic rate when producing milk (MRj)</t>
  </si>
  <si>
    <t>VEERG 2026: Table A.1.3.9</t>
  </si>
  <si>
    <t>Milking cows, and house cows</t>
  </si>
  <si>
    <t>All other cattle classes</t>
  </si>
  <si>
    <t>Table A.1.3.10: Dairy cattle - Fraction of volatile solids voided to each manure management system (fraction) (MMSjm)</t>
  </si>
  <si>
    <t>VEERG 2026: Table A.1.3.10</t>
  </si>
  <si>
    <t>MMSjm</t>
  </si>
  <si>
    <t>System 1: Grazed Only</t>
  </si>
  <si>
    <t>System 2: On feedpad for &lt;10 hr/day for &lt;3 months/year</t>
  </si>
  <si>
    <t>System 4: Zero grazing</t>
  </si>
  <si>
    <t>Table A.1.3.11: Dairy cattle - EF for nitrous oxide per MMS (kg N2O-N/kg N) (EFm)</t>
  </si>
  <si>
    <t>VEERG 2026: Table A.1.3.11</t>
  </si>
  <si>
    <t>m=14 Pasture</t>
  </si>
  <si>
    <t>m=1 Anerobic Lagoon</t>
  </si>
  <si>
    <t>m=2 Daily Spread: Sump and dispersal</t>
  </si>
  <si>
    <t>m=3 Daily Spread: Drains to paddocks</t>
  </si>
  <si>
    <t>m=4 Solid Storage</t>
  </si>
  <si>
    <t>Duration of stay for each dairy cattle input class</t>
  </si>
  <si>
    <t>VEERG 2026: 4.3.2.2	DATA (METHOD 1 AND 2 OPTIONS)</t>
  </si>
  <si>
    <t>D</t>
  </si>
  <si>
    <t>VARIATION OF SOURCE: Converted free text in document to table, matching livestock class names.</t>
  </si>
  <si>
    <t>Crude protein content of feed intake</t>
  </si>
  <si>
    <t>CP</t>
  </si>
  <si>
    <t>VEERG 2026: 3.3.2.2	DATA (METHOD 1 AND 2 OPTIONS)</t>
  </si>
  <si>
    <t>DMD</t>
  </si>
  <si>
    <t>Net energy required for milk production</t>
  </si>
  <si>
    <t>VEERG 2026: 3.3.2.3 CONSTANTS</t>
  </si>
  <si>
    <t>MJ net energy / kg milk</t>
  </si>
  <si>
    <t>Gross energy content of feed dry matter</t>
  </si>
  <si>
    <t>MJ / kgDM</t>
  </si>
  <si>
    <t>Efficiency of use of metabolizable energy for milk production</t>
  </si>
  <si>
    <t>Ash content of manure</t>
  </si>
  <si>
    <t>VEERG 2026: 4.3.2.3 CONSTANTS</t>
  </si>
  <si>
    <t>Methane emissions potential</t>
  </si>
  <si>
    <t>Emission factor for leaching and runoff</t>
  </si>
  <si>
    <t>Default fraction of N that is lost through leaching and runoff when manure is excreted to pasture, range and paddock (m=14).</t>
  </si>
  <si>
    <t>Frac_LEACH_MS</t>
  </si>
  <si>
    <t>Fraction of nitrogen lost through leaching and runoff for solid storage MMS only</t>
  </si>
  <si>
    <t>Fraction of nitrogen volatilized from urine and faeces deposited on pasture</t>
  </si>
  <si>
    <t>VEERG 2026: 3.3.2.2 DATA (METHOD 1 AND 2 OPTIONS)</t>
  </si>
  <si>
    <t>Crop purpose and yield</t>
  </si>
  <si>
    <t>Cash grain crop</t>
  </si>
  <si>
    <t>grain</t>
  </si>
  <si>
    <t>yield</t>
  </si>
  <si>
    <t>harvest</t>
  </si>
  <si>
    <t>Yield is the grain harvested from the plant</t>
  </si>
  <si>
    <t>Residue to crop ratio is provided from default values</t>
  </si>
  <si>
    <t>Total production is the total grain harvested</t>
  </si>
  <si>
    <t>Cash crop for hay/silage</t>
  </si>
  <si>
    <t>above ground biomass</t>
  </si>
  <si>
    <t>plant biomass</t>
  </si>
  <si>
    <t>Yield is the whole plant harvested for hay/silage</t>
  </si>
  <si>
    <t>Residue to crop ratio is 0 assuming the whole plant is harvested for hay/silage</t>
  </si>
  <si>
    <t>Total production is the total whole plant biomass harvested as hay/silage</t>
  </si>
  <si>
    <t>Cover crop</t>
  </si>
  <si>
    <t>mass</t>
  </si>
  <si>
    <t>end of crop cycle</t>
  </si>
  <si>
    <t>Yield is the whole plant kept as cover crop</t>
  </si>
  <si>
    <t>Residue to crop ratio is 1 assuming the whole plant is kept as cover crop</t>
  </si>
  <si>
    <t>Total production is the total whole plant biomass kept as cover crop</t>
  </si>
  <si>
    <t>Table A.2.1.1: Crop attributes</t>
  </si>
  <si>
    <t>VEERG 2026: Table A.2.1.1: Crop attributes</t>
  </si>
  <si>
    <t>Wheat</t>
  </si>
  <si>
    <t>Barley</t>
  </si>
  <si>
    <t>Oats</t>
  </si>
  <si>
    <t>Rice</t>
  </si>
  <si>
    <t>Sorghum</t>
  </si>
  <si>
    <t>Triticale</t>
  </si>
  <si>
    <t>Other cereals</t>
  </si>
  <si>
    <t>Pulses</t>
  </si>
  <si>
    <t>Tubers and roots</t>
  </si>
  <si>
    <t>n/a</t>
  </si>
  <si>
    <t>Peanuts</t>
  </si>
  <si>
    <t>Sugar cane</t>
  </si>
  <si>
    <t>Hops</t>
  </si>
  <si>
    <t>Oilseeds</t>
  </si>
  <si>
    <t>Forage crops</t>
  </si>
  <si>
    <t>Other annual crops</t>
  </si>
  <si>
    <t>Other perennial crops</t>
  </si>
  <si>
    <t>Emission factor for organic fertiliser and crop residues returned to the soil</t>
  </si>
  <si>
    <t>VEERG 2026: Table A.2.1.4</t>
  </si>
  <si>
    <t>Wet climate zone</t>
  </si>
  <si>
    <t>Dry climate zone</t>
  </si>
  <si>
    <t>Table A.2.1.3 Pasture attributes</t>
  </si>
  <si>
    <t>VEERG 2026: Table A.2.1.3: Pasture attributes</t>
  </si>
  <si>
    <t>Annual grass</t>
  </si>
  <si>
    <t>Lucerne</t>
  </si>
  <si>
    <t>Other legume</t>
  </si>
  <si>
    <t>Perennial pasture</t>
  </si>
  <si>
    <t>Table 5.31 Burning of agricultural residues - EFs</t>
  </si>
  <si>
    <t>National Inventory Report 2023 volume 2: Table 5.31: Burning of agricultural residues - EFs</t>
  </si>
  <si>
    <t>16/12</t>
  </si>
  <si>
    <t>44/28</t>
  </si>
  <si>
    <t>NOx</t>
  </si>
  <si>
    <t>46/14</t>
  </si>
  <si>
    <t>CO</t>
  </si>
  <si>
    <t>28/12</t>
  </si>
  <si>
    <t>NMVOC</t>
  </si>
  <si>
    <t>14/12</t>
  </si>
  <si>
    <t>Table A.2.1.2: Crop attributes - Fraction removed (FFODc)</t>
  </si>
  <si>
    <t>VEERG 2026: Table A.2.1.2: Crop attributes - Fraction removed (FFODc)</t>
  </si>
  <si>
    <t>All states</t>
  </si>
  <si>
    <t>Sugar Cane</t>
  </si>
  <si>
    <t>All other crop types</t>
  </si>
  <si>
    <t>Table 5.12 Additional symbols used in algorithms for manure related emissions</t>
  </si>
  <si>
    <t>National Inventory Report 2023 Volume 1: Table 5.12</t>
  </si>
  <si>
    <t>Anaerobic lagoon (m=1)</t>
  </si>
  <si>
    <t>Liquid systems (m=2)</t>
  </si>
  <si>
    <t>Daily spread (m=3)</t>
  </si>
  <si>
    <t>3a</t>
  </si>
  <si>
    <t>Sump and dispersal system (m=3a)</t>
  </si>
  <si>
    <t>3b</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</si>
  <si>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</si>
  <si>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</si>
  <si>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</si>
  <si>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</si>
  <si>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</si>
  <si>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</si>
  <si>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</si>
  <si>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</si>
  <si>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</si>
  <si>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</si>
  <si>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</si>
  <si>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</si>
  <si>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</si>
  <si>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</si>
  <si>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</si>
  <si>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</si>
  <si>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</si>
  <si>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</si>
  <si>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</si>
  <si>
    <t>Electricity scope 2 and scope 3 location-based emission factors</t>
  </si>
  <si>
    <t>Australian National Greenhouse Accounts Factors 2025 - Table 1</t>
  </si>
  <si>
    <t>New South Wales</t>
  </si>
  <si>
    <t>Victoria</t>
  </si>
  <si>
    <t>Queensland</t>
  </si>
  <si>
    <t>South Australia</t>
  </si>
  <si>
    <t>Western Australia - South West Interconnected System (SWIS)</t>
  </si>
  <si>
    <t>Tasmania</t>
  </si>
  <si>
    <t>Northern Territory - Darwin Katherine Interconnected System (DKIS)</t>
  </si>
  <si>
    <t>National</t>
  </si>
  <si>
    <t>Electricity scope 2 and scope 3 market-based emission factors</t>
  </si>
  <si>
    <t>Australian National Greenhouse Accounts Factors 2025 - Table 2a</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</si>
  <si>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</si>
  <si>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</si>
  <si>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</si>
  <si>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</si>
  <si>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</si>
  <si>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</si>
  <si>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</si>
  <si>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</si>
  <si>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</si>
  <si>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</si>
  <si>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</si>
  <si>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</si>
  <si>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</si>
  <si>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</si>
  <si>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</si>
  <si>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</si>
  <si>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</si>
  <si>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</si>
  <si>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</si>
  <si>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Lifecycles. (2026). Greenhouse Gas Emission Intensities for Material Inputs to Australian Agriculture, Fisheries and Forestry. Version 48. doi 10.5281/zenodo.19656580</t>
  </si>
  <si>
    <t>Monoammonium phosphate (MAP)</t>
  </si>
  <si>
    <t>Ammonium-based fertilisers</t>
  </si>
  <si>
    <t>Diammonium phosphate (DAP)</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</si>
  <si>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</si>
  <si>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</si>
  <si>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</si>
  <si>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</si>
  <si>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</si>
  <si>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</si>
  <si>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</si>
  <si>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</si>
  <si>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</si>
  <si>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</si>
  <si>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</si>
  <si>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</si>
  <si>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</si>
  <si>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</si>
  <si>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</si>
  <si>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</si>
  <si>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from fertiliser</t>
  </si>
  <si>
    <t>Sulfur from fertiliser</t>
  </si>
  <si>
    <t>Zinc from fertiliser</t>
  </si>
  <si>
    <t>Muriate of potash (MOP)</t>
  </si>
  <si>
    <t>Double superphosphate</t>
  </si>
  <si>
    <t>Single superphosphate (SSP)</t>
  </si>
  <si>
    <t>Ammonium Sulfate</t>
  </si>
  <si>
    <t>Calcium Nitrate</t>
  </si>
  <si>
    <t>Global</t>
  </si>
  <si>
    <t>Canada</t>
  </si>
  <si>
    <t>China</t>
  </si>
  <si>
    <t>Yemen</t>
  </si>
  <si>
    <t>Fraction of inorganic fertiliser that volatilises as NH3 and NOx</t>
  </si>
  <si>
    <t>Table A.2.2.6: Fraction of inorganic fertiliser f that volatilises as NH3 and NOx ((kg NH3-N + NOx-N)/kg N) (FracGASFf)</t>
  </si>
  <si>
    <t>Emission factor for carbon emissions from urea application</t>
  </si>
  <si>
    <t>VEERG 2026: 5.1.2.2 Constant Parameters</t>
  </si>
  <si>
    <t>EFureaCO2</t>
  </si>
  <si>
    <t>Constants for lime, dolomite and gypsum</t>
  </si>
  <si>
    <t>VEERG 2026: 5.3.2.3 Constant Parameters</t>
  </si>
  <si>
    <t>Lime (Calcium carbonate)</t>
  </si>
  <si>
    <t>Dolomite (Magnesium carbonate)</t>
  </si>
  <si>
    <t>Gypsum</t>
  </si>
  <si>
    <t>Fraction of organic fertiliser that volatilises as NH3 and NOx</t>
  </si>
  <si>
    <t>VEERG 2026: 5.4.2.3 Constant Parameters</t>
  </si>
  <si>
    <t>Fraction of nitrogen that is lost through leaching and runoff</t>
  </si>
  <si>
    <t>VEERG 2026: 5.5.2.3 Constant Parameters</t>
  </si>
  <si>
    <t>Emission factor for nitrogen leaching and runoff</t>
  </si>
  <si>
    <t>EFLeach</t>
  </si>
  <si>
    <t>kg N2O-N / kg N</t>
  </si>
  <si>
    <t>Campbells fertilisers Australia</t>
  </si>
  <si>
    <t>Aqua Finish</t>
  </si>
  <si>
    <t>Aqua Grow</t>
  </si>
  <si>
    <t>Aqua Nitro AN</t>
  </si>
  <si>
    <t>Aqua NitroCal</t>
  </si>
  <si>
    <t>Calcium</t>
  </si>
  <si>
    <t>Aqua NitroCal (VI)</t>
  </si>
  <si>
    <t>Aqua NitroCal Ultimate</t>
  </si>
  <si>
    <t>Aqua Start</t>
  </si>
  <si>
    <t>Aqua Thio-Complete</t>
  </si>
  <si>
    <t>Aqua Thio-Emerge</t>
  </si>
  <si>
    <t>Aqua Thio-Flourish</t>
  </si>
  <si>
    <t>Magnesium</t>
  </si>
  <si>
    <t>Zinc</t>
  </si>
  <si>
    <t>Manganese</t>
  </si>
  <si>
    <t>Iron</t>
  </si>
  <si>
    <t>Copper</t>
  </si>
  <si>
    <t>Boron</t>
  </si>
  <si>
    <t>Bronze</t>
  </si>
  <si>
    <t>Calbit C</t>
  </si>
  <si>
    <t>Compass</t>
  </si>
  <si>
    <t>CoRoN 12-0-10</t>
  </si>
  <si>
    <t>Maximum Quick-N</t>
  </si>
  <si>
    <t>SL Tec</t>
  </si>
  <si>
    <t>Crop Booster PLUS</t>
  </si>
  <si>
    <t>Risso-Chemical</t>
  </si>
  <si>
    <t>Ammonium Bicarbonate</t>
  </si>
  <si>
    <t>Ravensdown</t>
  </si>
  <si>
    <t>Ammonium Sulphate - Granular</t>
  </si>
  <si>
    <t>Impact Fertilisers</t>
  </si>
  <si>
    <t>Di-Ammonium Phosphate (DAP)</t>
  </si>
  <si>
    <t>Incitec Pivot Fertilisers</t>
  </si>
  <si>
    <t>Basalt BooSSta</t>
  </si>
  <si>
    <t>Fluoride</t>
  </si>
  <si>
    <t>Summit Fertilizers</t>
  </si>
  <si>
    <t>DAPSZC</t>
  </si>
  <si>
    <t>Easy N</t>
  </si>
  <si>
    <t>Biuret</t>
  </si>
  <si>
    <t>Calcium Ammonium nitrate</t>
  </si>
  <si>
    <t>CellCAL Plus</t>
  </si>
  <si>
    <t>CK55</t>
  </si>
  <si>
    <t>Switch Ag</t>
  </si>
  <si>
    <t>Crop K</t>
  </si>
  <si>
    <t>Crop Starter</t>
  </si>
  <si>
    <t>Gran-Am</t>
  </si>
  <si>
    <t>Encal</t>
  </si>
  <si>
    <t>Granulock SS</t>
  </si>
  <si>
    <t>Granulock Z</t>
  </si>
  <si>
    <t>Farm Ag Leichhardt</t>
  </si>
  <si>
    <t>Flexi-N NBPT</t>
  </si>
  <si>
    <t>Gold Premium</t>
  </si>
  <si>
    <t>High NS</t>
  </si>
  <si>
    <t>Impact SSP</t>
  </si>
  <si>
    <t>In Crop</t>
  </si>
  <si>
    <t>K20</t>
  </si>
  <si>
    <t>Loveland Agriproducts</t>
  </si>
  <si>
    <t>Maximum N-Pact</t>
  </si>
  <si>
    <t>Nitro Combi TE</t>
  </si>
  <si>
    <t>Fulvic acid (organic)</t>
  </si>
  <si>
    <t>Molybdenum</t>
  </si>
  <si>
    <t>PastureMAXX</t>
  </si>
  <si>
    <t>Platinum Nergetic</t>
  </si>
  <si>
    <t>Potassium sulphate</t>
  </si>
  <si>
    <t>Glaze Extend G3 Flexi</t>
  </si>
  <si>
    <t>Mono-Ammonium Phosphate (MAP)</t>
  </si>
  <si>
    <t>Koch Fertiliser Australia</t>
  </si>
  <si>
    <t>Urea Ammonium nitrate (UAN 32-0-0)</t>
  </si>
  <si>
    <t>Polypeptide Urea</t>
  </si>
  <si>
    <t>Polypeptide (amino acids)</t>
  </si>
  <si>
    <t>Yara Australia</t>
  </si>
  <si>
    <t>YaraTera CALCINIT</t>
  </si>
  <si>
    <t>YaraLiva NITRABOR</t>
  </si>
  <si>
    <t>YaraMila COMPLEX</t>
  </si>
  <si>
    <t>YaraRega 9-0-30 (14)</t>
  </si>
  <si>
    <t>YaraRega 13-2-21</t>
  </si>
  <si>
    <t>YaraRega 15-7-13 (7S)</t>
  </si>
  <si>
    <t>YaraTera CALCINIT B</t>
  </si>
  <si>
    <t>YaraTera KRISTA MAP</t>
  </si>
  <si>
    <t>YaraTera KRISTALON RED</t>
  </si>
  <si>
    <t>YaraTera KRISTALON SPECIAL</t>
  </si>
  <si>
    <t>YaraMila 21-7-3(4)</t>
  </si>
  <si>
    <t>YaraTera KRISTALON SCARLET</t>
  </si>
  <si>
    <t>Solu-MAP</t>
  </si>
  <si>
    <t>Solu-Sam</t>
  </si>
  <si>
    <t>Rustica Plus</t>
  </si>
  <si>
    <t>Platinum Plus</t>
  </si>
  <si>
    <t>Tropika</t>
  </si>
  <si>
    <t>Rustica Nergetic</t>
  </si>
  <si>
    <t>Quick-N Nergetic</t>
  </si>
  <si>
    <t>FertPro Manufacturing Pty. Ltd.</t>
  </si>
  <si>
    <t>(SSP) Single Super Fertiliser</t>
  </si>
  <si>
    <t>ZincStar</t>
  </si>
  <si>
    <t>Baileys (Simplot) [listed as Impact]</t>
  </si>
  <si>
    <t>Apex GaIXe Low P 21-1-6</t>
  </si>
  <si>
    <t>SuPerfect</t>
  </si>
  <si>
    <t>Incitec Pivot Fertilisers [listed as Summit]</t>
  </si>
  <si>
    <t>Big N</t>
  </si>
  <si>
    <t>Entec Urea</t>
  </si>
  <si>
    <t>Incitec Pivot Fertilisers (or Ravensdown - see note)</t>
  </si>
  <si>
    <t>Flexi-N NI only</t>
  </si>
  <si>
    <t>Urease/nitrification inhibitor</t>
  </si>
  <si>
    <t>Nutri-Tech Solutions (NTS)</t>
  </si>
  <si>
    <t>Muriate Of Potash MOP</t>
  </si>
  <si>
    <t>Nuturf</t>
  </si>
  <si>
    <t>MAP NUTURF</t>
  </si>
  <si>
    <t>Quick-N</t>
  </si>
  <si>
    <t>SLTEC Fertilizers</t>
  </si>
  <si>
    <t>UAS</t>
  </si>
  <si>
    <t>Triazone Urea</t>
  </si>
  <si>
    <t>Marnco [listed as SLTEC]</t>
  </si>
  <si>
    <t>Ammo 36N</t>
  </si>
  <si>
    <t>Risso Liquid NPK (200-200-200)</t>
  </si>
  <si>
    <t>Turf Group Australia (Simplot)</t>
  </si>
  <si>
    <t>Super Cal 15-0-12</t>
  </si>
  <si>
    <t>CK 88</t>
  </si>
  <si>
    <t>CropLift 15</t>
  </si>
  <si>
    <t>NPKS 19-13-0-9</t>
  </si>
  <si>
    <t>PastureBoosta</t>
  </si>
  <si>
    <t>Greentop K</t>
  </si>
  <si>
    <t>HayBoosta</t>
  </si>
  <si>
    <t>Impact Super Potash 1&amp;1</t>
  </si>
  <si>
    <t>Impact Super Potash 2&amp;1</t>
  </si>
  <si>
    <t>Impact Super Potash 3&amp;1</t>
  </si>
  <si>
    <t>Impact Super Potash 4&amp;1</t>
  </si>
  <si>
    <t>Impact Super Potash 5&amp;1</t>
  </si>
  <si>
    <t>Pacific Fertiliser / Incitec Pivot Fertilisers</t>
  </si>
  <si>
    <t>Cal-Gran</t>
  </si>
  <si>
    <t>Cal-Gran 50/50 (S)</t>
  </si>
  <si>
    <t>Cal-Gran 130</t>
  </si>
  <si>
    <t>Cal-Gran 150</t>
  </si>
  <si>
    <t>Cal-Gran Extra K</t>
  </si>
  <si>
    <t>Dairy Pro</t>
  </si>
  <si>
    <t>YaraMila ACTYVA S</t>
  </si>
  <si>
    <t>CSBP</t>
  </si>
  <si>
    <t>Agflow Extra</t>
  </si>
  <si>
    <t>Super &amp; Potash 3:1</t>
  </si>
  <si>
    <t>Yara</t>
  </si>
  <si>
    <t>YaraBela CAN-27</t>
  </si>
  <si>
    <t>Cal-Gran Aftergraze</t>
  </si>
  <si>
    <t>Cal-Gran Prodress</t>
  </si>
  <si>
    <t>Wengfu Australia</t>
  </si>
  <si>
    <t>Wengfu PrimeZinc 10</t>
  </si>
  <si>
    <t>Wengfu Pasture King</t>
  </si>
  <si>
    <t>Wengfu SuStain</t>
  </si>
  <si>
    <t>Wengfu Slam</t>
  </si>
  <si>
    <t>Wengfu Prime MSZ</t>
  </si>
  <si>
    <t>Wengfu 9-20-0-10 MAP SuStain</t>
  </si>
  <si>
    <t>Wengfu 15-17-0-15 DAP SuStain</t>
  </si>
  <si>
    <t>Wengfu 16-18-0-10 DAP SuStain</t>
  </si>
  <si>
    <t>Wengfu 5-15-0-6 Fast Start Legume</t>
  </si>
  <si>
    <t>Wengfu 9-20-0-10 PrimeZinc</t>
  </si>
  <si>
    <t>Wengfu 12-18-0-6 PrimeZinc</t>
  </si>
  <si>
    <t>Wengfu 14-13-0-11 PrimeZinc</t>
  </si>
  <si>
    <t>Wengfu 19-13-0-7 PrimeZinc</t>
  </si>
  <si>
    <t>Wengfu Booster K</t>
  </si>
  <si>
    <t>Wengfu Booster Rich 1</t>
  </si>
  <si>
    <t>Wengfu Booster Grass DAP</t>
  </si>
  <si>
    <t>Wengfu Aftergraze</t>
  </si>
  <si>
    <t>Wengfu Sidedress</t>
  </si>
  <si>
    <t>Wengfu Pasture Booster</t>
  </si>
  <si>
    <t>Wengfu DAP Hay Booster</t>
  </si>
  <si>
    <t>Wengfu MAP Hay Booster</t>
  </si>
  <si>
    <t>Wengfu Fodder Booster</t>
  </si>
  <si>
    <t>K-Till Extra</t>
  </si>
  <si>
    <t>Agras Extra</t>
  </si>
  <si>
    <t>Cobalt</t>
  </si>
  <si>
    <t>Super Copper Zinc Moly</t>
  </si>
  <si>
    <t>Flexi-N</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</si>
  <si>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</si>
  <si>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</si>
  <si>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</si>
  <si>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</si>
  <si>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</si>
  <si>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</si>
  <si>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Light duty vehicles</t>
  </si>
  <si>
    <t>Compressed natural gas</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</si>
  <si>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</si>
  <si>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</si>
  <si>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</si>
  <si>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</si>
  <si>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</si>
  <si>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</si>
  <si>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</si>
  <si>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</si>
  <si>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</si>
  <si>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</si>
  <si>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</si>
  <si>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</si>
  <si>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</si>
  <si>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</si>
  <si>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</si>
  <si>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</si>
  <si>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</si>
  <si>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</si>
  <si>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</si>
  <si>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</si>
  <si>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</si>
  <si>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</si>
  <si>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</si>
  <si>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</si>
  <si>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</si>
  <si>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</si>
  <si>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</si>
  <si>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</si>
  <si>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</si>
  <si>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</si>
  <si>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</si>
  <si>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</si>
  <si>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</si>
  <si>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</si>
  <si>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</si>
  <si>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</si>
  <si>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</si>
  <si>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</si>
  <si>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</si>
  <si>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</si>
  <si>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</si>
  <si>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</si>
  <si>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</si>
  <si>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</si>
  <si>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</si>
  <si>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</si>
  <si>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</si>
  <si>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</si>
  <si>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</si>
  <si>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</si>
  <si>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</si>
  <si>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</si>
  <si>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</si>
  <si>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</si>
  <si>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</si>
  <si>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</si>
  <si>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</si>
  <si>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</si>
  <si>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</si>
  <si>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</si>
  <si>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</si>
  <si>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</si>
  <si>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</si>
  <si>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</si>
  <si>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</si>
  <si>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</si>
  <si>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</si>
  <si>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</si>
  <si>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</si>
  <si>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Northern Territory</t>
  </si>
  <si>
    <t>Cattle, for manufacturing beef</t>
  </si>
  <si>
    <t>kg liveweight</t>
  </si>
  <si>
    <t>at market</t>
  </si>
  <si>
    <t>Cattle, for prime beef</t>
  </si>
  <si>
    <t>Cattle, weaners</t>
  </si>
  <si>
    <t>Chickens</t>
  </si>
  <si>
    <t>Dairy cows</t>
  </si>
  <si>
    <t>Sheep</t>
  </si>
  <si>
    <t>Sheep, for mutton</t>
  </si>
  <si>
    <t>Sheep, for prime lamb</t>
  </si>
  <si>
    <t>at manufacturer</t>
  </si>
  <si>
    <t>Pharmacy chemicals</t>
  </si>
  <si>
    <t>p (head)</t>
  </si>
  <si>
    <t>Grain</t>
  </si>
  <si>
    <t>Barley grain</t>
  </si>
  <si>
    <t>Maize grain</t>
  </si>
  <si>
    <t>Sorghum grain</t>
  </si>
  <si>
    <t>Hay</t>
  </si>
  <si>
    <t>Maize silage</t>
  </si>
  <si>
    <t>Oaten hay</t>
  </si>
  <si>
    <t>Meal</t>
  </si>
  <si>
    <t>Canola meal</t>
  </si>
  <si>
    <t>Meat meal</t>
  </si>
  <si>
    <t>Wheat bran</t>
  </si>
  <si>
    <t>Other</t>
  </si>
  <si>
    <t>Bentonite</t>
  </si>
  <si>
    <t>Cotton seed</t>
  </si>
  <si>
    <t>Mixed rations</t>
  </si>
  <si>
    <t>Feed for chickens</t>
  </si>
  <si>
    <t>Feed for dairy calves</t>
  </si>
  <si>
    <t>Feed for dairy cows</t>
  </si>
  <si>
    <t>Feed for pigs</t>
  </si>
  <si>
    <t>Lick block, dry season mix</t>
  </si>
  <si>
    <t>Lick block, mineral</t>
  </si>
  <si>
    <t>Lick block, weaner</t>
  </si>
  <si>
    <t>Ammonia, AU market mix</t>
  </si>
  <si>
    <t>Ammonia, Canada</t>
  </si>
  <si>
    <t>Ammonia, China</t>
  </si>
  <si>
    <t>Ammonia, Yemen</t>
  </si>
  <si>
    <t>Ammonium nitrate, AU market mix</t>
  </si>
  <si>
    <t>Calcium ammonium nitrate, AU market mix</t>
  </si>
  <si>
    <t>Diammonium phosphate, AU market mix</t>
  </si>
  <si>
    <t>Double superphosphate, AU market mix</t>
  </si>
  <si>
    <t>Monoammonium phosphate, AU market mix</t>
  </si>
  <si>
    <t>Muriate of potash, AU market mix</t>
  </si>
  <si>
    <t>Nitrogen from ammonia, AU market mix</t>
  </si>
  <si>
    <t>Nitrogen from fertilizer, AU market mix</t>
  </si>
  <si>
    <t>Nitrogen from nitrate fertilizer, AU market mix</t>
  </si>
  <si>
    <t>Phosphorus from fertilizer, AU market mix</t>
  </si>
  <si>
    <t>Potassium from fertilizer, AU market mix</t>
  </si>
  <si>
    <t>Single superphosphate, AU market mix</t>
  </si>
  <si>
    <t>Sulfur from fertilizer, AU market mix</t>
  </si>
  <si>
    <t>Ammonium sulphate, AU market mix</t>
  </si>
  <si>
    <t>Urea ammonium nitrate, AU market mix</t>
  </si>
  <si>
    <t>kg P</t>
  </si>
  <si>
    <t>kg K</t>
  </si>
  <si>
    <t>kg S</t>
  </si>
  <si>
    <t>kg Zn</t>
  </si>
  <si>
    <t>Urea, AU market mix</t>
  </si>
  <si>
    <t>Urea, Canada</t>
  </si>
  <si>
    <t>Urea, China</t>
  </si>
  <si>
    <t>Urea, Yemen</t>
  </si>
  <si>
    <t>Zinc from fertilizer</t>
  </si>
  <si>
    <t>Animal ear tags (large)</t>
  </si>
  <si>
    <t>Animal ear tags (small)</t>
  </si>
  <si>
    <t>Barley grain (for seed)</t>
  </si>
  <si>
    <t>Maize grain (for seed)</t>
  </si>
  <si>
    <t>Nylon netting</t>
  </si>
  <si>
    <t>Oat grain (for seed)</t>
  </si>
  <si>
    <t>Sorghum grain (for seed)</t>
  </si>
  <si>
    <t>Wheat grain (for seed)</t>
  </si>
  <si>
    <t>Corrugated board</t>
  </si>
  <si>
    <t>Plastic crate polypropylene</t>
  </si>
  <si>
    <t>Plastic film LDPE</t>
  </si>
  <si>
    <t>Plastic sheet HDPE</t>
  </si>
  <si>
    <t>kg AI</t>
  </si>
  <si>
    <t>Atrazine</t>
  </si>
  <si>
    <t>Diuron</t>
  </si>
  <si>
    <t>Mancozeb</t>
  </si>
  <si>
    <t>MCPA</t>
  </si>
  <si>
    <t>Metsulfuron-methyl</t>
  </si>
  <si>
    <t>Tri-allate</t>
  </si>
  <si>
    <t>Dolomite</t>
  </si>
  <si>
    <t>Limestone (crushed)</t>
  </si>
  <si>
    <t>Aquaculture feed</t>
  </si>
  <si>
    <t>Sardines (whole)</t>
  </si>
  <si>
    <t>Not specified</t>
  </si>
  <si>
    <t>Low Animal Protein Formulated Feed</t>
  </si>
  <si>
    <t>Squid</t>
  </si>
  <si>
    <t>Whole fish</t>
  </si>
  <si>
    <t>Custom Bait</t>
  </si>
  <si>
    <t>Australian states and territories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</si>
  <si>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</si>
  <si>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</si>
  <si>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</si>
  <si>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</si>
  <si>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</si>
  <si>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</si>
  <si>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</si>
  <si>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</si>
  <si>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</si>
  <si>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</si>
  <si>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</si>
  <si>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</si>
  <si>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</si>
  <si>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</si>
  <si>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CF4</t>
  </si>
  <si>
    <t>C2F6</t>
  </si>
  <si>
    <t>SF6</t>
  </si>
  <si>
    <t>NF3</t>
  </si>
  <si>
    <t>Factor to convert elemental mass of gas to molecular mass</t>
  </si>
  <si>
    <t>44/12</t>
  </si>
  <si>
    <t>Nox</t>
  </si>
  <si>
    <t>CO2 Lime</t>
  </si>
  <si>
    <t>VEERG Australian wet and dry zones</t>
  </si>
  <si>
    <t>VEERG 2026: Table 1.2: Translating climate zones to wet and dry zones</t>
  </si>
  <si>
    <t>Tropical montane</t>
  </si>
  <si>
    <t>Tropical wet</t>
  </si>
  <si>
    <t>Tropical moist</t>
  </si>
  <si>
    <t>Tropical dry</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</si>
  <si>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</si>
  <si>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</si>
  <si>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</si>
  <si>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</si>
  <si>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</si>
  <si>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</si>
  <si>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</si>
  <si>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</si>
  <si>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</si>
  <si>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</si>
  <si>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</si>
  <si>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</si>
  <si>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</si>
  <si>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</si>
  <si>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</si>
  <si>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</si>
  <si>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</si>
  <si>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</si>
  <si>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</si>
  <si>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</si>
  <si>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</si>
  <si>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</si>
  <si>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</si>
  <si>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</si>
  <si>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</si>
  <si>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</si>
  <si>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</si>
  <si>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</si>
  <si>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</si>
  <si>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</si>
  <si>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</si>
  <si>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</si>
  <si>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</si>
  <si>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</si>
  <si>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</si>
  <si>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</si>
  <si>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</si>
  <si>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</si>
  <si>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</si>
  <si>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</si>
  <si>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</si>
  <si>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</si>
  <si>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</si>
  <si>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</si>
  <si>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</si>
  <si>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</si>
  <si>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</si>
  <si>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</si>
  <si>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</si>
  <si>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</si>
  <si>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</si>
  <si>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</si>
  <si>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</si>
  <si>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</si>
  <si>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</si>
  <si>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</si>
  <si>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</si>
  <si>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</si>
  <si>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National Inventory Report Volume 1: Leaching and runoff (3.D.b.2)</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</si>
  <si>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</si>
  <si>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</si>
  <si>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</si>
  <si>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</si>
  <si>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</si>
  <si>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</si>
  <si>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</si>
  <si>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</si>
  <si>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</si>
  <si>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</si>
  <si>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</si>
  <si>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</si>
  <si>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</si>
  <si>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</si>
  <si>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</si>
  <si>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</si>
  <si>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</si>
  <si>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</si>
  <si>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</si>
  <si>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</si>
  <si>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</si>
  <si>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</si>
  <si>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</si>
  <si>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</si>
  <si>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</si>
  <si>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</si>
  <si>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</si>
  <si>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</si>
  <si>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</si>
  <si>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</si>
  <si>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</si>
  <si>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</si>
  <si>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</si>
  <si>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</si>
  <si>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</si>
  <si>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</si>
  <si>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</si>
  <si>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</si>
  <si>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</si>
  <si>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</si>
  <si>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</si>
  <si>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</si>
  <si>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</si>
  <si>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</si>
  <si>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</si>
  <si>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</si>
  <si>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</si>
  <si>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</si>
  <si>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</si>
  <si>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</si>
  <si>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</si>
  <si>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Global Warming Potentials</t>
  </si>
  <si>
    <t>Australian National Greenhouse Accounts Factors 2025 - Appendix 2 - Table 23</t>
  </si>
  <si>
    <t>Carbon dioxide</t>
  </si>
  <si>
    <t>Methane</t>
  </si>
  <si>
    <t>Nitrous oxide</t>
  </si>
  <si>
    <t>Sulphur hexafluoride</t>
  </si>
  <si>
    <t>HFC-23 (R-23)</t>
  </si>
  <si>
    <t>CHF3</t>
  </si>
  <si>
    <t>HFC-23</t>
  </si>
  <si>
    <t>HFC-32 (R-32)</t>
  </si>
  <si>
    <t>CH2F2</t>
  </si>
  <si>
    <t>HFC-32</t>
  </si>
  <si>
    <t>HFC-41 (R-41)</t>
  </si>
  <si>
    <t>CH3F</t>
  </si>
  <si>
    <t>HFC-41</t>
  </si>
  <si>
    <t>HFC-43-10mee (R-4310mee)</t>
  </si>
  <si>
    <t>C5H2F10</t>
  </si>
  <si>
    <t>HFC-43-10mee</t>
  </si>
  <si>
    <t>HFC-125 (R-125)</t>
  </si>
  <si>
    <t>C2HF5</t>
  </si>
  <si>
    <t>HFC-125</t>
  </si>
  <si>
    <t>HFC-134 (R-134)</t>
  </si>
  <si>
    <t>C2H2F4 (CHF2CHF2)</t>
  </si>
  <si>
    <t>HFC-134</t>
  </si>
  <si>
    <t>HFC-134a (R-134a)</t>
  </si>
  <si>
    <t>C2H2F4 (CH2FCF3)</t>
  </si>
  <si>
    <t>HFC-134a</t>
  </si>
  <si>
    <t>HFC-143 (R-143)</t>
  </si>
  <si>
    <t>C2H3F3 (CHF2CH2F)</t>
  </si>
  <si>
    <t>HFC-143</t>
  </si>
  <si>
    <t>HFC-143a (R-143a)</t>
  </si>
  <si>
    <t>C2H3F3 (CF3CH3)</t>
  </si>
  <si>
    <t>HFC-143a</t>
  </si>
  <si>
    <t>HFC-152a (R-152a)</t>
  </si>
  <si>
    <t>C2H4F2 (CH3CHF2)</t>
  </si>
  <si>
    <t>HFC-152a</t>
  </si>
  <si>
    <t>HFC-227ea (R-227ea)</t>
  </si>
  <si>
    <t>C3HF7</t>
  </si>
  <si>
    <t>HFC-227ea</t>
  </si>
  <si>
    <t>HFC-236fa (R-236fa)</t>
  </si>
  <si>
    <t>C3H2F6</t>
  </si>
  <si>
    <t>HFC-236fa</t>
  </si>
  <si>
    <t>HFC-245ca (R-245ca)</t>
  </si>
  <si>
    <t>C3H3F5</t>
  </si>
  <si>
    <t>HFC-245ca</t>
  </si>
  <si>
    <t>HFC-245fa (R-245fa)</t>
  </si>
  <si>
    <t>CHF2CH2CF3</t>
  </si>
  <si>
    <t>HFC-245fa</t>
  </si>
  <si>
    <t>HFC-365mfc (R-365mfc)</t>
  </si>
  <si>
    <t>CH3CF2CH2CF3</t>
  </si>
  <si>
    <t>HFC-365mfc</t>
  </si>
  <si>
    <t>HCFC-22 (R-22)</t>
  </si>
  <si>
    <t>CHClF2</t>
  </si>
  <si>
    <t>HCFC-22</t>
  </si>
  <si>
    <t>HCFC-123 (R-123)</t>
  </si>
  <si>
    <t>CHCl22CF3</t>
  </si>
  <si>
    <t>HCFC-123</t>
  </si>
  <si>
    <t>HCFC-124 (R-124)</t>
  </si>
  <si>
    <t>CHClFCF3</t>
  </si>
  <si>
    <t>HCFC-124</t>
  </si>
  <si>
    <t>HCFC-141b (R-141b)</t>
  </si>
  <si>
    <t>CH3CCl2F</t>
  </si>
  <si>
    <t>HCFC-141b</t>
  </si>
  <si>
    <t>HCFC-142b (R-142b)</t>
  </si>
  <si>
    <t>CH2CClF2</t>
  </si>
  <si>
    <t>HCFC-142b</t>
  </si>
  <si>
    <t>HCFC-225ca (R-225ca)</t>
  </si>
  <si>
    <t>CHCl2CF2CF3</t>
  </si>
  <si>
    <t>HCFC-225ca</t>
  </si>
  <si>
    <t>HCFC-225cb (R-225cb)</t>
  </si>
  <si>
    <t>CHClFCF2CCIF2</t>
  </si>
  <si>
    <t>HCFC-225cb</t>
  </si>
  <si>
    <t>PFC-14 Perfluoromethane (tetrafluoromethane)</t>
  </si>
  <si>
    <t>PFC-14</t>
  </si>
  <si>
    <t>PFC-116 Perfluoroethane (hexafluoroethane)</t>
  </si>
  <si>
    <t>PFC-116</t>
  </si>
  <si>
    <t>PFC-218 Perfluoropropane</t>
  </si>
  <si>
    <t>C3F8</t>
  </si>
  <si>
    <t>PFC-218</t>
  </si>
  <si>
    <t>PFC-31-10 Perfluorobutane</t>
  </si>
  <si>
    <t>C4F10</t>
  </si>
  <si>
    <t>PFC-31-10</t>
  </si>
  <si>
    <t>PFC-318 Perfluorocyclobutane</t>
  </si>
  <si>
    <t>c-C4F8</t>
  </si>
  <si>
    <t>PFC-318</t>
  </si>
  <si>
    <t>PFC-41-12 Perfluoropentane</t>
  </si>
  <si>
    <t>C5F12</t>
  </si>
  <si>
    <t>PFC-41-12</t>
  </si>
  <si>
    <t>PFC-51-14 Perfluorohexane</t>
  </si>
  <si>
    <t>C6F14</t>
  </si>
  <si>
    <t>PFC-51-14</t>
  </si>
  <si>
    <t>PFC-91-18 Perflunafene</t>
  </si>
  <si>
    <t>C10F18</t>
  </si>
  <si>
    <t>PFC-91-18</t>
  </si>
  <si>
    <t>CFC-12</t>
  </si>
  <si>
    <t>CCl2F2</t>
  </si>
  <si>
    <t>IPCC Global Warming Potential Values v2.0 - (AR5)</t>
  </si>
  <si>
    <t>CFC-13</t>
  </si>
  <si>
    <t>CClF3</t>
  </si>
  <si>
    <t>CFC-114</t>
  </si>
  <si>
    <t>CClF2CClF2</t>
  </si>
  <si>
    <t>CFC-115</t>
  </si>
  <si>
    <t>CClF2CF3</t>
  </si>
  <si>
    <t>Blended refrigerants (many containing HFCS and/or PFCS)</t>
  </si>
  <si>
    <t>Australian National Greenhouse Accounts Factors 2025 - Appendix 2 - Table 24</t>
  </si>
  <si>
    <t>R-400</t>
  </si>
  <si>
    <t>CFC-12/CFC-114</t>
  </si>
  <si>
    <t>R-400 can have various proportions of CFC-12 and CFC-114. The exact composition needs to be specified, e.g., R-400 (60/40).</t>
  </si>
  <si>
    <t>R-401A</t>
  </si>
  <si>
    <t>HCFC-22/HFC-152a/HCFC-124</t>
  </si>
  <si>
    <t>(53.0/13.0/34.0)</t>
  </si>
  <si>
    <t>R-401B</t>
  </si>
  <si>
    <t>(61.0/11.0/28.0)</t>
  </si>
  <si>
    <t>R-401C</t>
  </si>
  <si>
    <t>(33.0/15.0/52.0)</t>
  </si>
  <si>
    <t>HFC-125/HC-290/HCFC-22</t>
  </si>
  <si>
    <t>(60.0/2.0/38.0)</t>
  </si>
  <si>
    <t>R-402B</t>
  </si>
  <si>
    <t>(38.0/2.0/60.0)</t>
  </si>
  <si>
    <t>R-403A</t>
  </si>
  <si>
    <t>HC-290/HCFC-22/PFC-218</t>
  </si>
  <si>
    <t>(5.0/75.0/20.0)</t>
  </si>
  <si>
    <t>R-403B</t>
  </si>
  <si>
    <t>(5.0/56.0/39.0)</t>
  </si>
  <si>
    <t>R-404A</t>
  </si>
  <si>
    <t>HFC-125/HFC-143a/HFC-134a</t>
  </si>
  <si>
    <t>(44.0/52.0/4.0)</t>
  </si>
  <si>
    <t>R-405A</t>
  </si>
  <si>
    <t>HCFC-22/ HFC-152a/HCFC-142b/PFC-318</t>
  </si>
  <si>
    <t>(45.0/7.0/5.5/42.5)</t>
  </si>
  <si>
    <t>R-406A</t>
  </si>
  <si>
    <t>HCFC-22/HC-600a/HCFC-142b</t>
  </si>
  <si>
    <t>(55.0/14.0/41.0)</t>
  </si>
  <si>
    <t>R-407A</t>
  </si>
  <si>
    <t>HFC-32/HFC-125/HFC-134a</t>
  </si>
  <si>
    <t>(20.0/40.0/40.0)</t>
  </si>
  <si>
    <t>R-407B</t>
  </si>
  <si>
    <t>(10.0/70.0/20.0)</t>
  </si>
  <si>
    <t>R-407C</t>
  </si>
  <si>
    <t>(23.0/25.0/52.0)</t>
  </si>
  <si>
    <t>R-407D</t>
  </si>
  <si>
    <t>(15.0/15.0/70.0)</t>
  </si>
  <si>
    <t>R-407E</t>
  </si>
  <si>
    <t>(25.0/15.0/60.0)</t>
  </si>
  <si>
    <t>R-408A</t>
  </si>
  <si>
    <t>HFC-125/HFC-143a/HCFC-22</t>
  </si>
  <si>
    <t>(7.0/46.0/47.0)</t>
  </si>
  <si>
    <t>R-409A</t>
  </si>
  <si>
    <t>HCFC-22/HCFC-124/HCFC-142b</t>
  </si>
  <si>
    <t>(60.0/25.0/15.0)</t>
  </si>
  <si>
    <t>R-409B</t>
  </si>
  <si>
    <t>(65.0/25.0/10.0)</t>
  </si>
  <si>
    <t>R-410A</t>
  </si>
  <si>
    <t>HFC-32/HFC-125</t>
  </si>
  <si>
    <t>(50.0/50.0)</t>
  </si>
  <si>
    <t>R-410B</t>
  </si>
  <si>
    <t>(45.0/55.0)</t>
  </si>
  <si>
    <t>R-411A</t>
  </si>
  <si>
    <t>HC-1270/HCFC-22/HFC-152a</t>
  </si>
  <si>
    <t>(1.5/87.5/11.0)</t>
  </si>
  <si>
    <t>R-411B</t>
  </si>
  <si>
    <t>(3.0/94.0/3.0)</t>
  </si>
  <si>
    <t>R-411C</t>
  </si>
  <si>
    <t>(3.0/95.5/1.5)</t>
  </si>
  <si>
    <t>R-412A</t>
  </si>
  <si>
    <t>HCFC-22/PFC-218/HCFC-142b</t>
  </si>
  <si>
    <t>(70.0/5.0/25.0)</t>
  </si>
  <si>
    <t>R-413A</t>
  </si>
  <si>
    <t>PFC-218/HFC-134a/HC-600a</t>
  </si>
  <si>
    <t>(9.0/88.0/3.0)</t>
  </si>
  <si>
    <t>R-414A</t>
  </si>
  <si>
    <t>HCFC-22/HCFC-124/HC-600a/HCFC-142b</t>
  </si>
  <si>
    <t>(51.0/28.5/4.0/16.5)</t>
  </si>
  <si>
    <t>R-414B</t>
  </si>
  <si>
    <t>(50.0/39.0/1.5/9.5)</t>
  </si>
  <si>
    <t>R-415A</t>
  </si>
  <si>
    <t>HCFC-22/HFC-152a</t>
  </si>
  <si>
    <t>(82.0/18.0)</t>
  </si>
  <si>
    <t>R-415B</t>
  </si>
  <si>
    <t>(25.0/75.0)</t>
  </si>
  <si>
    <t>R-416A</t>
  </si>
  <si>
    <t>HFC-134a/HCFC-124/HC-600</t>
  </si>
  <si>
    <t>(59.0/39.5/1.5)</t>
  </si>
  <si>
    <t>R-417A</t>
  </si>
  <si>
    <t>HFC-125/HFC-134a/HC-600</t>
  </si>
  <si>
    <t>(46.6/50.0/3.4)</t>
  </si>
  <si>
    <t>R-418A</t>
  </si>
  <si>
    <t>HC-290/HCFC-22/HFC-152a</t>
  </si>
  <si>
    <t>(1.5/96.0/2.5)</t>
  </si>
  <si>
    <t>R-419A</t>
  </si>
  <si>
    <t>HFC-125/HFC-134a/HE-E170</t>
  </si>
  <si>
    <t>(77.0/19.0/4.0)</t>
  </si>
  <si>
    <t>R-420A</t>
  </si>
  <si>
    <t>HFC-134a/HCFC-142b</t>
  </si>
  <si>
    <t>(88.0/12.0)</t>
  </si>
  <si>
    <t>R-421A</t>
  </si>
  <si>
    <t>HFC-125/HFC-134a</t>
  </si>
  <si>
    <t>(58.0/42.0)</t>
  </si>
  <si>
    <t>R-422A</t>
  </si>
  <si>
    <t>HFC-125/HFC-134a/HC-600a</t>
  </si>
  <si>
    <t>(85.1/11.5/3.4)</t>
  </si>
  <si>
    <t>(55.0/42.0/3.0)</t>
  </si>
  <si>
    <t>R-422C</t>
  </si>
  <si>
    <t>(82.0/15.0/3.0)</t>
  </si>
  <si>
    <t>R-500</t>
  </si>
  <si>
    <t>CFC-12/HFC-152a</t>
  </si>
  <si>
    <t>(73.8/26.2)</t>
  </si>
  <si>
    <t>R-501</t>
  </si>
  <si>
    <t>HCFC-22/CFC-12</t>
  </si>
  <si>
    <t>(75.0/25.0)</t>
  </si>
  <si>
    <t>R-502</t>
  </si>
  <si>
    <t>HCFC-22/CFC-115</t>
  </si>
  <si>
    <t>(48.8/51.2)</t>
  </si>
  <si>
    <t>R-503</t>
  </si>
  <si>
    <t>HFC-23/CFC-13</t>
  </si>
  <si>
    <t>(40.1/59.9)</t>
  </si>
  <si>
    <t>HFC-32/CFC-115</t>
  </si>
  <si>
    <t>(48.2/51.8)</t>
  </si>
  <si>
    <t>R-505</t>
  </si>
  <si>
    <t>CFC-12/HCFC-31</t>
  </si>
  <si>
    <t>(78.0/22.0)</t>
  </si>
  <si>
    <t>R-506</t>
  </si>
  <si>
    <t>CFC-31/CFC-114</t>
  </si>
  <si>
    <t>(55.1/44.9)</t>
  </si>
  <si>
    <t>R-507A</t>
  </si>
  <si>
    <t>HFC-125/HFC-143a</t>
  </si>
  <si>
    <t>R-508A</t>
  </si>
  <si>
    <t>HFC-23/PFC-116</t>
  </si>
  <si>
    <t>(39.0/61.0)</t>
  </si>
  <si>
    <t>R-508B</t>
  </si>
  <si>
    <t>(46.0/54.0)</t>
  </si>
  <si>
    <t>R-509A</t>
  </si>
  <si>
    <t>HCFC-22/PFC-218</t>
  </si>
  <si>
    <t>(44.0/56.0)</t>
  </si>
  <si>
    <t>Indicative leakage rates for common refrigeration and air - conditioning equipment</t>
  </si>
  <si>
    <t>Australian National Greenhouse Accounts Factors 2025 - Table 10</t>
  </si>
  <si>
    <t>Domestic A/C portable</t>
  </si>
  <si>
    <t>Domestic A/C packaged</t>
  </si>
  <si>
    <t>Heavy vehicle A/C</t>
  </si>
  <si>
    <t>Emission factors for wastes disposed of at different treatment facilities</t>
  </si>
  <si>
    <t>VEERG 2026: Table A.4.1.1</t>
  </si>
  <si>
    <t>VARIATION ON SOURCE:</t>
  </si>
  <si>
    <t>Fixed typo 'paper and carboard' to 'paper and cardboard'</t>
  </si>
  <si>
    <t>Fixed typo 'prunnings' to 'prunings'</t>
  </si>
  <si>
    <t>Added EF source column with specific references</t>
  </si>
  <si>
    <t>Added sub-categories for 'Incineration: Food waste, green waste, wood, sludge' in order to use volume to mass conversion factor values</t>
  </si>
  <si>
    <t>Added sub-categories for 'Composting: All organic waste' in order to use volume to mass conversion factor values</t>
  </si>
  <si>
    <t>Added sub-categories for 'Anaerobic digestion: All organic waste' in order to use volume to mass conversion factor values</t>
  </si>
  <si>
    <t>t CO2e / t</t>
  </si>
  <si>
    <t>NGAF 2025 table 15</t>
  </si>
  <si>
    <t>Wood</t>
  </si>
  <si>
    <t>Textiles</t>
  </si>
  <si>
    <t>Sludge</t>
  </si>
  <si>
    <t>Rubber and leather</t>
  </si>
  <si>
    <t>Inert waste (including concrete, metal, plastic or glass)</t>
  </si>
  <si>
    <t>Municipal solid waste</t>
  </si>
  <si>
    <t>Commercial and industrial waste</t>
  </si>
  <si>
    <t>Construction and demolition waste</t>
  </si>
  <si>
    <t>Food waste, green waste, wood, sludge</t>
  </si>
  <si>
    <t>NGAF 2025 Table 18</t>
  </si>
  <si>
    <t>All organic waste</t>
  </si>
  <si>
    <t>NGAF 2025 Table 19</t>
  </si>
  <si>
    <t>Anaerobic digestion</t>
  </si>
  <si>
    <t>Volume to mass conversion factor for various waste types</t>
  </si>
  <si>
    <t>VEERG 2026: Table A.4.1.2</t>
  </si>
  <si>
    <t>VARIATION OF SOURCE: Changed column header CFw to VTMw to match title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</si>
</sst>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00000000"/>
    <numFmt numFmtId="172" formatCode="0.0%"/>
    <numFmt numFmtId="173" formatCode="0.0000%"/>
    <numFmt numFmtId="174" formatCode="0.000000E+00"/>
    <numFmt numFmtId="175" formatCode="[$-C09]d\ mmmm\ yyyy;@"/>
    <numFmt numFmtId="176" formatCode="0.00000"/>
  </numFmts>
  <fonts count="85"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8"/>
      <color rgb="FF0C769E"/>
      <name val="Arial"/>
      <family val="1"/>
    </font>
    <font>
      <b/>
      <sz val="14"/>
      <color theme="1" tint="0.24994659260841701"/>
      <name val="Arial"/>
      <family val="1"/>
    </font>
    <font>
      <i/>
      <sz val="14"/>
      <color theme="1" tint="0.34998626667073579"/>
      <name val="Arial"/>
      <family val="1"/>
    </font>
    <font>
      <sz val="14"/>
      <color theme="1" tint="0.24994659260841701"/>
      <name val="Arial"/>
      <family val="1"/>
    </font>
    <font>
      <b/>
      <sz val="20"/>
      <color theme="5" tint="-0.499984740745262"/>
      <name val="Arial"/>
      <family val="1"/>
    </font>
    <font>
      <i/>
      <sz val="9"/>
      <color theme="1" tint="0.14999847407452621"/>
      <name val="Arial"/>
      <family val="1"/>
    </font>
    <font>
      <b/>
      <sz val="10"/>
      <color theme="1" tint="0.499984740745262"/>
      <name val="Arial"/>
      <family val="1"/>
    </font>
    <font>
      <sz val="9"/>
      <color theme="1" tint="0.499984740745262"/>
      <name val="Arial"/>
      <family val="1"/>
    </font>
    <font>
      <b/>
      <vertAlign val="subscript"/>
      <sz val="10"/>
      <color rgb="FF183C1B"/>
      <name val="Arial"/>
      <family val="1"/>
    </font>
    <font>
      <vertAlign val="subscript"/>
      <sz val="10"/>
      <color theme="1" tint="0.24994659260841701"/>
      <name val="Arial"/>
      <family val="1"/>
    </font>
    <font>
      <b/>
      <vertAlign val="subscript"/>
      <sz val="14"/>
      <color theme="1" tint="0.24994659260841701"/>
      <name val="Arial"/>
      <family val="1"/>
    </font>
    <font>
      <b/>
      <vertAlign val="subscript"/>
      <sz val="10"/>
      <color theme="1" tint="0.24994659260841701"/>
      <name val="Arial"/>
      <family val="1"/>
    </font>
    <font>
      <b/>
      <sz val="10"/>
      <color theme="1"/>
      <name val="Arial"/>
      <family val="2"/>
    </font>
    <font>
      <sz val="10"/>
      <name val="Arial"/>
      <family val="1"/>
    </font>
    <font>
      <b/>
      <sz val="9"/>
      <color theme="1" tint="0.14999847407452621"/>
      <name val="Arial"/>
      <family val="1"/>
    </font>
    <font>
      <b/>
      <vertAlign val="subscript"/>
      <sz val="10"/>
      <color rgb="FF533001"/>
      <name val="Arial"/>
      <family val="1"/>
    </font>
    <font>
      <b/>
      <i/>
      <sz val="10"/>
      <color rgb="FFCC6600"/>
      <name val="Arial"/>
      <family val="1"/>
    </font>
    <font>
      <sz val="9"/>
      <name val="Arial"/>
      <family val="1"/>
    </font>
    <font>
      <sz val="9"/>
      <color theme="1"/>
      <name val="Arial"/>
      <family val="2"/>
    </font>
    <font>
      <b/>
      <sz val="9"/>
      <color theme="1" tint="0.34998626667073579"/>
      <name val="Arial"/>
      <family val="1"/>
    </font>
    <font>
      <sz val="14"/>
      <name val="Arial"/>
      <family val="1"/>
    </font>
    <font>
      <b/>
      <sz val="9"/>
      <name val="Arial"/>
      <family val="1"/>
    </font>
    <font>
      <b/>
      <sz val="14"/>
      <color theme="1"/>
      <name val="Arial"/>
      <family val="1"/>
    </font>
    <font>
      <b/>
      <vertAlign val="subscript"/>
      <sz val="14"/>
      <color theme="1"/>
      <name val="Arial"/>
      <family val="1"/>
    </font>
    <font>
      <sz val="14"/>
      <color theme="1"/>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2"/>
      <color theme="1" tint="0.24994659260841701"/>
      <name val="Arial"/>
      <family val="1"/>
    </font>
    <font>
      <b/>
      <sz val="10"/>
      <color rgb="FFC44340"/>
      <name val="Arial"/>
      <family val="1"/>
    </font>
    <font>
      <i/>
      <sz val="10"/>
      <color rgb="FFC44340"/>
      <name val="Arial"/>
      <family val="1"/>
    </font>
    <font>
      <b/>
      <vertAlign val="subscript"/>
      <sz val="12"/>
      <color theme="1" tint="0.24994659260841701"/>
      <name val="Arial"/>
      <family val="1"/>
    </font>
    <font>
      <b/>
      <vertAlign val="superscript"/>
      <sz val="10"/>
      <color rgb="FF183C1B"/>
      <name val="Arial"/>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3">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56" fillId="0" borderId="0"/>
    <xf numFmtId="0" fontId="76" fillId="0" borderId="0"/>
    <xf numFmtId="0" fontId="77" fillId="4" borderId="0">
      <alignment horizontal="left" vertical="center"/>
    </xf>
    <xf numFmtId="0" fontId="38" fillId="17" borderId="2">
      <alignment horizontal="center" vertical="center"/>
    </xf>
  </cellStyleXfs>
  <cellXfs count="276">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35" fillId="4" borderId="0" xfId="59">
      <alignment horizontal="left" vertical="center"/>
    </xf>
    <xf numFmtId="170" fontId="0" fillId="0" borderId="0" xfId="8" applyNumberFormat="1" applyFont="1" applyFill="1">
      <alignment horizontal="left" vertical="center"/>
    </xf>
    <xf numFmtId="0" fontId="12" fillId="6" borderId="0" xfId="29">
      <alignment horizontal="center" vertical="center"/>
      <protection locked="0"/>
    </xf>
    <xf numFmtId="0" fontId="50" fillId="9" borderId="4" xfId="34" applyFont="1">
      <alignment horizontal="left" vertical="center" indent="1"/>
    </xf>
    <xf numFmtId="0" fontId="20" fillId="10" borderId="0" xfId="35">
      <alignment horizontal="left" vertical="center" indent="1"/>
    </xf>
    <xf numFmtId="0" fontId="51" fillId="0" borderId="0" xfId="32" applyFont="1"/>
    <xf numFmtId="0" fontId="52" fillId="4" borderId="0" xfId="8" applyFont="1">
      <alignment horizontal="left" vertical="center"/>
    </xf>
    <xf numFmtId="0" fontId="53" fillId="4" borderId="0" xfId="53" applyFont="1">
      <alignment horizontal="left" vertical="center"/>
    </xf>
    <xf numFmtId="0" fontId="52" fillId="4" borderId="1" xfId="8" applyFont="1" applyBorder="1">
      <alignment horizontal="left" vertical="center"/>
    </xf>
    <xf numFmtId="0" fontId="27" fillId="4" borderId="1" xfId="8" applyBorder="1">
      <alignment horizontal="left" vertical="center"/>
    </xf>
    <xf numFmtId="0" fontId="53" fillId="4" borderId="1" xfId="53" applyFont="1" applyBorder="1">
      <alignment horizontal="left" vertical="center"/>
    </xf>
    <xf numFmtId="0" fontId="54" fillId="4" borderId="1" xfId="8" applyFont="1" applyBorder="1">
      <alignment horizontal="left" vertical="center"/>
    </xf>
    <xf numFmtId="0" fontId="54" fillId="4" borderId="0" xfId="8" applyFont="1">
      <alignment horizontal="left" vertical="center"/>
    </xf>
    <xf numFmtId="0" fontId="40" fillId="4" borderId="1" xfId="8" applyFont="1" applyBorder="1">
      <alignment horizontal="left" vertical="center"/>
    </xf>
    <xf numFmtId="0" fontId="6" fillId="4" borderId="1" xfId="53" applyBorder="1">
      <alignment horizontal="left" vertical="center"/>
    </xf>
    <xf numFmtId="0" fontId="27" fillId="11" borderId="0" xfId="8" applyFill="1">
      <alignment horizontal="left" vertical="center"/>
    </xf>
    <xf numFmtId="171" fontId="27" fillId="4" borderId="0" xfId="8" applyNumberFormat="1">
      <alignment horizontal="left" vertical="center"/>
    </xf>
    <xf numFmtId="49" fontId="0" fillId="0" borderId="0" xfId="14" applyNumberFormat="1" applyFont="1" applyBorder="1">
      <alignment horizontal="center" vertical="center"/>
    </xf>
    <xf numFmtId="0" fontId="3" fillId="12" borderId="17" xfId="15" applyBorder="1">
      <alignment horizontal="center" vertical="center"/>
    </xf>
    <xf numFmtId="0" fontId="9" fillId="0" borderId="0" xfId="55"/>
    <xf numFmtId="0" fontId="12" fillId="6" borderId="0" xfId="28">
      <alignment horizontal="left" vertical="center" indent="1"/>
    </xf>
    <xf numFmtId="0" fontId="20" fillId="5" borderId="0" xfId="36">
      <alignment horizontal="left" vertical="center" indent="1"/>
    </xf>
    <xf numFmtId="3" fontId="2" fillId="0" borderId="2" xfId="18">
      <alignment horizontal="center" vertical="center"/>
    </xf>
    <xf numFmtId="0" fontId="16" fillId="4" borderId="0" xfId="31" applyFill="1">
      <alignment vertical="center"/>
    </xf>
    <xf numFmtId="172" fontId="23" fillId="4" borderId="2" xfId="68" applyNumberFormat="1" applyFont="1" applyFill="1" applyBorder="1" applyAlignment="1">
      <alignment horizontal="center" vertical="center"/>
    </xf>
    <xf numFmtId="172" fontId="2" fillId="0" borderId="2" xfId="16" applyNumberFormat="1">
      <alignment horizontal="center" vertical="center"/>
    </xf>
    <xf numFmtId="172" fontId="2" fillId="0" borderId="2" xfId="68" applyNumberFormat="1" applyFont="1" applyBorder="1" applyAlignment="1">
      <alignment horizontal="center" vertical="center"/>
    </xf>
    <xf numFmtId="172" fontId="27" fillId="4" borderId="0" xfId="8" applyNumberFormat="1">
      <alignment horizontal="left" vertical="center"/>
    </xf>
    <xf numFmtId="173" fontId="27" fillId="4" borderId="0" xfId="8" applyNumberFormat="1">
      <alignment horizontal="left" vertical="center"/>
    </xf>
    <xf numFmtId="0" fontId="12" fillId="6" borderId="0" xfId="28" applyAlignment="1">
      <alignment horizontal="left" vertical="center"/>
    </xf>
    <xf numFmtId="0" fontId="55" fillId="4" borderId="0" xfId="59" applyFont="1">
      <alignment horizontal="left" vertical="center"/>
    </xf>
    <xf numFmtId="0" fontId="27" fillId="4" borderId="0" xfId="8" applyAlignment="1">
      <alignment horizontal="center" vertical="center"/>
    </xf>
    <xf numFmtId="9" fontId="23" fillId="4" borderId="2" xfId="68" applyFont="1" applyFill="1" applyBorder="1" applyAlignment="1">
      <alignment horizontal="center" vertical="center"/>
    </xf>
    <xf numFmtId="0" fontId="27" fillId="4" borderId="0" xfId="8" applyAlignment="1">
      <alignment horizontal="left" vertical="center" indent="3"/>
    </xf>
    <xf numFmtId="10" fontId="27" fillId="4" borderId="0" xfId="8" applyNumberFormat="1">
      <alignment horizontal="left" vertical="center"/>
    </xf>
    <xf numFmtId="0" fontId="12" fillId="6" borderId="0" xfId="28" applyAlignment="1">
      <alignment horizontal="left" vertical="center" indent="6"/>
    </xf>
    <xf numFmtId="0" fontId="27" fillId="4" borderId="0" xfId="8" applyAlignment="1">
      <alignment horizontal="left" vertical="center" indent="6"/>
    </xf>
    <xf numFmtId="0" fontId="40" fillId="4" borderId="0" xfId="8" applyFont="1" applyAlignment="1">
      <alignment horizontal="left" vertical="center" indent="6"/>
    </xf>
    <xf numFmtId="0" fontId="27" fillId="4" borderId="0" xfId="8" applyAlignment="1">
      <alignment horizontal="left" vertical="center" indent="9"/>
    </xf>
    <xf numFmtId="0" fontId="15" fillId="4" borderId="0" xfId="24">
      <alignment horizontal="left" vertical="center"/>
    </xf>
    <xf numFmtId="0" fontId="20" fillId="8" borderId="0" xfId="37">
      <alignment horizontal="left" vertical="center" indent="1"/>
    </xf>
    <xf numFmtId="0" fontId="23" fillId="4" borderId="2" xfId="63">
      <alignment horizontal="left" vertical="center"/>
    </xf>
    <xf numFmtId="0" fontId="38" fillId="15" borderId="2" xfId="65">
      <alignment horizontal="center" vertical="center"/>
    </xf>
    <xf numFmtId="0" fontId="32" fillId="4" borderId="0" xfId="57">
      <alignment horizontal="left" vertical="center"/>
    </xf>
    <xf numFmtId="0" fontId="33" fillId="4" borderId="0" xfId="58">
      <alignment horizontal="left" vertical="center"/>
    </xf>
    <xf numFmtId="0" fontId="5" fillId="2" borderId="0" xfId="9">
      <alignment horizontal="center" vertical="center"/>
    </xf>
    <xf numFmtId="0" fontId="23" fillId="4" borderId="18" xfId="63" applyBorder="1">
      <alignment horizontal="left" vertical="center"/>
    </xf>
    <xf numFmtId="0" fontId="23" fillId="4" borderId="19" xfId="63" applyBorder="1">
      <alignment horizontal="left" vertical="center"/>
    </xf>
    <xf numFmtId="0" fontId="36" fillId="4" borderId="2" xfId="62">
      <alignment horizontal="left" vertical="center"/>
    </xf>
    <xf numFmtId="0" fontId="37" fillId="14" borderId="2" xfId="64">
      <alignment horizontal="center" vertical="center"/>
    </xf>
    <xf numFmtId="0" fontId="56" fillId="0" borderId="0" xfId="69"/>
    <xf numFmtId="0" fontId="57" fillId="4" borderId="0" xfId="8" applyFont="1">
      <alignment horizontal="left" vertical="center"/>
    </xf>
    <xf numFmtId="0" fontId="58" fillId="4" borderId="0" xfId="8" applyFont="1">
      <alignment horizontal="left" vertical="center"/>
    </xf>
    <xf numFmtId="0" fontId="23" fillId="4" borderId="2" xfId="52" applyAlignment="1">
      <alignment horizontal="left" vertical="center"/>
    </xf>
    <xf numFmtId="0" fontId="23" fillId="4" borderId="20" xfId="63" applyBorder="1">
      <alignment horizontal="left" vertical="center"/>
    </xf>
    <xf numFmtId="3" fontId="23" fillId="4" borderId="2" xfId="52" applyNumberFormat="1">
      <alignment horizontal="center" vertical="center"/>
    </xf>
    <xf numFmtId="0" fontId="23" fillId="4" borderId="18" xfId="52" applyBorder="1" applyAlignment="1">
      <alignment horizontal="left" vertical="center"/>
    </xf>
    <xf numFmtId="0" fontId="23" fillId="4" borderId="20" xfId="52" applyBorder="1">
      <alignment horizontal="center" vertical="center"/>
    </xf>
    <xf numFmtId="43" fontId="27" fillId="4" borderId="0" xfId="67" applyFont="1" applyFill="1" applyAlignment="1">
      <alignment horizontal="left" vertical="center"/>
    </xf>
    <xf numFmtId="0" fontId="23" fillId="4" borderId="19" xfId="52" applyBorder="1" applyAlignment="1">
      <alignment horizontal="left" vertical="center"/>
    </xf>
    <xf numFmtId="0" fontId="9" fillId="0" borderId="0" xfId="43"/>
    <xf numFmtId="0" fontId="30" fillId="13" borderId="11" xfId="39" applyBorder="1">
      <alignment horizontal="left" vertical="center"/>
    </xf>
    <xf numFmtId="0" fontId="23" fillId="4" borderId="20" xfId="52" applyBorder="1" applyAlignment="1">
      <alignment horizontal="left" vertical="center"/>
    </xf>
    <xf numFmtId="0" fontId="0" fillId="0" borderId="0" xfId="1" applyFont="1" applyFill="1">
      <alignment horizontal="left" vertical="center" indent="1"/>
      <protection locked="0"/>
    </xf>
    <xf numFmtId="0" fontId="63" fillId="2" borderId="0" xfId="8" applyFont="1" applyFill="1">
      <alignment horizontal="left" vertical="center"/>
    </xf>
    <xf numFmtId="0" fontId="27" fillId="16" borderId="0" xfId="8" applyFill="1">
      <alignment horizontal="left" vertical="center"/>
    </xf>
    <xf numFmtId="0" fontId="64" fillId="4" borderId="0" xfId="0" applyFont="1" applyFill="1" applyAlignment="1">
      <alignment horizontal="center" vertical="center"/>
    </xf>
    <xf numFmtId="0" fontId="64"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64" fillId="4" borderId="0" xfId="67" applyNumberFormat="1" applyFont="1" applyFill="1" applyBorder="1" applyAlignment="1" applyProtection="1">
      <alignment horizontal="center" wrapText="1"/>
      <protection locked="0"/>
    </xf>
    <xf numFmtId="1" fontId="64" fillId="4" borderId="0" xfId="67" applyNumberFormat="1" applyFont="1" applyFill="1" applyBorder="1" applyAlignment="1" applyProtection="1">
      <alignment horizontal="center" wrapText="1"/>
      <protection locked="0"/>
    </xf>
    <xf numFmtId="0" fontId="64" fillId="4" borderId="0" xfId="0" applyFont="1" applyFill="1" applyAlignment="1">
      <alignment horizontal="left" wrapText="1"/>
    </xf>
    <xf numFmtId="0" fontId="64" fillId="4" borderId="0" xfId="0" applyFont="1" applyFill="1" applyAlignment="1">
      <alignment wrapText="1"/>
    </xf>
    <xf numFmtId="0" fontId="27" fillId="4" borderId="0" xfId="8" applyAlignment="1">
      <alignment horizontal="left" vertical="center"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65"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5" fillId="12" borderId="2" xfId="15" applyFont="1">
      <alignment horizontal="center" vertical="center"/>
    </xf>
    <xf numFmtId="9" fontId="0" fillId="0" borderId="21" xfId="68" applyFont="1" applyFill="1" applyBorder="1" applyAlignment="1">
      <alignment horizontal="center" vertical="center" wrapText="1"/>
    </xf>
    <xf numFmtId="4" fontId="9" fillId="0" borderId="2" xfId="17" applyFont="1" applyAlignment="1">
      <alignment horizontal="center" vertical="center" wrapText="1"/>
    </xf>
    <xf numFmtId="0" fontId="30" fillId="13" borderId="22" xfId="39" applyBorder="1">
      <alignment horizontal="left" vertical="center"/>
    </xf>
    <xf numFmtId="0" fontId="30" fillId="13" borderId="0" xfId="39" applyBorder="1">
      <alignment horizontal="left" vertical="center"/>
    </xf>
    <xf numFmtId="0" fontId="30" fillId="13" borderId="23" xfId="39" applyBorder="1">
      <alignment horizontal="left" vertical="center"/>
    </xf>
    <xf numFmtId="0" fontId="0" fillId="0" borderId="0" xfId="0" applyAlignment="1">
      <alignment wrapText="1"/>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6" fillId="4" borderId="0" xfId="12" applyAlignment="1">
      <alignment horizontal="center" vertical="center"/>
    </xf>
    <xf numFmtId="0" fontId="23" fillId="4" borderId="19" xfId="52" applyBorder="1">
      <alignment horizontal="center" vertical="center"/>
    </xf>
    <xf numFmtId="174" fontId="23" fillId="4" borderId="2" xfId="52" applyNumberFormat="1">
      <alignment horizontal="center" vertical="center"/>
    </xf>
    <xf numFmtId="0" fontId="5" fillId="2" borderId="0" xfId="1">
      <alignment horizontal="left" vertical="center" indent="1"/>
      <protection locked="0"/>
    </xf>
    <xf numFmtId="4" fontId="23" fillId="4" borderId="2" xfId="52" applyNumberFormat="1">
      <alignment horizontal="center" vertical="center"/>
    </xf>
    <xf numFmtId="9" fontId="23" fillId="4" borderId="2" xfId="52" applyNumberFormat="1">
      <alignment horizontal="center" vertical="center"/>
    </xf>
    <xf numFmtId="0" fontId="68" fillId="4" borderId="0" xfId="0" applyFont="1" applyFill="1"/>
    <xf numFmtId="0" fontId="6" fillId="4" borderId="1" xfId="12" applyBorder="1">
      <alignment horizontal="left" vertical="center" indent="1"/>
    </xf>
    <xf numFmtId="0" fontId="27" fillId="4" borderId="24" xfId="8" applyBorder="1">
      <alignment horizontal="left" vertical="center"/>
    </xf>
    <xf numFmtId="4" fontId="23" fillId="4" borderId="2" xfId="46">
      <alignment horizontal="center" vertical="center"/>
    </xf>
    <xf numFmtId="0" fontId="53" fillId="4" borderId="1" xfId="12" applyFont="1" applyBorder="1">
      <alignment horizontal="left" vertical="center" indent="1"/>
    </xf>
    <xf numFmtId="0" fontId="5" fillId="2" borderId="0" xfId="9" applyAlignment="1">
      <alignment horizontal="center" vertical="center" wrapText="1"/>
    </xf>
    <xf numFmtId="0" fontId="27" fillId="4" borderId="25" xfId="8" applyBorder="1">
      <alignment horizontal="left" vertical="center"/>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2" fillId="0" borderId="2" xfId="17">
      <alignment horizontal="center" vertical="center"/>
    </xf>
    <xf numFmtId="166" fontId="23" fillId="4" borderId="2" xfId="45">
      <alignment horizontal="center" vertical="center"/>
    </xf>
    <xf numFmtId="175" fontId="0" fillId="0" borderId="0" xfId="8" applyNumberFormat="1" applyFont="1" applyFill="1">
      <alignment horizontal="left" vertical="center"/>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9" fontId="23" fillId="4" borderId="2" xfId="63" applyNumberFormat="1">
      <alignment horizontal="left" vertical="center"/>
    </xf>
    <xf numFmtId="0" fontId="69"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26" fillId="4" borderId="0" xfId="48" applyAlignment="1">
      <alignment horizontal="left" vertical="center"/>
    </xf>
    <xf numFmtId="176" fontId="70"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6" fontId="70"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6" xfId="52" applyBorder="1">
      <alignment horizontal="center" vertical="center"/>
    </xf>
    <xf numFmtId="0" fontId="23" fillId="4" borderId="27" xfId="52" applyBorder="1">
      <alignment horizontal="center" vertical="center"/>
    </xf>
    <xf numFmtId="4" fontId="23" fillId="4" borderId="26" xfId="46" applyBorder="1">
      <alignment horizontal="center" vertical="center"/>
    </xf>
    <xf numFmtId="4" fontId="23" fillId="4" borderId="28" xfId="46" applyBorder="1">
      <alignment horizontal="center" vertical="center"/>
    </xf>
    <xf numFmtId="176" fontId="70" fillId="4" borderId="28" xfId="52" applyNumberFormat="1" applyFont="1" applyBorder="1">
      <alignment horizontal="center" vertical="center"/>
    </xf>
    <xf numFmtId="176" fontId="70" fillId="4" borderId="26" xfId="52" applyNumberFormat="1" applyFont="1" applyBorder="1">
      <alignment horizontal="center" vertical="center"/>
    </xf>
    <xf numFmtId="0" fontId="23" fillId="4" borderId="28" xfId="52" applyBorder="1">
      <alignment horizontal="center" vertical="center"/>
    </xf>
    <xf numFmtId="0" fontId="70" fillId="4" borderId="28" xfId="52" applyFont="1" applyBorder="1">
      <alignment horizontal="center" vertical="center"/>
    </xf>
    <xf numFmtId="0" fontId="3" fillId="4" borderId="25" xfId="7" applyBorder="1">
      <alignment horizontal="left" vertical="center"/>
    </xf>
    <xf numFmtId="165" fontId="68" fillId="4" borderId="25" xfId="0" applyNumberFormat="1" applyFont="1" applyFill="1" applyBorder="1"/>
    <xf numFmtId="0" fontId="6" fillId="4" borderId="25" xfId="12" applyBorder="1">
      <alignment horizontal="left" vertical="center" indent="1"/>
    </xf>
    <xf numFmtId="168" fontId="68" fillId="4" borderId="0" xfId="0" applyNumberFormat="1" applyFont="1" applyFill="1" applyAlignment="1">
      <alignment vertical="center"/>
    </xf>
    <xf numFmtId="165" fontId="68" fillId="4" borderId="25" xfId="0" applyNumberFormat="1" applyFont="1" applyFill="1" applyBorder="1" applyAlignment="1">
      <alignment vertical="center"/>
    </xf>
    <xf numFmtId="0" fontId="68" fillId="4" borderId="0" xfId="0" applyFont="1" applyFill="1" applyAlignment="1">
      <alignment vertical="center"/>
    </xf>
    <xf numFmtId="165" fontId="71" fillId="4" borderId="25" xfId="0" applyNumberFormat="1" applyFont="1" applyFill="1" applyBorder="1" applyAlignment="1">
      <alignment vertical="center"/>
    </xf>
    <xf numFmtId="168" fontId="70" fillId="4" borderId="2" xfId="46" applyNumberFormat="1" applyFont="1">
      <alignment horizontal="center" vertical="center"/>
    </xf>
    <xf numFmtId="168" fontId="70" fillId="4" borderId="17" xfId="46" applyNumberFormat="1" applyFont="1" applyBorder="1">
      <alignment horizontal="center" vertical="center"/>
    </xf>
    <xf numFmtId="168" fontId="70" fillId="4" borderId="28" xfId="46" applyNumberFormat="1" applyFont="1" applyBorder="1">
      <alignment horizontal="center" vertical="center"/>
    </xf>
    <xf numFmtId="0" fontId="69" fillId="0" borderId="0" xfId="0" applyFont="1" applyAlignment="1">
      <alignment vertical="center" wrapText="1"/>
    </xf>
    <xf numFmtId="0" fontId="69" fillId="0" borderId="0" xfId="0" applyFont="1" applyAlignment="1">
      <alignment horizontal="left" vertical="center"/>
    </xf>
    <xf numFmtId="0" fontId="69"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9" fillId="4" borderId="0" xfId="0" applyFont="1" applyFill="1" applyAlignment="1">
      <alignment horizontal="left" vertical="center"/>
    </xf>
    <xf numFmtId="0" fontId="40" fillId="4" borderId="0" xfId="8" applyFont="1" applyAlignment="1">
      <alignment horizontal="right" vertical="center"/>
    </xf>
    <xf numFmtId="0" fontId="72" fillId="4" borderId="0" xfId="0" applyFont="1" applyFill="1"/>
    <xf numFmtId="0" fontId="69" fillId="0" borderId="0" xfId="0" applyFont="1"/>
    <xf numFmtId="0" fontId="69" fillId="0" borderId="0" xfId="7" applyFont="1" applyFill="1">
      <alignment horizontal="left" vertical="center"/>
    </xf>
    <xf numFmtId="0" fontId="69" fillId="4" borderId="0" xfId="0" applyFont="1" applyFill="1"/>
    <xf numFmtId="0" fontId="69" fillId="4" borderId="0" xfId="7" applyFont="1">
      <alignment horizontal="left" vertical="center"/>
    </xf>
    <xf numFmtId="0" fontId="2" fillId="0" borderId="17" xfId="56" applyBorder="1">
      <alignment horizontal="center" vertical="center"/>
    </xf>
    <xf numFmtId="0" fontId="9" fillId="4" borderId="0" xfId="55" applyFill="1"/>
    <xf numFmtId="0" fontId="70" fillId="4" borderId="2" xfId="52" applyFont="1">
      <alignment horizontal="center" vertical="center"/>
    </xf>
    <xf numFmtId="0" fontId="0" fillId="0" borderId="0" xfId="55" applyFont="1" applyAlignment="1">
      <alignment vertical="center"/>
    </xf>
    <xf numFmtId="0" fontId="0" fillId="0" borderId="0" xfId="55" applyFont="1"/>
    <xf numFmtId="0" fontId="9" fillId="4" borderId="1" xfId="55" applyFill="1" applyBorder="1"/>
    <xf numFmtId="0" fontId="63" fillId="0" borderId="0" xfId="8" applyFont="1" applyFill="1">
      <alignment horizontal="left" vertical="center"/>
    </xf>
    <xf numFmtId="0" fontId="30" fillId="13" borderId="11" xfId="39" quotePrefix="1" applyBorder="1">
      <alignment horizontal="left" vertical="center"/>
    </xf>
    <xf numFmtId="0" fontId="0" fillId="4" borderId="1" xfId="0" applyFill="1" applyBorder="1"/>
    <xf numFmtId="0" fontId="0" fillId="4" borderId="0" xfId="0" quotePrefix="1" applyFill="1"/>
    <xf numFmtId="0" fontId="73" fillId="4" borderId="1" xfId="0" applyFont="1" applyFill="1" applyBorder="1"/>
    <xf numFmtId="0" fontId="75" fillId="4" borderId="1" xfId="0" applyFont="1" applyFill="1" applyBorder="1"/>
    <xf numFmtId="0" fontId="45" fillId="0" borderId="0" xfId="0" applyFont="1"/>
    <xf numFmtId="0" fontId="76" fillId="4" borderId="0" xfId="70" applyFill="1"/>
    <xf numFmtId="0" fontId="0" fillId="0" borderId="0" xfId="8" applyFont="1" applyFill="1" applyAlignment="1">
      <alignment horizontal="left" vertical="center" wrapText="1"/>
    </xf>
    <xf numFmtId="0" fontId="76" fillId="0" borderId="0" xfId="70"/>
    <xf numFmtId="0" fontId="0" fillId="0" borderId="0" xfId="29" applyFont="1" applyFill="1" applyProtection="1">
      <alignment horizontal="center" vertical="center"/>
    </xf>
    <xf numFmtId="0" fontId="77" fillId="4" borderId="0" xfId="71">
      <alignment horizontal="left" vertical="center"/>
    </xf>
    <xf numFmtId="0" fontId="30" fillId="13" borderId="29" xfId="39" applyBorder="1">
      <alignment horizontal="left" vertical="center"/>
    </xf>
    <xf numFmtId="0" fontId="0" fillId="0" borderId="0" xfId="14" applyFont="1" applyBorder="1">
      <alignment horizontal="center" vertical="center"/>
    </xf>
    <xf numFmtId="4" fontId="0" fillId="0" borderId="0" xfId="17" applyFont="1" applyBorder="1">
      <alignment horizontal="center" vertical="center"/>
    </xf>
    <xf numFmtId="0" fontId="64" fillId="4" borderId="0" xfId="70" applyFont="1" applyFill="1" applyAlignment="1" applyProtection="1">
      <alignment horizontal="center"/>
      <protection locked="0"/>
    </xf>
    <xf numFmtId="0" fontId="64" fillId="4" borderId="0" xfId="70" applyFont="1" applyFill="1" applyAlignment="1">
      <alignment horizontal="center" vertical="center"/>
    </xf>
    <xf numFmtId="0" fontId="0" fillId="0" borderId="0" xfId="17" applyNumberFormat="1" applyFont="1" applyBorder="1">
      <alignment horizontal="center" vertical="center"/>
    </xf>
    <xf numFmtId="0" fontId="3" fillId="12" borderId="17" xfId="15" applyBorder="1" applyAlignment="1">
      <alignment horizontal="center" vertical="center" wrapText="1"/>
    </xf>
    <xf numFmtId="0" fontId="38" fillId="17" borderId="2" xfId="72">
      <alignment horizontal="center" vertical="center"/>
    </xf>
    <xf numFmtId="0" fontId="63" fillId="6" borderId="0" xfId="8" applyFont="1" applyFill="1">
      <alignment horizontal="left" vertical="center"/>
    </xf>
    <xf numFmtId="49" fontId="23" fillId="4" borderId="2" xfId="52" applyNumberFormat="1">
      <alignment horizontal="center" vertical="center"/>
    </xf>
    <xf numFmtId="0" fontId="80"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xf numFmtId="11" fontId="0" fillId="0" borderId="0" xfId="0" applyNumberFormat="1" applyAlignment="1">
      <alignment vertical="center"/>
    </xf>
  </cellXfs>
  <cellStyles count="73">
    <cellStyle name="Alert" xfId="59" xr:uid="{34EFE908-8095-4010-8F93-8CFE88055637}"/>
    <cellStyle name="Arguments" xfId="63" xr:uid="{D74147AB-B374-43DE-928A-C20FDAA7023A}"/>
    <cellStyle name="Arguments hyperlink" xfId="62" xr:uid="{E9A63CA8-EB4E-4FD6-930A-AD1711340AFB}"/>
    <cellStyle name="Back to top link" xfId="69" xr:uid="{2FE4DE7E-B736-4270-A46B-3517BB04E314}"/>
    <cellStyle name="Block heading" xfId="5" xr:uid="{74527274-3B4A-494A-B37C-EA50686E114C}"/>
    <cellStyle name="Block subheading" xfId="47" xr:uid="{34E62905-A3E0-4883-B81A-BDB58FC88DA7}"/>
    <cellStyle name="Block subheading 2" xfId="71" xr:uid="{FD9BF6E6-55E8-4381-9D9B-704330675552}"/>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70" xr:uid="{98AFD422-FF81-4D2C-ADBC-60E96C82AB39}"/>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2" xr:uid="{6284821E-89CC-4557-8151-436D21FD83C8}"/>
    <cellStyle name="Variable type other" xfId="64" xr:uid="{105BD9DE-B567-4DA0-87E6-C60A0ECC1C65}"/>
  </cellStyles>
  <dxfs count="477">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i val="0"/>
        <strike val="0"/>
        <condense val="0"/>
        <extend val="0"/>
        <outline val="0"/>
        <shadow val="0"/>
        <u val="none"/>
        <vertAlign val="baseline"/>
        <sz val="10"/>
        <color theme="1"/>
        <name val="Arial"/>
        <family val="1"/>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5" formatCode="[$-C09]d\ mmmm\ yyyy;@"/>
    </dxf>
    <dxf>
      <numFmt numFmtId="175"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numFmt numFmtId="170" formatCode="[$-F800]dddd\,\ mmmm\ dd\,\ 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76"/>
      <tableStyleElement type="headerRow" dxfId="475"/>
      <tableStyleElement type="totalRow" dxfId="474"/>
      <tableStyleElement type="firstColumn" dxfId="473"/>
      <tableStyleElement type="firstRowStripe" dxfId="472"/>
      <tableStyleElement type="secondRowStripe" dxfId="471"/>
    </tableStyle>
    <tableStyle name="Equation table" pivot="0" count="6" xr9:uid="{B247698E-E41D-4CCD-AA0A-C14817E9DE65}">
      <tableStyleElement type="wholeTable" dxfId="470"/>
      <tableStyleElement type="headerRow" dxfId="469"/>
      <tableStyleElement type="totalRow" dxfId="468"/>
      <tableStyleElement type="firstColumn" dxfId="467"/>
      <tableStyleElement type="firstRowStripe" dxfId="466"/>
      <tableStyleElement type="secondRowStripe" dxfId="465"/>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22/10/relationships/richValueRel" Target="richData/richValueRel.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0-227B-45F3-B52E-695A15E52E1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1-227B-45F3-B52E-695A15E52E1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2-227B-45F3-B52E-695A15E52E19}"/>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3-227B-45F3-B52E-695A15E52E19}"/>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4-227B-45F3-B52E-695A15E52E19}"/>
              </c:ext>
            </c:extLst>
          </c:dPt>
          <c:dPt>
            <c:idx val="5"/>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227B-45F3-B52E-695A15E52E19}"/>
              </c:ext>
            </c:extLst>
          </c:dPt>
          <c:dPt>
            <c:idx val="6"/>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6-227B-45F3-B52E-695A15E52E19}"/>
              </c:ext>
            </c:extLst>
          </c:dPt>
          <c:dPt>
            <c:idx val="7"/>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7-227B-45F3-B52E-695A15E52E19}"/>
              </c:ext>
            </c:extLst>
          </c:dPt>
          <c:dPt>
            <c:idx val="8"/>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8-227B-45F3-B52E-695A15E52E19}"/>
              </c:ext>
            </c:extLst>
          </c:dPt>
          <c:dPt>
            <c:idx val="9"/>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227B-45F3-B52E-695A15E52E19}"/>
              </c:ext>
            </c:extLst>
          </c:dPt>
          <c:dPt>
            <c:idx val="10"/>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A-227B-45F3-B52E-695A15E52E19}"/>
              </c:ext>
            </c:extLst>
          </c:dPt>
          <c:dPt>
            <c:idx val="11"/>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B-227B-45F3-B52E-695A15E52E19}"/>
              </c:ext>
            </c:extLst>
          </c:dPt>
          <c:dPt>
            <c:idx val="12"/>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C-227B-45F3-B52E-695A15E52E19}"/>
              </c:ext>
            </c:extLst>
          </c:dPt>
          <c:dPt>
            <c:idx val="13"/>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D-227B-45F3-B52E-695A15E52E19}"/>
              </c:ext>
            </c:extLst>
          </c:dPt>
          <c:dPt>
            <c:idx val="14"/>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E-227B-45F3-B52E-695A15E52E19}"/>
              </c:ext>
            </c:extLst>
          </c:dPt>
          <c:dPt>
            <c:idx val="15"/>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227B-45F3-B52E-695A15E52E19}"/>
              </c:ext>
            </c:extLst>
          </c:dPt>
          <c:dPt>
            <c:idx val="1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0-227B-45F3-B52E-695A15E52E19}"/>
              </c:ext>
            </c:extLst>
          </c:dPt>
          <c:dPt>
            <c:idx val="17"/>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1-227B-45F3-B52E-695A15E52E1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5-649C-4B5B-BB6E-AD84E28C25F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7-649C-4B5B-BB6E-AD84E28C25F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9-649C-4B5B-BB6E-AD84E28C25F1}"/>
              </c:ext>
            </c:extLst>
          </c:dPt>
          <c:dPt>
            <c:idx val="3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B-649C-4B5B-BB6E-AD84E28C25F1}"/>
              </c:ext>
            </c:extLst>
          </c:dPt>
          <c:cat>
            <c:strRef>
              <c:f>'Results - Activity period'!$D$10:$D$42</c:f>
              <c:strCache>
                <c:ptCount val="33"/>
                <c:pt idx="0">
                  <c:v>3.3.1.1-2 Enteric methane</c:v>
                </c:pt>
                <c:pt idx="1">
                  <c:v>4.3.1.1-2 Manure methane</c:v>
                </c:pt>
                <c:pt idx="2">
                  <c:v>4.3.1.3-4 Manure direct N2O</c:v>
                </c:pt>
                <c:pt idx="3">
                  <c:v>4.3.1.5 Manure atmospheric deposition</c:v>
                </c:pt>
                <c:pt idx="4">
                  <c:v>4.3.1.6-7 Manure leaching and runoff</c:v>
                </c:pt>
                <c:pt idx="5">
                  <c:v>4.3.1.9 Soil direct N2O</c:v>
                </c:pt>
                <c:pt idx="6">
                  <c:v>4.3.1.10-11 Soil atmospheric deposition</c:v>
                </c:pt>
                <c:pt idx="7">
                  <c:v>4.3.1.12-13 Soil leaching and runoff</c:v>
                </c:pt>
                <c:pt idx="8">
                  <c:v>5.1.1.1-2 Inorganic fert N2O</c:v>
                </c:pt>
                <c:pt idx="9">
                  <c:v>5.1.1.3-4 Inorganic fert CO2</c:v>
                </c:pt>
                <c:pt idx="10">
                  <c:v>5.2.1.1-2 Organic fert N2O</c:v>
                </c:pt>
                <c:pt idx="11">
                  <c:v>5.3.1.1-2 Lime CO2</c:v>
                </c:pt>
                <c:pt idx="12">
                  <c:v>5.4.1.1-4 Atmos. deposition</c:v>
                </c:pt>
                <c:pt idx="13">
                  <c:v>5.5.1.1-2 Leaching &amp; runoff</c:v>
                </c:pt>
                <c:pt idx="14">
                  <c:v>6.2.1.1-2 Pasture residue N2O</c:v>
                </c:pt>
                <c:pt idx="15">
                  <c:v>6.3.1.1-2 Leach &amp; runoff (pasture)</c:v>
                </c:pt>
                <c:pt idx="16">
                  <c:v>8.1.1.1-2 Transport fuel CO2</c:v>
                </c:pt>
                <c:pt idx="17">
                  <c:v>8.1.1.1-2 Transport fuel CH4</c:v>
                </c:pt>
                <c:pt idx="18">
                  <c:v>8.1.1.1-2 Transport fuel N2O</c:v>
                </c:pt>
                <c:pt idx="19">
                  <c:v>8.2.1.1-2 Stationary fuel CO2</c:v>
                </c:pt>
                <c:pt idx="20">
                  <c:v>8.2.1.1-2 Stationary fuel CH4</c:v>
                </c:pt>
                <c:pt idx="21">
                  <c:v>8.2.1.1-2 Stationary fuel N2O</c:v>
                </c:pt>
                <c:pt idx="22">
                  <c:v>9.1.1.1-2 Refrigerant leakage - Gas 1</c:v>
                </c:pt>
                <c:pt idx="23">
                  <c:v>9.1.1.1-2 Refrigerant leakage - Gas 2</c:v>
                </c:pt>
                <c:pt idx="24">
                  <c:v>9.1.1.1-2 Refrigerant leakage - Gas 3</c:v>
                </c:pt>
                <c:pt idx="25">
                  <c:v>9.1.1.1-2 Refrigerant leakage - Gas 4</c:v>
                </c:pt>
                <c:pt idx="26">
                  <c:v>9.1.1.1-2 Refrigerant leakage - Gas 5</c:v>
                </c:pt>
                <c:pt idx="27">
                  <c:v>9.1.1.1-2 Refrigerant leakage - Gas 6</c:v>
                </c:pt>
                <c:pt idx="28">
                  <c:v>9.1.1.1-2 Refrigerant leakage - Gas 7</c:v>
                </c:pt>
                <c:pt idx="29">
                  <c:v>9.1.1.1-2 Refrigerant leakage - Gas 8</c:v>
                </c:pt>
                <c:pt idx="30">
                  <c:v>9.1.1.1-2 Refrigerant leakage - Gas 9</c:v>
                </c:pt>
                <c:pt idx="31">
                  <c:v>9.1.1.1-2 Refrigerant leakage - Gas 10</c:v>
                </c:pt>
                <c:pt idx="32">
                  <c:v>10.1.1-2 Solid waste treatment</c:v>
                </c:pt>
              </c:strCache>
            </c:strRef>
          </c:cat>
          <c:val>
            <c:numRef>
              <c:f>'Results - Activity period'!$I$10:$I$42</c:f>
              <c:numCache>
                <c:formatCode>General</c:formatCode>
                <c:ptCount val="33"/>
                <c:pt idx="0">
                  <c:v>909.01111515171999</c:v>
                </c:pt>
                <c:pt idx="1">
                  <c:v>297.9397859949857</c:v>
                </c:pt>
                <c:pt idx="2">
                  <c:v>15.628540852948646</c:v>
                </c:pt>
                <c:pt idx="3">
                  <c:v>12.53443459308008</c:v>
                </c:pt>
                <c:pt idx="4">
                  <c:v>0.68765579752974049</c:v>
                </c:pt>
                <c:pt idx="5">
                  <c:v>19.799859585942059</c:v>
                </c:pt>
                <c:pt idx="6">
                  <c:v>12.266013013491106</c:v>
                </c:pt>
                <c:pt idx="7">
                  <c:v>26.135814653443521</c:v>
                </c:pt>
                <c:pt idx="8">
                  <c:v>449.1879660714286</c:v>
                </c:pt>
                <c:pt idx="9">
                  <c:v>184.92752666666664</c:v>
                </c:pt>
                <c:pt idx="10">
                  <c:v>14.783214285714285</c:v>
                </c:pt>
                <c:pt idx="11">
                  <c:v>758.08333333333326</c:v>
                </c:pt>
                <c:pt idx="12">
                  <c:v>3.6632804999999999</c:v>
                </c:pt>
                <c:pt idx="13">
                  <c:v>208.79811197520002</c:v>
                </c:pt>
                <c:pt idx="14">
                  <c:v>1.545491357142857E-4</c:v>
                </c:pt>
                <c:pt idx="15">
                  <c:v>8.1601943657142831E-5</c:v>
                </c:pt>
                <c:pt idx="16">
                  <c:v>83.182000000000002</c:v>
                </c:pt>
                <c:pt idx="17">
                  <c:v>5.5736800000000004</c:v>
                </c:pt>
                <c:pt idx="18">
                  <c:v>154.89250000000001</c:v>
                </c:pt>
                <c:pt idx="19">
                  <c:v>29.070800000000002</c:v>
                </c:pt>
                <c:pt idx="20">
                  <c:v>2.0272000000000001</c:v>
                </c:pt>
                <c:pt idx="21">
                  <c:v>18.921000000000003</c:v>
                </c:pt>
                <c:pt idx="22">
                  <c:v>1.1860424000000003</c:v>
                </c:pt>
                <c:pt idx="23">
                  <c:v>2.0794287500000004</c:v>
                </c:pt>
                <c:pt idx="24">
                  <c:v>70.007256000000027</c:v>
                </c:pt>
                <c:pt idx="25">
                  <c:v>34.780656319599998</c:v>
                </c:pt>
                <c:pt idx="26">
                  <c:v>0</c:v>
                </c:pt>
                <c:pt idx="27">
                  <c:v>0</c:v>
                </c:pt>
                <c:pt idx="28">
                  <c:v>0</c:v>
                </c:pt>
                <c:pt idx="29">
                  <c:v>0</c:v>
                </c:pt>
                <c:pt idx="30">
                  <c:v>0</c:v>
                </c:pt>
                <c:pt idx="31">
                  <c:v>0</c:v>
                </c:pt>
                <c:pt idx="32">
                  <c:v>438.82805000000002</c:v>
                </c:pt>
              </c:numCache>
            </c:numRef>
          </c:val>
          <c:extLst>
            <c:ext xmlns:c16="http://schemas.microsoft.com/office/drawing/2014/chart" uri="{C3380CC4-5D6E-409C-BE32-E72D297353CC}">
              <c16:uniqueId val="{00000013-227B-45F3-B52E-695A15E52E19}"/>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period'!$D$55:$D$70</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15.12.1.1 Purchased electricity (Location-based)</c:v>
                </c:pt>
                <c:pt idx="13">
                  <c:v>15.14.1.1 Incoming freight</c:v>
                </c:pt>
                <c:pt idx="14">
                  <c:v>15.13.1.1 Waste sent to treatment facility</c:v>
                </c:pt>
                <c:pt idx="15">
                  <c:v>15.14.1.1 Outgoing freight</c:v>
                </c:pt>
              </c:strCache>
            </c:strRef>
          </c:cat>
          <c:val>
            <c:numRef>
              <c:f>'Results - Activity period'!$I$55:$I$70</c:f>
              <c:numCache>
                <c:formatCode>General</c:formatCode>
                <c:ptCount val="16"/>
                <c:pt idx="0">
                  <c:v>415.625</c:v>
                </c:pt>
                <c:pt idx="1">
                  <c:v>0.52978000000000003</c:v>
                </c:pt>
                <c:pt idx="2">
                  <c:v>0.16</c:v>
                </c:pt>
                <c:pt idx="3">
                  <c:v>599.726</c:v>
                </c:pt>
                <c:pt idx="4">
                  <c:v>7.4959999999999996</c:v>
                </c:pt>
                <c:pt idx="5">
                  <c:v>0.14399999999999999</c:v>
                </c:pt>
                <c:pt idx="6">
                  <c:v>42</c:v>
                </c:pt>
                <c:pt idx="7">
                  <c:v>2.73</c:v>
                </c:pt>
                <c:pt idx="8">
                  <c:v>1.3400000000000002E-2</c:v>
                </c:pt>
                <c:pt idx="9">
                  <c:v>2.5860000000000001E-2</c:v>
                </c:pt>
                <c:pt idx="10">
                  <c:v>4000</c:v>
                </c:pt>
                <c:pt idx="11">
                  <c:v>26.794</c:v>
                </c:pt>
                <c:pt idx="12">
                  <c:v>2.7</c:v>
                </c:pt>
                <c:pt idx="13">
                  <c:v>5146700</c:v>
                </c:pt>
                <c:pt idx="14">
                  <c:v>441.15000000000003</c:v>
                </c:pt>
                <c:pt idx="15">
                  <c:v>432640</c:v>
                </c:pt>
              </c:numCache>
            </c:numRef>
          </c:val>
          <c:extLst>
            <c:ext xmlns:c16="http://schemas.microsoft.com/office/drawing/2014/chart" uri="{C3380CC4-5D6E-409C-BE32-E72D297353CC}">
              <c16:uniqueId val="{00000000-0F29-4E9C-9E7F-06D3C7CB3D31}"/>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chart" Target="../charts/chart3.xml"/><Relationship Id="rId5" Type="http://schemas.openxmlformats.org/officeDocument/2006/relationships/image" Target="../media/image4.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571500</xdr:colOff>
      <xdr:row>8</xdr:row>
      <xdr:rowOff>85725</xdr:rowOff>
    </xdr:from>
    <xdr:to>
      <xdr:col>15</xdr:col>
      <xdr:colOff>1600201</xdr:colOff>
      <xdr:row>40</xdr:row>
      <xdr:rowOff>171450</xdr:rowOff>
    </xdr:to>
    <xdr:graphicFrame macro="">
      <xdr:nvGraphicFramePr>
        <xdr:cNvPr id="2" name="Chart 1">
          <a:extLst>
            <a:ext uri="{FF2B5EF4-FFF2-40B4-BE49-F238E27FC236}">
              <a16:creationId xmlns:a16="http://schemas.microsoft.com/office/drawing/2014/main" id="{ED53CDE4-3247-4C93-861E-E7CBBFACF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400050</xdr:colOff>
      <xdr:row>54</xdr:row>
      <xdr:rowOff>57150</xdr:rowOff>
    </xdr:from>
    <xdr:to>
      <xdr:col>15</xdr:col>
      <xdr:colOff>1428751</xdr:colOff>
      <xdr:row>76</xdr:row>
      <xdr:rowOff>38100</xdr:rowOff>
    </xdr:to>
    <xdr:graphicFrame macro="">
      <xdr:nvGraphicFramePr>
        <xdr:cNvPr id="3" name="Chart 2">
          <a:extLst>
            <a:ext uri="{FF2B5EF4-FFF2-40B4-BE49-F238E27FC236}">
              <a16:creationId xmlns:a16="http://schemas.microsoft.com/office/drawing/2014/main" id="{FC666EB7-C8F0-4B4B-B0CA-6959176D0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BE232CA8-6F05-4062-8274-F6BE83123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78B0D3CB-BA4C-49D2-8AB5-FDA06BCA1A89}"/>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366.6141396</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B79AC6DC-1203-4AF1-A412-AEE4BCC48FB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564.1497335</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4">
      <xdr:nvSpPr>
        <xdr:cNvPr id="5" name="TextBox 4">
          <a:extLst>
            <a:ext uri="{FF2B5EF4-FFF2-40B4-BE49-F238E27FC236}">
              <a16:creationId xmlns:a16="http://schemas.microsoft.com/office/drawing/2014/main" id="{8606D01F-4738-4521-B74D-63263D45F688}"/>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536.1301987</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4">
      <xdr:nvSpPr>
        <xdr:cNvPr id="6" name="TextBox 5">
          <a:extLst>
            <a:ext uri="{FF2B5EF4-FFF2-40B4-BE49-F238E27FC236}">
              <a16:creationId xmlns:a16="http://schemas.microsoft.com/office/drawing/2014/main" id="{4E5E4FC2-3E1B-409E-9125-222B728CB256}"/>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825.0028463</a:t>
          </a:fld>
          <a:endParaRPr lang="en-AU" sz="2600" b="1" i="0" u="none" strike="noStrike">
            <a:solidFill>
              <a:srgbClr val="4F4789"/>
            </a:solidFill>
            <a:latin typeface="Arial"/>
            <a:ea typeface="+mn-ea"/>
            <a:cs typeface="Arial"/>
          </a:endParaRPr>
        </a:p>
      </xdr:txBody>
    </xdr:sp>
    <xdr:clientData/>
  </xdr:twoCellAnchor>
  <xdr:twoCellAnchor>
    <xdr:from>
      <xdr:col>3</xdr:col>
      <xdr:colOff>2352115</xdr:colOff>
      <xdr:row>14</xdr:row>
      <xdr:rowOff>42582</xdr:rowOff>
    </xdr:from>
    <xdr:to>
      <xdr:col>4</xdr:col>
      <xdr:colOff>1256740</xdr:colOff>
      <xdr:row>16</xdr:row>
      <xdr:rowOff>154080</xdr:rowOff>
    </xdr:to>
    <xdr:sp macro="" textlink="$H$45">
      <xdr:nvSpPr>
        <xdr:cNvPr id="7" name="TextBox 6">
          <a:extLst>
            <a:ext uri="{FF2B5EF4-FFF2-40B4-BE49-F238E27FC236}">
              <a16:creationId xmlns:a16="http://schemas.microsoft.com/office/drawing/2014/main" id="{C4E923B1-3F7C-4408-AD1D-A000198E4E7D}"/>
            </a:ext>
          </a:extLst>
        </xdr:cNvPr>
        <xdr:cNvSpPr txBox="1"/>
      </xdr:nvSpPr>
      <xdr:spPr>
        <a:xfrm>
          <a:off x="5028640" y="3643032"/>
          <a:ext cx="2486025" cy="606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366.6141396</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3A3C8740-AD3E-4747-B1C2-090EFB174033}"/>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564.1497335</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8D698C23-A440-44D6-A7A6-A5156D304D67}"/>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F98F9FF4-5CB1-42A3-B4EF-6EFDBA9EDACF}"/>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A8F458F7-D36B-4180-9607-A56BBD8611B7}"/>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2D565D1A-AD43-488B-AD2B-4750EF75FBFF}"/>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0D9F4D46-A489-4DC2-A877-89E77C038142}"/>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64EA25F-A54A-41DB-B5EE-347FFC975000}"/>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D1330543-EAA9-429E-96B9-1D38E776272C}"/>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40D8909C-9A30-4D51-AE86-D78FECC4CCD5}"/>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2906587F-0EE4-4B86-B4AC-EDFECE39F252}"/>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D58C6125-361D-422A-8EDB-F0E2CECD4B9E}"/>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03DA92B1-C429-48F4-9458-6C91E93C5E37}"/>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B6B09905-CB21-4518-9846-CBCE010398FE}"/>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81A42E93-BE91-4128-BBAA-459E6DA89607}"/>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641988" cy="254493"/>
    <xdr:sp macro="" textlink="">
      <xdr:nvSpPr>
        <xdr:cNvPr id="22" name="TextBox 21">
          <a:extLst>
            <a:ext uri="{FF2B5EF4-FFF2-40B4-BE49-F238E27FC236}">
              <a16:creationId xmlns:a16="http://schemas.microsoft.com/office/drawing/2014/main" id="{7845BEA1-E468-4A60-8EB3-46836D53964C}"/>
            </a:ext>
          </a:extLst>
        </xdr:cNvPr>
        <xdr:cNvSpPr txBox="1"/>
      </xdr:nvSpPr>
      <xdr:spPr>
        <a:xfrm>
          <a:off x="2686050" y="4145056"/>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8AA9119C-2A3A-4AC0-9558-9CADB28E1D59}"/>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8D64E034-B0D2-4A8E-ADA8-44431DC4E0C5}"/>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35144003-582E-4774-8D3E-CD478B4A4459}"/>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22C9F784-E8E8-4377-87AC-2F4B911997E6}"/>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07D7150C-4955-44CD-9F64-B65C25394D35}"/>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DBF57A93-D5E3-4AD1-84FE-5F5F173F1C47}"/>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9B909584-D1D3-48E3-B164-7CA41F1E8361}"/>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641988" cy="254493"/>
    <xdr:sp macro="" textlink="">
      <xdr:nvSpPr>
        <xdr:cNvPr id="30" name="TextBox 29">
          <a:extLst>
            <a:ext uri="{FF2B5EF4-FFF2-40B4-BE49-F238E27FC236}">
              <a16:creationId xmlns:a16="http://schemas.microsoft.com/office/drawing/2014/main" id="{74E84307-1461-4D97-A9BB-C6242587B450}"/>
            </a:ext>
          </a:extLst>
        </xdr:cNvPr>
        <xdr:cNvSpPr txBox="1"/>
      </xdr:nvSpPr>
      <xdr:spPr>
        <a:xfrm>
          <a:off x="5009590" y="4145056"/>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641988" cy="254493"/>
    <xdr:sp macro="" textlink="">
      <xdr:nvSpPr>
        <xdr:cNvPr id="31" name="TextBox 30">
          <a:extLst>
            <a:ext uri="{FF2B5EF4-FFF2-40B4-BE49-F238E27FC236}">
              <a16:creationId xmlns:a16="http://schemas.microsoft.com/office/drawing/2014/main" id="{B1B70FF3-9F14-49FB-B374-784B2F16D448}"/>
            </a:ext>
          </a:extLst>
        </xdr:cNvPr>
        <xdr:cNvSpPr txBox="1"/>
      </xdr:nvSpPr>
      <xdr:spPr>
        <a:xfrm>
          <a:off x="8486214" y="4145056"/>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641988" cy="254493"/>
    <xdr:sp macro="" textlink="">
      <xdr:nvSpPr>
        <xdr:cNvPr id="32" name="TextBox 31">
          <a:extLst>
            <a:ext uri="{FF2B5EF4-FFF2-40B4-BE49-F238E27FC236}">
              <a16:creationId xmlns:a16="http://schemas.microsoft.com/office/drawing/2014/main" id="{C245D905-3AF6-4459-AE06-18CCCC382746}"/>
            </a:ext>
          </a:extLst>
        </xdr:cNvPr>
        <xdr:cNvSpPr txBox="1"/>
      </xdr:nvSpPr>
      <xdr:spPr>
        <a:xfrm>
          <a:off x="10971119" y="4145056"/>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641988" cy="254493"/>
    <xdr:sp macro="" textlink="">
      <xdr:nvSpPr>
        <xdr:cNvPr id="33" name="TextBox 32">
          <a:extLst>
            <a:ext uri="{FF2B5EF4-FFF2-40B4-BE49-F238E27FC236}">
              <a16:creationId xmlns:a16="http://schemas.microsoft.com/office/drawing/2014/main" id="{3F6A1A88-4FA8-4872-8AAB-BA4222F619B3}"/>
            </a:ext>
          </a:extLst>
        </xdr:cNvPr>
        <xdr:cNvSpPr txBox="1"/>
      </xdr:nvSpPr>
      <xdr:spPr>
        <a:xfrm>
          <a:off x="2686050" y="7106210"/>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641988" cy="254493"/>
    <xdr:sp macro="" textlink="">
      <xdr:nvSpPr>
        <xdr:cNvPr id="34" name="TextBox 33">
          <a:extLst>
            <a:ext uri="{FF2B5EF4-FFF2-40B4-BE49-F238E27FC236}">
              <a16:creationId xmlns:a16="http://schemas.microsoft.com/office/drawing/2014/main" id="{CFF100AC-8D9F-4845-80C9-97ED083ACEB1}"/>
            </a:ext>
          </a:extLst>
        </xdr:cNvPr>
        <xdr:cNvSpPr txBox="1"/>
      </xdr:nvSpPr>
      <xdr:spPr>
        <a:xfrm>
          <a:off x="5019115" y="7106210"/>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641988" cy="254493"/>
    <xdr:sp macro="" textlink="">
      <xdr:nvSpPr>
        <xdr:cNvPr id="35" name="TextBox 34">
          <a:extLst>
            <a:ext uri="{FF2B5EF4-FFF2-40B4-BE49-F238E27FC236}">
              <a16:creationId xmlns:a16="http://schemas.microsoft.com/office/drawing/2014/main" id="{0FAE8ED8-FA5A-400C-9BC4-6689D2F1CA82}"/>
            </a:ext>
          </a:extLst>
        </xdr:cNvPr>
        <xdr:cNvSpPr txBox="1"/>
      </xdr:nvSpPr>
      <xdr:spPr>
        <a:xfrm>
          <a:off x="8486214" y="7106210"/>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641988" cy="254493"/>
    <xdr:sp macro="" textlink="">
      <xdr:nvSpPr>
        <xdr:cNvPr id="36" name="TextBox 35">
          <a:extLst>
            <a:ext uri="{FF2B5EF4-FFF2-40B4-BE49-F238E27FC236}">
              <a16:creationId xmlns:a16="http://schemas.microsoft.com/office/drawing/2014/main" id="{BE161644-3676-4831-B2F1-BDCB060BC5A8}"/>
            </a:ext>
          </a:extLst>
        </xdr:cNvPr>
        <xdr:cNvSpPr txBox="1"/>
      </xdr:nvSpPr>
      <xdr:spPr>
        <a:xfrm>
          <a:off x="10971119" y="7106210"/>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5">
      <xdr:nvSpPr>
        <xdr:cNvPr id="37" name="TextBox 36">
          <a:extLst>
            <a:ext uri="{FF2B5EF4-FFF2-40B4-BE49-F238E27FC236}">
              <a16:creationId xmlns:a16="http://schemas.microsoft.com/office/drawing/2014/main" id="{E2794362-FD00-4B0E-8CCC-73C4691E02BC}"/>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536.1301987</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5">
      <xdr:nvSpPr>
        <xdr:cNvPr id="38" name="TextBox 37">
          <a:extLst>
            <a:ext uri="{FF2B5EF4-FFF2-40B4-BE49-F238E27FC236}">
              <a16:creationId xmlns:a16="http://schemas.microsoft.com/office/drawing/2014/main" id="{D20C5A59-6475-4866-9AF4-C4CB44B06895}"/>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825.0028463</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30B44379-00BA-40AB-9D25-A93340A53236}"/>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366.6141396</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B40A6A85-0C67-445A-BE0B-D8EC55AB578A}"/>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564.1497335</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87672113-DEF9-43EF-B481-26CA4A855BF9}"/>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04829A4-655E-4A93-964B-29A986B4CF47}" type="TxLink">
            <a:rPr lang="en-US" sz="2600" b="1" i="0" u="none" strike="noStrike">
              <a:solidFill>
                <a:srgbClr val="4F4789"/>
              </a:solidFill>
              <a:latin typeface="Arial"/>
              <a:ea typeface="+mn-ea"/>
              <a:cs typeface="Arial"/>
            </a:rPr>
            <a:pPr marL="0" indent="0"/>
            <a:t>151.1686111</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41D3BB0D-B017-4934-86D6-FFC93C0AD3FC}"/>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BBBCB15-12D1-4F38-83A0-0D71BCF1AE39}" type="TxLink">
            <a:rPr lang="en-US" sz="2600" b="1" i="0" u="none" strike="noStrike">
              <a:solidFill>
                <a:srgbClr val="4F4789"/>
              </a:solidFill>
              <a:latin typeface="Arial"/>
              <a:ea typeface="+mn-ea"/>
              <a:cs typeface="Arial"/>
            </a:rPr>
            <a:pPr marL="0" indent="0"/>
            <a:t>232.6198651</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51EF60C6-ED4F-40AB-A1E7-D320FE1526D8}"/>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366.61413960640</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93E7B2ED-53E2-4F5D-AE47-CDF5229A23F4}"/>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564.14973346537</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119FC38-7A77-48C8-9A9E-51739ECFCE68}"/>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A0D87528-A936-4C70-B734-8806D5941F90}"/>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BBAA6DE7-AA21-4A37-A377-7C16A05149A8}"/>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A12A3AE8-8EAC-43D5-82A3-214395B77E1C}"/>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149030</xdr:rowOff>
    </xdr:from>
    <xdr:to>
      <xdr:col>13</xdr:col>
      <xdr:colOff>1152525</xdr:colOff>
      <xdr:row>10</xdr:row>
      <xdr:rowOff>162485</xdr:rowOff>
    </xdr:to>
    <xdr:cxnSp macro="">
      <xdr:nvCxnSpPr>
        <xdr:cNvPr id="49" name="Straight Connector 48">
          <a:extLst>
            <a:ext uri="{FF2B5EF4-FFF2-40B4-BE49-F238E27FC236}">
              <a16:creationId xmlns:a16="http://schemas.microsoft.com/office/drawing/2014/main" id="{C6AD53B5-0EBC-4D2B-AC1A-8ADAABE52B72}"/>
            </a:ext>
          </a:extLst>
        </xdr:cNvPr>
        <xdr:cNvCxnSpPr/>
      </xdr:nvCxnSpPr>
      <xdr:spPr>
        <a:xfrm flipV="1">
          <a:off x="15116175" y="2758880"/>
          <a:ext cx="10725150" cy="1345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627282BF-3C86-4D34-BEFF-03C2F8DFAA65}"/>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622F2FF7-6F0F-4B7F-9322-2581A83B66EE}"/>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6260320-09A3-4A85-B538-03E1C8002E0E}"/>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6E93A7C8-1231-494D-A4B2-6435EE296095}"/>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13</xdr:col>
      <xdr:colOff>1114425</xdr:colOff>
      <xdr:row>12</xdr:row>
      <xdr:rowOff>73958</xdr:rowOff>
    </xdr:to>
    <xdr:cxnSp macro="">
      <xdr:nvCxnSpPr>
        <xdr:cNvPr id="54" name="Straight Connector 53">
          <a:extLst>
            <a:ext uri="{FF2B5EF4-FFF2-40B4-BE49-F238E27FC236}">
              <a16:creationId xmlns:a16="http://schemas.microsoft.com/office/drawing/2014/main" id="{A7ABEB87-732C-4110-9F49-635B9C930D9C}"/>
            </a:ext>
          </a:extLst>
        </xdr:cNvPr>
        <xdr:cNvCxnSpPr/>
      </xdr:nvCxnSpPr>
      <xdr:spPr>
        <a:xfrm>
          <a:off x="20749932" y="3179108"/>
          <a:ext cx="505329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7A9DFCD6-354F-4DC0-AC0C-79D0D8176EE0}"/>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DFE36D00-C565-40A3-853E-49D79A8B26D6}"/>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92AA1009-2D5B-4D65-AFB9-238713C7CDBB}"/>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383F350A-F491-4B1E-8F6C-D675C3A83E4E}"/>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7646FA67-4297-4372-B223-6BD542F21F60}"/>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44794</xdr:rowOff>
    </xdr:from>
    <xdr:to>
      <xdr:col>13</xdr:col>
      <xdr:colOff>1285875</xdr:colOff>
      <xdr:row>22</xdr:row>
      <xdr:rowOff>59951</xdr:rowOff>
    </xdr:to>
    <xdr:cxnSp macro="">
      <xdr:nvCxnSpPr>
        <xdr:cNvPr id="60" name="Straight Connector 59">
          <a:extLst>
            <a:ext uri="{FF2B5EF4-FFF2-40B4-BE49-F238E27FC236}">
              <a16:creationId xmlns:a16="http://schemas.microsoft.com/office/drawing/2014/main" id="{F41B62DE-975E-4D07-B304-F80B7633B754}"/>
            </a:ext>
          </a:extLst>
        </xdr:cNvPr>
        <xdr:cNvCxnSpPr/>
      </xdr:nvCxnSpPr>
      <xdr:spPr>
        <a:xfrm flipV="1">
          <a:off x="15116175" y="5626444"/>
          <a:ext cx="10858500" cy="15157"/>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9651F736-7D84-4B5E-85E0-567A855476CF}"/>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27674019-B56E-44A5-9E02-AD4A76367199}"/>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5EFDD5AC-6929-4EFA-B107-5A80D33BB742}"/>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13</xdr:col>
      <xdr:colOff>1323975</xdr:colOff>
      <xdr:row>23</xdr:row>
      <xdr:rowOff>168088</xdr:rowOff>
    </xdr:to>
    <xdr:cxnSp macro="">
      <xdr:nvCxnSpPr>
        <xdr:cNvPr id="64" name="Straight Connector 63">
          <a:extLst>
            <a:ext uri="{FF2B5EF4-FFF2-40B4-BE49-F238E27FC236}">
              <a16:creationId xmlns:a16="http://schemas.microsoft.com/office/drawing/2014/main" id="{FB61A9E9-8D02-4583-95EE-20CB78A3D6F2}"/>
            </a:ext>
          </a:extLst>
        </xdr:cNvPr>
        <xdr:cNvCxnSpPr/>
      </xdr:nvCxnSpPr>
      <xdr:spPr>
        <a:xfrm>
          <a:off x="20749932" y="5997388"/>
          <a:ext cx="526284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49D16235-366F-41AA-86CA-221B92F7E305}"/>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26A80387-390D-4364-A3D1-879279F6AB3E}"/>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03A9E52-D0BB-4B90-B515-4338C98F1A3A}"/>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A7154D4B-6532-4827-A858-06228134784A}"/>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5FC31ABD-E0E2-4051-9433-F568AF3A7F34}"/>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AAF44FA9-3B7E-4F00-A78C-61984CFA77C8}"/>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00FF77AD-FE62-4281-9EAB-92AE0B68F507}"/>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FDD776B0-6BD5-4A9C-A8F8-21088F62BA87}"/>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85047ED-CBF8-4719-9134-5BB20C92AD4F}" type="TxLink">
            <a:rPr lang="en-US" sz="2600" b="1" i="0" u="none" strike="noStrike">
              <a:solidFill>
                <a:srgbClr val="4F4789"/>
              </a:solidFill>
              <a:latin typeface="Arial"/>
              <a:ea typeface="+mn-ea"/>
              <a:cs typeface="Arial"/>
            </a:rPr>
            <a:pPr marL="0" indent="0"/>
            <a:t>151.1686111</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683A1B7D-E638-41A7-8E76-A98B56DAD3A6}"/>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B499BF7-EBD0-4E79-A816-6137BC9BCCC9}" type="TxLink">
            <a:rPr lang="en-US" sz="2600" b="1" i="0" u="none" strike="noStrike">
              <a:solidFill>
                <a:srgbClr val="4F4789"/>
              </a:solidFill>
              <a:latin typeface="Arial"/>
              <a:ea typeface="+mn-ea"/>
              <a:cs typeface="Arial"/>
            </a:rPr>
            <a:pPr marL="0" indent="0"/>
            <a:t>232.6198651</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704B110F-434F-48F6-9C99-23652D2F1A99}"/>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Milk sold</a:t>
          </a:r>
        </a:p>
      </xdr:txBody>
    </xdr:sp>
    <xdr:clientData/>
  </xdr:twoCellAnchor>
  <xdr:twoCellAnchor editAs="oneCell">
    <xdr:from>
      <xdr:col>3</xdr:col>
      <xdr:colOff>113741</xdr:colOff>
      <xdr:row>4</xdr:row>
      <xdr:rowOff>38099</xdr:rowOff>
    </xdr:from>
    <xdr:to>
      <xdr:col>3</xdr:col>
      <xdr:colOff>954995</xdr:colOff>
      <xdr:row>7</xdr:row>
      <xdr:rowOff>89088</xdr:rowOff>
    </xdr:to>
    <xdr:pic>
      <xdr:nvPicPr>
        <xdr:cNvPr id="75" name="Picture 74">
          <a:extLst>
            <a:ext uri="{FF2B5EF4-FFF2-40B4-BE49-F238E27FC236}">
              <a16:creationId xmlns:a16="http://schemas.microsoft.com/office/drawing/2014/main" id="{485FBA4E-4C13-4DC8-9363-BC4F7B4E12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5449" r="5449"/>
        <a:stretch/>
      </xdr:blipFill>
      <xdr:spPr>
        <a:xfrm>
          <a:off x="2790266" y="1162049"/>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80F76DBA-A216-4C00-9FE7-C57A9F30E72D}"/>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8</xdr:col>
      <xdr:colOff>660061</xdr:colOff>
      <xdr:row>4</xdr:row>
      <xdr:rowOff>0</xdr:rowOff>
    </xdr:from>
    <xdr:to>
      <xdr:col>8</xdr:col>
      <xdr:colOff>1587703</xdr:colOff>
      <xdr:row>7</xdr:row>
      <xdr:rowOff>136712</xdr:rowOff>
    </xdr:to>
    <xdr:pic>
      <xdr:nvPicPr>
        <xdr:cNvPr id="77" name="Picture 76">
          <a:extLst>
            <a:ext uri="{FF2B5EF4-FFF2-40B4-BE49-F238E27FC236}">
              <a16:creationId xmlns:a16="http://schemas.microsoft.com/office/drawing/2014/main" id="{FD1C4F22-2E79-4681-92AB-AFA0F61510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444" b="1444"/>
        <a:stretch/>
      </xdr:blipFill>
      <xdr:spPr>
        <a:xfrm flipH="1">
          <a:off x="15109486" y="1123950"/>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A77066F2-41B1-4020-99E9-DE2BF39F8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342900</xdr:colOff>
      <xdr:row>14</xdr:row>
      <xdr:rowOff>71157</xdr:rowOff>
    </xdr:from>
    <xdr:to>
      <xdr:col>18</xdr:col>
      <xdr:colOff>383802</xdr:colOff>
      <xdr:row>16</xdr:row>
      <xdr:rowOff>144555</xdr:rowOff>
    </xdr:to>
    <xdr:sp macro="" textlink="$H$48">
      <xdr:nvSpPr>
        <xdr:cNvPr id="79" name="TextBox 78">
          <a:extLst>
            <a:ext uri="{FF2B5EF4-FFF2-40B4-BE49-F238E27FC236}">
              <a16:creationId xmlns:a16="http://schemas.microsoft.com/office/drawing/2014/main" id="{46CD06A1-BA57-445F-9255-878870A24D0A}"/>
            </a:ext>
          </a:extLst>
        </xdr:cNvPr>
        <xdr:cNvSpPr txBox="1"/>
      </xdr:nvSpPr>
      <xdr:spPr>
        <a:xfrm>
          <a:off x="27689175" y="3671607"/>
          <a:ext cx="1869702" cy="568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36A32F4-BD19-42B1-8CDE-93F8ECA98708}" type="TxLink">
            <a:rPr lang="en-US" sz="2600" b="1" i="0" u="none" strike="noStrike">
              <a:solidFill>
                <a:srgbClr val="0C769E"/>
              </a:solidFill>
              <a:latin typeface="Arial"/>
              <a:ea typeface="+mn-ea"/>
              <a:cs typeface="Arial"/>
            </a:rPr>
            <a:pPr marL="0" indent="0"/>
            <a:t>366.6141396</a:t>
          </a:fld>
          <a:endParaRPr lang="en-AU" sz="2600" b="1" i="0" u="none" strike="noStrike">
            <a:solidFill>
              <a:srgbClr val="0C769E"/>
            </a:solidFill>
            <a:latin typeface="Arial"/>
            <a:ea typeface="+mn-ea"/>
            <a:cs typeface="Arial"/>
          </a:endParaRPr>
        </a:p>
      </xdr:txBody>
    </xdr:sp>
    <xdr:clientData/>
  </xdr:twoCellAnchor>
  <xdr:twoCellAnchor>
    <xdr:from>
      <xdr:col>24</xdr:col>
      <xdr:colOff>537882</xdr:colOff>
      <xdr:row>14</xdr:row>
      <xdr:rowOff>42582</xdr:rowOff>
    </xdr:from>
    <xdr:to>
      <xdr:col>28</xdr:col>
      <xdr:colOff>10084</xdr:colOff>
      <xdr:row>16</xdr:row>
      <xdr:rowOff>144555</xdr:rowOff>
    </xdr:to>
    <xdr:sp macro="" textlink="$I$48">
      <xdr:nvSpPr>
        <xdr:cNvPr id="80" name="TextBox 79">
          <a:extLst>
            <a:ext uri="{FF2B5EF4-FFF2-40B4-BE49-F238E27FC236}">
              <a16:creationId xmlns:a16="http://schemas.microsoft.com/office/drawing/2014/main" id="{59A9C64C-4C9F-4930-8C5C-FCA6CC19FB08}"/>
            </a:ext>
          </a:extLst>
        </xdr:cNvPr>
        <xdr:cNvSpPr txBox="1"/>
      </xdr:nvSpPr>
      <xdr:spPr>
        <a:xfrm>
          <a:off x="33370557" y="3643032"/>
          <a:ext cx="1910602" cy="59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EF4CEC7-0F56-41BE-B835-A3387B0A178D}" type="TxLink">
            <a:rPr lang="en-US" sz="2600" b="1" i="0" u="none" strike="noStrike">
              <a:solidFill>
                <a:srgbClr val="0C769E"/>
              </a:solidFill>
              <a:latin typeface="Arial"/>
              <a:ea typeface="+mn-ea"/>
              <a:cs typeface="Arial"/>
            </a:rPr>
            <a:pPr marL="0" indent="0"/>
            <a:t>564.1497335</a:t>
          </a:fld>
          <a:endParaRPr lang="en-AU" sz="2600" b="1" i="0" u="none" strike="noStrike">
            <a:solidFill>
              <a:srgbClr val="0C769E"/>
            </a:solidFill>
            <a:latin typeface="Arial"/>
            <a:ea typeface="+mn-ea"/>
            <a:cs typeface="Arial"/>
          </a:endParaRPr>
        </a:p>
      </xdr:txBody>
    </xdr:sp>
    <xdr:clientData/>
  </xdr:twoCellAnchor>
  <xdr:twoCellAnchor>
    <xdr:from>
      <xdr:col>15</xdr:col>
      <xdr:colOff>342900</xdr:colOff>
      <xdr:row>25</xdr:row>
      <xdr:rowOff>155762</xdr:rowOff>
    </xdr:from>
    <xdr:to>
      <xdr:col>18</xdr:col>
      <xdr:colOff>469527</xdr:colOff>
      <xdr:row>28</xdr:row>
      <xdr:rowOff>108696</xdr:rowOff>
    </xdr:to>
    <xdr:sp macro="" textlink="$H$58">
      <xdr:nvSpPr>
        <xdr:cNvPr id="81" name="TextBox 80">
          <a:extLst>
            <a:ext uri="{FF2B5EF4-FFF2-40B4-BE49-F238E27FC236}">
              <a16:creationId xmlns:a16="http://schemas.microsoft.com/office/drawing/2014/main" id="{69D9694D-840A-410C-B3E3-7B350AE17DDA}"/>
            </a:ext>
          </a:extLst>
        </xdr:cNvPr>
        <xdr:cNvSpPr txBox="1"/>
      </xdr:nvSpPr>
      <xdr:spPr>
        <a:xfrm>
          <a:off x="27689175" y="6480362"/>
          <a:ext cx="1955427" cy="695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ABAABC5-B1F7-4C32-9DD0-5C794F2145A5}" type="TxLink">
            <a:rPr lang="en-US" sz="2600" b="1" i="0" u="none" strike="noStrike">
              <a:solidFill>
                <a:srgbClr val="4F4789"/>
              </a:solidFill>
              <a:latin typeface="Arial"/>
              <a:ea typeface="+mn-ea"/>
              <a:cs typeface="Arial"/>
            </a:rPr>
            <a:pPr marL="0" indent="0"/>
            <a:t>251.9476852</a:t>
          </a:fld>
          <a:endParaRPr lang="en-AU" sz="2600" b="1" i="0" u="none" strike="noStrike">
            <a:solidFill>
              <a:srgbClr val="4F4789"/>
            </a:solidFill>
            <a:latin typeface="Arial"/>
            <a:ea typeface="+mn-ea"/>
            <a:cs typeface="Arial"/>
          </a:endParaRPr>
        </a:p>
      </xdr:txBody>
    </xdr:sp>
    <xdr:clientData/>
  </xdr:twoCellAnchor>
  <xdr:twoCellAnchor>
    <xdr:from>
      <xdr:col>24</xdr:col>
      <xdr:colOff>537882</xdr:colOff>
      <xdr:row>25</xdr:row>
      <xdr:rowOff>184337</xdr:rowOff>
    </xdr:from>
    <xdr:to>
      <xdr:col>28</xdr:col>
      <xdr:colOff>76759</xdr:colOff>
      <xdr:row>28</xdr:row>
      <xdr:rowOff>89646</xdr:rowOff>
    </xdr:to>
    <xdr:sp macro="" textlink="$I$58">
      <xdr:nvSpPr>
        <xdr:cNvPr id="82" name="TextBox 81">
          <a:extLst>
            <a:ext uri="{FF2B5EF4-FFF2-40B4-BE49-F238E27FC236}">
              <a16:creationId xmlns:a16="http://schemas.microsoft.com/office/drawing/2014/main" id="{8D010C7B-D460-4F13-B132-CD0F5403F51C}"/>
            </a:ext>
          </a:extLst>
        </xdr:cNvPr>
        <xdr:cNvSpPr txBox="1"/>
      </xdr:nvSpPr>
      <xdr:spPr>
        <a:xfrm>
          <a:off x="33370557" y="6508937"/>
          <a:ext cx="1977277" cy="648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708B152-958E-4AE8-A6E0-9E2E10D985EA}" type="TxLink">
            <a:rPr lang="en-US" sz="2600" b="1" i="0" u="none" strike="noStrike">
              <a:solidFill>
                <a:srgbClr val="4F4789"/>
              </a:solidFill>
              <a:latin typeface="Arial"/>
              <a:ea typeface="+mn-ea"/>
              <a:cs typeface="Arial"/>
            </a:rPr>
            <a:pPr marL="0" indent="0"/>
            <a:t>387.6997751</a:t>
          </a:fld>
          <a:endParaRPr lang="en-AU" sz="2600" b="1" i="0" u="none" strike="noStrike">
            <a:solidFill>
              <a:srgbClr val="4F4789"/>
            </a:solidFill>
            <a:latin typeface="Arial"/>
            <a:ea typeface="+mn-ea"/>
            <a:cs typeface="Arial"/>
          </a:endParaRPr>
        </a:p>
      </xdr:txBody>
    </xdr:sp>
    <xdr:clientData/>
  </xdr:twoCellAnchor>
  <xdr:twoCellAnchor>
    <xdr:from>
      <xdr:col>19</xdr:col>
      <xdr:colOff>237004</xdr:colOff>
      <xdr:row>14</xdr:row>
      <xdr:rowOff>33057</xdr:rowOff>
    </xdr:from>
    <xdr:to>
      <xdr:col>23</xdr:col>
      <xdr:colOff>156883</xdr:colOff>
      <xdr:row>16</xdr:row>
      <xdr:rowOff>144555</xdr:rowOff>
    </xdr:to>
    <xdr:sp macro="" textlink="$H$49">
      <xdr:nvSpPr>
        <xdr:cNvPr id="83" name="TextBox 82">
          <a:extLst>
            <a:ext uri="{FF2B5EF4-FFF2-40B4-BE49-F238E27FC236}">
              <a16:creationId xmlns:a16="http://schemas.microsoft.com/office/drawing/2014/main" id="{F012CDAD-1E8F-4181-AB5A-51438F8347A4}"/>
            </a:ext>
          </a:extLst>
        </xdr:cNvPr>
        <xdr:cNvSpPr txBox="1"/>
      </xdr:nvSpPr>
      <xdr:spPr>
        <a:xfrm>
          <a:off x="30021679" y="3633507"/>
          <a:ext cx="2358279" cy="606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32BBB37-F170-4DBC-94A6-AE892FE0F1A5}" type="TxLink">
            <a:rPr lang="en-US" sz="2600" b="1" i="0" u="none" strike="noStrike">
              <a:solidFill>
                <a:srgbClr val="0C769E"/>
              </a:solidFill>
              <a:latin typeface="Arial"/>
              <a:ea typeface="+mn-ea"/>
              <a:cs typeface="Arial"/>
            </a:rPr>
            <a:pPr marL="0" indent="0"/>
            <a:t>366.6141396</a:t>
          </a:fld>
          <a:endParaRPr lang="en-AU" sz="2600" b="1" i="0" u="none" strike="noStrike">
            <a:solidFill>
              <a:srgbClr val="0C769E"/>
            </a:solidFill>
            <a:latin typeface="Arial"/>
            <a:ea typeface="+mn-ea"/>
            <a:cs typeface="Arial"/>
          </a:endParaRPr>
        </a:p>
      </xdr:txBody>
    </xdr:sp>
    <xdr:clientData/>
  </xdr:twoCellAnchor>
  <xdr:twoCellAnchor>
    <xdr:from>
      <xdr:col>28</xdr:col>
      <xdr:colOff>584387</xdr:colOff>
      <xdr:row>14</xdr:row>
      <xdr:rowOff>61632</xdr:rowOff>
    </xdr:from>
    <xdr:to>
      <xdr:col>32</xdr:col>
      <xdr:colOff>34739</xdr:colOff>
      <xdr:row>16</xdr:row>
      <xdr:rowOff>144555</xdr:rowOff>
    </xdr:to>
    <xdr:sp macro="" textlink="$I$49">
      <xdr:nvSpPr>
        <xdr:cNvPr id="84" name="TextBox 83">
          <a:extLst>
            <a:ext uri="{FF2B5EF4-FFF2-40B4-BE49-F238E27FC236}">
              <a16:creationId xmlns:a16="http://schemas.microsoft.com/office/drawing/2014/main" id="{5338FDE5-FB46-4701-9654-B5B15C72AE61}"/>
            </a:ext>
          </a:extLst>
        </xdr:cNvPr>
        <xdr:cNvSpPr txBox="1"/>
      </xdr:nvSpPr>
      <xdr:spPr>
        <a:xfrm>
          <a:off x="35855462" y="3662082"/>
          <a:ext cx="1888752" cy="578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3EE91C8-72A7-4D95-8E9D-1C1AA02A3B8F}" type="TxLink">
            <a:rPr lang="en-US" sz="2600" b="1" i="0" u="none" strike="noStrike">
              <a:solidFill>
                <a:srgbClr val="0C769E"/>
              </a:solidFill>
              <a:latin typeface="Arial"/>
              <a:ea typeface="+mn-ea"/>
              <a:cs typeface="Arial"/>
            </a:rPr>
            <a:pPr marL="0" indent="0"/>
            <a:t>564.1497335</a:t>
          </a:fld>
          <a:endParaRPr lang="en-AU" sz="2600" b="1" i="0" u="none" strike="noStrike">
            <a:solidFill>
              <a:srgbClr val="0C769E"/>
            </a:solidFill>
            <a:latin typeface="Arial"/>
            <a:ea typeface="+mn-ea"/>
            <a:cs typeface="Arial"/>
          </a:endParaRPr>
        </a:p>
      </xdr:txBody>
    </xdr:sp>
    <xdr:clientData/>
  </xdr:twoCellAnchor>
  <xdr:twoCellAnchor>
    <xdr:from>
      <xdr:col>15</xdr:col>
      <xdr:colOff>342900</xdr:colOff>
      <xdr:row>12</xdr:row>
      <xdr:rowOff>150158</xdr:rowOff>
    </xdr:from>
    <xdr:to>
      <xdr:col>18</xdr:col>
      <xdr:colOff>50427</xdr:colOff>
      <xdr:row>14</xdr:row>
      <xdr:rowOff>33056</xdr:rowOff>
    </xdr:to>
    <xdr:sp macro="" textlink="$J$44">
      <xdr:nvSpPr>
        <xdr:cNvPr id="85" name="TextBox 84">
          <a:extLst>
            <a:ext uri="{FF2B5EF4-FFF2-40B4-BE49-F238E27FC236}">
              <a16:creationId xmlns:a16="http://schemas.microsoft.com/office/drawing/2014/main" id="{5391BB71-5856-4B03-8742-80E1E8AA9E94}"/>
            </a:ext>
          </a:extLst>
        </xdr:cNvPr>
        <xdr:cNvSpPr txBox="1"/>
      </xdr:nvSpPr>
      <xdr:spPr>
        <a:xfrm>
          <a:off x="27689175" y="3255308"/>
          <a:ext cx="1536327" cy="378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19</xdr:col>
      <xdr:colOff>237004</xdr:colOff>
      <xdr:row>12</xdr:row>
      <xdr:rowOff>150158</xdr:rowOff>
    </xdr:from>
    <xdr:to>
      <xdr:col>23</xdr:col>
      <xdr:colOff>376436</xdr:colOff>
      <xdr:row>14</xdr:row>
      <xdr:rowOff>33056</xdr:rowOff>
    </xdr:to>
    <xdr:sp macro="" textlink="$J$44">
      <xdr:nvSpPr>
        <xdr:cNvPr id="86" name="TextBox 85">
          <a:extLst>
            <a:ext uri="{FF2B5EF4-FFF2-40B4-BE49-F238E27FC236}">
              <a16:creationId xmlns:a16="http://schemas.microsoft.com/office/drawing/2014/main" id="{B54BF24F-9D5E-43C8-9F08-7D00A26C76CA}"/>
            </a:ext>
          </a:extLst>
        </xdr:cNvPr>
        <xdr:cNvSpPr txBox="1"/>
      </xdr:nvSpPr>
      <xdr:spPr>
        <a:xfrm>
          <a:off x="30021679" y="3255308"/>
          <a:ext cx="2577832" cy="378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15</xdr:col>
      <xdr:colOff>342900</xdr:colOff>
      <xdr:row>10</xdr:row>
      <xdr:rowOff>172010</xdr:rowOff>
    </xdr:from>
    <xdr:to>
      <xdr:col>18</xdr:col>
      <xdr:colOff>50427</xdr:colOff>
      <xdr:row>12</xdr:row>
      <xdr:rowOff>54907</xdr:rowOff>
    </xdr:to>
    <xdr:sp macro="" textlink="$J$44">
      <xdr:nvSpPr>
        <xdr:cNvPr id="87" name="TextBox 86">
          <a:extLst>
            <a:ext uri="{FF2B5EF4-FFF2-40B4-BE49-F238E27FC236}">
              <a16:creationId xmlns:a16="http://schemas.microsoft.com/office/drawing/2014/main" id="{7632829B-D41B-444E-9066-3870BDC9881E}"/>
            </a:ext>
          </a:extLst>
        </xdr:cNvPr>
        <xdr:cNvSpPr txBox="1"/>
      </xdr:nvSpPr>
      <xdr:spPr>
        <a:xfrm>
          <a:off x="27689175" y="2781860"/>
          <a:ext cx="1536327" cy="378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15</xdr:col>
      <xdr:colOff>381000</xdr:colOff>
      <xdr:row>8</xdr:row>
      <xdr:rowOff>174812</xdr:rowOff>
    </xdr:from>
    <xdr:to>
      <xdr:col>19</xdr:col>
      <xdr:colOff>132229</xdr:colOff>
      <xdr:row>10</xdr:row>
      <xdr:rowOff>143435</xdr:rowOff>
    </xdr:to>
    <xdr:sp macro="" textlink="">
      <xdr:nvSpPr>
        <xdr:cNvPr id="88" name="TextBox 87">
          <a:extLst>
            <a:ext uri="{FF2B5EF4-FFF2-40B4-BE49-F238E27FC236}">
              <a16:creationId xmlns:a16="http://schemas.microsoft.com/office/drawing/2014/main" id="{EC561C2C-E85A-49BC-9C21-8E8A13E269FA}"/>
            </a:ext>
          </a:extLst>
        </xdr:cNvPr>
        <xdr:cNvSpPr txBox="1"/>
      </xdr:nvSpPr>
      <xdr:spPr>
        <a:xfrm>
          <a:off x="27727275" y="2289362"/>
          <a:ext cx="2189629" cy="463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15</xdr:col>
      <xdr:colOff>390525</xdr:colOff>
      <xdr:row>10</xdr:row>
      <xdr:rowOff>147552</xdr:rowOff>
    </xdr:from>
    <xdr:to>
      <xdr:col>35</xdr:col>
      <xdr:colOff>101973</xdr:colOff>
      <xdr:row>10</xdr:row>
      <xdr:rowOff>162485</xdr:rowOff>
    </xdr:to>
    <xdr:cxnSp macro="">
      <xdr:nvCxnSpPr>
        <xdr:cNvPr id="89" name="Straight Connector 88">
          <a:extLst>
            <a:ext uri="{FF2B5EF4-FFF2-40B4-BE49-F238E27FC236}">
              <a16:creationId xmlns:a16="http://schemas.microsoft.com/office/drawing/2014/main" id="{D9001825-93B0-4E46-A4FF-1038C6E8A343}"/>
            </a:ext>
          </a:extLst>
        </xdr:cNvPr>
        <xdr:cNvCxnSpPr/>
      </xdr:nvCxnSpPr>
      <xdr:spPr>
        <a:xfrm flipV="1">
          <a:off x="27736800" y="2757402"/>
          <a:ext cx="11903448"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537882</xdr:colOff>
      <xdr:row>12</xdr:row>
      <xdr:rowOff>150158</xdr:rowOff>
    </xdr:from>
    <xdr:to>
      <xdr:col>27</xdr:col>
      <xdr:colOff>248209</xdr:colOff>
      <xdr:row>14</xdr:row>
      <xdr:rowOff>33056</xdr:rowOff>
    </xdr:to>
    <xdr:sp macro="" textlink="$J$44">
      <xdr:nvSpPr>
        <xdr:cNvPr id="90" name="TextBox 89">
          <a:extLst>
            <a:ext uri="{FF2B5EF4-FFF2-40B4-BE49-F238E27FC236}">
              <a16:creationId xmlns:a16="http://schemas.microsoft.com/office/drawing/2014/main" id="{E4241373-4A06-4556-A0D1-119C939258E3}"/>
            </a:ext>
          </a:extLst>
        </xdr:cNvPr>
        <xdr:cNvSpPr txBox="1"/>
      </xdr:nvSpPr>
      <xdr:spPr>
        <a:xfrm>
          <a:off x="33370557" y="3255308"/>
          <a:ext cx="1539127" cy="378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28</xdr:col>
      <xdr:colOff>584387</xdr:colOff>
      <xdr:row>12</xdr:row>
      <xdr:rowOff>150158</xdr:rowOff>
    </xdr:from>
    <xdr:to>
      <xdr:col>35</xdr:col>
      <xdr:colOff>302476</xdr:colOff>
      <xdr:row>14</xdr:row>
      <xdr:rowOff>33056</xdr:rowOff>
    </xdr:to>
    <xdr:sp macro="" textlink="$J$44">
      <xdr:nvSpPr>
        <xdr:cNvPr id="91" name="TextBox 90">
          <a:extLst>
            <a:ext uri="{FF2B5EF4-FFF2-40B4-BE49-F238E27FC236}">
              <a16:creationId xmlns:a16="http://schemas.microsoft.com/office/drawing/2014/main" id="{239D08E0-0F24-463E-B7AF-121C83E03CE8}"/>
            </a:ext>
          </a:extLst>
        </xdr:cNvPr>
        <xdr:cNvSpPr txBox="1"/>
      </xdr:nvSpPr>
      <xdr:spPr>
        <a:xfrm>
          <a:off x="35855462" y="3255308"/>
          <a:ext cx="3985289" cy="378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24</xdr:col>
      <xdr:colOff>537882</xdr:colOff>
      <xdr:row>10</xdr:row>
      <xdr:rowOff>172010</xdr:rowOff>
    </xdr:from>
    <xdr:to>
      <xdr:col>27</xdr:col>
      <xdr:colOff>248209</xdr:colOff>
      <xdr:row>12</xdr:row>
      <xdr:rowOff>54907</xdr:rowOff>
    </xdr:to>
    <xdr:sp macro="" textlink="$J$44">
      <xdr:nvSpPr>
        <xdr:cNvPr id="92" name="TextBox 91">
          <a:extLst>
            <a:ext uri="{FF2B5EF4-FFF2-40B4-BE49-F238E27FC236}">
              <a16:creationId xmlns:a16="http://schemas.microsoft.com/office/drawing/2014/main" id="{5F203C7D-0BEF-4F15-A3D2-B95B02F89400}"/>
            </a:ext>
          </a:extLst>
        </xdr:cNvPr>
        <xdr:cNvSpPr txBox="1"/>
      </xdr:nvSpPr>
      <xdr:spPr>
        <a:xfrm>
          <a:off x="33370557" y="2781860"/>
          <a:ext cx="1539127" cy="378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15</xdr:col>
      <xdr:colOff>342900</xdr:colOff>
      <xdr:row>12</xdr:row>
      <xdr:rowOff>73958</xdr:rowOff>
    </xdr:from>
    <xdr:to>
      <xdr:col>23</xdr:col>
      <xdr:colOff>347383</xdr:colOff>
      <xdr:row>12</xdr:row>
      <xdr:rowOff>73958</xdr:rowOff>
    </xdr:to>
    <xdr:cxnSp macro="">
      <xdr:nvCxnSpPr>
        <xdr:cNvPr id="93" name="Straight Connector 92">
          <a:extLst>
            <a:ext uri="{FF2B5EF4-FFF2-40B4-BE49-F238E27FC236}">
              <a16:creationId xmlns:a16="http://schemas.microsoft.com/office/drawing/2014/main" id="{A9C72E21-30F8-4FCB-859E-23668F6A490F}"/>
            </a:ext>
          </a:extLst>
        </xdr:cNvPr>
        <xdr:cNvCxnSpPr/>
      </xdr:nvCxnSpPr>
      <xdr:spPr>
        <a:xfrm>
          <a:off x="27689175" y="3179108"/>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537882</xdr:colOff>
      <xdr:row>12</xdr:row>
      <xdr:rowOff>73958</xdr:rowOff>
    </xdr:from>
    <xdr:to>
      <xdr:col>35</xdr:col>
      <xdr:colOff>121022</xdr:colOff>
      <xdr:row>12</xdr:row>
      <xdr:rowOff>73958</xdr:rowOff>
    </xdr:to>
    <xdr:cxnSp macro="">
      <xdr:nvCxnSpPr>
        <xdr:cNvPr id="94" name="Straight Connector 93">
          <a:extLst>
            <a:ext uri="{FF2B5EF4-FFF2-40B4-BE49-F238E27FC236}">
              <a16:creationId xmlns:a16="http://schemas.microsoft.com/office/drawing/2014/main" id="{EF7468C1-4820-49FE-A4F4-0BAC781E8249}"/>
            </a:ext>
          </a:extLst>
        </xdr:cNvPr>
        <xdr:cNvCxnSpPr/>
      </xdr:nvCxnSpPr>
      <xdr:spPr>
        <a:xfrm>
          <a:off x="33370557" y="3179108"/>
          <a:ext cx="628874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342900</xdr:colOff>
      <xdr:row>24</xdr:row>
      <xdr:rowOff>45944</xdr:rowOff>
    </xdr:from>
    <xdr:to>
      <xdr:col>18</xdr:col>
      <xdr:colOff>50427</xdr:colOff>
      <xdr:row>25</xdr:row>
      <xdr:rowOff>127186</xdr:rowOff>
    </xdr:to>
    <xdr:sp macro="" textlink="$J$44">
      <xdr:nvSpPr>
        <xdr:cNvPr id="95" name="TextBox 94">
          <a:extLst>
            <a:ext uri="{FF2B5EF4-FFF2-40B4-BE49-F238E27FC236}">
              <a16:creationId xmlns:a16="http://schemas.microsoft.com/office/drawing/2014/main" id="{F5772606-F155-416A-9B4F-2091CFA81BCA}"/>
            </a:ext>
          </a:extLst>
        </xdr:cNvPr>
        <xdr:cNvSpPr txBox="1"/>
      </xdr:nvSpPr>
      <xdr:spPr>
        <a:xfrm>
          <a:off x="27689175" y="6122894"/>
          <a:ext cx="1536327" cy="328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19</xdr:col>
      <xdr:colOff>322251</xdr:colOff>
      <xdr:row>24</xdr:row>
      <xdr:rowOff>45944</xdr:rowOff>
    </xdr:from>
    <xdr:to>
      <xdr:col>23</xdr:col>
      <xdr:colOff>461683</xdr:colOff>
      <xdr:row>25</xdr:row>
      <xdr:rowOff>127186</xdr:rowOff>
    </xdr:to>
    <xdr:sp macro="" textlink="$J$44">
      <xdr:nvSpPr>
        <xdr:cNvPr id="96" name="TextBox 95">
          <a:extLst>
            <a:ext uri="{FF2B5EF4-FFF2-40B4-BE49-F238E27FC236}">
              <a16:creationId xmlns:a16="http://schemas.microsoft.com/office/drawing/2014/main" id="{76D00BB8-FB89-4F95-8C13-A272BCAEB3C4}"/>
            </a:ext>
          </a:extLst>
        </xdr:cNvPr>
        <xdr:cNvSpPr txBox="1"/>
      </xdr:nvSpPr>
      <xdr:spPr>
        <a:xfrm>
          <a:off x="30106926" y="6122894"/>
          <a:ext cx="2577832" cy="328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15</xdr:col>
      <xdr:colOff>342900</xdr:colOff>
      <xdr:row>22</xdr:row>
      <xdr:rowOff>69476</xdr:rowOff>
    </xdr:from>
    <xdr:to>
      <xdr:col>18</xdr:col>
      <xdr:colOff>50427</xdr:colOff>
      <xdr:row>23</xdr:row>
      <xdr:rowOff>149037</xdr:rowOff>
    </xdr:to>
    <xdr:sp macro="" textlink="$J$44">
      <xdr:nvSpPr>
        <xdr:cNvPr id="97" name="TextBox 96">
          <a:extLst>
            <a:ext uri="{FF2B5EF4-FFF2-40B4-BE49-F238E27FC236}">
              <a16:creationId xmlns:a16="http://schemas.microsoft.com/office/drawing/2014/main" id="{F745F4DE-F863-4F2A-85DB-7FDD4701477E}"/>
            </a:ext>
          </a:extLst>
        </xdr:cNvPr>
        <xdr:cNvSpPr txBox="1"/>
      </xdr:nvSpPr>
      <xdr:spPr>
        <a:xfrm>
          <a:off x="27689175" y="5651126"/>
          <a:ext cx="1536327" cy="327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15</xdr:col>
      <xdr:colOff>342900</xdr:colOff>
      <xdr:row>16</xdr:row>
      <xdr:rowOff>49306</xdr:rowOff>
    </xdr:from>
    <xdr:ext cx="1830116" cy="254493"/>
    <xdr:sp macro="" textlink="">
      <xdr:nvSpPr>
        <xdr:cNvPr id="98" name="TextBox 97">
          <a:extLst>
            <a:ext uri="{FF2B5EF4-FFF2-40B4-BE49-F238E27FC236}">
              <a16:creationId xmlns:a16="http://schemas.microsoft.com/office/drawing/2014/main" id="{E92C48EB-3A0C-4719-9ED0-CACD0777D23A}"/>
            </a:ext>
          </a:extLst>
        </xdr:cNvPr>
        <xdr:cNvSpPr txBox="1"/>
      </xdr:nvSpPr>
      <xdr:spPr>
        <a:xfrm>
          <a:off x="27689175" y="414505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15</xdr:col>
      <xdr:colOff>381000</xdr:colOff>
      <xdr:row>20</xdr:row>
      <xdr:rowOff>72277</xdr:rowOff>
    </xdr:from>
    <xdr:to>
      <xdr:col>19</xdr:col>
      <xdr:colOff>132229</xdr:colOff>
      <xdr:row>22</xdr:row>
      <xdr:rowOff>39220</xdr:rowOff>
    </xdr:to>
    <xdr:sp macro="" textlink="">
      <xdr:nvSpPr>
        <xdr:cNvPr id="99" name="TextBox 98">
          <a:extLst>
            <a:ext uri="{FF2B5EF4-FFF2-40B4-BE49-F238E27FC236}">
              <a16:creationId xmlns:a16="http://schemas.microsoft.com/office/drawing/2014/main" id="{155960F8-0715-4417-9316-3359C79374B6}"/>
            </a:ext>
          </a:extLst>
        </xdr:cNvPr>
        <xdr:cNvSpPr txBox="1"/>
      </xdr:nvSpPr>
      <xdr:spPr>
        <a:xfrm>
          <a:off x="27727275" y="5158627"/>
          <a:ext cx="2189629" cy="462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15</xdr:col>
      <xdr:colOff>390525</xdr:colOff>
      <xdr:row>22</xdr:row>
      <xdr:rowOff>43269</xdr:rowOff>
    </xdr:from>
    <xdr:to>
      <xdr:col>35</xdr:col>
      <xdr:colOff>149598</xdr:colOff>
      <xdr:row>22</xdr:row>
      <xdr:rowOff>59951</xdr:rowOff>
    </xdr:to>
    <xdr:cxnSp macro="">
      <xdr:nvCxnSpPr>
        <xdr:cNvPr id="100" name="Straight Connector 99">
          <a:extLst>
            <a:ext uri="{FF2B5EF4-FFF2-40B4-BE49-F238E27FC236}">
              <a16:creationId xmlns:a16="http://schemas.microsoft.com/office/drawing/2014/main" id="{ABFB6B2B-91DB-4F27-B788-9FAD8806AC75}"/>
            </a:ext>
          </a:extLst>
        </xdr:cNvPr>
        <xdr:cNvCxnSpPr/>
      </xdr:nvCxnSpPr>
      <xdr:spPr>
        <a:xfrm flipV="1">
          <a:off x="27736800" y="5624919"/>
          <a:ext cx="11951073"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537882</xdr:colOff>
      <xdr:row>24</xdr:row>
      <xdr:rowOff>45944</xdr:rowOff>
    </xdr:from>
    <xdr:to>
      <xdr:col>27</xdr:col>
      <xdr:colOff>248209</xdr:colOff>
      <xdr:row>25</xdr:row>
      <xdr:rowOff>127186</xdr:rowOff>
    </xdr:to>
    <xdr:sp macro="" textlink="$J$44">
      <xdr:nvSpPr>
        <xdr:cNvPr id="101" name="TextBox 100">
          <a:extLst>
            <a:ext uri="{FF2B5EF4-FFF2-40B4-BE49-F238E27FC236}">
              <a16:creationId xmlns:a16="http://schemas.microsoft.com/office/drawing/2014/main" id="{23BFB0F4-DC3E-473A-9579-70092E5DE5D8}"/>
            </a:ext>
          </a:extLst>
        </xdr:cNvPr>
        <xdr:cNvSpPr txBox="1"/>
      </xdr:nvSpPr>
      <xdr:spPr>
        <a:xfrm>
          <a:off x="33370557" y="6122894"/>
          <a:ext cx="1539127" cy="328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24</xdr:col>
      <xdr:colOff>537882</xdr:colOff>
      <xdr:row>22</xdr:row>
      <xdr:rowOff>69476</xdr:rowOff>
    </xdr:from>
    <xdr:to>
      <xdr:col>27</xdr:col>
      <xdr:colOff>248209</xdr:colOff>
      <xdr:row>23</xdr:row>
      <xdr:rowOff>149037</xdr:rowOff>
    </xdr:to>
    <xdr:sp macro="" textlink="$J$44">
      <xdr:nvSpPr>
        <xdr:cNvPr id="102" name="TextBox 101">
          <a:extLst>
            <a:ext uri="{FF2B5EF4-FFF2-40B4-BE49-F238E27FC236}">
              <a16:creationId xmlns:a16="http://schemas.microsoft.com/office/drawing/2014/main" id="{5B362AAB-B3D7-4DE6-9276-72F395BDC851}"/>
            </a:ext>
          </a:extLst>
        </xdr:cNvPr>
        <xdr:cNvSpPr txBox="1"/>
      </xdr:nvSpPr>
      <xdr:spPr>
        <a:xfrm>
          <a:off x="33370557" y="5651126"/>
          <a:ext cx="1539127" cy="327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15</xdr:col>
      <xdr:colOff>342900</xdr:colOff>
      <xdr:row>23</xdr:row>
      <xdr:rowOff>168088</xdr:rowOff>
    </xdr:from>
    <xdr:to>
      <xdr:col>23</xdr:col>
      <xdr:colOff>375958</xdr:colOff>
      <xdr:row>23</xdr:row>
      <xdr:rowOff>168088</xdr:rowOff>
    </xdr:to>
    <xdr:cxnSp macro="">
      <xdr:nvCxnSpPr>
        <xdr:cNvPr id="103" name="Straight Connector 102">
          <a:extLst>
            <a:ext uri="{FF2B5EF4-FFF2-40B4-BE49-F238E27FC236}">
              <a16:creationId xmlns:a16="http://schemas.microsoft.com/office/drawing/2014/main" id="{227FFC05-A3E5-40E8-A22C-8E49944FED53}"/>
            </a:ext>
          </a:extLst>
        </xdr:cNvPr>
        <xdr:cNvCxnSpPr/>
      </xdr:nvCxnSpPr>
      <xdr:spPr>
        <a:xfrm>
          <a:off x="27689175" y="59973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537882</xdr:colOff>
      <xdr:row>23</xdr:row>
      <xdr:rowOff>168088</xdr:rowOff>
    </xdr:from>
    <xdr:to>
      <xdr:col>35</xdr:col>
      <xdr:colOff>159122</xdr:colOff>
      <xdr:row>23</xdr:row>
      <xdr:rowOff>168088</xdr:rowOff>
    </xdr:to>
    <xdr:cxnSp macro="">
      <xdr:nvCxnSpPr>
        <xdr:cNvPr id="104" name="Straight Connector 103">
          <a:extLst>
            <a:ext uri="{FF2B5EF4-FFF2-40B4-BE49-F238E27FC236}">
              <a16:creationId xmlns:a16="http://schemas.microsoft.com/office/drawing/2014/main" id="{D1742223-2B6A-49F1-AE28-A368F5C41575}"/>
            </a:ext>
          </a:extLst>
        </xdr:cNvPr>
        <xdr:cNvCxnSpPr/>
      </xdr:nvCxnSpPr>
      <xdr:spPr>
        <a:xfrm>
          <a:off x="33370557" y="5997388"/>
          <a:ext cx="632684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19</xdr:col>
      <xdr:colOff>237004</xdr:colOff>
      <xdr:row>16</xdr:row>
      <xdr:rowOff>49306</xdr:rowOff>
    </xdr:from>
    <xdr:ext cx="1830116" cy="254493"/>
    <xdr:sp macro="" textlink="">
      <xdr:nvSpPr>
        <xdr:cNvPr id="105" name="TextBox 104">
          <a:extLst>
            <a:ext uri="{FF2B5EF4-FFF2-40B4-BE49-F238E27FC236}">
              <a16:creationId xmlns:a16="http://schemas.microsoft.com/office/drawing/2014/main" id="{083E7332-BBEE-448C-B601-72ADFA8F2A47}"/>
            </a:ext>
          </a:extLst>
        </xdr:cNvPr>
        <xdr:cNvSpPr txBox="1"/>
      </xdr:nvSpPr>
      <xdr:spPr>
        <a:xfrm>
          <a:off x="30021679" y="414505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24</xdr:col>
      <xdr:colOff>537882</xdr:colOff>
      <xdr:row>16</xdr:row>
      <xdr:rowOff>49306</xdr:rowOff>
    </xdr:from>
    <xdr:ext cx="1830116" cy="254493"/>
    <xdr:sp macro="" textlink="">
      <xdr:nvSpPr>
        <xdr:cNvPr id="106" name="TextBox 105">
          <a:extLst>
            <a:ext uri="{FF2B5EF4-FFF2-40B4-BE49-F238E27FC236}">
              <a16:creationId xmlns:a16="http://schemas.microsoft.com/office/drawing/2014/main" id="{21EACE55-DEE7-45F2-9142-6E6B1B8A649F}"/>
            </a:ext>
          </a:extLst>
        </xdr:cNvPr>
        <xdr:cNvSpPr txBox="1"/>
      </xdr:nvSpPr>
      <xdr:spPr>
        <a:xfrm>
          <a:off x="33370557" y="414505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28</xdr:col>
      <xdr:colOff>584387</xdr:colOff>
      <xdr:row>16</xdr:row>
      <xdr:rowOff>49306</xdr:rowOff>
    </xdr:from>
    <xdr:ext cx="1830116" cy="254493"/>
    <xdr:sp macro="" textlink="">
      <xdr:nvSpPr>
        <xdr:cNvPr id="107" name="TextBox 106">
          <a:extLst>
            <a:ext uri="{FF2B5EF4-FFF2-40B4-BE49-F238E27FC236}">
              <a16:creationId xmlns:a16="http://schemas.microsoft.com/office/drawing/2014/main" id="{C66BDE2E-F496-471C-B820-181E005DCD3C}"/>
            </a:ext>
          </a:extLst>
        </xdr:cNvPr>
        <xdr:cNvSpPr txBox="1"/>
      </xdr:nvSpPr>
      <xdr:spPr>
        <a:xfrm>
          <a:off x="35855462" y="414505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15</xdr:col>
      <xdr:colOff>342900</xdr:colOff>
      <xdr:row>28</xdr:row>
      <xdr:rowOff>38660</xdr:rowOff>
    </xdr:from>
    <xdr:ext cx="1830116" cy="254493"/>
    <xdr:sp macro="" textlink="">
      <xdr:nvSpPr>
        <xdr:cNvPr id="108" name="TextBox 107">
          <a:extLst>
            <a:ext uri="{FF2B5EF4-FFF2-40B4-BE49-F238E27FC236}">
              <a16:creationId xmlns:a16="http://schemas.microsoft.com/office/drawing/2014/main" id="{BCB72000-0E91-4BA3-8229-639FBE3CF0AB}"/>
            </a:ext>
          </a:extLst>
        </xdr:cNvPr>
        <xdr:cNvSpPr txBox="1"/>
      </xdr:nvSpPr>
      <xdr:spPr>
        <a:xfrm>
          <a:off x="27689175" y="710621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19</xdr:col>
      <xdr:colOff>246529</xdr:colOff>
      <xdr:row>28</xdr:row>
      <xdr:rowOff>38660</xdr:rowOff>
    </xdr:from>
    <xdr:ext cx="1830116" cy="254493"/>
    <xdr:sp macro="" textlink="">
      <xdr:nvSpPr>
        <xdr:cNvPr id="109" name="TextBox 108">
          <a:extLst>
            <a:ext uri="{FF2B5EF4-FFF2-40B4-BE49-F238E27FC236}">
              <a16:creationId xmlns:a16="http://schemas.microsoft.com/office/drawing/2014/main" id="{A1228C79-9902-4037-A6ED-6D2153DF18E3}"/>
            </a:ext>
          </a:extLst>
        </xdr:cNvPr>
        <xdr:cNvSpPr txBox="1"/>
      </xdr:nvSpPr>
      <xdr:spPr>
        <a:xfrm>
          <a:off x="30031204" y="710621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24</xdr:col>
      <xdr:colOff>537882</xdr:colOff>
      <xdr:row>28</xdr:row>
      <xdr:rowOff>38660</xdr:rowOff>
    </xdr:from>
    <xdr:ext cx="1830116" cy="254493"/>
    <xdr:sp macro="" textlink="">
      <xdr:nvSpPr>
        <xdr:cNvPr id="110" name="TextBox 109">
          <a:extLst>
            <a:ext uri="{FF2B5EF4-FFF2-40B4-BE49-F238E27FC236}">
              <a16:creationId xmlns:a16="http://schemas.microsoft.com/office/drawing/2014/main" id="{0BDE2C4B-DE78-4FD1-9F51-96C18E709FC7}"/>
            </a:ext>
          </a:extLst>
        </xdr:cNvPr>
        <xdr:cNvSpPr txBox="1"/>
      </xdr:nvSpPr>
      <xdr:spPr>
        <a:xfrm>
          <a:off x="33370557" y="710621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29</xdr:col>
      <xdr:colOff>41462</xdr:colOff>
      <xdr:row>28</xdr:row>
      <xdr:rowOff>29135</xdr:rowOff>
    </xdr:from>
    <xdr:ext cx="1830116" cy="254493"/>
    <xdr:sp macro="" textlink="">
      <xdr:nvSpPr>
        <xdr:cNvPr id="111" name="TextBox 110">
          <a:extLst>
            <a:ext uri="{FF2B5EF4-FFF2-40B4-BE49-F238E27FC236}">
              <a16:creationId xmlns:a16="http://schemas.microsoft.com/office/drawing/2014/main" id="{C057059B-2CEE-4429-87D4-020C78D58DEB}"/>
            </a:ext>
          </a:extLst>
        </xdr:cNvPr>
        <xdr:cNvSpPr txBox="1"/>
      </xdr:nvSpPr>
      <xdr:spPr>
        <a:xfrm>
          <a:off x="35922137" y="70966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19</xdr:col>
      <xdr:colOff>275104</xdr:colOff>
      <xdr:row>25</xdr:row>
      <xdr:rowOff>155762</xdr:rowOff>
    </xdr:from>
    <xdr:to>
      <xdr:col>22</xdr:col>
      <xdr:colOff>404533</xdr:colOff>
      <xdr:row>28</xdr:row>
      <xdr:rowOff>108696</xdr:rowOff>
    </xdr:to>
    <xdr:sp macro="" textlink="$H$59">
      <xdr:nvSpPr>
        <xdr:cNvPr id="112" name="TextBox 111">
          <a:extLst>
            <a:ext uri="{FF2B5EF4-FFF2-40B4-BE49-F238E27FC236}">
              <a16:creationId xmlns:a16="http://schemas.microsoft.com/office/drawing/2014/main" id="{ACCB5CD1-BBB0-446E-B1A2-E700E6E171FE}"/>
            </a:ext>
          </a:extLst>
        </xdr:cNvPr>
        <xdr:cNvSpPr txBox="1"/>
      </xdr:nvSpPr>
      <xdr:spPr>
        <a:xfrm>
          <a:off x="30059779" y="6480362"/>
          <a:ext cx="1958229" cy="695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ADDCD42-80C8-425D-BC3C-AF3BE13AEB84}" type="TxLink">
            <a:rPr lang="en-US" sz="2600" b="1" i="0" u="none" strike="noStrike">
              <a:solidFill>
                <a:srgbClr val="4F4789"/>
              </a:solidFill>
              <a:latin typeface="Arial"/>
              <a:ea typeface="+mn-ea"/>
              <a:cs typeface="Arial"/>
            </a:rPr>
            <a:pPr marL="0" indent="0"/>
            <a:t>251.9476852</a:t>
          </a:fld>
          <a:endParaRPr lang="en-AU" sz="2600" b="1" i="0" u="none" strike="noStrike">
            <a:solidFill>
              <a:srgbClr val="4F4789"/>
            </a:solidFill>
            <a:latin typeface="Arial"/>
            <a:ea typeface="+mn-ea"/>
            <a:cs typeface="Arial"/>
          </a:endParaRPr>
        </a:p>
      </xdr:txBody>
    </xdr:sp>
    <xdr:clientData/>
  </xdr:twoCellAnchor>
  <xdr:twoCellAnchor>
    <xdr:from>
      <xdr:col>29</xdr:col>
      <xdr:colOff>31936</xdr:colOff>
      <xdr:row>25</xdr:row>
      <xdr:rowOff>174812</xdr:rowOff>
    </xdr:from>
    <xdr:to>
      <xdr:col>32</xdr:col>
      <xdr:colOff>158563</xdr:colOff>
      <xdr:row>28</xdr:row>
      <xdr:rowOff>80121</xdr:rowOff>
    </xdr:to>
    <xdr:sp macro="" textlink="$I$59">
      <xdr:nvSpPr>
        <xdr:cNvPr id="113" name="TextBox 112">
          <a:extLst>
            <a:ext uri="{FF2B5EF4-FFF2-40B4-BE49-F238E27FC236}">
              <a16:creationId xmlns:a16="http://schemas.microsoft.com/office/drawing/2014/main" id="{AB9273A2-1E60-455E-AA2F-7814E349A57D}"/>
            </a:ext>
          </a:extLst>
        </xdr:cNvPr>
        <xdr:cNvSpPr txBox="1"/>
      </xdr:nvSpPr>
      <xdr:spPr>
        <a:xfrm>
          <a:off x="35912611" y="6499412"/>
          <a:ext cx="1955427" cy="648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480E888-1F6E-4E99-935B-90A55A1BBFBB}" type="TxLink">
            <a:rPr lang="en-US" sz="2600" b="1" i="0" u="none" strike="noStrike">
              <a:solidFill>
                <a:srgbClr val="4F4789"/>
              </a:solidFill>
              <a:latin typeface="Arial"/>
              <a:ea typeface="+mn-ea"/>
              <a:cs typeface="Arial"/>
            </a:rPr>
            <a:pPr marL="0" indent="0"/>
            <a:t>387.6997751</a:t>
          </a:fld>
          <a:endParaRPr lang="en-AU" sz="2600" b="1" i="0" u="none" strike="noStrike">
            <a:solidFill>
              <a:srgbClr val="4F4789"/>
            </a:solidFill>
            <a:latin typeface="Arial"/>
            <a:ea typeface="+mn-ea"/>
            <a:cs typeface="Arial"/>
          </a:endParaRPr>
        </a:p>
      </xdr:txBody>
    </xdr:sp>
    <xdr:clientData/>
  </xdr:twoCellAnchor>
  <xdr:twoCellAnchor>
    <xdr:from>
      <xdr:col>17</xdr:col>
      <xdr:colOff>174252</xdr:colOff>
      <xdr:row>5</xdr:row>
      <xdr:rowOff>41462</xdr:rowOff>
    </xdr:from>
    <xdr:to>
      <xdr:col>23</xdr:col>
      <xdr:colOff>23533</xdr:colOff>
      <xdr:row>7</xdr:row>
      <xdr:rowOff>23533</xdr:rowOff>
    </xdr:to>
    <xdr:sp macro="" textlink="">
      <xdr:nvSpPr>
        <xdr:cNvPr id="114" name="TextBox 113">
          <a:extLst>
            <a:ext uri="{FF2B5EF4-FFF2-40B4-BE49-F238E27FC236}">
              <a16:creationId xmlns:a16="http://schemas.microsoft.com/office/drawing/2014/main" id="{7E9A1D15-040F-4459-B018-D9C3E57677DC}"/>
            </a:ext>
          </a:extLst>
        </xdr:cNvPr>
        <xdr:cNvSpPr txBox="1"/>
      </xdr:nvSpPr>
      <xdr:spPr>
        <a:xfrm>
          <a:off x="28739727" y="1413062"/>
          <a:ext cx="3506881" cy="4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15</xdr:col>
      <xdr:colOff>383836</xdr:colOff>
      <xdr:row>4</xdr:row>
      <xdr:rowOff>0</xdr:rowOff>
    </xdr:from>
    <xdr:to>
      <xdr:col>17</xdr:col>
      <xdr:colOff>92278</xdr:colOff>
      <xdr:row>7</xdr:row>
      <xdr:rowOff>136712</xdr:rowOff>
    </xdr:to>
    <xdr:pic>
      <xdr:nvPicPr>
        <xdr:cNvPr id="115" name="Picture 114">
          <a:extLst>
            <a:ext uri="{FF2B5EF4-FFF2-40B4-BE49-F238E27FC236}">
              <a16:creationId xmlns:a16="http://schemas.microsoft.com/office/drawing/2014/main" id="{FCB7C779-3C2F-41E0-B11D-4561FE82121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t="27" b="27"/>
        <a:stretch/>
      </xdr:blipFill>
      <xdr:spPr>
        <a:xfrm flipH="1">
          <a:off x="27730111" y="1123950"/>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2ECA612-42FC-4C0E-B4A0-ABEE123DC525}"/>
                </a:ext>
              </a:extLst>
            </xdr:cNvPr>
            <xdr:cNvSpPr txBox="1"/>
          </xdr:nvSpPr>
          <xdr:spPr>
            <a:xfrm>
              <a:off x="2671762" y="2148363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42ECA612-42FC-4C0E-B4A0-ABEE123DC525}"/>
                </a:ext>
              </a:extLst>
            </xdr:cNvPr>
            <xdr:cNvSpPr txBox="1"/>
          </xdr:nvSpPr>
          <xdr:spPr>
            <a:xfrm>
              <a:off x="2671762" y="2148363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𝐼_𝑗=(1.185+0.00454×𝑊_𝑗−0.0000026×𝑊_𝑗^2+0.315×𝐿𝑊𝐺_𝑗 )^2×𝑀𝑅_𝑗+𝑀𝐼_𝑗</a:t>
              </a:r>
              <a:endParaRPr lang="en-AU" sz="10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31EC72A-EBFC-48EC-B1FD-25225941E378}"/>
                </a:ext>
              </a:extLst>
            </xdr:cNvPr>
            <xdr:cNvSpPr txBox="1"/>
          </xdr:nvSpPr>
          <xdr:spPr>
            <a:xfrm>
              <a:off x="2709862" y="144637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×1.03×</m:t>
                        </m:r>
                        <m:r>
                          <a:rPr lang="en-AU" sz="1000" i="1">
                            <a:latin typeface="Cambria Math" panose="02040503050406030204" pitchFamily="18" charset="0"/>
                          </a:rPr>
                          <m:t>𝑁𝐸</m:t>
                        </m:r>
                      </m:num>
                      <m:den>
                        <m:r>
                          <a:rPr lang="en-AU" sz="1000" i="1">
                            <a:latin typeface="Cambria Math" panose="02040503050406030204" pitchFamily="18" charset="0"/>
                          </a:rPr>
                          <m:t>𝐺𝐸𝐶</m:t>
                        </m:r>
                        <m:r>
                          <a:rPr lang="en-AU" sz="1000" i="1">
                            <a:latin typeface="Cambria Math" panose="02040503050406030204" pitchFamily="18" charset="0"/>
                          </a:rPr>
                          <m:t>×</m:t>
                        </m:r>
                        <m:r>
                          <a:rPr lang="en-AU" sz="1000" i="1">
                            <a:latin typeface="Cambria Math" panose="02040503050406030204" pitchFamily="18" charset="0"/>
                          </a:rPr>
                          <m:t>𝑘</m:t>
                        </m:r>
                        <m:r>
                          <a:rPr lang="en-AU" sz="1000" i="1">
                            <a:latin typeface="Cambria Math" panose="02040503050406030204" pitchFamily="18" charset="0"/>
                          </a:rPr>
                          <m:t>×</m:t>
                        </m:r>
                        <m:r>
                          <a:rPr lang="en-AU" sz="1000" i="1">
                            <a:latin typeface="Cambria Math" panose="02040503050406030204" pitchFamily="18" charset="0"/>
                          </a:rPr>
                          <m:t>𝑞</m:t>
                        </m:r>
                        <m:sSub>
                          <m:sSubPr>
                            <m:ctrlPr>
                              <a:rPr lang="en-AU" sz="1000" i="1">
                                <a:latin typeface="Cambria Math" panose="02040503050406030204" pitchFamily="18" charset="0"/>
                              </a:rPr>
                            </m:ctrlPr>
                          </m:sSubPr>
                          <m:e>
                            <m:r>
                              <a:rPr lang="en-AU" sz="1000" i="1">
                                <a:latin typeface="Cambria Math" panose="02040503050406030204" pitchFamily="18" charset="0"/>
                              </a:rPr>
                              <m:t>𝑚</m:t>
                            </m:r>
                          </m:e>
                          <m:sub>
                            <m:r>
                              <a:rPr lang="en-AU" sz="1000" i="1">
                                <a:latin typeface="Cambria Math" panose="02040503050406030204" pitchFamily="18" charset="0"/>
                              </a:rPr>
                              <m:t>𝑗</m:t>
                            </m:r>
                          </m:sub>
                        </m:sSub>
                      </m:den>
                    </m:f>
                  </m:oMath>
                </m:oMathPara>
              </a14:m>
              <a:endParaRPr lang="en-AU" sz="1000"/>
            </a:p>
          </xdr:txBody>
        </xdr:sp>
      </mc:Choice>
      <mc:Fallback xmlns="">
        <xdr:sp macro="" textlink="">
          <xdr:nvSpPr>
            <xdr:cNvPr id="3" name="TextBox 2">
              <a:extLst>
                <a:ext uri="{FF2B5EF4-FFF2-40B4-BE49-F238E27FC236}">
                  <a16:creationId xmlns:a16="http://schemas.microsoft.com/office/drawing/2014/main" id="{831EC72A-EBFC-48EC-B1FD-25225941E378}"/>
                </a:ext>
              </a:extLst>
            </xdr:cNvPr>
            <xdr:cNvSpPr txBox="1"/>
          </xdr:nvSpPr>
          <xdr:spPr>
            <a:xfrm>
              <a:off x="2709862" y="144637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𝑀𝐼_𝑗=(𝑀𝑃_𝑗×1.03×𝑁𝐸)/(𝐺𝐸𝐶×𝑘×𝑞𝑚_𝑗 )</a:t>
              </a:r>
              <a:endParaRPr lang="en-AU" sz="10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1553063-B10A-45B6-AA7E-2B6B90619EED}"/>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𝑞</m:t>
                    </m:r>
                    <m:sSub>
                      <m:sSubPr>
                        <m:ctrlPr>
                          <a:rPr lang="en-AU" sz="1000" i="1">
                            <a:latin typeface="Cambria Math" panose="02040503050406030204" pitchFamily="18" charset="0"/>
                          </a:rPr>
                        </m:ctrlPr>
                      </m:sSubPr>
                      <m:e>
                        <m:r>
                          <a:rPr lang="en-AU" sz="1000" i="1">
                            <a:latin typeface="Cambria Math" panose="02040503050406030204" pitchFamily="18" charset="0"/>
                          </a:rPr>
                          <m:t>𝑚</m:t>
                        </m:r>
                      </m:e>
                      <m:sub>
                        <m:r>
                          <a:rPr lang="en-AU" sz="1000" i="1">
                            <a:latin typeface="Cambria Math" panose="02040503050406030204" pitchFamily="18" charset="0"/>
                          </a:rPr>
                          <m:t>𝑗</m:t>
                        </m:r>
                      </m:sub>
                    </m:sSub>
                    <m:r>
                      <a:rPr lang="en-AU" sz="1000" i="1">
                        <a:latin typeface="Cambria Math" panose="02040503050406030204" pitchFamily="18" charset="0"/>
                      </a:rPr>
                      <m:t>=0.00795×</m:t>
                    </m:r>
                    <m:d>
                      <m:dPr>
                        <m:ctrlPr>
                          <a:rPr lang="en-AU" sz="1000" i="1">
                            <a:latin typeface="Cambria Math" panose="02040503050406030204" pitchFamily="18" charset="0"/>
                          </a:rPr>
                        </m:ctrlPr>
                      </m:dPr>
                      <m:e>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×100</m:t>
                        </m:r>
                      </m:e>
                    </m:d>
                    <m:r>
                      <a:rPr lang="en-AU" sz="1000" i="1">
                        <a:latin typeface="Cambria Math" panose="02040503050406030204" pitchFamily="18" charset="0"/>
                      </a:rPr>
                      <m:t>−0.0014</m:t>
                    </m:r>
                  </m:oMath>
                </m:oMathPara>
              </a14:m>
              <a:endParaRPr lang="en-AU" sz="1000"/>
            </a:p>
          </xdr:txBody>
        </xdr:sp>
      </mc:Choice>
      <mc:Fallback xmlns="">
        <xdr:sp macro="" textlink="">
          <xdr:nvSpPr>
            <xdr:cNvPr id="4" name="TextBox 3">
              <a:extLst>
                <a:ext uri="{FF2B5EF4-FFF2-40B4-BE49-F238E27FC236}">
                  <a16:creationId xmlns:a16="http://schemas.microsoft.com/office/drawing/2014/main" id="{41553063-B10A-45B6-AA7E-2B6B90619EED}"/>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𝑞𝑚_𝑗=0.00795×(𝐷𝑀𝐷_𝑗×100)−0.0014</a:t>
              </a:r>
              <a:endParaRPr lang="en-AU" sz="10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CE1A039-7094-4993-9B19-4C785C98F21E}"/>
                </a:ext>
              </a:extLst>
            </xdr:cNvPr>
            <xdr:cNvSpPr txBox="1"/>
          </xdr:nvSpPr>
          <xdr:spPr>
            <a:xfrm>
              <a:off x="2717987" y="30224505"/>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=20.7×</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5CE1A039-7094-4993-9B19-4C785C98F21E}"/>
                </a:ext>
              </a:extLst>
            </xdr:cNvPr>
            <xdr:cNvSpPr txBox="1"/>
          </xdr:nvSpPr>
          <xdr:spPr>
            <a:xfrm>
              <a:off x="2717987" y="30224505"/>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𝑀_𝑗=20.7×𝐼_𝑗×10^(−3)</a:t>
              </a:r>
              <a:endParaRPr lang="en-AU" sz="10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FF33681-F434-49BB-B978-D66F3BEC087A}"/>
                </a:ext>
              </a:extLst>
            </xdr:cNvPr>
            <xdr:cNvSpPr txBox="1"/>
          </xdr:nvSpPr>
          <xdr:spPr>
            <a:xfrm>
              <a:off x="2677547" y="3471942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=1,2,4</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=3,5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𝑀𝑃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𝐸𝑁𝑇𝐸𝑅𝐼𝐶</m:t>
                                    </m:r>
                                    <m:r>
                                      <a:rPr lang="en-AU" sz="1000" i="1">
                                        <a:latin typeface="Cambria Math" panose="02040503050406030204" pitchFamily="18" charset="0"/>
                                      </a:rPr>
                                      <m:t>,</m:t>
                                    </m:r>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𝐷𝑃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r>
                                      <a:rPr lang="en-AU" sz="1000" i="1">
                                        <a:latin typeface="Cambria Math" panose="02040503050406030204" pitchFamily="18" charset="0"/>
                                      </a:rPr>
                                      <m:t>=3,5</m:t>
                                    </m:r>
                                  </m:sub>
                                </m:sSub>
                              </m:e>
                            </m:d>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8FF33681-F434-49BB-B978-D66F3BEC087A}"/>
                </a:ext>
              </a:extLst>
            </xdr:cNvPr>
            <xdr:cNvSpPr txBox="1"/>
          </xdr:nvSpPr>
          <xdr:spPr>
            <a:xfrm>
              <a:off x="2677547" y="3471942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0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829B3A7-4555-4255-8C9C-3CE32685D3FA}"/>
                </a:ext>
              </a:extLst>
            </xdr:cNvPr>
            <xdr:cNvSpPr txBox="1"/>
          </xdr:nvSpPr>
          <xdr:spPr>
            <a:xfrm>
              <a:off x="2671976" y="3526370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1" i="1">
                            <a:solidFill>
                              <a:srgbClr val="C00000"/>
                            </a:solidFill>
                            <a:latin typeface="Cambria Math" panose="02040503050406030204" pitchFamily="18" charset="0"/>
                          </a:rPr>
                        </m:ctrlPr>
                      </m:sSubPr>
                      <m:e>
                        <m:r>
                          <a:rPr lang="en-AU" sz="1000" b="1" i="1">
                            <a:solidFill>
                              <a:srgbClr val="C00000"/>
                            </a:solidFill>
                            <a:latin typeface="Cambria Math" panose="02040503050406030204" pitchFamily="18" charset="0"/>
                          </a:rPr>
                          <m:t>𝑶𝑹𝑰𝑮𝑰𝑵𝑨𝑳</m:t>
                        </m:r>
                        <m:r>
                          <a:rPr lang="en-AU" sz="1000" b="1"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=1,2,4</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=3,5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𝑀𝑃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𝐸𝑁𝑇𝐸𝑅𝐼𝐶</m:t>
                                    </m:r>
                                    <m:r>
                                      <a:rPr lang="en-AU" sz="1000" i="1">
                                        <a:latin typeface="Cambria Math" panose="02040503050406030204" pitchFamily="18" charset="0"/>
                                      </a:rPr>
                                      <m:t>,</m:t>
                                    </m:r>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=3,5</m:t>
                                    </m:r>
                                  </m:sub>
                                </m:sSub>
                              </m:e>
                            </m:d>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8829B3A7-4555-4255-8C9C-3CE32685D3FA}"/>
                </a:ext>
              </a:extLst>
            </xdr:cNvPr>
            <xdr:cNvSpPr txBox="1"/>
          </xdr:nvSpPr>
          <xdr:spPr>
            <a:xfrm>
              <a:off x="2671976" y="3526370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1" i="0">
                  <a:solidFill>
                    <a:srgbClr val="C00000"/>
                  </a:solidFill>
                  <a:latin typeface="Cambria Math" panose="02040503050406030204" pitchFamily="18" charset="0"/>
                </a:rPr>
                <a:t>〖𝑶𝑹𝑰𝑮𝑰𝑵𝑨𝑳: </a:t>
              </a:r>
              <a:r>
                <a:rPr lang="en-AU" sz="1000" i="0">
                  <a:latin typeface="Cambria Math" panose="02040503050406030204" pitchFamily="18" charset="0"/>
                </a:rPr>
                <a:t>𝐸</a:t>
              </a:r>
              <a:r>
                <a:rPr lang="en-AU" sz="1000" b="1" i="0">
                  <a:solidFill>
                    <a:srgbClr val="C00000"/>
                  </a:solidFill>
                  <a:latin typeface="Cambria Math" panose="02040503050406030204" pitchFamily="18" charset="0"/>
                </a:rPr>
                <a:t>〗_</a:t>
              </a:r>
              <a:r>
                <a:rPr lang="en-AU" sz="1000" i="0">
                  <a:latin typeface="Cambria Math" panose="02040503050406030204" pitchFamily="18" charset="0"/>
                </a:rPr>
                <a:t>𝑒𝑛𝑡𝑒𝑟𝑖𝑐=∑2_𝑗▒((𝑁_(𝑗=1,2,4)×𝑀_(𝑗=1,2,4)×𝐷_(𝑗=1,2,4) )+(𝑁_(𝑗=3,5)×𝑀_(𝑗=3,5)×𝐷_(𝑗=3,5) )+(𝑁_(𝑗=3,5)×𝑀𝑃𝑊_(𝐸𝑁𝑇𝐸𝑅𝐼𝐶,𝑗=3,5)×𝐷_(𝑗=3,5) )) ×10^(−3)</a:t>
              </a:r>
              <a:endParaRPr lang="en-AU" sz="10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AB554B2-4D6D-448E-A399-0476FFA7EA00}"/>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num>
                      <m:den>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𝑃</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m:t>
                                </m:r>
                              </m:sub>
                            </m:sSub>
                          </m:e>
                        </m:d>
                      </m:den>
                    </m:f>
                  </m:oMath>
                </m:oMathPara>
              </a14:m>
              <a:endParaRPr lang="en-AU" sz="1000"/>
            </a:p>
          </xdr:txBody>
        </xdr:sp>
      </mc:Choice>
      <mc:Fallback xmlns="">
        <xdr:sp macro="" textlink="">
          <xdr:nvSpPr>
            <xdr:cNvPr id="8" name="TextBox 7">
              <a:extLst>
                <a:ext uri="{FF2B5EF4-FFF2-40B4-BE49-F238E27FC236}">
                  <a16:creationId xmlns:a16="http://schemas.microsoft.com/office/drawing/2014/main" id="{2AB554B2-4D6D-448E-A399-0476FFA7EA00}"/>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𝑀𝑃_𝑗=(𝑀𝑆_𝑗)/(0.01×(𝐹𝐶_𝑗+𝑃𝐶_𝑗 )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622525B-E1CF-4737-9C49-DF5216BC493B}"/>
                </a:ext>
              </a:extLst>
            </xdr:cNvPr>
            <xdr:cNvSpPr txBox="1"/>
          </xdr:nvSpPr>
          <xdr:spPr>
            <a:xfrm>
              <a:off x="2690812" y="2994183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0.04×</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𝐴</m:t>
                        </m:r>
                      </m:e>
                    </m:d>
                  </m:oMath>
                </m:oMathPara>
              </a14:m>
              <a:endParaRPr lang="en-AU" sz="1000"/>
            </a:p>
          </xdr:txBody>
        </xdr:sp>
      </mc:Choice>
      <mc:Fallback xmlns="">
        <xdr:sp macro="" textlink="">
          <xdr:nvSpPr>
            <xdr:cNvPr id="2" name="TextBox 1">
              <a:extLst>
                <a:ext uri="{FF2B5EF4-FFF2-40B4-BE49-F238E27FC236}">
                  <a16:creationId xmlns:a16="http://schemas.microsoft.com/office/drawing/2014/main" id="{A622525B-E1CF-4737-9C49-DF5216BC493B}"/>
                </a:ext>
              </a:extLst>
            </xdr:cNvPr>
            <xdr:cNvSpPr txBox="1"/>
          </xdr:nvSpPr>
          <xdr:spPr>
            <a:xfrm>
              <a:off x="2690812" y="2994183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𝑉𝑆_𝑗=(𝐼_𝑗×(1−𝐷𝑀𝐷_𝑗 )+(0.04×𝐼_𝑗 ))×(1−𝐴)</a:t>
              </a:r>
              <a:endParaRPr lang="en-AU" sz="10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15F8FEF-23E9-4D5F-869F-FEA425CB0F68}"/>
                </a:ext>
              </a:extLst>
            </xdr:cNvPr>
            <xdr:cNvSpPr txBox="1"/>
          </xdr:nvSpPr>
          <xdr:spPr>
            <a:xfrm>
              <a:off x="2671762" y="212359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D15F8FEF-23E9-4D5F-869F-FEA425CB0F68}"/>
                </a:ext>
              </a:extLst>
            </xdr:cNvPr>
            <xdr:cNvSpPr txBox="1"/>
          </xdr:nvSpPr>
          <xdr:spPr>
            <a:xfrm>
              <a:off x="2671762" y="212359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𝐼_𝑗=(1.185+0.00454×𝑊_𝑗−0.0000026×𝑊_𝑗^2+0.315×𝐿𝑊𝐺_𝑗 )^2×𝑀𝑅_𝑗+𝑀𝐼_𝑗</a:t>
              </a:r>
              <a:endParaRPr lang="en-AU" sz="10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5F30D07-2F8A-4B35-8727-5841DC083158}"/>
                </a:ext>
              </a:extLst>
            </xdr:cNvPr>
            <xdr:cNvSpPr txBox="1"/>
          </xdr:nvSpPr>
          <xdr:spPr>
            <a:xfrm>
              <a:off x="2690812" y="140446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×1.03×</m:t>
                        </m:r>
                        <m:r>
                          <a:rPr lang="en-AU" sz="1000" i="1">
                            <a:latin typeface="Cambria Math" panose="02040503050406030204" pitchFamily="18" charset="0"/>
                          </a:rPr>
                          <m:t>𝑁𝐸</m:t>
                        </m:r>
                      </m:num>
                      <m:den>
                        <m:r>
                          <a:rPr lang="en-AU" sz="1000" i="1">
                            <a:latin typeface="Cambria Math" panose="02040503050406030204" pitchFamily="18" charset="0"/>
                          </a:rPr>
                          <m:t>𝐺𝐸𝐶</m:t>
                        </m:r>
                        <m:r>
                          <a:rPr lang="en-AU" sz="1000" i="1">
                            <a:latin typeface="Cambria Math" panose="02040503050406030204" pitchFamily="18" charset="0"/>
                          </a:rPr>
                          <m:t>×</m:t>
                        </m:r>
                        <m:r>
                          <a:rPr lang="en-AU" sz="1000" i="1">
                            <a:latin typeface="Cambria Math" panose="02040503050406030204" pitchFamily="18" charset="0"/>
                          </a:rPr>
                          <m:t>𝑘</m:t>
                        </m:r>
                        <m:r>
                          <a:rPr lang="en-AU" sz="1000" i="1">
                            <a:latin typeface="Cambria Math" panose="02040503050406030204" pitchFamily="18" charset="0"/>
                          </a:rPr>
                          <m:t>×</m:t>
                        </m:r>
                        <m:r>
                          <a:rPr lang="en-AU" sz="1000" i="1">
                            <a:latin typeface="Cambria Math" panose="02040503050406030204" pitchFamily="18" charset="0"/>
                          </a:rPr>
                          <m:t>𝑞</m:t>
                        </m:r>
                        <m:sSub>
                          <m:sSubPr>
                            <m:ctrlPr>
                              <a:rPr lang="en-AU" sz="1000" i="1">
                                <a:latin typeface="Cambria Math" panose="02040503050406030204" pitchFamily="18" charset="0"/>
                              </a:rPr>
                            </m:ctrlPr>
                          </m:sSubPr>
                          <m:e>
                            <m:r>
                              <a:rPr lang="en-AU" sz="1000" i="1">
                                <a:latin typeface="Cambria Math" panose="02040503050406030204" pitchFamily="18" charset="0"/>
                              </a:rPr>
                              <m:t>𝑚</m:t>
                            </m:r>
                          </m:e>
                          <m:sub>
                            <m:r>
                              <a:rPr lang="en-AU" sz="1000" i="1">
                                <a:latin typeface="Cambria Math" panose="02040503050406030204" pitchFamily="18" charset="0"/>
                              </a:rPr>
                              <m:t>𝑗</m:t>
                            </m:r>
                          </m:sub>
                        </m:sSub>
                      </m:den>
                    </m:f>
                  </m:oMath>
                </m:oMathPara>
              </a14:m>
              <a:endParaRPr lang="en-AU" sz="1000"/>
            </a:p>
          </xdr:txBody>
        </xdr:sp>
      </mc:Choice>
      <mc:Fallback xmlns="">
        <xdr:sp macro="" textlink="">
          <xdr:nvSpPr>
            <xdr:cNvPr id="4" name="TextBox 3">
              <a:extLst>
                <a:ext uri="{FF2B5EF4-FFF2-40B4-BE49-F238E27FC236}">
                  <a16:creationId xmlns:a16="http://schemas.microsoft.com/office/drawing/2014/main" id="{F5F30D07-2F8A-4B35-8727-5841DC083158}"/>
                </a:ext>
              </a:extLst>
            </xdr:cNvPr>
            <xdr:cNvSpPr txBox="1"/>
          </xdr:nvSpPr>
          <xdr:spPr>
            <a:xfrm>
              <a:off x="2690812" y="140446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𝑀𝐼_𝑗=(𝑀𝑃_𝑗×1.03×𝑁𝐸)/(𝐺𝐸𝐶×𝑘×𝑞𝑚_𝑗 )</a:t>
              </a:r>
              <a:endParaRPr lang="en-AU" sz="10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20D68DD-33D8-4841-9E0C-712811B5BF80}"/>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𝑞</m:t>
                    </m:r>
                    <m:sSub>
                      <m:sSubPr>
                        <m:ctrlPr>
                          <a:rPr lang="en-AU" sz="1000" i="1">
                            <a:latin typeface="Cambria Math" panose="02040503050406030204" pitchFamily="18" charset="0"/>
                          </a:rPr>
                        </m:ctrlPr>
                      </m:sSubPr>
                      <m:e>
                        <m:r>
                          <a:rPr lang="en-AU" sz="1000" i="1">
                            <a:latin typeface="Cambria Math" panose="02040503050406030204" pitchFamily="18" charset="0"/>
                          </a:rPr>
                          <m:t>𝑚</m:t>
                        </m:r>
                      </m:e>
                      <m:sub>
                        <m:r>
                          <a:rPr lang="en-AU" sz="1000" i="1">
                            <a:latin typeface="Cambria Math" panose="02040503050406030204" pitchFamily="18" charset="0"/>
                          </a:rPr>
                          <m:t>𝑗</m:t>
                        </m:r>
                      </m:sub>
                    </m:sSub>
                    <m:r>
                      <a:rPr lang="en-AU" sz="1000" i="1">
                        <a:latin typeface="Cambria Math" panose="02040503050406030204" pitchFamily="18" charset="0"/>
                      </a:rPr>
                      <m:t>=0.00795×</m:t>
                    </m:r>
                    <m:d>
                      <m:dPr>
                        <m:ctrlPr>
                          <a:rPr lang="en-AU" sz="1000" i="1">
                            <a:latin typeface="Cambria Math" panose="02040503050406030204" pitchFamily="18" charset="0"/>
                          </a:rPr>
                        </m:ctrlPr>
                      </m:dPr>
                      <m:e>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×100</m:t>
                        </m:r>
                      </m:e>
                    </m:d>
                    <m:r>
                      <a:rPr lang="en-AU" sz="1000" i="1">
                        <a:latin typeface="Cambria Math" panose="02040503050406030204" pitchFamily="18" charset="0"/>
                      </a:rPr>
                      <m:t>−0.0014</m:t>
                    </m:r>
                  </m:oMath>
                </m:oMathPara>
              </a14:m>
              <a:endParaRPr lang="en-AU" sz="1000"/>
            </a:p>
          </xdr:txBody>
        </xdr:sp>
      </mc:Choice>
      <mc:Fallback xmlns="">
        <xdr:sp macro="" textlink="">
          <xdr:nvSpPr>
            <xdr:cNvPr id="5" name="TextBox 4">
              <a:extLst>
                <a:ext uri="{FF2B5EF4-FFF2-40B4-BE49-F238E27FC236}">
                  <a16:creationId xmlns:a16="http://schemas.microsoft.com/office/drawing/2014/main" id="{820D68DD-33D8-4841-9E0C-712811B5BF80}"/>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𝑞𝑚_𝑗=0.00795×(𝐷𝑀𝐷_𝑗×100)−0.0014</a:t>
              </a:r>
              <a:endParaRPr lang="en-AU" sz="10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FFC9EBB-DFF8-4DD7-8904-A61A1817ECB7}"/>
                </a:ext>
              </a:extLst>
            </xdr:cNvPr>
            <xdr:cNvSpPr txBox="1"/>
          </xdr:nvSpPr>
          <xdr:spPr>
            <a:xfrm>
              <a:off x="2690812" y="346852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e>
                    </m:d>
                  </m:oMath>
                </m:oMathPara>
              </a14:m>
              <a:endParaRPr lang="en-AU" sz="1000"/>
            </a:p>
          </xdr:txBody>
        </xdr:sp>
      </mc:Choice>
      <mc:Fallback xmlns="">
        <xdr:sp macro="" textlink="">
          <xdr:nvSpPr>
            <xdr:cNvPr id="6" name="TextBox 5">
              <a:extLst>
                <a:ext uri="{FF2B5EF4-FFF2-40B4-BE49-F238E27FC236}">
                  <a16:creationId xmlns:a16="http://schemas.microsoft.com/office/drawing/2014/main" id="{2FFC9EBB-DFF8-4DD7-8904-A61A1817ECB7}"/>
                </a:ext>
              </a:extLst>
            </xdr:cNvPr>
            <xdr:cNvSpPr txBox="1"/>
          </xdr:nvSpPr>
          <xdr:spPr>
            <a:xfrm>
              <a:off x="2690812" y="346852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𝐹𝑉𝑆_𝑗𝑚=𝑀𝑀𝑆_𝑗𝑚×(1−𝑆𝑆_𝑚 )</a:t>
              </a:r>
              <a:endParaRPr lang="en-AU" sz="10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21FF959-E397-47F5-AF44-7DD44D436C86}"/>
                </a:ext>
              </a:extLst>
            </xdr:cNvPr>
            <xdr:cNvSpPr txBox="1"/>
          </xdr:nvSpPr>
          <xdr:spPr>
            <a:xfrm>
              <a:off x="10425112" y="4635341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44340"/>
                        </a:solidFill>
                        <a:latin typeface="Cambria Math" panose="02040503050406030204" pitchFamily="18" charset="0"/>
                      </a:rPr>
                      <m:t>Original</m:t>
                    </m:r>
                    <m:r>
                      <a:rPr lang="en-AU" sz="1000" b="0" i="1">
                        <a:solidFill>
                          <a:srgbClr val="C44340"/>
                        </a:solidFill>
                        <a:latin typeface="Cambria Math" panose="02040503050406030204" pitchFamily="18" charset="0"/>
                      </a:rPr>
                      <m:t> </m:t>
                    </m:r>
                    <m:r>
                      <m:rPr>
                        <m:sty m:val="p"/>
                      </m:rPr>
                      <a:rPr lang="en-AU" sz="1000" b="0" i="1">
                        <a:solidFill>
                          <a:srgbClr val="C44340"/>
                        </a:solidFill>
                        <a:latin typeface="Cambria Math" panose="02040503050406030204" pitchFamily="18" charset="0"/>
                      </a:rPr>
                      <m:t>equation</m:t>
                    </m:r>
                    <m:r>
                      <a:rPr lang="en-AU" sz="1000" b="0" i="1">
                        <a:solidFill>
                          <a:srgbClr val="C44340"/>
                        </a:solidFill>
                        <a:latin typeface="Cambria Math" panose="02040503050406030204" pitchFamily="18" charset="0"/>
                      </a:rPr>
                      <m:t>: </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=4</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=4</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=1,7,9</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e>
                    </m:d>
                  </m:oMath>
                </m:oMathPara>
              </a14:m>
              <a:endParaRPr lang="en-AU" sz="1000"/>
            </a:p>
          </xdr:txBody>
        </xdr:sp>
      </mc:Choice>
      <mc:Fallback xmlns="">
        <xdr:sp macro="" textlink="">
          <xdr:nvSpPr>
            <xdr:cNvPr id="7" name="TextBox 6">
              <a:extLst>
                <a:ext uri="{FF2B5EF4-FFF2-40B4-BE49-F238E27FC236}">
                  <a16:creationId xmlns:a16="http://schemas.microsoft.com/office/drawing/2014/main" id="{D21FF959-E397-47F5-AF44-7DD44D436C86}"/>
                </a:ext>
              </a:extLst>
            </xdr:cNvPr>
            <xdr:cNvSpPr txBox="1"/>
          </xdr:nvSpPr>
          <xdr:spPr>
            <a:xfrm>
              <a:off x="10425112" y="4635341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44340"/>
                  </a:solidFill>
                  <a:latin typeface="Cambria Math" panose="02040503050406030204" pitchFamily="18" charset="0"/>
                </a:rPr>
                <a:t>Original equation: </a:t>
              </a:r>
              <a:r>
                <a:rPr lang="en-AU" sz="1000" i="0">
                  <a:latin typeface="Cambria Math" panose="02040503050406030204" pitchFamily="18" charset="0"/>
                </a:rPr>
                <a:t>𝐹𝑉𝑆_(𝑗𝑚=4)=𝑀𝑀𝑆_(𝑗𝑚=4)+(𝑀𝑀𝑆_(𝑗𝑚=1,7,9)×𝑆𝑆_𝑚 )</a:t>
              </a:r>
              <a:endParaRPr lang="en-AU" sz="10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8729C16-3230-4899-91D5-40239D58E113}"/>
                </a:ext>
              </a:extLst>
            </xdr:cNvPr>
            <xdr:cNvSpPr txBox="1"/>
          </xdr:nvSpPr>
          <xdr:spPr>
            <a:xfrm>
              <a:off x="2638425" y="463248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=4</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=4</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=7</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=7</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=9</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=9</m:t>
                            </m:r>
                          </m:sub>
                        </m:sSub>
                      </m:e>
                    </m:d>
                  </m:oMath>
                </m:oMathPara>
              </a14:m>
              <a:endParaRPr lang="en-AU" sz="1000"/>
            </a:p>
          </xdr:txBody>
        </xdr:sp>
      </mc:Choice>
      <mc:Fallback xmlns="">
        <xdr:sp macro="" textlink="">
          <xdr:nvSpPr>
            <xdr:cNvPr id="8" name="TextBox 7">
              <a:extLst>
                <a:ext uri="{FF2B5EF4-FFF2-40B4-BE49-F238E27FC236}">
                  <a16:creationId xmlns:a16="http://schemas.microsoft.com/office/drawing/2014/main" id="{68729C16-3230-4899-91D5-40239D58E113}"/>
                </a:ext>
              </a:extLst>
            </xdr:cNvPr>
            <xdr:cNvSpPr txBox="1"/>
          </xdr:nvSpPr>
          <xdr:spPr>
            <a:xfrm>
              <a:off x="2638425" y="463248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𝐹𝑉𝑆_(𝑗𝑚=4)=𝑀𝑀𝑆_(𝑗𝑚=4)+(𝑀𝑀𝑆_(𝑗𝑚=1)×𝑆𝑆_(𝑚=1) )+(𝑀𝑀𝑆_(𝑗𝑚=7)×𝑆𝑆_(𝑚=7) )+(𝑀𝑀𝑆_(𝑗𝑚=9)×𝑆𝑆_(𝑚=9) )</a:t>
              </a:r>
              <a:endParaRPr lang="en-AU" sz="10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FFF30D-CEF9-4E36-AC13-DE76D1295EC9}"/>
                </a:ext>
              </a:extLst>
            </xdr:cNvPr>
            <xdr:cNvSpPr txBox="1"/>
          </xdr:nvSpPr>
          <xdr:spPr>
            <a:xfrm>
              <a:off x="2681287" y="5279231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𝐵</m:t>
                        </m:r>
                      </m:e>
                      <m:sub>
                        <m:r>
                          <a:rPr lang="en-AU" sz="1000" i="1">
                            <a:latin typeface="Cambria Math" panose="02040503050406030204" pitchFamily="18" charset="0"/>
                          </a:rPr>
                          <m:t>𝑜</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9" name="TextBox 8">
              <a:extLst>
                <a:ext uri="{FF2B5EF4-FFF2-40B4-BE49-F238E27FC236}">
                  <a16:creationId xmlns:a16="http://schemas.microsoft.com/office/drawing/2014/main" id="{63FFF30D-CEF9-4E36-AC13-DE76D1295EC9}"/>
                </a:ext>
              </a:extLst>
            </xdr:cNvPr>
            <xdr:cNvSpPr txBox="1"/>
          </xdr:nvSpPr>
          <xdr:spPr>
            <a:xfrm>
              <a:off x="2681287" y="5279231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𝑀_𝑗𝑚=𝑉𝑆_𝑗×𝐹𝑉𝑆_(𝑗𝑚,𝑇=1)×𝑀𝐶𝐹_𝑖𝑚×𝐵_𝑜×𝜌</a:t>
              </a:r>
              <a:endParaRPr lang="en-AU" sz="10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7F04115-7A91-4913-94DE-5BA4E9B25EBD}"/>
                </a:ext>
              </a:extLst>
            </xdr:cNvPr>
            <xdr:cNvSpPr txBox="1"/>
          </xdr:nvSpPr>
          <xdr:spPr>
            <a:xfrm>
              <a:off x="2690812" y="6270783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=1,2,4,</m:t>
                                        </m:r>
                                        <m:r>
                                          <a:rPr lang="en-AU" sz="1000" i="1">
                                            <a:latin typeface="Cambria Math" panose="02040503050406030204" pitchFamily="18" charset="0"/>
                                          </a:rPr>
                                          <m:t>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=1,2,4</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=3,5,</m:t>
                                        </m:r>
                                        <m:r>
                                          <a:rPr lang="en-AU" sz="1000" i="1">
                                            <a:latin typeface="Cambria Math" panose="02040503050406030204" pitchFamily="18" charset="0"/>
                                          </a:rPr>
                                          <m:t>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=3,5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𝑀𝑃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𝑚𝑎𝑛𝑢𝑟𝑒</m:t>
                                        </m:r>
                                        <m:r>
                                          <a:rPr lang="en-AU" sz="1000" i="1">
                                            <a:latin typeface="Cambria Math" panose="02040503050406030204" pitchFamily="18" charset="0"/>
                                          </a:rPr>
                                          <m:t>,</m:t>
                                        </m:r>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𝐷𝑃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r>
                                          <a:rPr lang="en-AU" sz="1000" i="1">
                                            <a:latin typeface="Cambria Math" panose="02040503050406030204" pitchFamily="18" charset="0"/>
                                          </a:rPr>
                                          <m:t>=3,5</m:t>
                                        </m:r>
                                      </m:sub>
                                    </m:sSub>
                                  </m:e>
                                </m:d>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0" name="TextBox 9">
              <a:extLst>
                <a:ext uri="{FF2B5EF4-FFF2-40B4-BE49-F238E27FC236}">
                  <a16:creationId xmlns:a16="http://schemas.microsoft.com/office/drawing/2014/main" id="{E7F04115-7A91-4913-94DE-5BA4E9B25EBD}"/>
                </a:ext>
              </a:extLst>
            </xdr:cNvPr>
            <xdr:cNvSpPr txBox="1"/>
          </xdr:nvSpPr>
          <xdr:spPr>
            <a:xfrm>
              <a:off x="2690812" y="6270783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0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150380E5-3C62-4E23-BB9A-5D48DC28AA2F}"/>
                </a:ext>
              </a:extLst>
            </xdr:cNvPr>
            <xdr:cNvSpPr txBox="1"/>
          </xdr:nvSpPr>
          <xdr:spPr>
            <a:xfrm>
              <a:off x="10872787" y="6268878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44340"/>
                            </a:solidFill>
                            <a:latin typeface="Cambria Math" panose="02040503050406030204" pitchFamily="18" charset="0"/>
                          </a:rPr>
                        </m:ctrlPr>
                      </m:sSubPr>
                      <m:e>
                        <m:r>
                          <m:rPr>
                            <m:sty m:val="p"/>
                          </m:rPr>
                          <a:rPr lang="en-AU" sz="1000" b="0" i="1">
                            <a:solidFill>
                              <a:srgbClr val="C44340"/>
                            </a:solidFill>
                            <a:latin typeface="Cambria Math" panose="02040503050406030204" pitchFamily="18" charset="0"/>
                          </a:rPr>
                          <m:t>ORIGINAL</m:t>
                        </m:r>
                        <m:r>
                          <a:rPr lang="en-AU" sz="1000" b="0" i="1">
                            <a:solidFill>
                              <a:srgbClr val="C4434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=1,2,4,</m:t>
                                        </m:r>
                                        <m:r>
                                          <a:rPr lang="en-AU" sz="1000" i="1">
                                            <a:latin typeface="Cambria Math" panose="02040503050406030204" pitchFamily="18" charset="0"/>
                                          </a:rPr>
                                          <m:t>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=1,2,4</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=3,5,</m:t>
                                        </m:r>
                                        <m:r>
                                          <a:rPr lang="en-AU" sz="1000" i="1">
                                            <a:latin typeface="Cambria Math" panose="02040503050406030204" pitchFamily="18" charset="0"/>
                                          </a:rPr>
                                          <m:t>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=3,5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𝑀𝑃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𝑚𝑎𝑛𝑢𝑟𝑒</m:t>
                                        </m:r>
                                        <m:r>
                                          <a:rPr lang="en-AU" sz="1000" i="1">
                                            <a:latin typeface="Cambria Math" panose="02040503050406030204" pitchFamily="18" charset="0"/>
                                          </a:rPr>
                                          <m:t>,</m:t>
                                        </m:r>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=3,5</m:t>
                                        </m:r>
                                      </m:sub>
                                    </m:sSub>
                                  </m:e>
                                </m:d>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150380E5-3C62-4E23-BB9A-5D48DC28AA2F}"/>
                </a:ext>
              </a:extLst>
            </xdr:cNvPr>
            <xdr:cNvSpPr txBox="1"/>
          </xdr:nvSpPr>
          <xdr:spPr>
            <a:xfrm>
              <a:off x="10872787" y="6268878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4434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44340"/>
                  </a:solidFill>
                  <a:latin typeface="Cambria Math" panose="02040503050406030204" pitchFamily="18" charset="0"/>
                </a:rPr>
                <a:t>〗_</a:t>
              </a:r>
              <a:r>
                <a:rPr lang="en-AU" sz="1000" i="0">
                  <a:latin typeface="Cambria Math" panose="02040503050406030204" pitchFamily="18" charset="0"/>
                </a:rPr>
                <a:t>𝐶𝐻4=∑2_𝑗▒∑2_𝑚▒((𝑁_(𝑗=1,2,4)×𝑀_(𝑗=1,2,4,𝑚)×𝐷_(𝑗=1,2,4) )+(𝑁_(𝑗=3,5)×𝑀_(𝑗=3,5,𝑚)×𝐷_(𝑗=3,5) )+(𝑁_(𝑗=3,5)×𝑀𝑃𝑊_(𝑚𝑎𝑛𝑢𝑟𝑒,𝑗=3,5)×𝐷_(𝑗=3,5) )) ×10^(−3)</a:t>
              </a:r>
              <a:endParaRPr lang="en-AU" sz="10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5CD5811D-FE88-4B4E-9C14-2E241649FE19}"/>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num>
                      <m:den>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𝑃</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m:t>
                                </m:r>
                              </m:sub>
                            </m:sSub>
                          </m:e>
                        </m:d>
                      </m:den>
                    </m:f>
                  </m:oMath>
                </m:oMathPara>
              </a14:m>
              <a:endParaRPr lang="en-AU" sz="1000"/>
            </a:p>
          </xdr:txBody>
        </xdr:sp>
      </mc:Choice>
      <mc:Fallback xmlns="">
        <xdr:sp macro="" textlink="">
          <xdr:nvSpPr>
            <xdr:cNvPr id="12" name="TextBox 11">
              <a:extLst>
                <a:ext uri="{FF2B5EF4-FFF2-40B4-BE49-F238E27FC236}">
                  <a16:creationId xmlns:a16="http://schemas.microsoft.com/office/drawing/2014/main" id="{5CD5811D-FE88-4B4E-9C14-2E241649FE19}"/>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𝑀𝑃_𝑗=(𝑀𝑆_𝑗)/(0.01×(𝐹𝐶_𝑗+𝑃𝐶_𝑗 )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F063E45-BFF6-4681-9F95-5B75F9CEF320}"/>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sub>
                        </m:sSub>
                      </m:num>
                      <m:den>
                        <m:r>
                          <a:rPr lang="en-AU" sz="1000" i="1">
                            <a:latin typeface="Cambria Math" panose="02040503050406030204" pitchFamily="18" charset="0"/>
                          </a:rPr>
                          <m:t>𝑊</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m:t>
                            </m:r>
                          </m:sub>
                        </m:sSub>
                      </m:den>
                    </m:f>
                  </m:oMath>
                </m:oMathPara>
              </a14:m>
              <a:endParaRPr lang="en-AU" sz="1000"/>
            </a:p>
          </xdr:txBody>
        </xdr:sp>
      </mc:Choice>
      <mc:Fallback xmlns="">
        <xdr:sp macro="" textlink="">
          <xdr:nvSpPr>
            <xdr:cNvPr id="2" name="TextBox 1">
              <a:extLst>
                <a:ext uri="{FF2B5EF4-FFF2-40B4-BE49-F238E27FC236}">
                  <a16:creationId xmlns:a16="http://schemas.microsoft.com/office/drawing/2014/main" id="{5F063E45-BFF6-4681-9F95-5B75F9CEF320}"/>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𝑍_𝑗=𝑊_𝑗/(𝑊𝑅_𝑗 )</a:t>
              </a:r>
              <a:endParaRPr lang="en-AU" sz="10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C34803F-5CCC-4429-B4E1-ACF6E063BD29}"/>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num>
                      <m:den>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m:t>
                                    </m:r>
                                  </m:sub>
                                  <m:sup>
                                    <m:r>
                                      <a:rPr lang="en-AU" sz="1000" i="1">
                                        <a:latin typeface="Cambria Math" panose="02040503050406030204" pitchFamily="18" charset="0"/>
                                      </a:rPr>
                                      <m:t>2</m:t>
                                    </m:r>
                                  </m:sup>
                                </m:sSubSup>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den>
                    </m:f>
                  </m:oMath>
                </m:oMathPara>
              </a14:m>
              <a:endParaRPr lang="en-AU" sz="1000"/>
            </a:p>
          </xdr:txBody>
        </xdr:sp>
      </mc:Choice>
      <mc:Fallback xmlns="">
        <xdr:sp macro="" textlink="">
          <xdr:nvSpPr>
            <xdr:cNvPr id="3" name="TextBox 2">
              <a:extLst>
                <a:ext uri="{FF2B5EF4-FFF2-40B4-BE49-F238E27FC236}">
                  <a16:creationId xmlns:a16="http://schemas.microsoft.com/office/drawing/2014/main" id="{7C34803F-5CCC-4429-B4E1-ACF6E063BD29}"/>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𝐿_𝑗=𝐼_𝑗/((1.185+0.00454×𝑊_𝑗−0.0000026×𝑊_𝑗^2 )^2×𝑀𝑅_𝑗+𝑀𝐼_𝑗 )</a:t>
              </a:r>
              <a:endParaRPr lang="en-AU" sz="10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1FCA51B-397E-40A0-9FB7-C563B28A1C95}"/>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×1.03</m:t>
                            </m:r>
                          </m:num>
                          <m:den>
                            <m:r>
                              <a:rPr lang="en-AU" sz="1000" i="1">
                                <a:latin typeface="Cambria Math" panose="02040503050406030204" pitchFamily="18" charset="0"/>
                              </a:rPr>
                              <m:t>6.38</m:t>
                            </m:r>
                          </m:den>
                        </m:f>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0.212−0.008×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m:t>
                                    </m:r>
                                  </m:sub>
                                </m:sSub>
                                <m:r>
                                  <a:rPr lang="en-AU" sz="1000" i="1">
                                    <a:latin typeface="Cambria Math" panose="02040503050406030204" pitchFamily="18" charset="0"/>
                                  </a:rPr>
                                  <m:t>−2</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f>
                                  <m:fPr>
                                    <m:ctrlPr>
                                      <a:rPr lang="en-AU" sz="1000" i="1">
                                        <a:latin typeface="Cambria Math" panose="02040503050406030204" pitchFamily="18" charset="0"/>
                                      </a:rPr>
                                    </m:ctrlPr>
                                  </m:fPr>
                                  <m:num>
                                    <m:r>
                                      <a:rPr lang="en-AU" sz="1000" i="1">
                                        <a:latin typeface="Cambria Math" panose="02040503050406030204" pitchFamily="18" charset="0"/>
                                      </a:rPr>
                                      <m:t>0.140−0.008×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m:t>
                                            </m:r>
                                          </m:sub>
                                        </m:sSub>
                                        <m:r>
                                          <a:rPr lang="en-AU" sz="1000" i="1">
                                            <a:latin typeface="Cambria Math" panose="02040503050406030204" pitchFamily="18" charset="0"/>
                                          </a:rPr>
                                          <m:t>−2</m:t>
                                        </m:r>
                                      </m:e>
                                    </m:d>
                                  </m:num>
                                  <m:den>
                                    <m:r>
                                      <a:rPr lang="en-AU" sz="1000" i="1">
                                        <a:latin typeface="Cambria Math" panose="02040503050406030204" pitchFamily="18" charset="0"/>
                                      </a:rPr>
                                      <m:t>1+</m:t>
                                    </m:r>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−6×</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m:t>
                                                </m:r>
                                              </m:sub>
                                            </m:sSub>
                                            <m:r>
                                              <a:rPr lang="en-AU" sz="1000" i="1">
                                                <a:latin typeface="Cambria Math" panose="02040503050406030204" pitchFamily="18" charset="0"/>
                                              </a:rPr>
                                              <m:t>−0.4</m:t>
                                            </m:r>
                                          </m:e>
                                        </m:d>
                                      </m:sup>
                                    </m:sSup>
                                  </m:den>
                                </m:f>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m:t>
                                </m:r>
                              </m:sub>
                            </m:sSub>
                            <m:r>
                              <a:rPr lang="en-AU" sz="1000" i="1">
                                <a:latin typeface="Cambria Math" panose="02040503050406030204" pitchFamily="18" charset="0"/>
                              </a:rPr>
                              <m:t>×0.92</m:t>
                            </m:r>
                          </m:e>
                        </m:d>
                      </m:e>
                    </m:d>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1</m:t>
                        </m:r>
                      </m:num>
                      <m:den>
                        <m:r>
                          <a:rPr lang="en-AU" sz="1000" i="1">
                            <a:latin typeface="Cambria Math" panose="02040503050406030204" pitchFamily="18" charset="0"/>
                          </a:rPr>
                          <m:t>6.25</m:t>
                        </m:r>
                      </m:den>
                    </m:f>
                  </m:oMath>
                </m:oMathPara>
              </a14:m>
              <a:endParaRPr lang="en-AU" sz="1000"/>
            </a:p>
          </xdr:txBody>
        </xdr:sp>
      </mc:Choice>
      <mc:Fallback xmlns="">
        <xdr:sp macro="" textlink="">
          <xdr:nvSpPr>
            <xdr:cNvPr id="4" name="TextBox 3">
              <a:extLst>
                <a:ext uri="{FF2B5EF4-FFF2-40B4-BE49-F238E27FC236}">
                  <a16:creationId xmlns:a16="http://schemas.microsoft.com/office/drawing/2014/main" id="{61FCA51B-397E-40A0-9FB7-C563B28A1C95}"/>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𝑁𝑅_𝑗=((0.032×𝑀𝑃_𝑗×1.03)/6.38)+{(0.212−0.008×(𝐿_𝑗−2)−[(0.140−0.008×(𝐿_𝑗−2))/(1+𝑒^(−6×(𝑍_𝑗−0.4) ) )])×(𝐿𝑊𝐺_𝑗×0.92)}×1/6.25</a:t>
              </a:r>
              <a:endParaRPr lang="en-AU" sz="10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BE26377-1D27-4533-8F3E-BE9F57EE3849}"/>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𝐶𝑃</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oMath>
                </m:oMathPara>
              </a14:m>
              <a:endParaRPr lang="en-AU" sz="1000"/>
            </a:p>
          </xdr:txBody>
        </xdr:sp>
      </mc:Choice>
      <mc:Fallback xmlns="">
        <xdr:sp macro="" textlink="">
          <xdr:nvSpPr>
            <xdr:cNvPr id="5" name="TextBox 4">
              <a:extLst>
                <a:ext uri="{FF2B5EF4-FFF2-40B4-BE49-F238E27FC236}">
                  <a16:creationId xmlns:a16="http://schemas.microsoft.com/office/drawing/2014/main" id="{5BE26377-1D27-4533-8F3E-BE9F57EE3849}"/>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𝐶𝑃𝐼_𝑗=𝐼_𝑗×𝐶𝑃_𝑗</a:t>
              </a:r>
              <a:endParaRPr lang="en-AU" sz="10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97D4443-8789-42CC-9D18-B14FA5424E40}"/>
                </a:ext>
              </a:extLst>
            </xdr:cNvPr>
            <xdr:cNvSpPr txBox="1"/>
          </xdr:nvSpPr>
          <xdr:spPr>
            <a:xfrm>
              <a:off x="2705100" y="3294221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r>
                              <a:rPr lang="en-AU" sz="1000" i="1">
                                <a:latin typeface="Cambria Math" panose="02040503050406030204" pitchFamily="18" charset="0"/>
                              </a:rPr>
                              <m:t>𝐶𝑃</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num>
                          <m:den>
                            <m:r>
                              <a:rPr lang="en-AU" sz="1000" i="1">
                                <a:latin typeface="Cambria Math" panose="02040503050406030204" pitchFamily="18" charset="0"/>
                              </a:rPr>
                              <m:t>6.25</m:t>
                            </m:r>
                          </m:den>
                        </m:f>
                      </m:e>
                    </m:d>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f>
                          <m:fPr>
                            <m:ctrlPr>
                              <a:rPr lang="en-AU" sz="1000" i="1">
                                <a:latin typeface="Cambria Math" panose="02040503050406030204" pitchFamily="18" charset="0"/>
                              </a:rPr>
                            </m:ctrlPr>
                          </m:fPr>
                          <m:num>
                            <m:r>
                              <a:rPr lang="en-AU" sz="1000" i="1">
                                <a:latin typeface="Cambria Math" panose="02040503050406030204" pitchFamily="18" charset="0"/>
                              </a:rPr>
                              <m:t>1.1×</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−4</m:t>
                                </m:r>
                              </m:sup>
                            </m:sSup>
                            <m:r>
                              <a:rPr lang="en-AU" sz="1000" i="1">
                                <a:latin typeface="Cambria Math" panose="02040503050406030204" pitchFamily="18" charset="0"/>
                              </a:rPr>
                              <m:t>×</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m:t>
                                </m:r>
                              </m:sub>
                              <m:sup>
                                <m:r>
                                  <a:rPr lang="en-AU" sz="1000" i="1">
                                    <a:latin typeface="Cambria Math" panose="02040503050406030204" pitchFamily="18" charset="0"/>
                                  </a:rPr>
                                  <m:t>0.75</m:t>
                                </m:r>
                              </m:sup>
                            </m:sSubSup>
                          </m:num>
                          <m:den>
                            <m:r>
                              <a:rPr lang="en-AU" sz="1000" i="1">
                                <a:latin typeface="Cambria Math" panose="02040503050406030204" pitchFamily="18" charset="0"/>
                              </a:rPr>
                              <m:t>6.25</m:t>
                            </m:r>
                          </m:den>
                        </m:f>
                      </m:e>
                    </m:d>
                  </m:oMath>
                </m:oMathPara>
              </a14:m>
              <a:endParaRPr lang="en-AU" sz="1000"/>
            </a:p>
          </xdr:txBody>
        </xdr:sp>
      </mc:Choice>
      <mc:Fallback xmlns="">
        <xdr:sp macro="" textlink="">
          <xdr:nvSpPr>
            <xdr:cNvPr id="6" name="TextBox 5">
              <a:extLst>
                <a:ext uri="{FF2B5EF4-FFF2-40B4-BE49-F238E27FC236}">
                  <a16:creationId xmlns:a16="http://schemas.microsoft.com/office/drawing/2014/main" id="{597D4443-8789-42CC-9D18-B14FA5424E40}"/>
                </a:ext>
              </a:extLst>
            </xdr:cNvPr>
            <xdr:cNvSpPr txBox="1"/>
          </xdr:nvSpPr>
          <xdr:spPr>
            <a:xfrm>
              <a:off x="2705100" y="3294221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𝑁𝐸_𝑗=((𝐶𝑃𝐼_𝑗)/6.25)−𝑁𝑅_𝑗−[(1.1×10^(−4)×𝑊_𝑗^0.75)/6.25]</a:t>
              </a:r>
              <a:endParaRPr lang="en-AU" sz="10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F9B97B95-3EC4-4E2F-A133-D9949707F53A}"/>
                </a:ext>
              </a:extLst>
            </xdr:cNvPr>
            <xdr:cNvSpPr txBox="1"/>
          </xdr:nvSpPr>
          <xdr:spPr>
            <a:xfrm>
              <a:off x="8505825" y="381428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a:solidFill>
                    <a:srgbClr val="C44340"/>
                  </a:solidFill>
                </a:rPr>
                <a:t>Original equation</a:t>
              </a:r>
              <a:r>
                <a:rPr lang="en-AU" sz="1000"/>
                <a:t>: </a:t>
              </a:r>
              <a14:m>
                <m:oMath xmlns:m="http://schemas.openxmlformats.org/officeDocument/2006/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×365</m:t>
                  </m:r>
                </m:oMath>
              </a14:m>
              <a:endParaRPr lang="en-AU" sz="1000"/>
            </a:p>
          </xdr:txBody>
        </xdr:sp>
      </mc:Choice>
      <mc:Fallback xmlns="">
        <xdr:sp macro="" textlink="">
          <xdr:nvSpPr>
            <xdr:cNvPr id="7" name="TextBox 6">
              <a:extLst>
                <a:ext uri="{FF2B5EF4-FFF2-40B4-BE49-F238E27FC236}">
                  <a16:creationId xmlns:a16="http://schemas.microsoft.com/office/drawing/2014/main" id="{F9B97B95-3EC4-4E2F-A133-D9949707F53A}"/>
                </a:ext>
              </a:extLst>
            </xdr:cNvPr>
            <xdr:cNvSpPr txBox="1"/>
          </xdr:nvSpPr>
          <xdr:spPr>
            <a:xfrm>
              <a:off x="8505825" y="381428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a:solidFill>
                    <a:srgbClr val="C44340"/>
                  </a:solidFill>
                </a:rPr>
                <a:t>Original equation</a:t>
              </a:r>
              <a:r>
                <a:rPr lang="en-AU" sz="1000"/>
                <a:t>: </a:t>
              </a:r>
              <a:r>
                <a:rPr lang="en-AU" sz="1000" i="0">
                  <a:latin typeface="Cambria Math" panose="02040503050406030204" pitchFamily="18" charset="0"/>
                </a:rPr>
                <a:t>𝐴𝐸_(𝑗=1,2,4)=𝑁_(𝑗=1,2,4)×𝑁𝐸_(𝑗=1,2,4)×365</a:t>
              </a:r>
              <a:endParaRPr lang="en-AU" sz="10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051AB3F-0570-4C1D-AE73-069382050090}"/>
                </a:ext>
              </a:extLst>
            </xdr:cNvPr>
            <xdr:cNvSpPr txBox="1"/>
          </xdr:nvSpPr>
          <xdr:spPr>
            <a:xfrm>
              <a:off x="2705100" y="381619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=1,2,4</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D051AB3F-0570-4C1D-AE73-069382050090}"/>
                </a:ext>
              </a:extLst>
            </xdr:cNvPr>
            <xdr:cNvSpPr txBox="1"/>
          </xdr:nvSpPr>
          <xdr:spPr>
            <a:xfrm>
              <a:off x="2705100" y="381619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𝐴𝐸_(𝑗=1,2,4)=𝑁_(𝑗=1,2,4)×𝑁𝐸_(𝑗=1,2,4)×𝐷_(𝑗=1,2,4)</a:t>
              </a:r>
              <a:endParaRPr lang="en-AU" sz="10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57EA68F7-3B2C-4B1E-924B-2A2C179BD2CD}"/>
                </a:ext>
              </a:extLst>
            </xdr:cNvPr>
            <xdr:cNvSpPr txBox="1"/>
          </xdr:nvSpPr>
          <xdr:spPr>
            <a:xfrm>
              <a:off x="8258175" y="4558188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a:solidFill>
                    <a:srgbClr val="C44340"/>
                  </a:solidFill>
                </a:rPr>
                <a:t>Original equation: </a:t>
              </a:r>
              <a14:m>
                <m:oMath xmlns:m="http://schemas.openxmlformats.org/officeDocument/2006/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×281</m:t>
                      </m:r>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𝑁𝑃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×84</m:t>
                      </m:r>
                    </m:e>
                  </m:d>
                </m:oMath>
              </a14:m>
              <a:endParaRPr lang="en-AU" sz="1000"/>
            </a:p>
          </xdr:txBody>
        </xdr:sp>
      </mc:Choice>
      <mc:Fallback xmlns="">
        <xdr:sp macro="" textlink="">
          <xdr:nvSpPr>
            <xdr:cNvPr id="9" name="TextBox 8">
              <a:extLst>
                <a:ext uri="{FF2B5EF4-FFF2-40B4-BE49-F238E27FC236}">
                  <a16:creationId xmlns:a16="http://schemas.microsoft.com/office/drawing/2014/main" id="{57EA68F7-3B2C-4B1E-924B-2A2C179BD2CD}"/>
                </a:ext>
              </a:extLst>
            </xdr:cNvPr>
            <xdr:cNvSpPr txBox="1"/>
          </xdr:nvSpPr>
          <xdr:spPr>
            <a:xfrm>
              <a:off x="8258175" y="4558188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a:solidFill>
                    <a:srgbClr val="C44340"/>
                  </a:solidFill>
                </a:rPr>
                <a:t>Original equation: </a:t>
              </a:r>
              <a:r>
                <a:rPr lang="en-AU" sz="1000" i="0">
                  <a:latin typeface="Cambria Math" panose="02040503050406030204" pitchFamily="18" charset="0"/>
                </a:rPr>
                <a:t>𝐴𝐸_(𝑗=3,5)=(𝑁_(𝑗=3,5)×𝑁𝐸_(𝑗=3,5)×281)+(𝑁_(𝑗=3,5)×𝑁𝑃𝑊_(𝑗=3,5)×84)</a:t>
              </a:r>
              <a:endParaRPr lang="en-AU" sz="10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F10DA8C-CFD0-4420-8636-9983C978E688}"/>
                </a:ext>
              </a:extLst>
            </xdr:cNvPr>
            <xdr:cNvSpPr txBox="1"/>
          </xdr:nvSpPr>
          <xdr:spPr>
            <a:xfrm>
              <a:off x="2676525" y="4559141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=3,5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𝑁𝑃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𝐷𝑃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r>
                              <a:rPr lang="en-AU" sz="1000" i="1">
                                <a:latin typeface="Cambria Math" panose="02040503050406030204" pitchFamily="18" charset="0"/>
                              </a:rPr>
                              <m:t>=3,5</m:t>
                            </m:r>
                          </m:sub>
                        </m:sSub>
                      </m:e>
                    </m:d>
                  </m:oMath>
                </m:oMathPara>
              </a14:m>
              <a:endParaRPr lang="en-AU" sz="1000"/>
            </a:p>
          </xdr:txBody>
        </xdr:sp>
      </mc:Choice>
      <mc:Fallback xmlns="">
        <xdr:sp macro="" textlink="">
          <xdr:nvSpPr>
            <xdr:cNvPr id="10" name="TextBox 9">
              <a:extLst>
                <a:ext uri="{FF2B5EF4-FFF2-40B4-BE49-F238E27FC236}">
                  <a16:creationId xmlns:a16="http://schemas.microsoft.com/office/drawing/2014/main" id="{EF10DA8C-CFD0-4420-8636-9983C978E688}"/>
                </a:ext>
              </a:extLst>
            </xdr:cNvPr>
            <xdr:cNvSpPr txBox="1"/>
          </xdr:nvSpPr>
          <xdr:spPr>
            <a:xfrm>
              <a:off x="2676525" y="4559141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𝐴𝐸_(𝑗=3,5)=(𝑁_(𝑗=3,5)×𝑁𝐸_(𝑗=3,5)×𝐷_(𝑗=3,5) )+(𝑁_(𝑗=3,5)×𝑁𝑃𝑊_(𝑗=3,5)×𝐷𝑃𝑊_(𝑗=3,5) )</a:t>
              </a:r>
              <a:endParaRPr lang="en-AU" sz="10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59EA4DE8-5518-4CE8-9660-41F32995B50F}"/>
                </a:ext>
              </a:extLst>
            </xdr:cNvPr>
            <xdr:cNvSpPr txBox="1"/>
          </xdr:nvSpPr>
          <xdr:spPr>
            <a:xfrm>
              <a:off x="2703857" y="544871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sub>
                    </m:sSub>
                  </m:oMath>
                </m:oMathPara>
              </a14:m>
              <a:endParaRPr lang="en-AU" sz="1000"/>
            </a:p>
          </xdr:txBody>
        </xdr:sp>
      </mc:Choice>
      <mc:Fallback xmlns="">
        <xdr:sp macro="" textlink="">
          <xdr:nvSpPr>
            <xdr:cNvPr id="11" name="TextBox 10">
              <a:extLst>
                <a:ext uri="{FF2B5EF4-FFF2-40B4-BE49-F238E27FC236}">
                  <a16:creationId xmlns:a16="http://schemas.microsoft.com/office/drawing/2014/main" id="{59EA4DE8-5518-4CE8-9660-41F32995B50F}"/>
                </a:ext>
              </a:extLst>
            </xdr:cNvPr>
            <xdr:cNvSpPr txBox="1"/>
          </xdr:nvSpPr>
          <xdr:spPr>
            <a:xfrm>
              <a:off x="2703857" y="544871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𝑀𝑁_𝑗𝑚=𝐴𝐸_𝑗×𝑀𝑀𝑆_𝑗𝑚</a:t>
              </a:r>
              <a:endParaRPr lang="en-AU" sz="10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AF4EC3D-F605-4AC7-860F-484AF0EA055A}"/>
                </a:ext>
              </a:extLst>
            </xdr:cNvPr>
            <xdr:cNvSpPr txBox="1"/>
          </xdr:nvSpPr>
          <xdr:spPr>
            <a:xfrm>
              <a:off x="2687291" y="63658473"/>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12" name="TextBox 11">
              <a:extLst>
                <a:ext uri="{FF2B5EF4-FFF2-40B4-BE49-F238E27FC236}">
                  <a16:creationId xmlns:a16="http://schemas.microsoft.com/office/drawing/2014/main" id="{7AF4EC3D-F605-4AC7-860F-484AF0EA055A}"/>
                </a:ext>
              </a:extLst>
            </xdr:cNvPr>
            <xdr:cNvSpPr txBox="1"/>
          </xdr:nvSpPr>
          <xdr:spPr>
            <a:xfrm>
              <a:off x="2687291" y="63658473"/>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𝐸_(𝑁2𝑂,𝑑𝑖𝑟)=∑2_𝑗▒∑2_𝑚▒(𝑀𝑁_𝑗𝑚×𝐸𝐹_𝑚×𝐶_𝑁2𝑂×10^(−3) ) </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38ADB0D-11AE-4B7E-AE69-D820A6234C24}"/>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sub>
                                </m:sSub>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338ADB0D-11AE-4B7E-AE69-D820A6234C24}"/>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𝑀𝑁_𝐴𝑇𝑀𝑂𝑆=∑2_𝑗▒∑2_𝑚▒(𝑀𝑁_𝑗𝑚×𝐹𝑟𝑎𝑐𝐺𝐴𝑆𝑀_𝑚 ) </a:t>
              </a:r>
              <a:endParaRPr lang="en-AU" sz="10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C871619-2964-4036-9640-DD023275AB92}"/>
                </a:ext>
              </a:extLst>
            </xdr:cNvPr>
            <xdr:cNvSpPr txBox="1"/>
          </xdr:nvSpPr>
          <xdr:spPr>
            <a:xfrm>
              <a:off x="2671762" y="138826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𝑀𝑀𝑆</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C871619-2964-4036-9640-DD023275AB92}"/>
                </a:ext>
              </a:extLst>
            </xdr:cNvPr>
            <xdr:cNvSpPr txBox="1"/>
          </xdr:nvSpPr>
          <xdr:spPr>
            <a:xfrm>
              <a:off x="2671762" y="138826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𝐸_(𝑁2𝑂,𝑀𝑀𝑆,𝑎𝑑)=𝑀𝑁_𝐴𝑇𝑀𝑂𝑆×𝐸𝐹_𝑁2𝑂×𝐶_𝑁2𝑂×10^(−3)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1627F06-46A1-489B-81E2-AD29AB4A25F9}"/>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=4</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=4</m:t>
                        </m:r>
                      </m:sub>
                    </m:sSub>
                    <m:r>
                      <a:rPr lang="en-AU" sz="1000" i="1">
                        <a:latin typeface="Cambria Math" panose="02040503050406030204" pitchFamily="18" charset="0"/>
                      </a:rPr>
                      <m:t>×</m:t>
                    </m:r>
                    <m:r>
                      <a:rPr lang="en-AU" sz="1000" i="1">
                        <a:latin typeface="Cambria Math" panose="02040503050406030204" pitchFamily="18" charset="0"/>
                      </a:rPr>
                      <m:t>𝐹𝑟𝑎𝑐𝑊𝐸</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𝑖</m:t>
                        </m:r>
                      </m:sub>
                    </m:sSub>
                    <m:r>
                      <a:rPr lang="en-AU" sz="1000" i="1">
                        <a:latin typeface="Cambria Math" panose="02040503050406030204" pitchFamily="18" charset="0"/>
                      </a:rPr>
                      <m:t>×</m:t>
                    </m:r>
                    <m:r>
                      <a:rPr lang="en-AU" sz="1000" i="1">
                        <a:latin typeface="Cambria Math" panose="02040503050406030204" pitchFamily="18" charset="0"/>
                      </a:rPr>
                      <m:t>𝐹𝑟𝑎𝑐𝐿𝐸𝐴𝐶</m:t>
                    </m:r>
                    <m:sSub>
                      <m:sSubPr>
                        <m:ctrlPr>
                          <a:rPr lang="en-AU" sz="1000" i="1">
                            <a:latin typeface="Cambria Math" panose="02040503050406030204" pitchFamily="18" charset="0"/>
                          </a:rPr>
                        </m:ctrlPr>
                      </m:sSubPr>
                      <m:e>
                        <m:r>
                          <a:rPr lang="en-AU" sz="1000" i="1">
                            <a:latin typeface="Cambria Math" panose="02040503050406030204" pitchFamily="18" charset="0"/>
                          </a:rPr>
                          <m:t>𝐻</m:t>
                        </m:r>
                      </m:e>
                      <m:sub>
                        <m:r>
                          <a:rPr lang="en-AU" sz="1000" i="1">
                            <a:latin typeface="Cambria Math" panose="02040503050406030204" pitchFamily="18" charset="0"/>
                          </a:rPr>
                          <m:t>𝑀𝑆</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31627F06-46A1-489B-81E2-AD29AB4A25F9}"/>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𝑀𝑁𝐿𝑒𝑎𝑐ℎ_(𝑗𝑚=4)=𝑀𝑁_(𝑗𝑚=4)×𝐹𝑟𝑎𝑐𝑊𝐸𝑇_𝑖×𝐹𝑟𝑎𝑐𝐿𝐸𝐴𝐶𝐻_𝑀𝑆</a:t>
              </a:r>
              <a:endParaRPr lang="en-AU" sz="10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59BE1FC-D50A-4B97-9CED-05293EC3C0EC}"/>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r>
                              <a:rPr lang="en-AU" sz="1000" i="1">
                                <a:latin typeface="Cambria Math" panose="02040503050406030204" pitchFamily="18" charset="0"/>
                              </a:rPr>
                              <m:t>=1−13</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659BE1FC-D50A-4B97-9CED-05293EC3C0EC}"/>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𝐸_(𝑁2𝑂,𝑙𝑒𝑎𝑐ℎ)=∑2_𝑗▒∑2_(𝑚=1−13)▒(𝑀𝑁𝐿𝑒𝑎𝑐ℎ_𝑗𝑚×𝐸𝐹_𝑙𝑒𝑎𝑐ℎ×𝐶_𝑁2𝑂 ) ×10^(−3)</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4A3E273-AF5A-4A80-BA6D-5E05021D782E}"/>
                </a:ext>
              </a:extLst>
            </xdr:cNvPr>
            <xdr:cNvSpPr txBox="1"/>
          </xdr:nvSpPr>
          <xdr:spPr>
            <a:xfrm>
              <a:off x="2657475" y="1960189"/>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1</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=1−13</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=1−13</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=1−13</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sub>
                                </m:sSub>
                              </m:e>
                            </m:d>
                          </m:e>
                        </m:nary>
                      </m:e>
                    </m:nary>
                    <m:r>
                      <a:rPr lang="en-AU" sz="1000" i="1">
                        <a:latin typeface="Cambria Math" panose="02040503050406030204" pitchFamily="18" charset="0"/>
                      </a:rPr>
                      <m:t>×</m:t>
                    </m:r>
                    <m:r>
                      <a:rPr lang="en-AU" sz="1000" i="1">
                        <a:latin typeface="Cambria Math" panose="02040503050406030204" pitchFamily="18" charset="0"/>
                      </a:rPr>
                      <m:t>𝑃𝐹</m:t>
                    </m:r>
                  </m:oMath>
                </m:oMathPara>
              </a14:m>
              <a:endParaRPr lang="en-AU" sz="1000"/>
            </a:p>
          </xdr:txBody>
        </xdr:sp>
      </mc:Choice>
      <mc:Fallback xmlns="">
        <xdr:sp macro="" textlink="">
          <xdr:nvSpPr>
            <xdr:cNvPr id="2" name="TextBox 1">
              <a:extLst>
                <a:ext uri="{FF2B5EF4-FFF2-40B4-BE49-F238E27FC236}">
                  <a16:creationId xmlns:a16="http://schemas.microsoft.com/office/drawing/2014/main" id="{34A3E273-AF5A-4A80-BA6D-5E05021D782E}"/>
                </a:ext>
              </a:extLst>
            </xdr:cNvPr>
            <xdr:cNvSpPr txBox="1"/>
          </xdr:nvSpPr>
          <xdr:spPr>
            <a:xfrm>
              <a:off x="2657475" y="1960189"/>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0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628B6C5-FC4C-46DF-8E64-3301072ACCF3}"/>
                </a:ext>
              </a:extLst>
            </xdr:cNvPr>
            <xdr:cNvSpPr txBox="1"/>
          </xdr:nvSpPr>
          <xdr:spPr>
            <a:xfrm>
              <a:off x="2689970" y="22778196"/>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3</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=1−13</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=1−13</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=1−13</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sub>
                                </m:sSub>
                              </m:e>
                            </m:d>
                          </m:e>
                        </m:nary>
                      </m:e>
                    </m:nary>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𝑃𝐹</m:t>
                        </m:r>
                      </m:e>
                    </m:d>
                  </m:oMath>
                </m:oMathPara>
              </a14:m>
              <a:endParaRPr lang="en-AU" sz="1000"/>
            </a:p>
          </xdr:txBody>
        </xdr:sp>
      </mc:Choice>
      <mc:Fallback xmlns="">
        <xdr:sp macro="" textlink="">
          <xdr:nvSpPr>
            <xdr:cNvPr id="3" name="TextBox 2">
              <a:extLst>
                <a:ext uri="{FF2B5EF4-FFF2-40B4-BE49-F238E27FC236}">
                  <a16:creationId xmlns:a16="http://schemas.microsoft.com/office/drawing/2014/main" id="{2628B6C5-FC4C-46DF-8E64-3301072ACCF3}"/>
                </a:ext>
              </a:extLst>
            </xdr:cNvPr>
            <xdr:cNvSpPr txBox="1"/>
          </xdr:nvSpPr>
          <xdr:spPr>
            <a:xfrm>
              <a:off x="2689970" y="22778196"/>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1BFA0EA-5071-4071-B97C-3523C92206F1}"/>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𝑃𝑅𝑃</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61BFA0EA-5071-4071-B97C-3523C92206F1}"/>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𝐸_(𝑁2𝑂,𝑑𝑖𝑟)=∑2_𝑗▒(𝑀𝑁_(𝑗𝑚=14)×𝐸𝐹_𝑃𝑅𝑃×𝐶_𝑁2𝑂×10^(−3) ) </a:t>
              </a:r>
              <a:endParaRPr lang="en-AU" sz="10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6869E1D-A0C3-45C2-841D-2E8F3A46C25B}"/>
                </a:ext>
              </a:extLst>
            </xdr:cNvPr>
            <xdr:cNvSpPr txBox="1"/>
          </xdr:nvSpPr>
          <xdr:spPr>
            <a:xfrm>
              <a:off x="2703857" y="19853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46869E1D-A0C3-45C2-841D-2E8F3A46C25B}"/>
                </a:ext>
              </a:extLst>
            </xdr:cNvPr>
            <xdr:cNvSpPr txBox="1"/>
          </xdr:nvSpPr>
          <xdr:spPr>
            <a:xfrm>
              <a:off x="2703857" y="19853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𝑀𝑁_𝑗𝑚=𝐴𝐸_𝑗×𝑀𝑀𝑆_𝑗𝑚</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D491E03-9627-4F1B-9969-AAECB6239B17}"/>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𝐹𝑟𝑎𝑐𝐺𝐴𝑆𝑀𝑠𝑜𝑖𝑙</m:t>
                            </m:r>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8D491E03-9627-4F1B-9969-AAECB6239B17}"/>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𝑀_(𝑣𝑜𝑙,𝑚=14)=∑2_𝑗▒(𝑀𝑁_(𝑗𝑚=14)×𝐹𝑟𝑎𝑐𝐺𝐴𝑆𝑀𝑠𝑜𝑖𝑙) </a:t>
              </a:r>
              <a:endParaRPr lang="en-AU" sz="10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AC8F72F-0E76-48B6-BF18-44596989E149}"/>
                </a:ext>
              </a:extLst>
            </xdr:cNvPr>
            <xdr:cNvSpPr txBox="1"/>
          </xdr:nvSpPr>
          <xdr:spPr>
            <a:xfrm>
              <a:off x="2681287" y="81772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AC8F72F-0E76-48B6-BF18-44596989E149}"/>
                </a:ext>
              </a:extLst>
            </xdr:cNvPr>
            <xdr:cNvSpPr txBox="1"/>
          </xdr:nvSpPr>
          <xdr:spPr>
            <a:xfrm>
              <a:off x="2681287" y="81772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𝐸_(𝑁2𝑂,𝑎𝑑)=𝑀_(𝑣𝑜𝑙,𝑚=14)×𝐸𝐹_𝑁2𝑂×𝐶_𝑁2𝑂×10^(−3)</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5FB40C0-E033-4FF8-B4F0-C7809C32481A}"/>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𝐹𝑟𝑎𝑐𝑊𝑒𝑡</m:t>
                            </m:r>
                            <m:r>
                              <a:rPr lang="en-AU" sz="1000" i="1">
                                <a:latin typeface="Cambria Math" panose="02040503050406030204" pitchFamily="18" charset="0"/>
                              </a:rPr>
                              <m:t>×</m:t>
                            </m:r>
                            <m:r>
                              <a:rPr lang="en-AU" sz="1000" i="1">
                                <a:latin typeface="Cambria Math" panose="02040503050406030204" pitchFamily="18" charset="0"/>
                              </a:rPr>
                              <m:t>𝐹𝑟𝑎𝑐𝐿𝐸𝐴𝐶𝐻</m:t>
                            </m:r>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35FB40C0-E033-4FF8-B4F0-C7809C32481A}"/>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𝑀_(𝑙𝑒𝑎𝑐ℎ,𝑚=14)=∑2_𝑗▒(𝑀𝑁_(𝑗𝑚=14)×𝐹𝑟𝑎𝑐𝑊𝑒𝑡×𝐹𝑟𝑎𝑐𝐿𝐸𝐴𝐶𝐻) </a:t>
              </a:r>
              <a:endParaRPr lang="en-AU" sz="1000"/>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DB7472-E964-44D9-8D79-A851B1099CBD}"/>
                </a:ext>
              </a:extLst>
            </xdr:cNvPr>
            <xdr:cNvSpPr txBox="1"/>
          </xdr:nvSpPr>
          <xdr:spPr>
            <a:xfrm>
              <a:off x="2695575" y="940593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A2DB7472-E964-44D9-8D79-A851B1099CBD}"/>
                </a:ext>
              </a:extLst>
            </xdr:cNvPr>
            <xdr:cNvSpPr txBox="1"/>
          </xdr:nvSpPr>
          <xdr:spPr>
            <a:xfrm>
              <a:off x="2695575" y="940593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𝐸_(𝑁2𝑂,𝑙𝑒𝑎𝑐ℎ)=𝑀_(𝑙𝑒𝑎𝑐ℎ,𝑚=14)×𝐸𝐹_𝑙𝑒𝑎𝑐ℎ×𝐶_𝑁2𝑂×10^(−3)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C9D006E-6958-4739-964C-663CFC0043B6}"/>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6C9D006E-6958-4739-964C-663CFC0043B6}"/>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ACEB21-A4F9-4420-B0A5-50DEB171E65E}"/>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B2ACEB21-A4F9-4420-B0A5-50DEB171E65E}"/>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C61253-39F5-4732-B740-76D95C041B0A}"/>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00C61253-39F5-4732-B740-76D95C041B0A}"/>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FF6B861-3940-4F61-A0E7-0BF6BE740C8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6FF6B861-3940-4F61-A0E7-0BF6BE740C8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EEECC6E-1B72-48A1-9466-43C894F20780}"/>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9EEECC6E-1B72-48A1-9466-43C894F20780}"/>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6B853AE-A5BF-4EA0-A2AB-17D3FEBBA44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56B853AE-A5BF-4EA0-A2AB-17D3FEBBA44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AE89F9C-DDBB-41B5-BD36-1DE39A666483}"/>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2AE89F9C-DDBB-41B5-BD36-1DE39A666483}"/>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48A9ABE-C809-432C-A82C-6D3F2F14BCF3}"/>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548A9ABE-C809-432C-A82C-6D3F2F14BCF3}"/>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A352B78-D53B-4770-84CE-34C3DE13524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2A352B78-D53B-4770-84CE-34C3DE13524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625357C-D3BD-4663-A093-57BCE8C5ED3D}"/>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9625357C-D3BD-4663-A093-57BCE8C5ED3D}"/>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7074AFC-3E83-491F-8B85-3A7B07314CDA}"/>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97074AFC-3E83-491F-8B85-3A7B07314CDA}"/>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27EBE33-6218-4BA8-A309-D7CF77E5782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427EBE33-6218-4BA8-A309-D7CF77E5782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64098B-370F-4D39-9847-56B0B68DE06F}"/>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264098B-370F-4D39-9847-56B0B68DE06F}"/>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11E3A7A-C28A-44B0-8536-3714837358F8}"/>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511E3A7A-C28A-44B0-8536-3714837358F8}"/>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15B40C8-05E1-4B61-A2CF-5EC6CCC71C0E}"/>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115B40C8-05E1-4B61-A2CF-5EC6CCC71C0E}"/>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375E949-8494-4C97-85B1-A9ED9F5A7D7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A375E949-8494-4C97-85B1-A9ED9F5A7D7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F18720B-827B-45F0-B778-3E26E246B3BF}"/>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0F18720B-827B-45F0-B778-3E26E246B3BF}"/>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9D7D5C-AF5F-4701-8608-C055DBD13252}"/>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7A9D7D5C-AF5F-4701-8608-C055DBD13252}"/>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3A61B99-AD0A-4DEE-A148-415DC3E95B2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nary>
                      <m:naryPr>
                        <m:chr m:val="∑"/>
                        <m:limLoc m:val="subSup"/>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e>
                        </m:d>
                      </m:e>
                    </m:nary>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3A61B99-AD0A-4DEE-A148-415DC3E95B2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𝐸_𝑁2𝑂=∑2_𝑝▒(𝑀_𝑝×𝐸𝐹_𝑁𝑖 ) ×𝐶_𝑁2𝑂×10^(−3)</a:t>
              </a:r>
              <a:endParaRPr lang="en-AU" sz="10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56F8DEE-DD86-4BDF-9DD7-C90B1B7E379C}"/>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d>
                          <m:dPr>
                            <m:ctrlPr>
                              <a:rPr lang="en-AU" sz="1000" b="0" i="1">
                                <a:latin typeface="Cambria Math" panose="02040503050406030204" pitchFamily="18" charset="0"/>
                              </a:rPr>
                            </m:ctrlPr>
                          </m:dPr>
                          <m:e>
                            <m:r>
                              <a:rPr lang="en-AU" sz="1000" b="0" i="1">
                                <a:latin typeface="Cambria Math" panose="02040503050406030204" pitchFamily="18" charset="0"/>
                              </a:rPr>
                              <m:t>1−</m:t>
                            </m:r>
                            <m:r>
                              <a:rPr lang="en-AU" sz="1000" b="0" i="1">
                                <a:latin typeface="Cambria Math" panose="02040503050406030204" pitchFamily="18" charset="0"/>
                              </a:rPr>
                              <m:t>𝐹𝐹𝑂</m:t>
                            </m:r>
                            <m:sSub>
                              <m:sSubPr>
                                <m:ctrlPr>
                                  <a:rPr lang="en-AU" sz="1000" b="0" i="1">
                                    <a:latin typeface="Cambria Math" panose="02040503050406030204" pitchFamily="18" charset="0"/>
                                  </a:rPr>
                                </m:ctrlPr>
                              </m:sSubPr>
                              <m:e>
                                <m:r>
                                  <a:rPr lang="en-AU" sz="1000" b="0" i="1">
                                    <a:latin typeface="Cambria Math" panose="02040503050406030204" pitchFamily="18" charset="0"/>
                                  </a:rPr>
                                  <m:t>𝐷</m:t>
                                </m:r>
                              </m:e>
                              <m:sub>
                                <m:r>
                                  <a:rPr lang="en-AU" sz="1000" b="0" i="1">
                                    <a:latin typeface="Cambria Math" panose="02040503050406030204" pitchFamily="18" charset="0"/>
                                  </a:rPr>
                                  <m:t>𝑝</m:t>
                                </m:r>
                              </m:sub>
                            </m:sSub>
                          </m:e>
                        </m:d>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𝐴𝐺𝑝</m:t>
                            </m:r>
                          </m:sub>
                        </m:sSub>
                      </m:e>
                    </m:d>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𝑅</m:t>
                            </m:r>
                          </m:e>
                          <m:sub>
                            <m:r>
                              <a:rPr lang="en-AU" sz="1000" b="0" i="1">
                                <a:latin typeface="Cambria Math" panose="02040503050406030204" pitchFamily="18" charset="0"/>
                              </a:rPr>
                              <m:t>𝐵𝐺𝑝</m:t>
                            </m:r>
                          </m:sub>
                        </m:sSub>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𝐵𝐺𝑝</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C56F8DEE-DD86-4BDF-9DD7-C90B1B7E379C}"/>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latin typeface="Cambria Math" panose="02040503050406030204" pitchFamily="18" charset="0"/>
                </a:rPr>
                <a:t>𝑀_𝑝=(𝐴_𝑝×(𝑌_𝑝×10^(−3) )×(1−𝐹𝐹𝑂𝐷_𝑝 )×𝑁𝐶_𝐴𝐺𝑝 )+(𝐴_𝑝×(𝑌_𝑝×10^(−3) )×𝑅_𝐵𝐺𝑝×𝑁𝐶_𝐵𝐺𝑝 )</a:t>
              </a:r>
              <a:endParaRPr lang="en-AU" sz="10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581F37A-BDFA-4EF0-A619-844689A024BA}"/>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m:rPr>
                            <m:sty m:val="p"/>
                          </m:rPr>
                          <a:rPr lang="en-AU" sz="1000" b="0" i="1">
                            <a:latin typeface="Cambria Math" panose="02040503050406030204" pitchFamily="18" charset="0"/>
                          </a:rPr>
                          <m:t>O</m:t>
                        </m:r>
                      </m:sub>
                    </m:sSub>
                    <m:r>
                      <a:rPr lang="en-AU" sz="1000" b="0" i="1">
                        <a:latin typeface="Cambria Math" panose="02040503050406030204" pitchFamily="18" charset="0"/>
                      </a:rPr>
                      <m:t>=</m:t>
                    </m:r>
                    <m:nary>
                      <m:naryPr>
                        <m:chr m:val="∑"/>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E581F37A-BDFA-4EF0-A619-844689A024BA}"/>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𝐸_𝑁2O=∑_𝑝▒(𝑀_𝑝×𝐸𝐹_𝑁𝑖×𝐶_𝑁2𝑂×10^(−3) ) </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8846B6B-A756-4A0B-8053-8AC8E1F0601D}"/>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48846B6B-A756-4A0B-8053-8AC8E1F0601D}"/>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7448EB8-0FB4-4A38-ADBB-D0B4C308F478}"/>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7448EB8-0FB4-4A38-ADBB-D0B4C308F478}"/>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𝐸_𝑁2𝑂=∑2_𝑐▒∑2_𝑝▒(𝑀_(𝑙𝑒𝑎𝑐ℎ,𝑐𝑝)×𝐸𝐹_𝑙𝑒𝑎𝑐ℎ×𝐶_𝑁2𝑂×10^(−3) ) </a:t>
              </a:r>
              <a:endParaRPr lang="en-AU" sz="10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702E2E1-F190-42F3-9B43-F9245887C7F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C702E2E1-F190-42F3-9B43-F9245887C7F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DA71014-0D12-404E-8254-6871F531B38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BDA71014-0D12-404E-8254-6871F531B38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D0800DC-89B0-4CF6-B215-DD6B9B1C363D}"/>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1D0800DC-89B0-4CF6-B215-DD6B9B1C363D}"/>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57FFEA1-E45D-4C10-B31A-287C41FD9861}"/>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57FFEA1-E45D-4C10-B31A-287C41FD9861}"/>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64F9FC0-FCE0-44EA-9C42-919C1E9F58C2}"/>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F64F9FC0-FCE0-44EA-9C42-919C1E9F58C2}"/>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2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4F7D96F-3F77-43B9-9162-AFB0FFFAF65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A4F7D96F-3F77-43B9-9162-AFB0FFFAF65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24652</xdr:colOff>
      <xdr:row>8</xdr:row>
      <xdr:rowOff>54909</xdr:rowOff>
    </xdr:from>
    <xdr:ext cx="2898358" cy="38036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BDD8A18-2ED9-4117-ADA3-15C34CBBCAF5}"/>
                </a:ext>
              </a:extLst>
            </xdr:cNvPr>
            <xdr:cNvSpPr txBox="1"/>
          </xdr:nvSpPr>
          <xdr:spPr>
            <a:xfrm>
              <a:off x="2701177" y="2169459"/>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𝑅</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𝑎</m:t>
                        </m:r>
                      </m:sub>
                      <m:sup/>
                      <m:e>
                        <m:d>
                          <m:dPr>
                            <m:ctrlPr>
                              <a:rPr lang="en-AU" sz="1000" i="1">
                                <a:solidFill>
                                  <a:schemeClr val="tx1"/>
                                </a:solidFill>
                                <a:effectLst/>
                                <a:latin typeface="Cambria Math" panose="02040503050406030204" pitchFamily="18" charset="0"/>
                                <a:ea typeface="+mn-ea"/>
                                <a:cs typeface="+mn-cs"/>
                              </a:rPr>
                            </m:ctrlPr>
                          </m:dPr>
                          <m:e>
                            <m:r>
                              <a:rPr lang="en-AU" sz="1000" i="1">
                                <a:solidFill>
                                  <a:schemeClr val="tx1"/>
                                </a:solidFill>
                                <a:effectLst/>
                                <a:latin typeface="Cambria Math" panose="02040503050406030204" pitchFamily="18" charset="0"/>
                                <a:ea typeface="+mn-ea"/>
                                <a:cs typeface="+mn-cs"/>
                              </a:rPr>
                              <m:t>𝑐ℎ𝑎𝑟𝑔</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𝑒</m:t>
                                </m:r>
                              </m:e>
                              <m:sub>
                                <m:r>
                                  <a:rPr lang="en-AU" sz="1000" i="1">
                                    <a:solidFill>
                                      <a:schemeClr val="tx1"/>
                                    </a:solidFill>
                                    <a:effectLst/>
                                    <a:latin typeface="Cambria Math" panose="02040503050406030204" pitchFamily="18" charset="0"/>
                                    <a:ea typeface="+mn-ea"/>
                                    <a:cs typeface="+mn-cs"/>
                                  </a:rPr>
                                  <m:t>𝑅𝑎</m:t>
                                </m:r>
                              </m:sub>
                            </m:sSub>
                            <m:r>
                              <a:rPr lang="en-AU" sz="1000" i="1">
                                <a:solidFill>
                                  <a:schemeClr val="tx1"/>
                                </a:solidFill>
                                <a:effectLst/>
                                <a:latin typeface="Cambria Math" panose="02040503050406030204" pitchFamily="18" charset="0"/>
                                <a:ea typeface="+mn-ea"/>
                                <a:cs typeface="+mn-cs"/>
                              </a:rPr>
                              <m:t>×</m:t>
                            </m:r>
                            <m:f>
                              <m:fPr>
                                <m:ctrlPr>
                                  <a:rPr lang="en-AU" sz="1000" i="1">
                                    <a:solidFill>
                                      <a:schemeClr val="tx1"/>
                                    </a:solidFill>
                                    <a:effectLst/>
                                    <a:latin typeface="Cambria Math" panose="02040503050406030204" pitchFamily="18" charset="0"/>
                                    <a:ea typeface="+mn-ea"/>
                                    <a:cs typeface="+mn-cs"/>
                                  </a:rPr>
                                </m:ctrlPr>
                              </m:fPr>
                              <m:num>
                                <m:r>
                                  <a:rPr lang="en-AU" sz="1000" i="1">
                                    <a:solidFill>
                                      <a:schemeClr val="tx1"/>
                                    </a:solidFill>
                                    <a:effectLst/>
                                    <a:latin typeface="Cambria Math" panose="02040503050406030204" pitchFamily="18" charset="0"/>
                                    <a:ea typeface="+mn-ea"/>
                                    <a:cs typeface="+mn-cs"/>
                                  </a:rPr>
                                  <m:t>𝑙𝑒𝑎𝑘𝑎𝑔𝑒</m:t>
                                </m:r>
                                <m:r>
                                  <a:rPr lang="en-AU" sz="1000" i="1">
                                    <a:solidFill>
                                      <a:schemeClr val="tx1"/>
                                    </a:solidFill>
                                    <a:effectLst/>
                                    <a:latin typeface="Cambria Math" panose="02040503050406030204" pitchFamily="18" charset="0"/>
                                    <a:ea typeface="+mn-ea"/>
                                    <a:cs typeface="+mn-cs"/>
                                  </a:rPr>
                                  <m:t> </m:t>
                                </m:r>
                                <m:r>
                                  <a:rPr lang="en-AU" sz="1000" i="1">
                                    <a:solidFill>
                                      <a:schemeClr val="tx1"/>
                                    </a:solidFill>
                                    <a:effectLst/>
                                    <a:latin typeface="Cambria Math" panose="02040503050406030204" pitchFamily="18" charset="0"/>
                                    <a:ea typeface="+mn-ea"/>
                                    <a:cs typeface="+mn-cs"/>
                                  </a:rPr>
                                  <m:t>𝑟𝑎𝑡</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𝑒</m:t>
                                    </m:r>
                                  </m:e>
                                  <m:sub>
                                    <m:r>
                                      <a:rPr lang="en-AU" sz="1000" i="1">
                                        <a:solidFill>
                                          <a:schemeClr val="tx1"/>
                                        </a:solidFill>
                                        <a:effectLst/>
                                        <a:latin typeface="Cambria Math" panose="02040503050406030204" pitchFamily="18" charset="0"/>
                                        <a:ea typeface="+mn-ea"/>
                                        <a:cs typeface="+mn-cs"/>
                                      </a:rPr>
                                      <m:t>𝑎</m:t>
                                    </m:r>
                                  </m:sub>
                                </m:sSub>
                              </m:num>
                              <m:den>
                                <m:r>
                                  <a:rPr lang="en-AU" sz="1000" i="1">
                                    <a:solidFill>
                                      <a:schemeClr val="tx1"/>
                                    </a:solidFill>
                                    <a:effectLst/>
                                    <a:latin typeface="Cambria Math" panose="02040503050406030204" pitchFamily="18" charset="0"/>
                                    <a:ea typeface="+mn-ea"/>
                                    <a:cs typeface="+mn-cs"/>
                                  </a:rPr>
                                  <m:t>100</m:t>
                                </m:r>
                              </m:den>
                            </m:f>
                          </m:e>
                        </m:d>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FBDD8A18-2ED9-4117-ADA3-15C34CBBCAF5}"/>
                </a:ext>
              </a:extLst>
            </xdr:cNvPr>
            <xdr:cNvSpPr txBox="1"/>
          </xdr:nvSpPr>
          <xdr:spPr>
            <a:xfrm>
              <a:off x="2701177" y="2169459"/>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𝐸_𝑅=∑2_𝑎▒(𝑐ℎ𝑎𝑟𝑔𝑒_𝑅𝑎×(𝑙𝑒𝑎𝑘𝑎𝑔𝑒 𝑟𝑎𝑡𝑒_𝑎)/100) ×10^(−3)</a:t>
              </a:r>
              <a:endParaRPr lang="en-AU" sz="1000"/>
            </a:p>
          </xdr:txBody>
        </xdr:sp>
      </mc:Fallback>
    </mc:AlternateContent>
    <xdr:clientData/>
  </xdr:oneCellAnchor>
  <xdr:oneCellAnchor>
    <xdr:from>
      <xdr:col>3</xdr:col>
      <xdr:colOff>41461</xdr:colOff>
      <xdr:row>50</xdr:row>
      <xdr:rowOff>159124</xdr:rowOff>
    </xdr:from>
    <xdr:ext cx="2279022"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3A9F49B-1985-474C-A6A0-81702DE0E9B6}"/>
                </a:ext>
              </a:extLst>
            </xdr:cNvPr>
            <xdr:cNvSpPr txBox="1"/>
          </xdr:nvSpPr>
          <xdr:spPr>
            <a:xfrm>
              <a:off x="2717986" y="12674974"/>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m:t>
                        </m:r>
                      </m:sub>
                    </m:sSub>
                    <m:r>
                      <a:rPr lang="en-AU" sz="1000" i="1">
                        <a:latin typeface="Cambria Math" panose="02040503050406030204" pitchFamily="18" charset="0"/>
                      </a:rPr>
                      <m:t>𝑂</m:t>
                    </m:r>
                    <m:r>
                      <a:rPr lang="en-AU" sz="1000" i="1">
                        <a:latin typeface="Cambria Math" panose="02040503050406030204" pitchFamily="18" charset="0"/>
                      </a:rPr>
                      <m:t>2</m:t>
                    </m:r>
                    <m:r>
                      <a:rPr lang="en-AU" sz="1000" i="1">
                        <a:latin typeface="Cambria Math" panose="02040503050406030204" pitchFamily="18" charset="0"/>
                      </a:rPr>
                      <m:t>𝑒</m:t>
                    </m:r>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𝑅</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r>
                      <a:rPr lang="en-AU" sz="1000" i="1">
                        <a:latin typeface="Cambria Math" panose="02040503050406030204" pitchFamily="18" charset="0"/>
                      </a:rPr>
                      <m:t>×</m:t>
                    </m:r>
                    <m:r>
                      <a:rPr lang="en-AU" sz="1000" i="1">
                        <a:latin typeface="Cambria Math" panose="02040503050406030204" pitchFamily="18" charset="0"/>
                      </a:rPr>
                      <m:t>𝐺𝑊</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𝑅</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13A9F49B-1985-474C-A6A0-81702DE0E9B6}"/>
                </a:ext>
              </a:extLst>
            </xdr:cNvPr>
            <xdr:cNvSpPr txBox="1"/>
          </xdr:nvSpPr>
          <xdr:spPr>
            <a:xfrm>
              <a:off x="2717986" y="12674974"/>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 𝑂2𝑒=(𝐸_𝑅×10^3 )×𝐺𝑊𝑃_𝑅×10^(−3)</a:t>
              </a:r>
              <a:endParaRPr lang="en-AU" sz="1000"/>
            </a:p>
          </xdr:txBody>
        </xdr:sp>
      </mc:Fallback>
    </mc:AlternateContent>
    <xdr:clientData/>
  </xdr:oneCellAnchor>
</xdr:wsDr>
</file>

<file path=xl/drawings/drawing23.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4871393-1AB6-4CF8-A399-78F641161C55}"/>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44871393-1AB6-4CF8-A399-78F641161C55}"/>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6FB1E1B-62FD-4E82-8749-367A77151A1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46FB1E1B-62FD-4E82-8749-367A77151A1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2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937B537-D6FE-48B2-878A-DBDABD95E8AB}"/>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7937B537-D6FE-48B2-878A-DBDABD95E8AB}"/>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FF14B7A-7EBE-42B4-9530-9AD2A00B1AAA}"/>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2FF14B7A-7EBE-42B4-9530-9AD2A00B1AAA}"/>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C2B401C-BE99-4931-8F78-C7AD62D6FBCC}"/>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EC2B401C-BE99-4931-8F78-C7AD62D6FBCC}"/>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2BC5873-48D8-4699-A177-F6A2B0BF664F}"/>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D2BC5873-48D8-4699-A177-F6A2B0BF664F}"/>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25.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C165484-013D-4217-9558-EDFBF9221CA6}"/>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CC165484-013D-4217-9558-EDFBF9221CA6}"/>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847FCA5-45C3-4689-8234-757981A155AB}"/>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F847FCA5-45C3-4689-8234-757981A155AB}"/>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718BADC-F7DA-4372-871E-1BC66D5AB181}"/>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C718BADC-F7DA-4372-871E-1BC66D5AB181}"/>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3F2693C-7B97-40A0-B827-17E2F62C61B6}"/>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23F2693C-7B97-40A0-B827-17E2F62C61B6}"/>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4B1FD16-ED87-4D60-9D48-E69CD76D0149}"/>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94B1FD16-ED87-4D60-9D48-E69CD76D0149}"/>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A00EE86-5B8A-4566-B50B-ACA885D895FE}"/>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9A00EE86-5B8A-4566-B50B-ACA885D895FE}"/>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9D3B8CBA-505C-498E-ADA3-45F8431E7E02}"/>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9D3B8CBA-505C-498E-ADA3-45F8431E7E02}"/>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597B55EC-F900-4DBD-A518-12C1EF1360B1}"/>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597B55EC-F900-4DBD-A518-12C1EF1360B1}"/>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D887D63-8497-4056-94EB-508457335CBF}"/>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ED887D63-8497-4056-94EB-508457335CBF}"/>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4FAC8D56-4AFB-4DB1-B3C9-567C9AFD8DEF}"/>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4FAC8D56-4AFB-4DB1-B3C9-567C9AFD8DEF}"/>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2C7DFD0B-15B6-411E-840F-15E1AC0D97EE}"/>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2C7DFD0B-15B6-411E-840F-15E1AC0D97EE}"/>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FDF8675-0A6C-4DEA-9D61-3C124DAE6A08}"/>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CFDF8675-0A6C-4DEA-9D61-3C124DAE6A08}"/>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8171FB6F-66B6-42C1-9022-5F303B19DEB3}"/>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8171FB6F-66B6-42C1-9022-5F303B19DEB3}"/>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7C22856D-6A9F-49A3-BBFF-21558C0A2594}"/>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7C22856D-6A9F-49A3-BBFF-21558C0A2594}"/>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A72F862A-25B3-453B-9E9C-5E6430D067BF}"/>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A72F862A-25B3-453B-9E9C-5E6430D067BF}"/>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46B93E31-A9A0-4B49-9DEE-FC20122EE25F}"/>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46B93E31-A9A0-4B49-9DEE-FC20122EE25F}"/>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EF61919-9802-47F1-9B26-D0B99496AECA}"/>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1EF61919-9802-47F1-9B26-D0B99496AECA}"/>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D951CD29-4ADB-4B66-A000-05E2D83A5F2E}"/>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D951CD29-4ADB-4B66-A000-05E2D83A5F2E}"/>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D8AE335F-44C8-4178-AAB1-BE47B2E0CF87}"/>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D8AE335F-44C8-4178-AAB1-BE47B2E0CF87}"/>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2FA3E3BE-BCA6-4C43-AF16-151C38DFC450}"/>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2FA3E3BE-BCA6-4C43-AF16-151C38DFC450}"/>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0462D9AD-6D89-4B63-ADBC-A5E4BA251CE3}"/>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0462D9AD-6D89-4B63-ADBC-A5E4BA251CE3}"/>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B2F7567F-DD34-4F27-BC4D-E21445033FC6}"/>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B2F7567F-DD34-4F27-BC4D-E21445033FC6}"/>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26.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2E464A6-BC03-4751-AA85-FA46A19C60AE}"/>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E2E464A6-BC03-4751-AA85-FA46A19C60AE}"/>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0E6A8B2-BECF-4258-9955-6A9077787C06}"/>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F0E6A8B2-BECF-4258-9955-6A9077787C06}"/>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26EBBDF-E231-4305-A333-6284588EF35D}"/>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926EBBDF-E231-4305-A333-6284588EF35D}"/>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488E200-7D46-42A4-8449-85B9335865F6}"/>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3488E200-7D46-42A4-8449-85B9335865F6}"/>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4B3FE07-C8C8-433E-A479-910EE522A11E}"/>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54B3FE07-C8C8-433E-A479-910EE522A11E}"/>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F5429A61-888D-4DDB-8FEE-64433BB07B5C}"/>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F5429A61-888D-4DDB-8FEE-64433BB07B5C}"/>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E410150C-1400-4A7A-B6B8-FF4D0AF71C8D}"/>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E410150C-1400-4A7A-B6B8-FF4D0AF71C8D}"/>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7E1C811-6DCE-4066-9DB1-7563875672C6}"/>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D7E1C811-6DCE-4066-9DB1-7563875672C6}"/>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29450C5-3176-4D8B-BBAB-A7BFB73EFF7C}"/>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E29450C5-3176-4D8B-BBAB-A7BFB73EFF7C}"/>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9A96C0A-2791-4318-9198-DADFD9FB6A21}"/>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79A96C0A-2791-4318-9198-DADFD9FB6A21}"/>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9A8A72-3CE5-4227-BDCD-1353ACE6C13A}" name="Table_Input_Enterprise_PlantingRemovals" displayName="Table_Input_Enterprise_PlantingRemovals" ref="D39:G40" totalsRowShown="0">
  <autoFilter ref="D39:G40" xr:uid="{069A8A72-3CE5-4227-BDCD-1353ACE6C13A}"/>
  <tableColumns count="4">
    <tableColumn id="1" xr3:uid="{5836E445-9CFC-4A97-8DDE-4C249E943537}" name="Planting name" dataCellStyle="Input text"/>
    <tableColumn id="2" xr3:uid="{365B899D-C571-4ECB-96CB-13C89774EE3C}" name="Total removed CO2" dataCellStyle="Input number general"/>
    <tableColumn id="3" xr3:uid="{13C8816C-5A9D-4FC0-AFF7-A72C96BBC8FB}" name="Percent allocated to this enterprise" dataCellStyle="Input percent"/>
    <tableColumn id="4" xr3:uid="{E46B1659-4CAC-423C-A977-D1FEDC0B6B19}"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A1C81-FBB6-43DC-BB35-9A0347A24CF8}"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84D8E3C0-97CA-4CF1-A63F-3CF6AAE07330}" name="Transaction name" dataCellStyle="Input text"/>
    <tableColumn id="1" xr3:uid="{E41B3FA3-55C1-4BBF-A477-D8EDBC89025E}" name="Class (select)" dataCellStyle="Input select"/>
    <tableColumn id="2" xr3:uid="{3F9F09B6-E6B3-4323-AB6A-249C77DAFA51}" name="Sale date" dataDxfId="450"/>
    <tableColumn id="3" xr3:uid="{48DB24D2-2F89-4EEB-911F-2F24089C3918}" name="Head sold"/>
    <tableColumn id="4" xr3:uid="{879FC871-5C62-44BF-952F-ACBA1C3B6AE4}" name="Average weight per head (kg)"/>
    <tableColumn id="5" xr3:uid="{B8588D76-BACA-4516-8963-B7E8E5A87B93}"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EB604231-BE5C-4B3B-BFCC-10F9253AC807}" name="Table_Input_LivestockPurchases_Dairy" displayName="Table_Input_LivestockPurchases_Dairy" ref="D6:I16" totalsRowShown="0" headerRowDxfId="449">
  <autoFilter ref="D6:I16" xr:uid="{E938BFB3-949A-45DE-8033-0682BC494B81}"/>
  <tableColumns count="6">
    <tableColumn id="9" xr3:uid="{21BE966E-EBDB-4CB9-9FA6-E7CCE5666BE3}" name="Transaction name" dataCellStyle="Input text"/>
    <tableColumn id="11" xr3:uid="{583453F1-2348-4BC3-8891-E6C0A1335E38}" name="Class (select)" dataDxfId="448" dataCellStyle="Input select"/>
    <tableColumn id="2" xr3:uid="{FF9408D6-F167-42CC-AE69-9D0CAE2FFD12}" name="Breed (select)" dataCellStyle="Input select"/>
    <tableColumn id="3" xr3:uid="{AE2A5477-E5D0-4471-92AC-ADB563DCE9A8}" name="Quantity (head)" dataCellStyle="Input number general"/>
    <tableColumn id="12" xr3:uid="{6333816F-7AF2-4C27-B856-D35B04EEBC45}" name="Liveweight (kg/head) Method 1" dataCellStyle="Input number general calculated"/>
    <tableColumn id="4" xr3:uid="{B9929FFE-F621-476B-8AB3-8B32CF74099F}"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4108305-8511-46DC-9191-EF8E5E903247}" name="Table_Input_InorganicFertiliser_Brands" displayName="Table_Input_InorganicFertiliser_Brands" ref="D11:Z21" headerRowDxfId="447" dataDxfId="446" totalsRowDxfId="445">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5763A76A-9749-407F-9688-881EC946EA77}" name="Product (select)" dataDxfId="444" totalsRowDxfId="443" dataCellStyle="Input select"/>
    <tableColumn id="23" xr3:uid="{E8501CFA-63EF-4AC9-845D-AF5D40011FF4}" name="Amount applied per hectare" totalsRowFunction="custom" dataDxfId="442" totalsRowDxfId="441">
      <totalsRowFormula>SUM(Table_Input_InorganicFertiliser_Brands[[#Headers],[#Data],[Amount applied per hectare]])</totalsRowFormula>
    </tableColumn>
    <tableColumn id="12" xr3:uid="{023C7814-3106-428D-8B10-8BDF05B2EA0C}" name="Application unit" dataDxfId="440" totalsRowDxfId="439" dataCellStyle="Input number 2 decimal places"/>
    <tableColumn id="6" xr3:uid="{CD1F207D-E437-4B78-99F9-1EB520BC733F}" name="Application area (ha)" dataDxfId="438" totalsRowDxfId="437">
      <calculatedColumnFormula>X_Cell_Fertiliser_AreaUnderCropping</calculatedColumnFormula>
    </tableColumn>
    <tableColumn id="9" xr3:uid="{0ED7E011-8BA3-47B0-A65E-EC15D18AE130}" name="Density" dataDxfId="436" totalsRowDxfId="435" dataCellStyle="Input number general calculated"/>
    <tableColumn id="1" xr3:uid="{3CFB0C7D-44B1-4FD2-BC8D-3AE5C5CE9ED0}" name="Total applied (kg)" dataDxfId="434" totalsRowDxfId="43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C2DA02C-1D74-48AD-B825-381F80BF0FDD}" name="Ingredient 1" dataDxfId="432" totalsRowDxfId="431" dataCellStyle="Input number general calculated"/>
    <tableColumn id="4" xr3:uid="{A06C3CA9-0A79-4BE9-81B3-E792CC475373}" name="Ingredient 1 percent" dataDxfId="430" dataCellStyle="Input number general calculated"/>
    <tableColumn id="7" xr3:uid="{4787BFFB-E801-46AC-A89E-B7918B904D4F}" name="Ingredient 2" dataDxfId="429" dataCellStyle="Input number general calculated"/>
    <tableColumn id="8" xr3:uid="{8358BEA9-7356-4F82-BC89-329DD7C0F71E}" name="Ingredient 2 percent" dataDxfId="428" totalsRowDxfId="427" dataCellStyle="Input number general calculated"/>
    <tableColumn id="10" xr3:uid="{EAFB0079-E6E9-463E-8BD5-77539640B964}" name="Ingredient 3" dataDxfId="426" totalsRowDxfId="425" dataCellStyle="Input number general calculated"/>
    <tableColumn id="11" xr3:uid="{6B739163-5E4F-42BB-B2A3-F8586060E338}" name="Ingredient 3 percent" dataDxfId="424" totalsRowDxfId="423" dataCellStyle="Input number general calculated"/>
    <tableColumn id="13" xr3:uid="{C94007D9-6414-4E1E-9DB6-523659DA2FA4}" name="Ingredient 4" dataDxfId="422" totalsRowDxfId="421" dataCellStyle="Input number general calculated"/>
    <tableColumn id="14" xr3:uid="{1C7927BD-B68F-44D4-925E-A71F7203B56E}" name="Ingredient 4 percent" dataDxfId="420" dataCellStyle="Input number general calculated"/>
    <tableColumn id="16" xr3:uid="{8D1F86F7-B6D2-49D8-BB2C-BF57E596B44C}" name="Ingredient 5" dataDxfId="419" dataCellStyle="Input number general calculated"/>
    <tableColumn id="17" xr3:uid="{60F94A76-47AE-4F81-89AB-25D778965F68}" name="Ingredient 5 percent" dataDxfId="418" dataCellStyle="Input number general calculated"/>
    <tableColumn id="19" xr3:uid="{6DA0A0CC-186E-4478-92F4-984AC2FBC9E5}" name="Ingredient 6" dataDxfId="417" dataCellStyle="Input number general calculated"/>
    <tableColumn id="20" xr3:uid="{08E609FE-6DCA-4D23-9972-9B74BAAD462F}" name="Ingredient 6 percent" dataDxfId="416" dataCellStyle="Input number general calculated"/>
    <tableColumn id="21" xr3:uid="{BAE8E710-A2C3-46D5-A2D8-1BCBAA8552DD}" name="% N (Ingredients)" dataDxfId="415" dataCellStyle="Input number general calculated"/>
    <tableColumn id="22" xr3:uid="{353C03CF-87F3-4EB6-913D-164FB13BAA4D}" name="% N (declared)" dataDxfId="414" dataCellStyle="Content normal"/>
    <tableColumn id="5" xr3:uid="{74F88C16-5FBB-409B-85DF-9CB49FBC7687}" name="N application rate (kg/ha)" dataDxfId="413" totalsRowDxfId="412"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6F52ECC8-F37E-48CC-B865-D9A111BD1BA7}" name="Urea source" dataDxfId="411" totalsRowDxfId="410" dataCellStyle="Input number general calculated"/>
    <tableColumn id="18" xr3:uid="{1B9B0157-9F75-4BC9-B088-31154147903D}" name="Ammonia source" dataDxfId="409" totalsRowDxfId="408"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A9B9143A-EDE2-4A86-ABEE-28993B31EEF2}" name="Table_Input_InorganicFertiliser_Custom" displayName="Table_Input_InorganicFertiliser_Custom" ref="D24:R34" totalsRowShown="0" headerRowDxfId="407" dataDxfId="406">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5DEC52FA-C8FD-438E-A848-F13EF98D1013}" name="Custom blend name" dataCellStyle="Input text"/>
    <tableColumn id="2" xr3:uid="{C974D6F5-5F6C-4D26-8DB0-574B00A79686}" name="Amount applied (kg / ha)" dataDxfId="405"/>
    <tableColumn id="3" xr3:uid="{6F95A0D6-AB3A-4152-AC26-48C8E5517175}" name="Application area (ha)" dataDxfId="404" dataCellStyle="Input number 2 decimal places">
      <calculatedColumnFormula>X_Cell_Fertiliser_AreaUnderCropping</calculatedColumnFormula>
    </tableColumn>
    <tableColumn id="4" xr3:uid="{B2F673C4-F2D7-4E08-BA89-DC7AD57E5D14}" name="Total applied (kg)" dataDxfId="403" dataCellStyle="Input number general calculated">
      <calculatedColumnFormula>Table_Input_InorganicFertiliser_Custom[[#This Row],[Amount applied (kg / ha)]]*Table_Input_InorganicFertiliser_Custom[[#This Row],[Application area (ha)]]</calculatedColumnFormula>
    </tableColumn>
    <tableColumn id="5" xr3:uid="{3397674F-BE8B-475E-B6FE-0BBE263A3E80}" name="Ingredient 1 (select)" dataDxfId="402" dataCellStyle="Input select"/>
    <tableColumn id="6" xr3:uid="{7E2D2747-C423-420A-92DD-8D987771F874}" name="Ingredient 1 percent" dataDxfId="401"/>
    <tableColumn id="8" xr3:uid="{8739C154-9EE9-4FEB-B868-EC7A17AAA9EF}" name="Ingredient 2" dataDxfId="400" dataCellStyle="Input select"/>
    <tableColumn id="9" xr3:uid="{7117C648-2512-4224-84F2-7A9A302F5058}" name="Ingredient 2 percent" dataDxfId="399"/>
    <tableColumn id="11" xr3:uid="{2F383565-4940-4571-841C-5DF584756FD6}" name="Ingredient 3" dataDxfId="398" dataCellStyle="Input select"/>
    <tableColumn id="12" xr3:uid="{CF648C2E-E805-4529-9F78-A57D2D098350}" name="Ingredient 3 percent" dataDxfId="397"/>
    <tableColumn id="14" xr3:uid="{19CE8291-09C7-4B5C-979E-3FE1343C970A}" name="Ingredient 4" dataDxfId="396" dataCellStyle="Input select"/>
    <tableColumn id="15" xr3:uid="{BB4A794A-3419-44E8-97B2-71EE6542EB47}" name="Ingredient 4 percent" dataCellStyle="Input percent"/>
    <tableColumn id="7" xr3:uid="{BD821C8E-EF49-432B-A560-130E81487489}" name="N application rate (kg/ha)" dataDxfId="395" dataCellStyle="Input number general calculated"/>
    <tableColumn id="10" xr3:uid="{1EBE4CC5-1A3D-4616-8728-8062BA6AD63F}" name="Urea source (Select)" dataCellStyle="Input select"/>
    <tableColumn id="13" xr3:uid="{92377857-8242-4929-89E1-2E67EDF004C2}"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C204B766-75C6-4BCE-AA59-C63BA398B5E5}" name="Table_Input_Lime" displayName="Table_Input_Lime" ref="D41:K44" totalsRowShown="0" headerRowDxfId="394" dataDxfId="393"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291E385-569E-4B71-903F-B68498F3FB17}" name="Product" dataDxfId="392"/>
    <tableColumn id="2" xr3:uid="{0D145BF5-D36D-4F6F-83E9-E7A018F3442B}" name="Amount applied (t/hectare)" dataDxfId="391"/>
    <tableColumn id="4" xr3:uid="{E8F77D81-95D6-45D4-A211-4111B05758E0}" name="Application area (ha)" dataDxfId="390" dataCellStyle="Input number 2 decimal places">
      <calculatedColumnFormula>X_Cell_Fertiliser_AreaUnderCropping</calculatedColumnFormula>
    </tableColumn>
    <tableColumn id="3" xr3:uid="{00C86390-57C6-4B92-8E92-ED8BBEE7DEF8}" name="Total amount applied (t)" dataDxfId="389" dataCellStyle="Input number general calculated">
      <calculatedColumnFormula>IFERROR(Table_Input_Lime[[#This Row],[Amount applied (t/hectare)]]*Table_Input_Lime[[#This Row],[Application area (ha)]], 0)</calculatedColumnFormula>
    </tableColumn>
    <tableColumn id="6" xr3:uid="{936DD81D-29AE-4AEE-9128-BA38B4141E87}" name="Percent Lime CaCO3" dataDxfId="388"/>
    <tableColumn id="8" xr3:uid="{C060B9F4-337F-4C09-86AA-E23FBEF5995F}" name="Percent Dolomite CaMg(CO3)2" dataDxfId="387"/>
    <tableColumn id="7" xr3:uid="{CA7DD5E9-E34F-4A52-B03B-BAD2E75F4BB7}" name="Percent Gypsum" dataDxfId="386"/>
    <tableColumn id="10" xr3:uid="{27A10206-ACD6-4EDB-86C3-4E40D9226362}" name="Total" dataDxfId="385"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AB6AD9E-E846-4974-B08D-D546EB792C9D}" name="Table_Input_OrganicFertiliser" displayName="Table_Input_OrganicFertiliser" ref="D53:J56" totalsRowShown="0" headerRowDxfId="384" dataDxfId="383"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F1D3B4E-99B2-411A-AB30-3928C029AE22}" name="Organic fertiliser type (select)" dataDxfId="382" dataCellStyle="Input select"/>
    <tableColumn id="5" xr3:uid="{E1CD1092-3D5C-471C-9D68-E03BEFCA0B46}" name="Percentage of N in fertiliser" dataDxfId="381"/>
    <tableColumn id="2" xr3:uid="{6645FC7E-83B8-486C-9A1C-FCAB0B5D57FB}" name="Amount applied (kg/hectare)" dataDxfId="380"/>
    <tableColumn id="11" xr3:uid="{CF8882CF-FA14-49CB-8F98-F028193F2273}" name="Amount N applied (kg/hectare)" dataDxfId="379" dataCellStyle="Input number general calculated">
      <calculatedColumnFormula>Table_Input_OrganicFertiliser[[#This Row],[Amount applied (kg/hectare)]]*Table_Input_OrganicFertiliser[[#This Row],[Percentage of N in fertiliser]]</calculatedColumnFormula>
    </tableColumn>
    <tableColumn id="4" xr3:uid="{867280F5-AF42-4003-B4F0-80EE2A163244}" name="Application area (ha)" dataDxfId="378" dataCellStyle="Input number 2 decimal places">
      <calculatedColumnFormula>X_Cell_Fertiliser_AreaUnderCropping</calculatedColumnFormula>
    </tableColumn>
    <tableColumn id="7" xr3:uid="{592CEB48-A7C4-499C-971E-2ED4C789327F}" name="Total organic fertliser applied" dataDxfId="377" dataCellStyle="Input number general calculated">
      <calculatedColumnFormula>Table_Input_OrganicFertiliser[[#This Row],[Amount applied (kg/hectare)]]*Table_Input_OrganicFertiliser[[#This Row],[Application area (ha)]]</calculatedColumnFormula>
    </tableColumn>
    <tableColumn id="3" xr3:uid="{D6A9B9F3-36E9-48B6-8EA1-FDB3ACA7C50A}" name="Total nitrogen applied (kg)" dataDxfId="376"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F2786BCE-89FB-4FBA-AEEF-7867D0B0261C}" name="Table_Input_Fuel" displayName="Table_Input_Fuel" ref="D16:J21" totalsRowDxfId="375"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2069CBD-08E6-4634-95AA-DA9C285FBE60}" name="Fuel use (select)" totalsRowFunction="average" totalsRowDxfId="374" dataCellStyle="Input select" totalsRowCellStyle="Input select"/>
    <tableColumn id="3" xr3:uid="{0E6C2F18-7536-48B4-B5E8-0BFC76FC41BF}" name="Fuel type (select)" totalsRowDxfId="373" dataCellStyle="Input select" totalsRowCellStyle="Input select"/>
    <tableColumn id="4" xr3:uid="{8C35CD2B-83A1-41AB-8BF1-C14CD7017E0F}" name="Amount purchased" totalsRowDxfId="372" totalsRowCellStyle="Content bold"/>
    <tableColumn id="6" xr3:uid="{B785A796-1709-4E21-B1E0-6E098FB8DED0}" name="Amount unit" totalsRowDxfId="371" dataCellStyle="Input number general calculated" totalsRowCellStyle="Input text calculated"/>
    <tableColumn id="5" xr3:uid="{C906CF04-41AC-43F9-BE7B-8A0A36EE4C69}" name="Percent consumed" totalsRowDxfId="370" totalsRowCellStyle="Input percent">
      <calculatedColumnFormula>1</calculatedColumnFormula>
    </tableColumn>
    <tableColumn id="1" xr3:uid="{326DC9A6-7CBE-4031-AE1D-FD44EAF8281E}" name="Amount consumed" totalsRowFunction="custom" totalsRowDxfId="369"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E763163D-04BF-4A7E-87C1-0370D44710FF}" name="Amount consumed unit" totalsRowDxfId="368"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0387E58-F467-4BDC-A556-899E3A8B6C1E}"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340AE896-EE44-4B0B-A339-AAB977764903}" name="Description"/>
    <tableColumn id="5" xr3:uid="{5DCCDCBF-325A-40F8-A534-9498762785BD}" name="Source (select)" dataCellStyle="Input select"/>
    <tableColumn id="2" xr3:uid="{0944756C-6B23-497F-A683-F8E457F5A5E5}" name="Generation date" dataDxfId="367"/>
    <tableColumn id="3" xr3:uid="{CE3C1F11-066C-468B-92F1-3971C9E7DCCC}" name="Number of certificates"/>
    <tableColumn id="4" xr3:uid="{F4B53EDC-3012-40C6-8CEA-274CB4E18377}" name="MWh" dataCellStyle="Input number general calculated">
      <calculatedColumnFormula>Table_Input_RECSurrendered[[#This Row],[Number of certificates]]</calculatedColumnFormula>
    </tableColumn>
    <tableColumn id="7" xr3:uid="{DEBA8B2B-F716-4E5C-A468-39F4C94FE2A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3F6C13B-0656-4662-A0B1-69D93C3BF88B}"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0F70936D-944C-42E5-BAC0-707A0350CB34}" name="Description"/>
    <tableColumn id="5" xr3:uid="{78470438-E944-4141-825E-CD5204CD9B09}" name="Source" dataCellStyle="Input text calculated">
      <calculatedColumnFormula>"Issued for generated electricity"</calculatedColumnFormula>
    </tableColumn>
    <tableColumn id="2" xr3:uid="{DBBD129C-EF64-482E-B265-74C95D5C088E}" name="Generation date" dataDxfId="366"/>
    <tableColumn id="3" xr3:uid="{025CD489-D484-41BD-8244-33AA0E18A70B}" name="Number of certificates"/>
    <tableColumn id="4" xr3:uid="{6527566E-893B-4BB2-B413-28F95C6A7592}" name="MWh" dataCellStyle="Input number general calculated">
      <calculatedColumnFormula>Table_Input_RECConsumedByEntity[[#This Row],[Number of certificates]]</calculatedColumnFormula>
    </tableColumn>
    <tableColumn id="7" xr3:uid="{13434888-C994-419F-9838-298946B60DF3}"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CD2251D4-5F04-4C4F-8263-196C63AADC46}"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71BB19D8-72BE-4610-B3A0-9BA7844497D1}" name="Product name" dataCellStyle="Input text"/>
    <tableColumn id="1" xr3:uid="{968CCAE8-F341-4D37-8401-6BD742B9E7AC}" name="Type (select)" dataCellStyle="Input select"/>
    <tableColumn id="2" xr3:uid="{1CCB3032-4A4D-4BFE-B242-080DF1B35320}"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F9249668-3358-4B8F-8412-464035F9FA56}"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F7CAB4A8-3FA9-4E88-99E5-D17F33F66952}" name="Product / service name" dataCellStyle="Input text"/>
    <tableColumn id="2" xr3:uid="{C72C8D03-CCCB-4C9A-BF01-EC3BAE9B329B}" name="Amount" dataCellStyle="Input number general"/>
    <tableColumn id="3" xr3:uid="{F0AD0A5A-F337-4B9D-BB22-15559D6CFDF3}"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2BF9D537-7FE4-4763-B335-9B681A8231EA}"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DA0AAF34-1C38-4F2A-B0A7-25F7558BCC9E}" name="Service provider / contractor" dataCellStyle="Input text"/>
    <tableColumn id="4" xr3:uid="{A6D5F79A-60FA-44E2-8510-1DE21EA27652}" name="Activity" dataCellStyle="Input text"/>
    <tableColumn id="2" xr3:uid="{D817E324-1EEC-45D2-B292-5F9E3D98E218}" name="Total amount" dataCellStyle="Input number general"/>
    <tableColumn id="3" xr3:uid="{10413A3E-6048-44DE-A204-7D8E20D1D18B}"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9C6FFB91-2C45-43A9-963E-074D3DCF6868}" name="Table_Input_Pesticides" displayName="Table_Input_Pesticides" ref="D9:R19" totalsRowShown="0" headerRowDxfId="365">
  <autoFilter ref="D9:R19" xr:uid="{BA52E4BB-C3D1-441A-A568-0AD50449E880}"/>
  <tableColumns count="15">
    <tableColumn id="1" xr3:uid="{F273FF06-AE72-471C-AD9E-8982FB8B8960}" name="Product name"/>
    <tableColumn id="2" xr3:uid="{F4A00ECA-56BF-464B-AD92-64BA279B2900}" name="Amount applied per ha"/>
    <tableColumn id="7" xr3:uid="{9B673360-6170-451B-9249-985BD8B8269D}" name="Application unit (select)" dataCellStyle="Input select"/>
    <tableColumn id="6" xr3:uid="{30DBA057-A507-41B0-983D-9C8D495A0839}" name="Application area (ha)" dataCellStyle="Input number general"/>
    <tableColumn id="3" xr3:uid="{B30B03F0-8C30-48DE-8EAF-CBC2D1C6CD6A}" name="Total applied" dataCellStyle="Input number general calculated">
      <calculatedColumnFormula>Table_Input_Pesticides[[#This Row],[Amount applied per ha]]*Table_Input_Pesticides[[#This Row],[Application area (ha)]]</calculatedColumnFormula>
    </tableColumn>
    <tableColumn id="5" xr3:uid="{DE69C539-8B1E-4B3D-BF39-E28F3A8202AD}" name="Constituent unit (select)" dataCellStyle="Input select"/>
    <tableColumn id="4" xr3:uid="{ED820D81-F9BC-49C8-8310-364BB51E666A}" name="Active ingredient 1 (select)" dataCellStyle="Input select"/>
    <tableColumn id="8" xr3:uid="{9F900948-0322-4AFE-A29E-9BCC66125860}" name="Active ingredient 1 amount" dataCellStyle="Input number general"/>
    <tableColumn id="16" xr3:uid="{2C80D7AF-DCB1-4F52-86EF-7CFD3C19329F}"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9044B3EA-DA82-4B4F-80BD-75629F67072F}" name="Active ingredient 2 (select)" dataCellStyle="Input select"/>
    <tableColumn id="11" xr3:uid="{9A1B9531-CDDB-48F4-9525-D58E4F5DE884}" name="Active ingredient 2 amount" dataCellStyle="Input number general"/>
    <tableColumn id="17" xr3:uid="{4C8AC93B-20A6-440F-906F-F9F33D1744B6}"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BCA6C46A-8908-4686-B2E5-4DB002873844}" name="Active ingredient 3 (select)" dataCellStyle="Input select"/>
    <tableColumn id="14" xr3:uid="{203824C5-36CC-4A5D-B790-BEEBD7C7BC89}" name="Active ingredient 3 amount" dataCellStyle="Input number general"/>
    <tableColumn id="18" xr3:uid="{03F4E168-AC9B-4231-9756-6D271A9BF471}"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29D361C6-0156-432E-AF29-CE9F6BACF556}" name="Table_Input_FeedBlends" displayName="Table_Input_FeedBlends" ref="D18:Q28" totalsRowShown="0">
  <autoFilter ref="D18:Q28" xr:uid="{6EC3622A-9CA1-4931-8AAA-6FC289090D20}"/>
  <tableColumns count="14">
    <tableColumn id="1" xr3:uid="{E540BC2E-85F7-4C8E-B6AB-95170C37A26C}" name="Feed blend name" dataCellStyle="Input text"/>
    <tableColumn id="2" xr3:uid="{4614AE80-699F-400F-9C11-C2CDE962D4EA}" name="Amount fed (kg)"/>
    <tableColumn id="4" xr3:uid="{5FAD4F8B-F048-4ED9-870B-9556A4DA307F}" name="Ingredient 1 (select)" dataCellStyle="Input select"/>
    <tableColumn id="3" xr3:uid="{15C2B6AB-A495-49BB-8A40-B5DB39BEE8F9}" name="Ingredient 1 source region" dataCellStyle="Input select"/>
    <tableColumn id="5" xr3:uid="{2F4A87BF-0B29-4250-A2F8-08AE08E06C91}" name="Ingredient 1 percent"/>
    <tableColumn id="6" xr3:uid="{5A61412E-826A-4C92-A5A9-3F08793B97AC}" name="Ingredient 2 (select)" dataCellStyle="Input select"/>
    <tableColumn id="14" xr3:uid="{2DB00C09-1648-4A29-A1B8-4B22D626CD8A}" name="Ingredient 2 source region" dataCellStyle="Input select"/>
    <tableColumn id="7" xr3:uid="{DA82A401-199B-4E9B-BF06-6A0B05DC4ED8}" name="Ingredient 2 percent"/>
    <tableColumn id="8" xr3:uid="{12160D81-7202-48C0-BC13-43768409B254}" name="Ingredient 3 (select)" dataCellStyle="Input select"/>
    <tableColumn id="15" xr3:uid="{6CF8646B-4747-48DF-AEBA-8A0DE09DCC87}" name="Ingredient 3 source region" dataCellStyle="Input select"/>
    <tableColumn id="9" xr3:uid="{5D807034-E2FF-46B8-A964-CA5D426147D9}" name="Ingredient 3 percent"/>
    <tableColumn id="10" xr3:uid="{4A1D9A67-0FCB-49CF-AC6D-A060C4AD9D17}" name="Ingredient 4 (select)" dataCellStyle="Input select"/>
    <tableColumn id="16" xr3:uid="{519F73F5-2C42-499E-9064-683AA62013C1}" name="Ingredient 4 source region" dataCellStyle="Input select"/>
    <tableColumn id="11" xr3:uid="{A6785332-A2D8-4581-8F55-8251F0CE4DC5}"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DC7AA919-9F73-4BE0-A4C1-CFEB3B57D186}" name="Table_Input_ChemicalsPharmacy" displayName="Table_Input_ChemicalsPharmacy" ref="D32:F42" totalsRowShown="0" headerRowCellStyle="Input table column header">
  <autoFilter ref="D32:F42" xr:uid="{F7DA8543-C7DE-49A8-A739-D82C85B7B828}"/>
  <tableColumns count="3">
    <tableColumn id="3" xr3:uid="{5D434FD9-65BA-4522-B864-52AF74B3D827}" name="Product name" dataCellStyle="Input text"/>
    <tableColumn id="1" xr3:uid="{FC31F4C6-60FD-418E-A0AD-8186500C65F6}" name="Type (select)" dataDxfId="364" dataCellStyle="Input select"/>
    <tableColumn id="2" xr3:uid="{8E6EE06D-1B3B-4696-8B1D-50CBA1720C64}" name="Number of head treated" dataDxfId="363"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A7820A7-3A41-4EA2-8691-F4B1D1B22166}"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6F6696A3-D259-4F76-921A-2A6E08D7D22D}" name="Route name" dataCellStyle="Input text"/>
    <tableColumn id="2" xr3:uid="{354BDDDF-815D-468E-95F2-C763FE98C623}" name="Freight type (select)" dataCellStyle="Input select"/>
    <tableColumn id="3" xr3:uid="{F78823F2-702A-458B-9CAB-2FAD70DA3EA8}" name="Route distance (km)"/>
    <tableColumn id="4" xr3:uid="{07303665-A1C7-45EC-B258-A8CA053983F6}" name="Average weight of freight per trip (t)"/>
    <tableColumn id="5" xr3:uid="{5BAB629B-CB70-4D38-A374-37622CE97D71}"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23106C78-A74C-4E88-AD9D-3DBC82E45322}"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DDAE0910-743C-4050-9390-26C97E5FC6FE}" name="Route name" dataCellStyle="Input text"/>
    <tableColumn id="2" xr3:uid="{7B8BB2C2-F726-45C9-9315-44D4D167C75A}" name="Freight type (select)" dataCellStyle="Input select"/>
    <tableColumn id="3" xr3:uid="{7B507B01-64F2-47CA-BF79-DE9F2E95DC32}" name="Route distance (km)"/>
    <tableColumn id="4" xr3:uid="{032AA17F-637A-4938-B98E-320C684C3DA8}" name="Average weight of freight per trip (t)"/>
    <tableColumn id="5" xr3:uid="{8076E6F5-D9B7-4636-98A0-901A39CB4EDB}"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215EB434-5260-4757-9EC4-66B13DD1E489}"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1BF73C9-5A64-4357-A402-EFF17A0D43D8}" name="Description" dataCellStyle="Input text"/>
    <tableColumn id="5" xr3:uid="{3D55ED01-C721-4364-8683-525C9216FE46}" name="Treatment type (select)" dataCellStyle="Input select"/>
    <tableColumn id="2" xr3:uid="{86FBB30A-CF65-4020-967E-7F45BD15E733}" name="Waste type (select)" dataCellStyle="Input select"/>
    <tableColumn id="3" xr3:uid="{832F5510-A447-42BE-8158-539B68FA1E78}" name="Treatment location (select)" dataCellStyle="Input select"/>
    <tableColumn id="4" xr3:uid="{89860187-D35B-410E-8549-D7CB33FE09A4}" name="Amount" dataCellStyle="Input number general"/>
    <tableColumn id="7" xr3:uid="{24E99B08-835A-4F18-A195-48C163B90AEF}"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8FF422-353C-475C-9AAF-81A720D8CAB0}" name="Table_SourceData_Dairy_MMS" displayName="Table_SourceData_Dairy_MMS" ref="D7:E11" totalsRowShown="0">
  <autoFilter ref="D7:E11" xr:uid="{D5C443B2-EDE2-4250-B2EE-016878D19AD9}">
    <filterColumn colId="0" hiddenButton="1"/>
    <filterColumn colId="1" hiddenButton="1"/>
  </autoFilter>
  <tableColumns count="2">
    <tableColumn id="1" xr3:uid="{5FA041E2-65A8-4599-827F-309AB634E0D4}" name="MMS"/>
    <tableColumn id="2" xr3:uid="{08809DAB-7D4D-44D3-9996-BDAF6F2DEAE7}" name="Symbol and MMS" dataDxfId="362" dataCellStyle="Content normal"/>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262231B-149E-4333-B3E3-FFD76FDF2490}" name="Table_SourceData_Dairy_CropProdSystems" displayName="Table_SourceData_Dairy_CropProdSystems" ref="G7:G9" totalsRowShown="0">
  <autoFilter ref="G7:G9" xr:uid="{B6F3FE3A-A0B5-47E7-85B2-8426FB75A7C8}">
    <filterColumn colId="0" hiddenButton="1"/>
  </autoFilter>
  <tableColumns count="1">
    <tableColumn id="1" xr3:uid="{B4C825B8-59EB-4EBB-90A0-A75BCE3E7F88}" name="Production system">
      <calculatedColumnFormula>#REF!</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E040D1A-B9A9-407C-9DB3-75E5A9319A1B}" name="Table_SourceData_Dairy_IrrigationMethods" displayName="Table_SourceData_Dairy_IrrigationMethods" ref="J7:J12" totalsRowShown="0">
  <autoFilter ref="J7:J12" xr:uid="{FE172B77-CEA3-430C-84BC-392A64D0B8FF}">
    <filterColumn colId="0" hiddenButton="1"/>
  </autoFilter>
  <tableColumns count="1">
    <tableColumn id="1" xr3:uid="{36962BC8-97F2-4AC6-B74D-705983176277}" name="Irrigation method"/>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273DDC1-8855-46F6-8FEC-8A201B595DD6}"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52EBC473-22E4-4C61-83AE-CE5B3D5E8D7C}" name="Breed">
      <calculatedColumnFormula array="1">Common_InputFunctions.Utility_DisplayArrayInTable(SourceData_Dairy.SourceData_Dairy_LiveweightCowsAndHeifers_Data(), Table_SourceData_Dairy_WjCowsHeifers[[#Headers],[Breed]], 0)</calculatedColumnFormula>
    </tableColumn>
    <tableColumn id="2" xr3:uid="{1D33AC9C-B63D-4DDA-9B4A-A2FDE5D867F5}" name="Milking cows" dataDxfId="361" dataCellStyle="Content normal">
      <calculatedColumnFormula array="1">Common_InputFunctions.Utility_DisplayArrayInTable(SourceData_Dairy.SourceData_Dairy_LiveweightCowsAndHeifers_Data(), Table_SourceData_Dairy_WjCowsHeifers[[#Headers],[Breed]], 0)</calculatedColumnFormula>
    </tableColumn>
    <tableColumn id="3" xr3:uid="{593CEFA8-A8BA-4380-AB9A-026EE3ACEC7C}" name="Heifers &gt; 1" dataDxfId="360" dataCellStyle="Content normal">
      <calculatedColumnFormula array="1">Common_InputFunctions.Utility_DisplayArrayInTable(SourceData_Dairy.SourceData_Dairy_LiveweightCowsAndHeifers_Data(), Table_SourceData_Dairy_WjCowsHeifers[[#Headers],[Breed]], 0)</calculatedColumnFormula>
    </tableColumn>
    <tableColumn id="4" xr3:uid="{C02A0466-BC8D-4488-A0DB-6E08F9AF3E78}" name="Heifers &lt; 1 (weaned)" dataDxfId="359"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94D2AAD-BCFC-41CE-8DBC-E46A5AC065EC}"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65510906-40A1-4B99-8A94-5ECFA89C0B19}" name="Breed"/>
    <tableColumn id="2" xr3:uid="{03C3E5EC-5D47-45D5-ABEA-E6E53164D868}" name="Bulls &gt; 1" dataDxfId="358" dataCellStyle="Content normal"/>
    <tableColumn id="3" xr3:uid="{BCCBCEC2-3A30-4719-A92D-853101EC6ACD}" name="Bulls &lt; 1 (weaned)" dataDxfId="357" dataCellStyle="Content normal"/>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9F1EA1-F08C-44EE-BFF8-D514682746D7}"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E6F41824-2FBB-4137-9F9C-0DB95CD1FD8C}" name="Milking cows"/>
    <tableColumn id="2" xr3:uid="{2AAD7A0C-9A17-4061-9E81-5CD8E056332A}" name="Heifers &gt; 1" dataDxfId="356" dataCellStyle="Content normal"/>
    <tableColumn id="3" xr3:uid="{C1CAEE26-38AA-4A39-9B00-48CE053D6483}" name="Heifers &lt; 1 (weaned)" dataDxfId="355" dataCellStyle="Content normal"/>
    <tableColumn id="4" xr3:uid="{0B2B9AC8-3CA9-4AE2-8574-8E67575C807D}" name="Bulls &gt; 1" dataDxfId="354" dataCellStyle="Content normal"/>
    <tableColumn id="5" xr3:uid="{15326B89-6855-4D3E-814C-96816B16487E}" name="Bulls &lt; 1 (weaned)" dataDxfId="353" dataCellStyle="Content normal"/>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CC678A5-6823-4F86-958D-DEA85852ADFB}" name="Table_SourceData_Dairy_WRj" displayName="Table_SourceData_Dairy_WRj" ref="D54:H55" totalsRowShown="0" headerRowDxfId="352"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EE206D9B-8433-4007-999D-A20894D52C4A}" name="Milking cows" dataCellStyle="Content normal"/>
    <tableColumn id="2" xr3:uid="{52A80DCA-649D-4435-BC45-7FB0CFB5659B}" name="Heifers &gt; 1" dataCellStyle="Content normal"/>
    <tableColumn id="3" xr3:uid="{596F956E-915E-4286-8B0F-1908F8718273}" name="Heifers &lt; 1 (weaned)" dataCellStyle="Content normal"/>
    <tableColumn id="4" xr3:uid="{371D5C4F-0B03-4110-A132-8FBCEF9B9C69}" name="Bulls &gt; 1" dataCellStyle="Content normal"/>
    <tableColumn id="5" xr3:uid="{74CB6AC2-711E-4934-A3F3-2F85AB7025AF}" name="Bulls &lt; 1 (weaned)"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157EC7E-5F10-424B-9DF9-19DB9260ED64}" name="Table_SourceData_Dairy_DataPreWeaned" displayName="Table_SourceData_Dairy_DataPreWeaned" ref="D62:G64" totalsRowShown="0" dataDxfId="351" dataCellStyle="Content normal">
  <autoFilter ref="D62:G64" xr:uid="{968BB314-DB2C-4CA2-BAA9-E66557777E59}">
    <filterColumn colId="0" hiddenButton="1"/>
    <filterColumn colId="1" hiddenButton="1"/>
    <filterColumn colId="2" hiddenButton="1"/>
    <filterColumn colId="3" hiddenButton="1"/>
  </autoFilter>
  <tableColumns count="4">
    <tableColumn id="1" xr3:uid="{8D8D8895-81D4-49CA-AC96-E91A57EE1C47}" name="Animal class j" dataDxfId="350" dataCellStyle="Content normal">
      <calculatedColumnFormula array="1">Common_InputFunctions.Utility_DisplayArrayInTable(SourceData_Dairy.SourceData_Dairy_PreWeanedCalves_Data(), Table_SourceData_Dairy_DataPreWeaned[[#Headers],[Animal class j]], -1)</calculatedColumnFormula>
    </tableColumn>
    <tableColumn id="2" xr3:uid="{0459F438-321D-4389-803C-FB4D0CCE7F86}" name="CH4 production" dataDxfId="349" dataCellStyle="Content normal">
      <calculatedColumnFormula array="1">Common_InputFunctions.Utility_DisplayArrayInTable(SourceData_Dairy.SourceData_Dairy_PreWeanedCalves_Data(), Table_SourceData_Dairy_DataPreWeaned[[#Headers],[Animal class j]], -1)</calculatedColumnFormula>
    </tableColumn>
    <tableColumn id="3" xr3:uid="{D37E5D29-06EB-41BF-A112-98B2A50C198B}" name="Volatile solids (VSj=3,5)" dataDxfId="348" dataCellStyle="Content normal">
      <calculatedColumnFormula array="1">Common_InputFunctions.Utility_DisplayArrayInTable(SourceData_Dairy.SourceData_Dairy_PreWeanedCalves_Data(), Table_SourceData_Dairy_DataPreWeaned[[#Headers],[Animal class j]], -1)</calculatedColumnFormula>
    </tableColumn>
    <tableColumn id="4" xr3:uid="{88EE520C-31D8-4330-ABB4-3DE7826B70CB}" name="Nitrogen Excreted (NPWj=3,5)" dataDxfId="347"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196216-ED69-4635-8C45-C34E6E316468}"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B0CA443-83B4-475C-8A37-59181D1CA0C9}" name="MMS m">
      <calculatedColumnFormula array="1">Common_InputFunctions.Utility_DisplayArrayInTable(SourceData_Dairy.SourceData_Dairy_MCF_Data(), Table_SourceData_Dairy_MCFjm[[#Headers],[MMS m]], 0)</calculatedColumnFormula>
    </tableColumn>
    <tableColumn id="2" xr3:uid="{25CCAD3A-51E0-4EC0-A8F3-9E19D977229A}" name="ACT" dataDxfId="346" dataCellStyle="Content normal">
      <calculatedColumnFormula array="1">Common_InputFunctions.Utility_DisplayArrayInTable(SourceData_Dairy.SourceData_Dairy_MCF_Data(), Table_SourceData_Dairy_MCFjm[[#Headers],[MMS m]], 0)</calculatedColumnFormula>
    </tableColumn>
    <tableColumn id="3" xr3:uid="{7D3740C9-C9A1-487E-B831-E2D00DD72B63}" name="NSW" dataDxfId="345" dataCellStyle="Content normal">
      <calculatedColumnFormula array="1">Common_InputFunctions.Utility_DisplayArrayInTable(SourceData_Dairy.SourceData_Dairy_MCF_Data(), Table_SourceData_Dairy_MCFjm[[#Headers],[MMS m]], 0)</calculatedColumnFormula>
    </tableColumn>
    <tableColumn id="4" xr3:uid="{A4F444AA-F157-4E39-82D7-54D70D7A92F6}" name="NT" dataDxfId="344" dataCellStyle="Content normal">
      <calculatedColumnFormula array="1">Common_InputFunctions.Utility_DisplayArrayInTable(SourceData_Dairy.SourceData_Dairy_MCF_Data(), Table_SourceData_Dairy_MCFjm[[#Headers],[MMS m]], 0)</calculatedColumnFormula>
    </tableColumn>
    <tableColumn id="5" xr3:uid="{26F699C1-0A3B-4E8C-BD28-BC50FEE327E0}" name="QLD" dataDxfId="343" dataCellStyle="Content normal">
      <calculatedColumnFormula array="1">Common_InputFunctions.Utility_DisplayArrayInTable(SourceData_Dairy.SourceData_Dairy_MCF_Data(), Table_SourceData_Dairy_MCFjm[[#Headers],[MMS m]], 0)</calculatedColumnFormula>
    </tableColumn>
    <tableColumn id="6" xr3:uid="{1DE5CB59-76BC-4B2B-9ED5-AE8955FFBDB4}" name="SA" dataDxfId="342" dataCellStyle="Content normal">
      <calculatedColumnFormula array="1">Common_InputFunctions.Utility_DisplayArrayInTable(SourceData_Dairy.SourceData_Dairy_MCF_Data(), Table_SourceData_Dairy_MCFjm[[#Headers],[MMS m]], 0)</calculatedColumnFormula>
    </tableColumn>
    <tableColumn id="7" xr3:uid="{4E54E202-6EF7-4DCC-BE83-C9CDD5611039}" name="TAS" dataDxfId="341" dataCellStyle="Content normal">
      <calculatedColumnFormula array="1">Common_InputFunctions.Utility_DisplayArrayInTable(SourceData_Dairy.SourceData_Dairy_MCF_Data(), Table_SourceData_Dairy_MCFjm[[#Headers],[MMS m]], 0)</calculatedColumnFormula>
    </tableColumn>
    <tableColumn id="8" xr3:uid="{9AF5CCAE-3E7F-46AB-B2BE-B12E77424805}" name="VIC" dataDxfId="340" dataCellStyle="Content normal">
      <calculatedColumnFormula array="1">Common_InputFunctions.Utility_DisplayArrayInTable(SourceData_Dairy.SourceData_Dairy_MCF_Data(), Table_SourceData_Dairy_MCFjm[[#Headers],[MMS m]], 0)</calculatedColumnFormula>
    </tableColumn>
    <tableColumn id="9" xr3:uid="{78BCB66B-69F8-476B-88B4-0B2E3DFC98DA}" name="WA" dataDxfId="339" dataCellStyle="Content normal">
      <calculatedColumnFormula array="1">Common_InputFunctions.Utility_DisplayArrayInTable(SourceData_Dairy.SourceData_Dairy_MCF_Data(), Table_SourceData_Dairy_MCFjm[[#Headers],[MMS m]], 0)</calculatedColumnFormula>
    </tableColumn>
    <tableColumn id="10" xr3:uid="{DE88170D-FFC5-46C5-864A-6847F2E6D174}" name="NIR reference" dataDxfId="338"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C70C811-0A9D-4A3A-9C09-A3320C6CCAC8}"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05A84EE2-C65A-4CA7-8BE4-9F40EB33DC2B}" name="MMS m">
      <calculatedColumnFormula array="1">Common_InputFunctions.Utility_DisplayArrayInTable(SourceData_Dairy.SourceData_Dairy_NitrousOxideEFsAndFracGASM_Data(), Table_SourceData_Dairy_EFmFracGASM[[#Headers],[MMS m]], 0)</calculatedColumnFormula>
    </tableColumn>
    <tableColumn id="2" xr3:uid="{757EC4DE-890E-436E-AF0C-813E574FDD76}" name="EFm" dataDxfId="337" dataCellStyle="Content normal">
      <calculatedColumnFormula array="1">Common_InputFunctions.Utility_DisplayArrayInTable(SourceData_Dairy.SourceData_Dairy_NitrousOxideEFsAndFracGASM_Data(), Table_SourceData_Dairy_EFmFracGASM[[#Headers],[MMS m]], 0)</calculatedColumnFormula>
    </tableColumn>
    <tableColumn id="3" xr3:uid="{5A6BB85F-E949-45EF-ADFD-B8013E79E90A}" name="FracGASMm" dataDxfId="336" dataCellStyle="Content normal">
      <calculatedColumnFormula array="1">Common_InputFunctions.Utility_DisplayArrayInTable(SourceData_Dairy.SourceData_Dairy_NitrousOxideEFsAndFracGASM_Data(), Table_SourceData_Dairy_EFmFracGASM[[#Headers],[MMS m]], 0)</calculatedColumnFormula>
    </tableColumn>
    <tableColumn id="4" xr3:uid="{87EC09E3-8A64-4241-BFEA-72090B5C5E06}" name="NIR reference" dataDxfId="335"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87ABAA8-9522-4C81-80CD-4E3B70C2598E}"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0C2EE9CA-D799-4BAE-809C-6BCCAD80B34E}"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CF4CB7A1-33C7-4577-A77B-312A169CC6B1}" name="MPW ENTERIC" dataDxfId="334"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F27A88B-F28A-45CA-AE7D-739F75506A4D}"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A5E11EAA-7E01-43E9-B577-D8699C665769}" name="Animal class j">
      <calculatedColumnFormula array="1">Common_InputFunctions.Utility_DisplayArrayInTable(SourceData_Dairy.SourceData_Dairy_IncreasedMetabolicRateMilk_Data(), Table_SourceData_Dairy_MRj[[#Headers],[Animal class j]], 0)</calculatedColumnFormula>
    </tableColumn>
    <tableColumn id="2" xr3:uid="{A115C9DA-2AD8-48B5-B929-24E7111316DB}" name="MRj" dataDxfId="333"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59A72BD-A2DB-4439-9622-979A76BB6142}"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011552B4-723E-407D-8B77-9440211E485F}" name="Area">
      <calculatedColumnFormula array="1">Common_InputFunctions.Utility_DisplayArrayInTable(SourceData_Dairy.SourceData_Dairy_FractionVolatileSolidsVoidedMMS_Data(), Table_SourceData_Dairy_ProductionSystemTemplates[[#Headers],[Area]], 0)</calculatedColumnFormula>
    </tableColumn>
    <tableColumn id="2" xr3:uid="{E08FE419-1E51-4806-AA5E-2283875F7DAB}" name="Pasture" dataDxfId="33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670FB7D5-4892-4E1C-B128-727D30901492}" name="Milking shed" dataDxfId="33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A1C786E0-DE9D-415C-BBE0-D2D4E92B15E7}" name="Feedpad" dataDxfId="33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D76791D-830B-4A41-82EA-BC16FEB9E2AF}"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F2E60D3F-DEBC-46E4-AEEA-46088D26E433}" name="MMS m">
      <calculatedColumnFormula array="1">Common_InputFunctions.Utility_DisplayArrayInTable(SourceData_Dairy.SourceData_Dairy_EFNitrousOxidePerMMS_Data(), Table_SourceData_Dairy_EFm[[#Headers],[MMS m]], 0)</calculatedColumnFormula>
    </tableColumn>
    <tableColumn id="2" xr3:uid="{33CD134B-7DFD-435B-9CF1-3D9486977BE6}" name="EFm" dataDxfId="329" dataCellStyle="Content normal">
      <calculatedColumnFormula array="1">Common_InputFunctions.Utility_DisplayArrayInTable(SourceData_Dairy.SourceData_Dairy_EFNitrousOxidePerMMS_Data(), Table_SourceData_Dairy_EFm[[#Headers],[MMS m]], 0)</calculatedColumnFormula>
    </tableColumn>
    <tableColumn id="3" xr3:uid="{577ED7BC-76A9-403F-9FC9-CD89827A2D37}" name="NIR reference" dataDxfId="328"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E864CE9-0D2B-4292-9EE7-17F2ECEF1E41}"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F9D378E3-606B-44A4-9A66-CE5206D5E929}" name="Animal class j">
      <calculatedColumnFormula array="1">Common_InputFunctions.Utility_DisplayArrayInTable(SourceData_Dairy.SourceData_Dairy_DurationOfStay_Data(), Table_SourceData_Dairy_Duration[[#Headers],[Animal class j]], 0)</calculatedColumnFormula>
    </tableColumn>
    <tableColumn id="2" xr3:uid="{A3227E3D-0430-49A9-B714-BB2684486F88}" name="Duration (weaned)" dataDxfId="327" dataCellStyle="Content normal">
      <calculatedColumnFormula array="1">Common_InputFunctions.Utility_DisplayArrayInTable(SourceData_Dairy.SourceData_Dairy_DurationOfStay_Data(), Table_SourceData_Dairy_Duration[[#Headers],[Animal class j]], 0)</calculatedColumnFormula>
    </tableColumn>
    <tableColumn id="3" xr3:uid="{D47D48F2-ABF5-4CA8-9FDB-C7E241669253}" name="Duration (pre-weaned)" dataDxfId="326"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3935CFE-7183-43E0-B1B6-966E4E10E332}" name="Table_LivestockClasses_Dairy" displayName="Table_LivestockClasses_Dairy" ref="L7:L12" totalsRowShown="0">
  <autoFilter ref="L7:L12" xr:uid="{F006A23F-3930-4C16-9B92-37DD408BCC17}">
    <filterColumn colId="0" hiddenButton="1"/>
  </autoFilter>
  <tableColumns count="1">
    <tableColumn id="1" xr3:uid="{12D09693-9A2B-40C2-A86F-F42E25F68537}" name="Livestock class"/>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1F060A54-0165-4FD3-9FF2-818B53993F4D}"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C5DB8EA-56ED-4D4E-9DFE-C79796A68363}" name="Crop type">
      <calculatedColumnFormula array="1">Common_InputFunctions.Utility_DisplayArrayInTable(Agresidue_SourceData.CropAttributes_Data(),Table_SourceData_CropAttributes[[#Headers],[Crop type]], -1)</calculatedColumnFormula>
    </tableColumn>
    <tableColumn id="2" xr3:uid="{856FB820-2518-43CD-A7FC-121525F33975}" name="Residue: Crop ratio">
      <calculatedColumnFormula array="1">Common_InputFunctions.Utility_DisplayArrayInTable(Agresidue_SourceData.CropAttributes_Data(),Table_SourceData_CropAttributes[[#Headers],[Crop type]], -1)</calculatedColumnFormula>
    </tableColumn>
    <tableColumn id="3" xr3:uid="{EDC09E04-4D03-46ED-8FE6-DAEAD188504A}" name="Below-ground: above-ground residue ratio">
      <calculatedColumnFormula array="1">Common_InputFunctions.Utility_DisplayArrayInTable(Agresidue_SourceData.CropAttributes_Data(),Table_SourceData_CropAttributes[[#Headers],[Crop type]], -1)</calculatedColumnFormula>
    </tableColumn>
    <tableColumn id="4" xr3:uid="{3748C4F9-9423-4D4F-9E9E-BB631C5FC71A}" name="Dry matter content">
      <calculatedColumnFormula array="1">Common_InputFunctions.Utility_DisplayArrayInTable(Agresidue_SourceData.CropAttributes_Data(),Table_SourceData_CropAttributes[[#Headers],[Crop type]], -1)</calculatedColumnFormula>
    </tableColumn>
    <tableColumn id="5" xr3:uid="{6D6D3357-DF18-4BD3-8792-9CFF30C2E1AD}" name="Carbon fraction in dry matter">
      <calculatedColumnFormula array="1">Common_InputFunctions.Utility_DisplayArrayInTable(Agresidue_SourceData.CropAttributes_Data(),Table_SourceData_CropAttributes[[#Headers],[Crop type]], -1)</calculatedColumnFormula>
    </tableColumn>
    <tableColumn id="6" xr3:uid="{7B0AA82A-1E57-4F91-91E5-BAB96CC40A3D}" name="N content above-ground">
      <calculatedColumnFormula array="1">Common_InputFunctions.Utility_DisplayArrayInTable(Agresidue_SourceData.CropAttributes_Data(),Table_SourceData_CropAttributes[[#Headers],[Crop type]], -1)</calculatedColumnFormula>
    </tableColumn>
    <tableColumn id="7" xr3:uid="{53F4A5FD-0EBF-4D46-B493-DC7321644A2E}" name="N content below-ground">
      <calculatedColumnFormula array="1">Common_InputFunctions.Utility_DisplayArrayInTable(Agresidue_SourceData.CropAttributes_Data(),Table_SourceData_CropAttributes[[#Headers],[Crop type]], -1)</calculatedColumnFormula>
    </tableColumn>
    <tableColumn id="8" xr3:uid="{1E8CF53F-5152-4E60-B2F1-4D77EF83901F}"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DB62DF7E-9ABC-4E01-9C58-1028D0B96B4A}"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B7937AB0-DA00-41C2-B5F6-4518942846A2}" name="Table76" displayName="Table76" ref="D73:F89" totalsRowShown="0">
  <autoFilter ref="D73:F89" xr:uid="{7CD0B032-9881-4EF1-81E3-483C7C16D9D0}">
    <filterColumn colId="0" hiddenButton="1"/>
    <filterColumn colId="1" hiddenButton="1"/>
    <filterColumn colId="2" hiddenButton="1"/>
  </autoFilter>
  <tableColumns count="3">
    <tableColumn id="1" xr3:uid="{BD7E5C6F-E62D-4486-9CBD-97BC56FD6796}" name="Crop type c">
      <calculatedColumnFormula array="1">Common_InputFunctions.Utility_DisplayArrayInTable(Agresidue_SourceData.CropFractionRemoved_Data(), Table76[[#Headers],[Crop type c]], 0)</calculatedColumnFormula>
    </tableColumn>
    <tableColumn id="2" xr3:uid="{4F847148-2BD7-46D4-A82B-EB1F4BB92D22}" name="State" dataDxfId="325">
      <calculatedColumnFormula array="1">Common_InputFunctions.Utility_DisplayArrayInTable(Agresidue_SourceData.CropFractionRemoved_Data(), Table76[[#Headers],[Crop type c]], 0)</calculatedColumnFormula>
    </tableColumn>
    <tableColumn id="3" xr3:uid="{087ABD50-9558-4F07-A845-0137FBD12B2B}" name="Fraction removed" dataDxfId="324">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6428EC33-7113-47B7-BF1E-8E8D7DC5F0E5}" name="Table77" displayName="Table77" ref="D92:F235" totalsRowShown="0">
  <autoFilter ref="D92:F235" xr:uid="{1FA7CC86-1C1E-41FA-9AA1-AAD48AA2EEF0}">
    <filterColumn colId="0" hiddenButton="1"/>
    <filterColumn colId="1" hiddenButton="1"/>
    <filterColumn colId="2" hiddenButton="1"/>
  </autoFilter>
  <tableColumns count="3">
    <tableColumn id="1" xr3:uid="{36EB461E-7351-449E-903C-16C85FE5D74D}" name="Crop type c">
      <calculatedColumnFormula array="1">Common_InputFunctions.Utility_DisplayArrayInTable(Agresidue_SourceData.CropFractionRemoved_CustomisedData(), Table77[[#Headers],[Crop type c]], 0)</calculatedColumnFormula>
    </tableColumn>
    <tableColumn id="2" xr3:uid="{B9BC574C-5D67-48A0-BCA2-FF70A5BEF24E}" name="State" dataDxfId="323">
      <calculatedColumnFormula array="1">Common_InputFunctions.Utility_DisplayArrayInTable(Agresidue_SourceData.CropFractionRemoved_CustomisedData(), Table77[[#Headers],[Crop type c]], 0)</calculatedColumnFormula>
    </tableColumn>
    <tableColumn id="3" xr3:uid="{17A40C6B-AC2E-4774-BB93-DF4A56AF9105}" name="Fraction removed" dataDxfId="322">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9384727-EBD9-4F0A-A84C-50F7195C1AD2}" name="Table_SourceData_N2OEFOrganicFert" displayName="Table_SourceData_N2OEFOrganicFert" ref="D43:E45" totalsRowShown="0" dataDxfId="321" dataCellStyle="Content bold">
  <autoFilter ref="D43:E45" xr:uid="{2270AB6D-D03A-4D71-95C0-00BA6BB02732}">
    <filterColumn colId="0" hiddenButton="1"/>
    <filterColumn colId="1" hiddenButton="1"/>
  </autoFilter>
  <tableColumns count="2">
    <tableColumn id="1" xr3:uid="{619086E6-88CD-4F09-B59F-248821CEE6EF}" name="Climate zone type i" dataDxfId="320" dataCellStyle="Content bold">
      <calculatedColumnFormula array="1">Common_InputFunctions.Utility_DisplayArrayInTable(Agresidue_SourceData.N2OEFOrganicFertiliser_Data(), Table_SourceData_N2OEFOrganicFert[[#Headers],[Climate zone type i]], 0)</calculatedColumnFormula>
    </tableColumn>
    <tableColumn id="2" xr3:uid="{F721F621-DFD5-4219-8903-495623DBF208}" name="EF i N2O" dataDxfId="319"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6248418A-7216-4CD5-BE72-2118C82A8587}" name="Table_SourceData_PastureAttributes" displayName="Table_SourceData_PastureAttributes" ref="D51:I56" totalsRowShown="0" dataDxfId="318"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4A7F36DB-7739-4C5D-901D-EEF0610B2897}" name="Pasture type" dataDxfId="317" dataCellStyle="Content normal">
      <calculatedColumnFormula array="1">Common_InputFunctions.Utility_DisplayArrayInTable(Agresidue_SourceData.PastureAttributes_Data(), Table_SourceData_PastureAttributes[[#Headers],[Pasture type]], 0)</calculatedColumnFormula>
    </tableColumn>
    <tableColumn id="2" xr3:uid="{46E786A6-448B-4995-89E1-08DE64CE7590}" name="Average Yield (t DM ha) Yp" dataDxfId="316" dataCellStyle="Content normal">
      <calculatedColumnFormula array="1">Common_InputFunctions.Utility_DisplayArrayInTable(Agresidue_SourceData.PastureAttributes_Data(), Table_SourceData_PastureAttributes[[#Headers],[Pasture type]], 0)</calculatedColumnFormula>
    </tableColumn>
    <tableColumn id="3" xr3:uid="{7C7300F3-77C8-40F4-B00E-88F0EE3443DF}" name="Below-ground: above-ground residue ratio RBGp" dataDxfId="315" dataCellStyle="Content normal">
      <calculatedColumnFormula array="1">Common_InputFunctions.Utility_DisplayArrayInTable(Agresidue_SourceData.PastureAttributes_Data(), Table_SourceData_PastureAttributes[[#Headers],[Pasture type]], 0)</calculatedColumnFormula>
    </tableColumn>
    <tableColumn id="4" xr3:uid="{D85EFD76-CBB9-4AC1-8B97-E18C2596D133}" name="N content Above-ground NCAGp" dataDxfId="314" dataCellStyle="Content normal">
      <calculatedColumnFormula array="1">Common_InputFunctions.Utility_DisplayArrayInTable(Agresidue_SourceData.PastureAttributes_Data(), Table_SourceData_PastureAttributes[[#Headers],[Pasture type]], 0)</calculatedColumnFormula>
    </tableColumn>
    <tableColumn id="5" xr3:uid="{5175A3EF-0E59-423E-8824-819119202131}" name="N content Below-ground NCBGp" dataDxfId="313" dataCellStyle="Content normal">
      <calculatedColumnFormula array="1">Common_InputFunctions.Utility_DisplayArrayInTable(Agresidue_SourceData.PastureAttributes_Data(), Table_SourceData_PastureAttributes[[#Headers],[Pasture type]], 0)</calculatedColumnFormula>
    </tableColumn>
    <tableColumn id="6" xr3:uid="{0B09BBA3-99D0-4AE6-85B3-876438359910}" name="Fraction of pasture yield that is removed FFODp" dataDxfId="312"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A168796C-EF4F-4969-A1DD-C1B2842EF19E}"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9746B82A-2DAC-4827-9C28-8A2966A468DE}" name="Gas species">
      <calculatedColumnFormula array="1">Common_InputFunctions.Utility_DisplayArrayInTable(AgResidues_SourceData.BurningOfAgriculturalResiduesEFs_Data(), Table_SourceData_BurningResidueEFs[[#Headers],[Gas species]], 0)</calculatedColumnFormula>
    </tableColumn>
    <tableColumn id="2" xr3:uid="{0E285AFC-9E96-4B0B-A7DD-7D179486260C}" name="Emission factor EFg (Gg element in species/ Gg element in fuel burnt)" dataDxfId="311" dataCellStyle="Content normal">
      <calculatedColumnFormula array="1">Common_InputFunctions.Utility_DisplayArrayInTable(AgResidues_SourceData.BurningOfAgriculturalResiduesEFs_Data(), Table_SourceData_BurningResidueEFs[[#Headers],[Gas species]], 0)</calculatedColumnFormula>
    </tableColumn>
    <tableColumn id="3" xr3:uid="{3B578AED-B8EA-4F20-8FEA-898A20038F13}" name="Elemental to molecular mass conversion factor (Cg)" dataDxfId="310"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30F3C34-733C-43E6-901F-4EE15C7BB5B0}" name="Table_SourceData_CropPurposeAndYields" displayName="Table_SourceData_CropPurposeAndYields" ref="D7:K10" totalsRowShown="0" headerRowDxfId="309">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D5CC9F7-7708-4CEC-B0BE-C5016D9C29E4}" name="Purpose">
      <calculatedColumnFormula array="1">Common_InputFunctions.Utility_DisplayArrayInTable(Agresidue_SourceData.CropPurposeAndYield_Data(), Table_SourceData_CropPurposeAndYields[[#Headers],[Purpose]], 0)</calculatedColumnFormula>
    </tableColumn>
    <tableColumn id="2" xr3:uid="{44AAC2B1-C5B0-463F-A9C4-2C842FB83A85}" name="Per hectare unit">
      <calculatedColumnFormula array="1">Common_InputFunctions.Utility_DisplayArrayInTable(Agresidue_SourceData.CropPurposeAndYield_Data(), Table_SourceData_CropPurposeAndYields[[#Headers],[Purpose]], 0)</calculatedColumnFormula>
    </tableColumn>
    <tableColumn id="3" xr3:uid="{DF69F2B0-6705-49DC-8E47-0474041199C9}" name="harvest term">
      <calculatedColumnFormula array="1">Common_InputFunctions.Utility_DisplayArrayInTable(Agresidue_SourceData.CropPurposeAndYield_Data(), Table_SourceData_CropPurposeAndYields[[#Headers],[Purpose]], 0)</calculatedColumnFormula>
    </tableColumn>
    <tableColumn id="4" xr3:uid="{0D2DFE3E-CD1E-4BDC-8D33-D0CFDCB5A5D8}" name="harvest endpoint">
      <calculatedColumnFormula array="1">Common_InputFunctions.Utility_DisplayArrayInTable(Agresidue_SourceData.CropPurposeAndYield_Data(), Table_SourceData_CropPurposeAndYields[[#Headers],[Purpose]], 0)</calculatedColumnFormula>
    </tableColumn>
    <tableColumn id="5" xr3:uid="{FAD7A246-E918-46B4-80AC-6C8E36E4BF89}" name="Harvest uit">
      <calculatedColumnFormula array="1">Common_InputFunctions.Utility_DisplayArrayInTable(Agresidue_SourceData.CropPurposeAndYield_Data(), Table_SourceData_CropPurposeAndYields[[#Headers],[Purpose]], 0)</calculatedColumnFormula>
    </tableColumn>
    <tableColumn id="6" xr3:uid="{3724ED3A-4674-425E-AC06-594C5C94F9CA}" name="Yield note">
      <calculatedColumnFormula array="1">Common_InputFunctions.Utility_DisplayArrayInTable(Agresidue_SourceData.CropPurposeAndYield_Data(), Table_SourceData_CropPurposeAndYields[[#Headers],[Purpose]], 0)</calculatedColumnFormula>
    </tableColumn>
    <tableColumn id="8" xr3:uid="{A8AC04F5-B770-440F-AE2B-7906CF8D7F2A}" name="Residue crop ratio note">
      <calculatedColumnFormula array="1">Common_InputFunctions.Utility_DisplayArrayInTable(Agresidue_SourceData.CropPurposeAndYield_Data(), Table_SourceData_CropPurposeAndYields[[#Headers],[Purpose]], 0)</calculatedColumnFormula>
    </tableColumn>
    <tableColumn id="9" xr3:uid="{9B2B8D22-AF44-4D21-871D-7D9508C9A5A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BBCBBAA4-8C03-471D-9CF6-5ADC845F9A77}" name="Table_SourceData_Fertiliser_IrrigationMethods94" displayName="Table_SourceData_Fertiliser_IrrigationMethods94" ref="N21:N26" totalsRowShown="0">
  <autoFilter ref="N21:N26" xr:uid="{1AC5909E-E06C-4A79-81E9-C25A0B6D9E90}">
    <filterColumn colId="0" hiddenButton="1"/>
  </autoFilter>
  <tableColumns count="1">
    <tableColumn id="1" xr3:uid="{C7EBA51D-BDAE-4D50-AD00-D6E1CCAF3C82}" name="Irrigation method"/>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8F44F977-852F-4EF2-BC5B-30BC83BEF45D}"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D18F0C5D-BB86-4C66-A91B-8B696B281B83}" name="Symbol">
      <calculatedColumnFormula array="1">Common_InputFunctions.Utility_DisplayArrayInTable(CommonLivestock_SourceData.SourceData_Livestock_Common_SymbolsMMS_Data(), Table_Data_MMSSymbols[[#Headers],[Symbol]], 0)</calculatedColumnFormula>
    </tableColumn>
    <tableColumn id="2" xr3:uid="{B7E4936A-0187-41AE-AF7F-E3042B8CEA3B}" name="Manure management system">
      <calculatedColumnFormula array="1">Common_InputFunctions.Utility_DisplayArrayInTable(CommonLivestock_SourceData.SourceData_Livestock_Common_SymbolsMMS_Data(), Table_Data_MMSSymbols[[#Headers],[Symbol]], 0)</calculatedColumnFormula>
    </tableColumn>
    <tableColumn id="3" xr3:uid="{DA05E5AE-1213-4136-8B5A-FD63A9654FB9}"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A4F9EE29-DF4F-4C4E-B2FC-84A586FEE281}" name="Table_SourceData_ElectricityEFs" displayName="Table_SourceData_ElectricityEFs" ref="D9:F19" totalsRowShown="0" headerRowDxfId="308">
  <autoFilter ref="D9:F19" xr:uid="{3144A982-7A4D-4CF2-8790-1A30DAE3E0A4}">
    <filterColumn colId="0" hiddenButton="1"/>
    <filterColumn colId="1" hiddenButton="1"/>
    <filterColumn colId="2" hiddenButton="1"/>
  </autoFilter>
  <tableColumns count="3">
    <tableColumn id="1" xr3:uid="{F825BE97-0DF2-4D05-98AC-67F81E29BBA3}"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02AA2364-7FAE-4F68-8039-172D5F5F44BD}"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E2BB1A50-EA12-4F86-AEA6-E1163EFD359C}"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175E5DE4-9565-491B-B82A-8A885477C77C}"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731AFFF1-763B-4137-B01D-DEF8B32C8997}" name="State, Territory or grid description"/>
    <tableColumn id="2" xr3:uid="{71B9053A-3E7E-4624-AD43-02DF9587D373}" name="Scope 2 EF (kg CO2-e/kWh)"/>
    <tableColumn id="3" xr3:uid="{DAEE68BB-AAB3-4098-B70C-7BA2925DDFE8}" name="Scope 2 EF (kg CO2-e/GJ)"/>
    <tableColumn id="4" xr3:uid="{C88F61E5-0477-497D-B1E3-F212C47EDEBB}" name="Scope 3 EF (kg CO2-e/kWh)"/>
    <tableColumn id="5" xr3:uid="{43AE301A-4E6D-44DC-B63F-90363922ADFC}" name="Scope 3 EF (kg CO2-e/GJ)"/>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B34225D-9DCF-4B6E-842E-CAD132590B60}"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B4B499F0-92CC-47FE-A232-6564E53321C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4C28D8C-3641-4610-A35F-F3963A7F15A5}" name="FNinorganic f">
      <calculatedColumnFormula array="1">Common_InputFunctions.Utility_DisplayArrayInTable(Fertiliser_SourceData.Fertiliser_ChemicalCompoundElements_Data(),Table_Fertiliser_ChemicalCompounds[[#Headers],[Fertiliser type f]], 0)</calculatedColumnFormula>
    </tableColumn>
    <tableColumn id="3" xr3:uid="{9A0D13C9-98D5-417D-B095-F69684268C74}" name="FU f">
      <calculatedColumnFormula array="1">Common_InputFunctions.Utility_DisplayArrayInTable(Fertiliser_SourceData.Fertiliser_ChemicalCompoundElements_Data(),Table_Fertiliser_ChemicalCompounds[[#Headers],[Fertiliser type f]], 0)</calculatedColumnFormula>
    </tableColumn>
    <tableColumn id="4" xr3:uid="{7F97A90A-D263-40DB-B27D-714438F3529C}" name="Basis">
      <calculatedColumnFormula array="1">Common_InputFunctions.Utility_DisplayArrayInTable(Fertiliser_SourceData.Fertiliser_ChemicalCompoundElements_Data(),Table_Fertiliser_ChemicalCompounds[[#Headers],[Fertiliser type f]], 0)</calculatedColumnFormula>
    </tableColumn>
    <tableColumn id="5" xr3:uid="{09761461-AA42-492E-86B1-5457A4C407FF}"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4004CC53-42B6-414C-9A92-55B44089A49B}"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B838EA9D-CD83-4167-A3C7-61FF9B446BC2}"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6B06C5A4-BCF1-4913-9336-3263F8D1ED22}" name="Company" totalsRowFunction="custom" totalsRowDxfId="307">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99E32F1F-AB01-4885-AB6D-26B556E38723}"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4A32B62F-8ED7-4E9A-8C81-9266D1339034}"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61F82D1B-7AF0-4764-AD9F-1D198D21ED85}"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B6C9D24D-E0D1-4E08-A685-C3E2D3E9EB20}"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150FABC0-C839-495A-BA22-AD21B0D55908}"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CB6C15D5-AF57-41A8-9EDC-C61D5CBF9525}"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8E660C3E-3F2E-4A19-B29F-AC93029EE9C5}"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22C44A18-8572-4D70-80A9-B648F57DEFD7}"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1E7AB59A-0E2D-4EF1-9687-16E09AAE0CC8}"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B1E47F41-6B99-4C74-8A9C-0BE2861CB969}"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6AC52759-F612-449A-A7D9-AA8E0A7EF5AF}" name="Ingredient 1" totalsRowFunction="custom" totalsRowCellStyle="Content normal">
      <totalsRowFormula array="1">Common_InputFunctions.Utility_DisplayArrayInTable(Fertiliser_SourceData.Fertiliser_Products_Data3(), FertiliserProducts[[#Headers],[Company]],61)</totalsRowFormula>
    </tableColumn>
    <tableColumn id="22" xr3:uid="{2D5589D8-BA45-4186-8902-D87CE0439A4C}"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3B8ADBC5-97D0-45C3-8056-F3050D7361B6}"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F576B8D8-CCF4-4AF4-BCBE-CE6BB11F18EF}"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1501F7FC-F4EF-4884-B7FF-1FC9AC6EAC01}"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6F401C13-33DD-441C-9F8C-A690F10E0F86}"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9C223281-19E7-4A8B-96FF-6F2560A9CC1C}"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D168FD64-C425-4E14-9BAD-BE148B8AC816}"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D440EFDD-1853-4213-BBB1-CFF8B9CFB036}"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B7060E44-D31B-41FF-BC05-D2C4093F81F0}"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6E07DC28-9B64-41F3-AE7C-60DB937035BF}"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1EB692F6-4774-4DA9-9F32-705A2F28BC79}"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86C28884-DDB4-4471-8A4A-701C41AE446E}"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79D293C9-1A20-403F-9E12-BBDA8132A1F1}"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62DC0FE6-08E1-4875-94F9-D59ED654873C}"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50CD2011-0211-4BB1-948B-9131282CF24A}"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029F8D8D-F55C-46FB-B047-24566576B264}"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32162DF7-6262-463B-A0D3-E76A9F8BA43F}"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83126D65-0EBC-44ED-9C57-904247E00978}"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C2CC2698-1A33-4514-8C12-1BCB5F68D4F8}" name="Ingredient 10 percent" totalsRowCellStyle="Content normal"/>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23882B87-28D5-4B26-8045-1B8E334DB6EB}"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769DC48-ACEB-4008-8986-E0A987967346}" name="Fertiliser type f">
      <calculatedColumnFormula array="1">Common_InputFunctions.Utility_DisplayArrayInTable(Fertiliser_SourceData.Fertiliser_FracGASF_Data(), Table_SourceData_Fertiliser_FracGASF[[#Headers],[Fertiliser type f]], 0)</calculatedColumnFormula>
    </tableColumn>
    <tableColumn id="2" xr3:uid="{5136ED02-7F0D-4A5F-A728-C2838FD0ED70}" name="FracGASF f" dataDxfId="306"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804F751-6361-43E3-BCF2-86FC2AA2450A}" name="Table_SourceData_Fertiliser_CropProdSystems" displayName="Table_SourceData_Fertiliser_CropProdSystems" ref="D41:D43" totalsRowShown="0">
  <autoFilter ref="D41:D43" xr:uid="{24F3A11E-40F5-4BB9-BFF4-A71FA2ADA0EF}">
    <filterColumn colId="0" hiddenButton="1"/>
  </autoFilter>
  <tableColumns count="1">
    <tableColumn id="1" xr3:uid="{0C176AB9-908C-48B2-9DA2-F44016380B35}" name="Production system">
      <calculatedColumnFormula>#REF!</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45537ED7-0FC7-47ED-A306-909E890EB88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D751BBDA-5E07-449E-BCF2-737F2C870A29}" name="Irrigation method"/>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9FDA2058-0C34-41A3-B1B9-B80C073F68C3}" name="Table_SourceData_Fertiliser_CropTypes" displayName="Table_SourceData_Fertiliser_CropTypes" ref="F41:F45" totalsRowShown="0">
  <autoFilter ref="F41:F45" xr:uid="{CB5044B5-FA3C-4AA2-B1AB-72F7E61D072F}">
    <filterColumn colId="0" hiddenButton="1"/>
  </autoFilter>
  <tableColumns count="1">
    <tableColumn id="1" xr3:uid="{3D57AF09-235D-4F69-BAE1-D3FA4F113750}" name="Production system"/>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E276426-9732-432A-A8EF-A109CF16B205}" name="Table_SourceData_OrganicFertiliserTypes" displayName="Table_SourceData_OrganicFertiliserTypes" ref="J41:J46" totalsRowShown="0">
  <autoFilter ref="J41:J46" xr:uid="{B44627B1-537E-4ABC-92C3-57282CEE5B40}">
    <filterColumn colId="0" hiddenButton="1"/>
  </autoFilter>
  <tableColumns count="1">
    <tableColumn id="1" xr3:uid="{040BB06B-FA26-48CB-B85D-9198B5C86FD3}" name="Organic fertiliser type"/>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4DEE1721-785D-4F3D-B83F-832D015790E1}"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CB99D678-41E8-4466-80AF-52AC5506BC29}" name="Element">
      <calculatedColumnFormula array="1">Common_InputFunctions.Utility_DisplayArrayInTable(Fertiliser_SourceData.Fertiliser_LimeDolomiteGypsumConstants_Data(), Table_SourceData_Fertiliser_LimeDolomiteConstants[[#Headers],[Element]], 0)</calculatedColumnFormula>
    </tableColumn>
    <tableColumn id="2" xr3:uid="{C488124B-B01D-4749-8FEF-A1B43A1F1D8F}" name="P" dataDxfId="30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1960FA46-90BC-43CC-851C-C388A4C8A6CC}" name="EF" dataDxfId="30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95A0BE9-DA74-4CF5-8F7F-94C9A2623B7C}" name="Table2" displayName="Table2" ref="K19:L28" totalsRowShown="0" dataDxfId="303" dataCellStyle="Content normal">
  <autoFilter ref="K19:L28" xr:uid="{27B93029-EB1F-4C4A-A946-CD673A8A6C46}">
    <filterColumn colId="0" hiddenButton="1"/>
    <filterColumn colId="1" hiddenButton="1"/>
  </autoFilter>
  <tableColumns count="2">
    <tableColumn id="1" xr3:uid="{C0FFE5DD-941A-464C-AD49-6E7CEA16EAE9}" name="Fertiliser type f" dataDxfId="302" dataCellStyle="Content normal">
      <calculatedColumnFormula array="1">Common_InputFunctions.Utility_DisplayArrayInTable(Fertiliser_SourceData.Fertiliser_FractionNCommonFertilisers_Data(), Table2[[#Headers],[Fertiliser type f]], 0)</calculatedColumnFormula>
    </tableColumn>
    <tableColumn id="2" xr3:uid="{FAA080F2-9A42-4334-87D3-95B84B6A10EC}" name="FNinorganic f" dataDxfId="301"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1B2075F2-F27F-45A2-BABF-C7A5609ADF55}" name="Table28" displayName="Table28" ref="Q19:R28" totalsRowShown="0" dataDxfId="300" dataCellStyle="Content normal">
  <autoFilter ref="Q19:R28" xr:uid="{791CEA59-796C-47AB-86BC-41E8F699030C}">
    <filterColumn colId="0" hiddenButton="1"/>
    <filterColumn colId="1" hiddenButton="1"/>
  </autoFilter>
  <tableColumns count="2">
    <tableColumn id="1" xr3:uid="{CE76802D-8CEA-4ECC-A3C8-A77C51E1329A}" name="Fertiliser type f" dataDxfId="299" dataCellStyle="Content normal">
      <calculatedColumnFormula array="1">Common_InputFunctions.Utility_DisplayArrayInTable(Fertiliser_SourceData.Fertiliser_FractionUreaCommonFertilisers_Data(), Table28[[#Headers],[Fertiliser type f]], 0)</calculatedColumnFormula>
    </tableColumn>
    <tableColumn id="2" xr3:uid="{422C895C-45A1-4400-B396-6B8F451BC27F}" name="FNinorganic f" dataDxfId="298"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AEF08FF-F5D9-4AE9-B195-83774DEE8E9E}"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301E9BB3-3B9D-4234-9546-F05FFF5D40CC}"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D9AF0CFF-ED8B-4C2F-9E00-7ED3C24085C1}" name="Table_Fuel_EFs_StationaryLiquid" displayName="Table_Fuel_EFs_StationaryLiquid" ref="D53:K77" totalsRowShown="0" headerRowDxfId="297" dataDxfId="296">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857C3CE-5372-4039-AA7A-9EC5EB27F93F}" name="Fuel combusted" dataDxfId="295">
      <calculatedColumnFormula array="1">Common_InputFunctions.Utility_DisplayArrayInTable(Fuel_SourceData.Fuel_Scope1Scope3EmissionFactorsStationaryLiquid_Data(), Table_Fuel_EFs_StationaryLiquid[[#Headers],[Fuel combusted]],0)</calculatedColumnFormula>
    </tableColumn>
    <tableColumn id="2" xr3:uid="{547607B9-7F17-4093-B589-7203BA673A4D}" name="Energy Content Factor (GJ per unit of fuel)" dataDxfId="294">
      <calculatedColumnFormula array="1">Common_InputFunctions.Utility_DisplayArrayInTable(Fuel_SourceData.Fuel_Scope1Scope3EmissionFactorsStationaryLiquid_Data(), Table_Fuel_EFs_StationaryLiquid[[#Headers],[Fuel combusted]],0)</calculatedColumnFormula>
    </tableColumn>
    <tableColumn id="3" xr3:uid="{9ECD30DD-458C-4505-A5FD-711EFA051A77}" name="Fuel unit" dataDxfId="293">
      <calculatedColumnFormula array="1">Common_InputFunctions.Utility_DisplayArrayInTable(Fuel_SourceData.Fuel_Scope1Scope3EmissionFactorsStationaryLiquid_Data(), Table_Fuel_EFs_StationaryLiquid[[#Headers],[Fuel combusted]],0)</calculatedColumnFormula>
    </tableColumn>
    <tableColumn id="4" xr3:uid="{1BF2AFDE-E5C3-48D8-989E-84A539F2CE93}" name="Scope 1 Emission Factor (kg CO2 - e / GJ) CO2" dataDxfId="292">
      <calculatedColumnFormula array="1">Common_InputFunctions.Utility_DisplayArrayInTable(Fuel_SourceData.Fuel_Scope1Scope3EmissionFactorsStationaryLiquid_Data(), Table_Fuel_EFs_StationaryLiquid[[#Headers],[Fuel combusted]],0)</calculatedColumnFormula>
    </tableColumn>
    <tableColumn id="5" xr3:uid="{BBCAD985-B5E1-4B8A-AD6F-F532F917538B}" name="Scope 1 Emission Factor (kg CO2 - e / GJ) CH4" dataDxfId="291">
      <calculatedColumnFormula array="1">Common_InputFunctions.Utility_DisplayArrayInTable(Fuel_SourceData.Fuel_Scope1Scope3EmissionFactorsStationaryLiquid_Data(), Table_Fuel_EFs_StationaryLiquid[[#Headers],[Fuel combusted]],0)</calculatedColumnFormula>
    </tableColumn>
    <tableColumn id="6" xr3:uid="{0D491F5E-6874-44C8-BF35-341902CBF93B}" name="Scope 1 Emission Factor (kg CO2 - e / GJ) N2O" dataDxfId="290">
      <calculatedColumnFormula array="1">Common_InputFunctions.Utility_DisplayArrayInTable(Fuel_SourceData.Fuel_Scope1Scope3EmissionFactorsStationaryLiquid_Data(), Table_Fuel_EFs_StationaryLiquid[[#Headers],[Fuel combusted]],0)</calculatedColumnFormula>
    </tableColumn>
    <tableColumn id="7" xr3:uid="{CA821C2F-5EE1-40E0-A0D6-6470D154BD16}" name="Scope 1 Emission Factor (kg CO2 - e / GJ) Combined gases" dataDxfId="289">
      <calculatedColumnFormula array="1">Common_InputFunctions.Utility_DisplayArrayInTable(Fuel_SourceData.Fuel_Scope1Scope3EmissionFactorsStationaryLiquid_Data(), Table_Fuel_EFs_StationaryLiquid[[#Headers],[Fuel combusted]],0)</calculatedColumnFormula>
    </tableColumn>
    <tableColumn id="8" xr3:uid="{0C1FB5AB-8872-417F-BEAE-C5612846962D}" name="Scope 3 Emission Factor (kg CO2 - e / GJ)" dataDxfId="288">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B67FB7C-DD4C-44C8-B944-7EA87C34839E}" name="Table_Fuel_EFs_Transport" displayName="Table_Fuel_EFs_Transport" ref="D9:L34" totalsRowShown="0" headerRowDxfId="287" dataDxfId="286">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9F2CCE3-784D-49AA-9AB9-F8F1233315D9}" name="Transport type" dataDxfId="285">
      <calculatedColumnFormula array="1">Common_InputFunctions.Utility_DisplayArrayInTable(Fuel_SourceData.Fuel_Scope1Scope3EmissionFactorsTransport_Data(), Table_Fuel_EFs_Transport[[#Headers],[Transport type]], 0)</calculatedColumnFormula>
    </tableColumn>
    <tableColumn id="2" xr3:uid="{5B0925E0-ADD2-4603-A1F9-B27D4CC0B74F}" name="Fuel combusted" dataDxfId="284">
      <calculatedColumnFormula array="1">Common_InputFunctions.Utility_DisplayArrayInTable(Fuel_SourceData.Fuel_Scope1Scope3EmissionFactorsTransport_Data(), Table_Fuel_EFs_Transport[[#Headers],[Transport type]], 0)</calculatedColumnFormula>
    </tableColumn>
    <tableColumn id="3" xr3:uid="{0EA8A0DA-DEE1-4022-B9F6-0E35AC50B9DC}" name="Energy Content Factor (GJ per unit of fuel)" dataDxfId="283">
      <calculatedColumnFormula array="1">Common_InputFunctions.Utility_DisplayArrayInTable(Fuel_SourceData.Fuel_Scope1Scope3EmissionFactorsTransport_Data(), Table_Fuel_EFs_Transport[[#Headers],[Transport type]], 0)</calculatedColumnFormula>
    </tableColumn>
    <tableColumn id="4" xr3:uid="{0ABAF2B8-7E51-47B4-892A-B09F4E55AEC0}" name="Fuel unit" dataDxfId="282">
      <calculatedColumnFormula array="1">Common_InputFunctions.Utility_DisplayArrayInTable(Fuel_SourceData.Fuel_Scope1Scope3EmissionFactorsTransport_Data(), Table_Fuel_EFs_Transport[[#Headers],[Transport type]], 0)</calculatedColumnFormula>
    </tableColumn>
    <tableColumn id="8" xr3:uid="{0892450D-01EA-4A99-863A-A8CEA1B63FA0}" name="Scope 1 Emission Factor (kg CO2 - e / GJ) CO2" dataDxfId="281">
      <calculatedColumnFormula array="1">Common_InputFunctions.Utility_DisplayArrayInTable(Fuel_SourceData.Fuel_Scope1Scope3EmissionFactorsTransport_Data(), Table_Fuel_EFs_Transport[[#Headers],[Transport type]], 0)</calculatedColumnFormula>
    </tableColumn>
    <tableColumn id="9" xr3:uid="{751D103D-A8CA-4276-910A-BA50EC7B64B4}" name="Scope 1 Emission Factor (kg CO2 - e / GJ) CH4" dataDxfId="280">
      <calculatedColumnFormula array="1">Common_InputFunctions.Utility_DisplayArrayInTable(Fuel_SourceData.Fuel_Scope1Scope3EmissionFactorsTransport_Data(), Table_Fuel_EFs_Transport[[#Headers],[Transport type]], 0)</calculatedColumnFormula>
    </tableColumn>
    <tableColumn id="10" xr3:uid="{7801035F-EF0A-4B16-9C65-D1432FAF3ABD}" name="Scope 1 Emission Factor (kg CO2 - e / GJ) N2O" dataDxfId="279">
      <calculatedColumnFormula array="1">Common_InputFunctions.Utility_DisplayArrayInTable(Fuel_SourceData.Fuel_Scope1Scope3EmissionFactorsTransport_Data(), Table_Fuel_EFs_Transport[[#Headers],[Transport type]], 0)</calculatedColumnFormula>
    </tableColumn>
    <tableColumn id="11" xr3:uid="{E11758CB-7D3C-4051-85DC-D463DF63320D}" name="Scope 1 Emission Factor (kg CO2 - e / GJ) Combined gases" dataDxfId="278">
      <calculatedColumnFormula array="1">Common_InputFunctions.Utility_DisplayArrayInTable(Fuel_SourceData.Fuel_Scope1Scope3EmissionFactorsTransport_Data(), Table_Fuel_EFs_Transport[[#Headers],[Transport type]], 0)</calculatedColumnFormula>
    </tableColumn>
    <tableColumn id="12" xr3:uid="{5CD37508-FEAA-4E88-8CCC-B56886D87314}" name="Scope 3 Emission Factor (kg CO2 - e / GJ)" dataDxfId="277">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E5852095-298E-4A0A-991A-9230521A2DC6}" name="Table_FuelTypesPerUse" displayName="Table_FuelTypesPerUse" ref="D130:I139" totalsRowShown="0" headerRowDxfId="276" dataDxfId="275">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6BEA2509-6AC4-42FD-ADA9-C2444FB0DF26}" name="Generators" dataDxfId="274"/>
    <tableColumn id="2" xr3:uid="{3AEFD75A-BD70-4FA3-A02B-19E88D20F5E5}" name="Power standalone machinery or heating" dataDxfId="273"/>
    <tableColumn id="3" xr3:uid="{5EAF9BF5-4A1E-4BA2-8C22-65F532194724}" name="Aviation" dataDxfId="272"/>
    <tableColumn id="5" xr3:uid="{01C77008-3B87-4DFF-BE19-0C4BFF8C1BFA}" name="Cars and light commercial vehicles" dataDxfId="271"/>
    <tableColumn id="7" xr3:uid="{4EF3183D-54A7-4C25-AC96-B1292681B716}" name="Off-road Agriculture and forestry equipment" dataDxfId="270" dataCellStyle="Content bold"/>
    <tableColumn id="8" xr3:uid="{55571EB0-A095-4021-B4D9-F6049BC4FE20}" name="Vessels" dataDxfId="269" dataCellStyle="Content bold"/>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412D05FE-BF20-4B64-B15B-2E7600E4E278}" name="Table_Fuel_EFs_StationaryGaseous" displayName="Table_Fuel_EFs_StationaryGaseous" ref="D86:J104" totalsRowShown="0" headerRowDxfId="268" dataDxfId="267">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9A7DBF8-7454-4251-A8D7-2D246BBF42DB}" name="Fuel combusted" dataDxfId="266">
      <calculatedColumnFormula array="1">Common_InputFunctions.Utility_DisplayArrayInTable(Fuel_SourceData.Fuel_Scope1EmissionFactorsStationaryGaseous_Data(), Table_Fuel_EFs_StationaryGaseous[[#Headers],[Fuel combusted]],0)</calculatedColumnFormula>
    </tableColumn>
    <tableColumn id="2" xr3:uid="{C9A7433C-1BF8-4C4F-8581-0F973B967BC4}" name="Energy Content Factor (GJ per unit of fuel)" dataDxfId="265">
      <calculatedColumnFormula array="1">Common_InputFunctions.Utility_DisplayArrayInTable(Fuel_SourceData.Fuel_Scope1EmissionFactorsStationaryGaseous_Data(), Table_Fuel_EFs_StationaryGaseous[[#Headers],[Fuel combusted]],0)</calculatedColumnFormula>
    </tableColumn>
    <tableColumn id="3" xr3:uid="{DF99D999-2761-4785-BC27-2109C1461B28}" name="Fuel unit" dataDxfId="264">
      <calculatedColumnFormula array="1">Common_InputFunctions.Utility_DisplayArrayInTable(Fuel_SourceData.Fuel_Scope1EmissionFactorsStationaryGaseous_Data(), Table_Fuel_EFs_StationaryGaseous[[#Headers],[Fuel combusted]],0)</calculatedColumnFormula>
    </tableColumn>
    <tableColumn id="4" xr3:uid="{FDC1524B-0241-42D3-99A8-831740ED85A8}" name="Scope 1 Emission Factor (kg CO2 - e / GJ) CO2" dataDxfId="263">
      <calculatedColumnFormula array="1">Common_InputFunctions.Utility_DisplayArrayInTable(Fuel_SourceData.Fuel_Scope1EmissionFactorsStationaryGaseous_Data(), Table_Fuel_EFs_StationaryGaseous[[#Headers],[Fuel combusted]],0)</calculatedColumnFormula>
    </tableColumn>
    <tableColumn id="5" xr3:uid="{2886277A-77C3-4CCE-86C9-0D06CCAFC59D}" name="Scope 1 Emission Factor (kg CO2 - e / GJ) CH4" dataDxfId="262">
      <calculatedColumnFormula array="1">Common_InputFunctions.Utility_DisplayArrayInTable(Fuel_SourceData.Fuel_Scope1EmissionFactorsStationaryGaseous_Data(), Table_Fuel_EFs_StationaryGaseous[[#Headers],[Fuel combusted]],0)</calculatedColumnFormula>
    </tableColumn>
    <tableColumn id="6" xr3:uid="{857A06F9-880C-4BCA-98A6-734AB8CCEF72}" name="Scope 1 Emission Factor (kg CO2 - e / GJ) N2O" dataDxfId="261">
      <calculatedColumnFormula array="1">Common_InputFunctions.Utility_DisplayArrayInTable(Fuel_SourceData.Fuel_Scope1EmissionFactorsStationaryGaseous_Data(), Table_Fuel_EFs_StationaryGaseous[[#Headers],[Fuel combusted]],0)</calculatedColumnFormula>
    </tableColumn>
    <tableColumn id="7" xr3:uid="{6868532F-6B30-43ED-A686-3999CC4BA75D}" name="Scope 1 Emission Factor (kg CO2 - e / GJ) Combined gases" dataDxfId="260">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09DC189-BB71-4301-849D-CCF9CDEA3215}" name="Table_Fuel_EFs_StationaryGaseous34" displayName="Table_Fuel_EFs_StationaryGaseous34" ref="D112:G120" headerRowDxfId="259" totalsRowDxfId="258">
  <autoFilter ref="D112:G120" xr:uid="{7D6CE29D-2354-4FAC-9965-9A66FFA42416}">
    <filterColumn colId="0" hiddenButton="1"/>
    <filterColumn colId="1" hiddenButton="1"/>
    <filterColumn colId="2" hiddenButton="1"/>
    <filterColumn colId="3" hiddenButton="1"/>
  </autoFilter>
  <tableColumns count="4">
    <tableColumn id="1" xr3:uid="{93F2C0DA-E01E-4A21-A44E-CBC32BC98F27}" name="State or territory" totalsRowDxfId="257">
      <calculatedColumnFormula array="1">Common_InputFunctions.Utility_DisplayArrayInTable(Fuel_SourceData.Fuel_Scope3EmissionFactorsStationaryGaseous_Data(), Table_Fuel_EFs_StationaryGaseous34[[#Headers],[State or territory]],0)</calculatedColumnFormula>
    </tableColumn>
    <tableColumn id="2" xr3:uid="{39BBAA48-66F6-42A3-B70E-AD0EDA8CA496}" name="Metro" totalsRowDxfId="256">
      <calculatedColumnFormula array="1">Common_InputFunctions.Utility_DisplayArrayInTable(Fuel_SourceData.Fuel_Scope3EmissionFactorsStationaryGaseous_Data(), Table_Fuel_EFs_StationaryGaseous34[[#Headers],[State or territory]],0)</calculatedColumnFormula>
    </tableColumn>
    <tableColumn id="3" xr3:uid="{C2009C92-C593-4A1C-95C3-51202118FBFB}" name="Non-metro" totalsRowDxfId="255">
      <calculatedColumnFormula array="1">Common_InputFunctions.Utility_DisplayArrayInTable(Fuel_SourceData.Fuel_Scope3EmissionFactorsStationaryGaseous_Data(), Table_Fuel_EFs_StationaryGaseous34[[#Headers],[State or territory]],0)</calculatedColumnFormula>
    </tableColumn>
    <tableColumn id="4" xr3:uid="{D6A8454B-82F9-4C93-A882-EA94B3D29513}" name="Column1" dataDxfId="0" totalsRowDxfId="1" dataCellStyle="Content normal"/>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2311A948-D40B-485C-B4FD-3F7BDA6CB2E2}"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C3912AB2-FB80-4F47-BA92-BB907DC02018}" name="Fuel type"/>
    <tableColumn id="2" xr3:uid="{7A353E12-9370-4295-99CC-8FC9A15F241D}" name="Unit"/>
    <tableColumn id="3" xr3:uid="{7D045ABD-F731-4503-A30C-67A388DA1AF6}" name="Input Unit" dataDxfId="254"/>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27DFE460-1610-49ED-9EBA-667D689C7402}"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8AD3B7D-F1E8-47B4-BA33-792EC7529DCF}"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F529C64-CF57-4F07-A959-D6DBE0B4C8A5}" name="Fuel type q" dataDxfId="2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5CD4F457-1432-4408-8EDE-7ECED5C1E204}" name="ECTrans,q (GJ/kL)" dataDxfId="25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98659690-2E0C-4F06-9923-2DF4A0BA3888}" name="Scope 1 CO2 EFTran,1,tqg (kg CO2-e/GJ)" dataDxfId="25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4D01862-3FB4-40B4-AB09-F256B2083136}" name="Scope 1 CH4 EFTran,1,tgg (kg CO2-e/GJ)" dataDxfId="25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5DCFBF00-D928-46AE-89A6-0A9E65B2965F}" name="Scope 1 N2O EFTran,1,tgg (kg CO2-e/GJ)" dataDxfId="24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4828C44A-24A9-4E45-8FFC-71474819AA7F}" name="Scope 3 EFTrans,3,q (kg CO2-e/GJ)" dataDxfId="24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DB3C06E3-B007-4137-B576-303270EDFCFE}"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C0D5A41-9B8A-463D-9610-D405BE7BF8B4}" name="Category" dataDxfId="247" dataCellStyle="Content normal">
      <calculatedColumnFormula array="1">Common_InputFunctions.Utility_DisplayArrayInTable(Scope3_SourceData.Scope3_Livestock_Data(), Table_SourceData_Scope3_Animals[[#Headers],[Category]], 0, 2)</calculatedColumnFormula>
    </tableColumn>
    <tableColumn id="2" xr3:uid="{65548808-9F48-4E00-ABC4-CCDBB213668F}" name="Product" dataDxfId="246" dataCellStyle="Content normal">
      <calculatedColumnFormula array="1">Common_InputFunctions.Utility_DisplayArrayInTable(Scope3_SourceData.Scope3_Livestock_Data(), Table_SourceData_Scope3_Animals[[#Headers],[Category]], 0, 2)</calculatedColumnFormula>
    </tableColumn>
    <tableColumn id="3" xr3:uid="{FEFED47A-E7A4-4DDB-8D6A-8FD05793833C}" name="Region of origin" dataDxfId="245" dataCellStyle="Content normal">
      <calculatedColumnFormula array="1">Common_InputFunctions.Utility_DisplayArrayInTable(Scope3_SourceData.Scope3_Livestock_Data(), Table_SourceData_Scope3_Animals[[#Headers],[Category]], 0, 2)</calculatedColumnFormula>
    </tableColumn>
    <tableColumn id="8" xr3:uid="{DD55E91F-F24C-48E6-AC99-AF05225217FA}" name="Quantity Unit" dataDxfId="244" dataCellStyle="Content normal">
      <calculatedColumnFormula array="1">Common_InputFunctions.Utility_DisplayArrayInTable(Scope3_SourceData.Scope3_Livestock_Data(), Table_SourceData_Scope3_Animals[[#Headers],[Category]], 0, 2)</calculatedColumnFormula>
    </tableColumn>
    <tableColumn id="9" xr3:uid="{1E25118F-8733-4A22-9C7A-F9B06A61EEAD}" name="Emissions intensity" dataDxfId="243" dataCellStyle="Content normal">
      <calculatedColumnFormula array="1">Common_InputFunctions.Utility_DisplayArrayInTable(Scope3_SourceData.Scope3_Livestock_Data(), Table_SourceData_Scope3_Animals[[#Headers],[Category]], 0, 2)</calculatedColumnFormula>
    </tableColumn>
    <tableColumn id="10" xr3:uid="{69548BF7-3A78-4E79-A5CA-EA43AB1DCE10}" name="System boundary" dataDxfId="242" dataCellStyle="Content normal">
      <calculatedColumnFormula array="1">Common_InputFunctions.Utility_DisplayArrayInTable(Scope3_SourceData.Scope3_Livestock_Data(), Table_SourceData_Scope3_Animals[[#Headers],[Category]], 0, 2)</calculatedColumnFormula>
    </tableColumn>
    <tableColumn id="4" xr3:uid="{9F9FFAF0-A64B-405B-9AA5-A6A0589224A4}" name="Source" dataDxfId="241" dataCellStyle="Content normal"/>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8208B8A1-5053-4E64-8358-0FC8995968C5}"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FC03DD2-3C77-4DFB-B424-9FDF350DFBCD}" name="Category" dataDxfId="240" dataCellStyle="Content normal">
      <calculatedColumnFormula array="1">Common_InputFunctions.Utility_DisplayArrayInTable(Scope3_SourceData.Scope3_Chemicals_Data(), Table_SourceData_Scope3_ChemicalsCleaning[[#Headers],[Category]], 0, 2)</calculatedColumnFormula>
    </tableColumn>
    <tableColumn id="2" xr3:uid="{00D0D3DF-7843-4201-A3F9-871C6EBCDBBF}" name="Product" dataDxfId="239" dataCellStyle="Content normal">
      <calculatedColumnFormula array="1">Common_InputFunctions.Utility_DisplayArrayInTable(Scope3_SourceData.Scope3_Chemicals_Data(), Table_SourceData_Scope3_ChemicalsCleaning[[#Headers],[Category]], 0, 2)</calculatedColumnFormula>
    </tableColumn>
    <tableColumn id="3" xr3:uid="{DF69F93E-31E5-4A54-B8F1-D9478287B901}" name="Region of origin" dataDxfId="238" dataCellStyle="Content normal">
      <calculatedColumnFormula array="1">Common_InputFunctions.Utility_DisplayArrayInTable(Scope3_SourceData.Scope3_Chemicals_Data(), Table_SourceData_Scope3_ChemicalsCleaning[[#Headers],[Category]], 0, 2)</calculatedColumnFormula>
    </tableColumn>
    <tableColumn id="8" xr3:uid="{3112D1D1-F741-46D4-AC3F-B332A3675827}" name="Quantity Unit" dataDxfId="237" dataCellStyle="Content normal">
      <calculatedColumnFormula array="1">Common_InputFunctions.Utility_DisplayArrayInTable(Scope3_SourceData.Scope3_Chemicals_Data(), Table_SourceData_Scope3_ChemicalsCleaning[[#Headers],[Category]], 0, 2)</calculatedColumnFormula>
    </tableColumn>
    <tableColumn id="9" xr3:uid="{668A6828-BF9C-4FA4-BDF7-42C9EF49E676}" name="Emissions intensity" dataDxfId="236" dataCellStyle="Content normal">
      <calculatedColumnFormula array="1">Common_InputFunctions.Utility_DisplayArrayInTable(Scope3_SourceData.Scope3_Chemicals_Data(), Table_SourceData_Scope3_ChemicalsCleaning[[#Headers],[Category]], 0, 2)</calculatedColumnFormula>
    </tableColumn>
    <tableColumn id="10" xr3:uid="{E5B56E75-9A45-4FAE-B5F0-59A0E81570BE}" name="System boundary" dataDxfId="235" dataCellStyle="Content normal">
      <calculatedColumnFormula array="1">Common_InputFunctions.Utility_DisplayArrayInTable(Scope3_SourceData.Scope3_Chemicals_Data(), Table_SourceData_Scope3_ChemicalsCleaning[[#Headers],[Category]], 0, 2)</calculatedColumnFormula>
    </tableColumn>
    <tableColumn id="4" xr3:uid="{D0A3CEB1-2117-472F-8D44-BA94F3F23F3A}" name="Source" dataDxfId="234" dataCellStyle="Content normal"/>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F984B6E-B05C-462D-B9CC-0A841A727655}" name="Table_SourceData_Scope3_Feed" displayName="Table_SourceData_Scope3_Feed" ref="D89:J158" dataDxfId="233"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B3CBEFF-9786-497F-B638-7C3D211F9108}" name="Category" totalsRowFunction="custom" dataDxfId="232" totalsRowDxfId="23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FE20F893-59F3-4E06-988F-C4FA903D0719}" name="Product" totalsRowFunction="custom" dataDxfId="230" totalsRowDxfId="22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6600A94A-0746-49CE-9194-F38DE87A7F2A}" name="Region of origin" totalsRowFunction="custom" dataDxfId="228" totalsRowDxfId="22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1E5B7AC3-25F7-4A74-B3F3-70CCBCD0505A}" name="Quantity Unit" totalsRowFunction="custom" dataDxfId="226" totalsRowDxfId="22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62BDA569-E9CC-4A07-A81D-4AF4D7BFDF8B}" name="Emissions intensity" totalsRowFunction="custom" dataDxfId="224" totalsRowDxfId="22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366D831C-FDCF-4DC0-94C5-1839A91CF6D5}" name="System boundary" totalsRowFunction="custom" dataDxfId="222" totalsRowDxfId="22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339DACEE-C861-4685-906D-16B852EEF745}" name="Source" totalsRowLabel="GHGEI-MIAFF" dataDxfId="220" totalsRowDxfId="219"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E0A0B504-04D1-422D-8FCE-15027176216B}"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90E931C3-5494-4427-8EC9-09F0DE0D698B}" name="Category">
      <calculatedColumnFormula array="1">Common_InputFunctions.Utility_DisplayArrayInTable(Scope3_SourceData.Scope3_InorganicFertilisers_Data(), Table_SourceData_Scope3_InorganicFertiliser[[#Headers],[Category]], 0, 2)</calculatedColumnFormula>
    </tableColumn>
    <tableColumn id="2" xr3:uid="{196C999D-BC0A-4222-ACAA-8BB5A5B6DB53}" name="Product">
      <calculatedColumnFormula array="1">Common_InputFunctions.Utility_DisplayArrayInTable(Scope3_SourceData.Scope3_InorganicFertilisers_Data(), Table_SourceData_Scope3_InorganicFertiliser[[#Headers],[Category]], 0, 2)</calculatedColumnFormula>
    </tableColumn>
    <tableColumn id="3" xr3:uid="{95C513AB-EC73-44E6-B8E3-8232B75E66EA}" name="Region of origin">
      <calculatedColumnFormula array="1">Common_InputFunctions.Utility_DisplayArrayInTable(Scope3_SourceData.Scope3_InorganicFertilisers_Data(), Table_SourceData_Scope3_InorganicFertiliser[[#Headers],[Category]], 0, 2)</calculatedColumnFormula>
    </tableColumn>
    <tableColumn id="4" xr3:uid="{3F4B9142-3C91-4294-B25A-714C2585F2CC}" name="Chemical compound"/>
    <tableColumn id="5" xr3:uid="{962DA6F7-D87E-43E9-91F8-FBF08A28E9BB}" name="Urea source"/>
    <tableColumn id="6" xr3:uid="{B97B18FC-846A-4763-A2AA-2B0859F23D9D}" name="Ammonia source"/>
    <tableColumn id="7" xr3:uid="{8042F5C8-9B6F-48DB-8CF7-54EDF1886C5B}" name="Quantity"/>
    <tableColumn id="8" xr3:uid="{FF243DE4-1B5E-4D78-9A43-87DB0CFD7498}" name="Quantity Unit">
      <calculatedColumnFormula array="1">Common_InputFunctions.Utility_DisplayArrayInTable(Scope3_SourceData.Scope3_InorganicFertilisers_Data(), Table_SourceData_Scope3_InorganicFertiliser[[#Headers],[Category]], 0, -2)</calculatedColumnFormula>
    </tableColumn>
    <tableColumn id="9" xr3:uid="{95E2047A-A0C6-4B52-BE36-E92A039D2E1A}" name="Emissions intensity">
      <calculatedColumnFormula array="1">Common_InputFunctions.Utility_DisplayArrayInTable(Scope3_SourceData.Scope3_InorganicFertilisers_Data(), Table_SourceData_Scope3_InorganicFertiliser[[#Headers],[Category]], 0, -2)</calculatedColumnFormula>
    </tableColumn>
    <tableColumn id="10" xr3:uid="{C80DA827-0C8D-41BD-A56D-B3FF29C0C38E}" name="System boundary" dataDxfId="218" dataCellStyle="Content normal">
      <calculatedColumnFormula array="1">Common_InputFunctions.Utility_DisplayArrayInTable(Scope3_SourceData.Scope3_InorganicFertilisers_Data(), Table_SourceData_Scope3_InorganicFertiliser[[#Headers],[Category]], 0, -2)</calculatedColumnFormula>
    </tableColumn>
    <tableColumn id="11" xr3:uid="{6F02CD40-8F9D-4297-A1E2-519AA7740F66}" name="Source" dataDxfId="217"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3EDB1C2F-9A10-4273-9792-C3FCEA4652DC}" name="Table_SourceData_Scope3_Other" displayName="Table_SourceData_Scope3_Other" ref="D201:J209" totalsRowShown="0" dataDxfId="216"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22F58C0-E733-4B2C-A2C0-D70262469738}" name="Category" dataDxfId="215" dataCellStyle="Content normal">
      <calculatedColumnFormula array="1">Common_InputFunctions.Utility_DisplayArrayInTable(Scope3_SourceData.Scope3_Other_Data(), Table_SourceData_Scope3_Other[[#Headers],[Category]], 0, 2)</calculatedColumnFormula>
    </tableColumn>
    <tableColumn id="2" xr3:uid="{9858778E-EEDA-4C8B-9B7F-765CCA837463}" name="Product" dataDxfId="214" dataCellStyle="Content normal">
      <calculatedColumnFormula array="1">Common_InputFunctions.Utility_DisplayArrayInTable(Scope3_SourceData.Scope3_Other_Data(), Table_SourceData_Scope3_Other[[#Headers],[Category]], 0, 2)</calculatedColumnFormula>
    </tableColumn>
    <tableColumn id="3" xr3:uid="{B42B9BE9-230A-479F-82DA-18B038A2F6CE}" name="Region of origin" dataDxfId="213" dataCellStyle="Content normal">
      <calculatedColumnFormula array="1">Common_InputFunctions.Utility_DisplayArrayInTable(Scope3_SourceData.Scope3_Other_Data(), Table_SourceData_Scope3_Other[[#Headers],[Category]], 0, 2)</calculatedColumnFormula>
    </tableColumn>
    <tableColumn id="8" xr3:uid="{1E9E6339-DA13-495F-A6FC-4D8C1827CA8B}" name="Quantity Unit" dataDxfId="212" dataCellStyle="Content normal">
      <calculatedColumnFormula array="1">Common_InputFunctions.Utility_DisplayArrayInTable(Scope3_SourceData.Scope3_Other_Data(), Table_SourceData_Scope3_Other[[#Headers],[Category]], 0, 2)</calculatedColumnFormula>
    </tableColumn>
    <tableColumn id="9" xr3:uid="{5632D488-79E9-4576-98A5-3CFB2E2B486B}" name="Emissions intensity" dataDxfId="211" dataCellStyle="Content normal">
      <calculatedColumnFormula array="1">Common_InputFunctions.Utility_DisplayArrayInTable(Scope3_SourceData.Scope3_Other_Data(), Table_SourceData_Scope3_Other[[#Headers],[Category]], 0, 2)</calculatedColumnFormula>
    </tableColumn>
    <tableColumn id="10" xr3:uid="{36FF150C-545B-4AC0-B6BE-786853BDB47F}" name="System boundary" dataDxfId="210" dataCellStyle="Content normal">
      <calculatedColumnFormula array="1">Common_InputFunctions.Utility_DisplayArrayInTable(Scope3_SourceData.Scope3_Other_Data(), Table_SourceData_Scope3_Other[[#Headers],[Category]], 0, 2)</calculatedColumnFormula>
    </tableColumn>
    <tableColumn id="4" xr3:uid="{A3D0DAEE-AB2B-482C-8905-F41F243DE6D3}" name="Source" dataDxfId="209" dataCellStyle="Content normal"/>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685F8E2C-330B-4CDE-A046-DAEA83214014}" name="Table_SourceData_Scope3_Packaging" displayName="Table_SourceData_Scope3_Packaging" ref="D212:J216" totalsRowShown="0" dataDxfId="208"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FD9CCCF-10AC-47A3-97C6-F96F85EE1877}" name="Category" dataDxfId="207" dataCellStyle="Content normal">
      <calculatedColumnFormula array="1">Common_InputFunctions.Utility_DisplayArrayInTable(Scope3_SourceData.Scope3_Packaging_Data(), Table_SourceData_Scope3_Packaging[[#Headers],[Category]], 0, 2)</calculatedColumnFormula>
    </tableColumn>
    <tableColumn id="2" xr3:uid="{DD61B7E1-987D-44EF-9431-41C7D7781E7B}" name="Product" dataDxfId="206" dataCellStyle="Content normal">
      <calculatedColumnFormula array="1">Common_InputFunctions.Utility_DisplayArrayInTable(Scope3_SourceData.Scope3_Packaging_Data(), Table_SourceData_Scope3_Packaging[[#Headers],[Category]], 0, 2)</calculatedColumnFormula>
    </tableColumn>
    <tableColumn id="3" xr3:uid="{DC511EF5-26FC-4E04-A440-C766298A0DAE}" name="Region of origin" dataDxfId="205" dataCellStyle="Content normal">
      <calculatedColumnFormula array="1">Common_InputFunctions.Utility_DisplayArrayInTable(Scope3_SourceData.Scope3_Packaging_Data(), Table_SourceData_Scope3_Packaging[[#Headers],[Category]], 0, 2)</calculatedColumnFormula>
    </tableColumn>
    <tableColumn id="8" xr3:uid="{B321CE49-3CB0-474F-996B-353492C4CD04}" name="Quantity Unit" dataDxfId="204" dataCellStyle="Content normal">
      <calculatedColumnFormula array="1">Common_InputFunctions.Utility_DisplayArrayInTable(Scope3_SourceData.Scope3_Packaging_Data(), Table_SourceData_Scope3_Packaging[[#Headers],[Category]], 0, 2)</calculatedColumnFormula>
    </tableColumn>
    <tableColumn id="9" xr3:uid="{EF9B4622-1CD9-4881-B7B0-80D09935338C}" name="Emissions intensity" dataDxfId="203" dataCellStyle="Content normal">
      <calculatedColumnFormula array="1">Common_InputFunctions.Utility_DisplayArrayInTable(Scope3_SourceData.Scope3_Packaging_Data(), Table_SourceData_Scope3_Packaging[[#Headers],[Category]], 0, 2)</calculatedColumnFormula>
    </tableColumn>
    <tableColumn id="10" xr3:uid="{2464FA2F-B2F2-4E2C-A85D-D625A08027C4}" name="System boundary" dataDxfId="202" dataCellStyle="Content normal">
      <calculatedColumnFormula array="1">Common_InputFunctions.Utility_DisplayArrayInTable(Scope3_SourceData.Scope3_Packaging_Data(), Table_SourceData_Scope3_Packaging[[#Headers],[Category]], 0, 2)</calculatedColumnFormula>
    </tableColumn>
    <tableColumn id="4" xr3:uid="{F9259F7C-7819-45D5-8937-F039817F0E49}" name="Source" dataDxfId="201"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97F588E6-BB29-4778-86B7-D14A56BFD995}" name="Table_SourceData_Scope3_Pesticides" displayName="Table_SourceData_Scope3_Pesticides" ref="D219:J231" totalsRowShown="0" dataDxfId="200"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F712A57-F7D8-485B-A75B-A9DE1CFD8781}" name="Category" dataDxfId="199" dataCellStyle="Content normal">
      <calculatedColumnFormula array="1">Common_InputFunctions.Utility_DisplayArrayInTable(Scope3_SourceData.Scope3_Pesticides_Data(), Table_SourceData_Scope3_Pesticides[[#Headers],[Category]], 0, 2)</calculatedColumnFormula>
    </tableColumn>
    <tableColumn id="2" xr3:uid="{B8B3E037-A1DE-4C58-A5FE-426F1077F94E}" name="Product" dataDxfId="198" dataCellStyle="Content normal">
      <calculatedColumnFormula array="1">Common_InputFunctions.Utility_DisplayArrayInTable(Scope3_SourceData.Scope3_Pesticides_Data(), Table_SourceData_Scope3_Pesticides[[#Headers],[Category]], 0, 2)</calculatedColumnFormula>
    </tableColumn>
    <tableColumn id="3" xr3:uid="{A7670252-EF8D-4153-9FC8-6F0899E7C10F}" name="Region of origin" dataDxfId="197" dataCellStyle="Content normal">
      <calculatedColumnFormula array="1">Common_InputFunctions.Utility_DisplayArrayInTable(Scope3_SourceData.Scope3_Pesticides_Data(), Table_SourceData_Scope3_Pesticides[[#Headers],[Category]], 0, 2)</calculatedColumnFormula>
    </tableColumn>
    <tableColumn id="8" xr3:uid="{F3941E15-AAFA-41CD-8724-E62146F3168B}" name="Quantity Unit" dataDxfId="196" dataCellStyle="Content normal">
      <calculatedColumnFormula array="1">Common_InputFunctions.Utility_DisplayArrayInTable(Scope3_SourceData.Scope3_Pesticides_Data(), Table_SourceData_Scope3_Pesticides[[#Headers],[Category]], 0, 2)</calculatedColumnFormula>
    </tableColumn>
    <tableColumn id="9" xr3:uid="{D763C779-3B8A-410D-96D5-4DF32D07C381}" name="Emissions intensity" dataDxfId="195" dataCellStyle="Content normal">
      <calculatedColumnFormula array="1">Common_InputFunctions.Utility_DisplayArrayInTable(Scope3_SourceData.Scope3_Pesticides_Data(), Table_SourceData_Scope3_Pesticides[[#Headers],[Category]], 0, 2)</calculatedColumnFormula>
    </tableColumn>
    <tableColumn id="10" xr3:uid="{3B94F8F6-C3EB-4165-BC91-9B780B85381B}" name="System boundary" dataDxfId="194" dataCellStyle="Content normal">
      <calculatedColumnFormula array="1">Common_InputFunctions.Utility_DisplayArrayInTable(Scope3_SourceData.Scope3_Pesticides_Data(), Table_SourceData_Scope3_Pesticides[[#Headers],[Category]], 0, 2)</calculatedColumnFormula>
    </tableColumn>
    <tableColumn id="4" xr3:uid="{89BCBA6C-7720-4CDC-A825-6DA86449C902}" name="Source" dataDxfId="193"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BBE27ACD-C6D4-4F1B-A41C-03EE55BD1624}" name="Table_SourceData_Scope3_SoilAmeliorants" displayName="Table_SourceData_Scope3_SoilAmeliorants" ref="D234:J237" totalsRowShown="0" dataDxfId="192"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52A68F8-9570-48A3-B3C3-5EF0E8C9718E}" name="Category" dataDxfId="191" dataCellStyle="Content normal">
      <calculatedColumnFormula array="1">Common_InputFunctions.Utility_DisplayArrayInTable(Scope3_SourceData.Scope3_SoilAmendments_Data(), Table_SourceData_Scope3_SoilAmeliorants[[#Headers],[Category]], 0, 2)</calculatedColumnFormula>
    </tableColumn>
    <tableColumn id="2" xr3:uid="{75C2E39D-02B1-425A-8E4C-2BCEFCCFF107}" name="Product" dataDxfId="190" dataCellStyle="Content normal">
      <calculatedColumnFormula array="1">Common_InputFunctions.Utility_DisplayArrayInTable(Scope3_SourceData.Scope3_SoilAmendments_Data(), Table_SourceData_Scope3_SoilAmeliorants[[#Headers],[Category]], 0, 2)</calculatedColumnFormula>
    </tableColumn>
    <tableColumn id="3" xr3:uid="{AF4D216B-37E5-403A-BB8C-73B068EBDF3E}" name="Region of origin" dataDxfId="189" dataCellStyle="Content normal">
      <calculatedColumnFormula array="1">Common_InputFunctions.Utility_DisplayArrayInTable(Scope3_SourceData.Scope3_SoilAmendments_Data(), Table_SourceData_Scope3_SoilAmeliorants[[#Headers],[Category]], 0, 2)</calculatedColumnFormula>
    </tableColumn>
    <tableColumn id="8" xr3:uid="{CD3DDFD7-1A8F-4F39-AAD4-3C52431DC445}" name="Quantity Unit" dataDxfId="188" dataCellStyle="Content normal">
      <calculatedColumnFormula array="1">Common_InputFunctions.Utility_DisplayArrayInTable(Scope3_SourceData.Scope3_SoilAmendments_Data(), Table_SourceData_Scope3_SoilAmeliorants[[#Headers],[Category]], 0, 2)</calculatedColumnFormula>
    </tableColumn>
    <tableColumn id="9" xr3:uid="{21D61339-1F2B-4779-AD1F-566BC5A9ADB7}" name="Emissions intensity" dataDxfId="187" dataCellStyle="Content normal">
      <calculatedColumnFormula array="1">Common_InputFunctions.Utility_DisplayArrayInTable(Scope3_SourceData.Scope3_SoilAmendments_Data(), Table_SourceData_Scope3_SoilAmeliorants[[#Headers],[Category]], 0, 2)</calculatedColumnFormula>
    </tableColumn>
    <tableColumn id="10" xr3:uid="{02A7A45D-F749-4BCA-A623-84FB797A2B83}" name="System boundary" dataDxfId="186" dataCellStyle="Content normal">
      <calculatedColumnFormula array="1">Common_InputFunctions.Utility_DisplayArrayInTable(Scope3_SourceData.Scope3_SoilAmendments_Data(), Table_SourceData_Scope3_SoilAmeliorants[[#Headers],[Category]], 0, 2)</calculatedColumnFormula>
    </tableColumn>
    <tableColumn id="4" xr3:uid="{78576FE3-2A53-4258-8130-E41899ACA7A8}" name="Source" dataDxfId="185"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46F9DA8F-D819-4566-83F4-53ECAECC4D07}" name="Table_SourceData_Scope3_ChemicalsPharmacy" displayName="Table_SourceData_Scope3_ChemicalsPharmacy" ref="D82:J86" totalsRowShown="0" dataDxfId="184"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1DD1103-6C49-4740-814D-2A7303E0B8F9}" name="Category" dataDxfId="183" dataCellStyle="Content normal">
      <calculatedColumnFormula array="1">Common_InputFunctions.Utility_DisplayArrayInTable(Scope3_SourceData.Scope3_Chemicals_Data(), Table_SourceData_Scope3_ChemicalsPharmacy[[#Headers],[Category]], -3, 2)</calculatedColumnFormula>
    </tableColumn>
    <tableColumn id="2" xr3:uid="{99776C22-BF1B-4228-A7EF-9A857329DFCE}" name="Product" dataDxfId="182" dataCellStyle="Content normal">
      <calculatedColumnFormula array="1">Common_InputFunctions.Utility_DisplayArrayInTable(Scope3_SourceData.Scope3_Chemicals_Data(), Table_SourceData_Scope3_ChemicalsPharmacy[[#Headers],[Category]], -3, 2)</calculatedColumnFormula>
    </tableColumn>
    <tableColumn id="3" xr3:uid="{56F99139-BEA8-404A-845C-E574701A6974}" name="Region of origin" dataDxfId="181" dataCellStyle="Content normal">
      <calculatedColumnFormula array="1">Common_InputFunctions.Utility_DisplayArrayInTable(Scope3_SourceData.Scope3_Chemicals_Data(), Table_SourceData_Scope3_ChemicalsPharmacy[[#Headers],[Category]], -3, 2)</calculatedColumnFormula>
    </tableColumn>
    <tableColumn id="8" xr3:uid="{BFA848EA-4182-4115-B155-BC87E57C95D7}" name="Quantity Unit" dataDxfId="180" dataCellStyle="Content normal">
      <calculatedColumnFormula array="1">Common_InputFunctions.Utility_DisplayArrayInTable(Scope3_SourceData.Scope3_Chemicals_Data(), Table_SourceData_Scope3_ChemicalsPharmacy[[#Headers],[Category]], -3, 2)</calculatedColumnFormula>
    </tableColumn>
    <tableColumn id="9" xr3:uid="{4AFB96CE-F4B5-4535-9246-79756CAF7653}" name="Emissions intensity" dataDxfId="179" dataCellStyle="Content normal">
      <calculatedColumnFormula array="1">Common_InputFunctions.Utility_DisplayArrayInTable(Scope3_SourceData.Scope3_Chemicals_Data(), Table_SourceData_Scope3_ChemicalsPharmacy[[#Headers],[Category]], -3, 2)</calculatedColumnFormula>
    </tableColumn>
    <tableColumn id="10" xr3:uid="{E54A6982-5161-41F8-8FC6-D8DE079024BA}" name="System boundary" dataDxfId="178" dataCellStyle="Content normal">
      <calculatedColumnFormula array="1">Common_InputFunctions.Utility_DisplayArrayInTable(Scope3_SourceData.Scope3_Chemicals_Data(), Table_SourceData_Scope3_ChemicalsPharmacy[[#Headers],[Category]], -3, 2)</calculatedColumnFormula>
    </tableColumn>
    <tableColumn id="4" xr3:uid="{C717358D-F008-49B1-B7FF-4E99510EBFC4}" name="Source" dataDxfId="177" dataCellStyle="Content normal"/>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28ADDAD6-DD63-4F66-A587-0F57E91A1C64}" name="Table_SourceData_Scope3_LickBlocks" displayName="Table_SourceData_Scope3_LickBlocks" ref="D167:J170" totalsRowShown="0" headerRowDxfId="176"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377DD92-1DCD-4EA4-93BA-EF1868C4FA85}" name="Category" dataDxfId="175" dataCellStyle="Content normal">
      <calculatedColumnFormula array="1">Common_InputFunctions.Utility_DisplayArrayInTable(Scope3_SourceData.Scope3_Feed_Data(), Table_SourceData_Scope3_LickBlocks[[#Headers],[Category]], -73, 2)</calculatedColumnFormula>
    </tableColumn>
    <tableColumn id="2" xr3:uid="{315D37B0-1E21-4477-B3AD-A0AC13504945}" name="Product" dataDxfId="174" dataCellStyle="Content normal">
      <calculatedColumnFormula array="1">Common_InputFunctions.Utility_DisplayArrayInTable(Scope3_SourceData.Scope3_Feed_Data(), Table_SourceData_Scope3_LickBlocks[[#Headers],[Category]], -73, 2)</calculatedColumnFormula>
    </tableColumn>
    <tableColumn id="3" xr3:uid="{0416E6AC-5AFB-41A8-8D06-FC4B9254D077}" name="Region of origin" dataDxfId="173" dataCellStyle="Content normal">
      <calculatedColumnFormula array="1">Common_InputFunctions.Utility_DisplayArrayInTable(Scope3_SourceData.Scope3_Feed_Data(), Table_SourceData_Scope3_LickBlocks[[#Headers],[Category]], -73, 2)</calculatedColumnFormula>
    </tableColumn>
    <tableColumn id="4" xr3:uid="{A0CD6537-4C98-4605-89C2-DD9F6BA38E2B}" name="Quantity Unit" dataDxfId="172" dataCellStyle="Content normal">
      <calculatedColumnFormula array="1">Common_InputFunctions.Utility_DisplayArrayInTable(Scope3_SourceData.Scope3_Feed_Data(), Table_SourceData_Scope3_LickBlocks[[#Headers],[Category]], -73, 2)</calculatedColumnFormula>
    </tableColumn>
    <tableColumn id="5" xr3:uid="{D4658EF5-407B-4280-A9DD-CD98CDBC3358}" name="Emissions intensity" dataDxfId="171" dataCellStyle="Content normal">
      <calculatedColumnFormula array="1">Common_InputFunctions.Utility_DisplayArrayInTable(Scope3_SourceData.Scope3_Feed_Data(), Table_SourceData_Scope3_LickBlocks[[#Headers],[Category]], -73, 2)</calculatedColumnFormula>
    </tableColumn>
    <tableColumn id="6" xr3:uid="{D912773C-E6AE-416E-9A31-5036D2846745}" name="System boundary" dataDxfId="170" dataCellStyle="Content normal">
      <calculatedColumnFormula array="1">Common_InputFunctions.Utility_DisplayArrayInTable(Scope3_SourceData.Scope3_Feed_Data(), Table_SourceData_Scope3_LickBlocks[[#Headers],[Category]], -73, 2)</calculatedColumnFormula>
    </tableColumn>
    <tableColumn id="7" xr3:uid="{45AB1FB1-1C04-47CC-A28A-7B78595C542A}" name="Source" dataDxfId="169" dataCellStyle="Content normal"/>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2D83187C-75BC-45B9-9A90-170F11EF3071}" name="Table_SourceData_Scope3_MixedRations" displayName="Table_SourceData_Scope3_MixedRations" ref="D161:J165" totalsRowShown="0" headerRowDxfId="168"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42D5E7B-5943-49C7-97D5-4F0B42011A01}" name="Category" dataDxfId="167" dataCellStyle="Content normal">
      <calculatedColumnFormula array="1">Common_InputFunctions.Utility_DisplayArrayInTable(Scope3_SourceData.Scope3_Feed_Data(), Table_SourceData_Scope3_MixedRations[[#Headers],[Category]], -66, 2)</calculatedColumnFormula>
    </tableColumn>
    <tableColumn id="2" xr3:uid="{ADE1C1E2-C231-47ED-BC01-3C68A1DB926D}" name="Product" dataDxfId="166" dataCellStyle="Content normal">
      <calculatedColumnFormula array="1">Common_InputFunctions.Utility_DisplayArrayInTable(Scope3_SourceData.Scope3_Feed_Data(), Table_SourceData_Scope3_MixedRations[[#Headers],[Category]], -66, 2)</calculatedColumnFormula>
    </tableColumn>
    <tableColumn id="3" xr3:uid="{445DE6C8-0F19-44EE-8888-81C06BDA5101}" name="Region of origin" dataDxfId="165" dataCellStyle="Content normal">
      <calculatedColumnFormula array="1">Common_InputFunctions.Utility_DisplayArrayInTable(Scope3_SourceData.Scope3_Feed_Data(), Table_SourceData_Scope3_MixedRations[[#Headers],[Category]], -66, 2)</calculatedColumnFormula>
    </tableColumn>
    <tableColumn id="4" xr3:uid="{08C7C01F-F0DC-41C1-A77F-4ABBCCC24D53}" name="Quantity Unit" dataDxfId="164" dataCellStyle="Content normal">
      <calculatedColumnFormula array="1">Common_InputFunctions.Utility_DisplayArrayInTable(Scope3_SourceData.Scope3_Feed_Data(), Table_SourceData_Scope3_MixedRations[[#Headers],[Category]], -66, 2)</calculatedColumnFormula>
    </tableColumn>
    <tableColumn id="5" xr3:uid="{BFA0528D-0C09-4F78-8029-1E4B6A5A3CD8}" name="Emissions intensity" dataDxfId="163" dataCellStyle="Content normal">
      <calculatedColumnFormula array="1">Common_InputFunctions.Utility_DisplayArrayInTable(Scope3_SourceData.Scope3_Feed_Data(), Table_SourceData_Scope3_MixedRations[[#Headers],[Category]], -66, 2)</calculatedColumnFormula>
    </tableColumn>
    <tableColumn id="6" xr3:uid="{AE4FC01F-2B68-473A-A315-14E9E68E9151}" name="System boundary" dataDxfId="162" dataCellStyle="Content normal">
      <calculatedColumnFormula array="1">Common_InputFunctions.Utility_DisplayArrayInTable(Scope3_SourceData.Scope3_Feed_Data(), Table_SourceData_Scope3_MixedRations[[#Headers],[Category]], -66, 2)</calculatedColumnFormula>
    </tableColumn>
    <tableColumn id="7" xr3:uid="{08339C8A-F7EA-46DB-AB2F-3D81FD53123B}" name="Source" dataDxfId="161" dataCellStyle="Content normal"/>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CAEE7497-401D-466C-9858-DF6A2B4E23E9}"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16494B5D-4F21-410E-B24A-17DD8BB040E7}" name="Product">
      <calculatedColumnFormula>Table_SourceData_Scope3_FishFeedAndBait[[#This Row],[Product]]</calculatedColumnFormula>
    </tableColumn>
    <tableColumn id="2" xr3:uid="{9456049F-85EE-4E9D-88C4-F3BB2D919863}"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6117E227-E7B1-4444-996C-1F3720ED2723}"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1D2BE2BC-3879-4A70-910F-9E8D206C362B}" name="Product">
      <calculatedColumnFormula>Table_SourceData_Scope3_Feed[[#This Row],[Product]]</calculatedColumnFormula>
    </tableColumn>
    <tableColumn id="2" xr3:uid="{5FFD6312-25E1-4FC4-B0CF-7F3536603FF8}"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F15946F4-D014-4269-86A4-9DEA501D9E00}" name="Table_ProductRegions_Maizegrain" displayName="Table_ProductRegions_Maizegrain" ref="L97:M104" totalsRowShown="0" headerRowDxfId="160" headerRowCellStyle="Content normal">
  <autoFilter ref="L97:M104" xr:uid="{70F320A7-5DBE-4A83-91E4-C9B3BDA564BD}">
    <filterColumn colId="0" hiddenButton="1"/>
    <filterColumn colId="1" hiddenButton="1"/>
  </autoFilter>
  <tableColumns count="2">
    <tableColumn id="1" xr3:uid="{A4F30F09-0893-4FFA-9A47-FBE04F539B7E}" name="Product">
      <calculatedColumnFormula>Table_SourceData_Scope3_Feed[[#This Row],[Product]]</calculatedColumnFormula>
    </tableColumn>
    <tableColumn id="2" xr3:uid="{C4EE8D5A-B3C7-4D19-802C-A61767207F5E}"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368938F1-7FA4-44C9-89E0-F7FA29870D90}" name="Table_ProductRegions_Sorghumgrain" displayName="Table_ProductRegions_Sorghumgrain" ref="O104:P109" totalsRowShown="0" headerRowDxfId="159" headerRowCellStyle="Content normal">
  <autoFilter ref="O104:P109" xr:uid="{90205417-8A77-41A3-A4E2-624BD92B7269}">
    <filterColumn colId="0" hiddenButton="1"/>
    <filterColumn colId="1" hiddenButton="1"/>
  </autoFilter>
  <tableColumns count="2">
    <tableColumn id="1" xr3:uid="{BF6EA0B6-6059-4A19-8E7A-C67643421ED1}" name="Product">
      <calculatedColumnFormula>Table_SourceData_Scope3_Feed[[#This Row],[Product]]</calculatedColumnFormula>
    </tableColumn>
    <tableColumn id="2" xr3:uid="{8446F175-EABB-430E-B081-F77E360A20C5}"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37E2AC1A-9427-455D-A645-DF48899859E0}" name="Table_ProductRegions_Wheatgrain" displayName="Table_ProductRegions_Wheatgrain" ref="L109:M117" totalsRowShown="0" headerRowDxfId="158" headerRowCellStyle="Content normal">
  <autoFilter ref="L109:M117" xr:uid="{9DD7D3AD-59A1-48FC-B80D-99C25A2A79F5}">
    <filterColumn colId="0" hiddenButton="1"/>
    <filterColumn colId="1" hiddenButton="1"/>
  </autoFilter>
  <tableColumns count="2">
    <tableColumn id="1" xr3:uid="{637CD3D3-2C90-4CC8-8AF3-0A0EFC64009E}" name="Product">
      <calculatedColumnFormula>Table_SourceData_Scope3_Feed[[#This Row],[Product]]</calculatedColumnFormula>
    </tableColumn>
    <tableColumn id="2" xr3:uid="{1B3E78C7-5E09-4F86-8A87-DCB7FA3CAC25}"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415E9C13-3E8A-44F9-ABAC-2535AC213CB9}"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03E09778-1547-4100-BB8E-12C2304E729C}" name="Product">
      <calculatedColumnFormula>Table_SourceData_Scope3_Feed[[#This Row],[Product]]</calculatedColumnFormula>
    </tableColumn>
    <tableColumn id="2" xr3:uid="{15279727-7DF9-44D0-89F9-67D61543662A}" name="Region">
      <calculatedColumnFormula>Table_SourceData_Scope3_Feed[[#This Row],[Region of origin]]</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9775BC9D-23E7-435A-9AEE-203FBDA7FDDC}"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66006C12-6258-436C-9CAB-49F9696240A0}" name="Product">
      <calculatedColumnFormula>Table_SourceData_Scope3_Feed[[#This Row],[Product]]</calculatedColumnFormula>
    </tableColumn>
    <tableColumn id="2" xr3:uid="{2DF95CF4-F47F-453D-80D5-B1EFCA97B40C}" name="Region">
      <calculatedColumnFormula>Table_SourceData_Scope3_Feed[[#This Row],[Region of origin]]</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799470EC-0BFD-40FF-8E6E-2A0F2C700349}"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5F4FA96F-5029-4A58-91B3-63DE928B7980}" name="Product">
      <calculatedColumnFormula>Table_SourceData_Scope3_Feed[[#This Row],[Product]]</calculatedColumnFormula>
    </tableColumn>
    <tableColumn id="2" xr3:uid="{19E99456-3BA9-4671-BF38-227CD6C6B20B}" name="Region">
      <calculatedColumnFormula>Table_SourceData_Scope3_Feed[[#This Row],[Region of origin]]</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017338F-8F05-4D49-8B6D-8AC48D9F3706}"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952A4F5B-9F5F-4558-B79C-776E09A6E22C}" name="Product">
      <calculatedColumnFormula>Table_SourceData_Scope3_Feed[[#This Row],[Product]]</calculatedColumnFormula>
    </tableColumn>
    <tableColumn id="2" xr3:uid="{FE83F051-8277-44DF-B919-6F80839D83C4}" name="Region">
      <calculatedColumnFormula>Table_SourceData_Scope3_Feed[[#This Row],[Region of origin]]</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79C480EA-7475-4498-A994-345F5579DCEF}"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42A1BFE4-23C9-42C8-8A3D-5087FBC513B7}" name="Product">
      <calculatedColumnFormula>Table_SourceData_Scope3_Feed[[#This Row],[Product]]</calculatedColumnFormula>
    </tableColumn>
    <tableColumn id="2" xr3:uid="{8CA15D25-8758-46EB-9B96-B13F55906382}" name="Region">
      <calculatedColumnFormula>Table_SourceData_Scope3_Feed[[#This Row],[Region of origin]]</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1AD85A-550D-4096-8632-0F88A64555A0}" name="Table_ProductRegions_Canolameal" displayName="Table_ProductRegions_Canolameal" ref="L150:M151" totalsRowShown="0" headerRowDxfId="157" headerRowCellStyle="Content normal" dataCellStyle="Content normal">
  <autoFilter ref="L150:M151" xr:uid="{58F78B6F-294E-4D4E-8E3B-BFE4FA85583E}">
    <filterColumn colId="0" hiddenButton="1"/>
    <filterColumn colId="1" hiddenButton="1"/>
  </autoFilter>
  <tableColumns count="2">
    <tableColumn id="1" xr3:uid="{C9276F50-ACCD-4F99-A5B5-1CDAE6C999BF}" name="Product" dataCellStyle="Content normal">
      <calculatedColumnFormula>Table_SourceData_Scope3_Feed[[#This Row],[Product]]</calculatedColumnFormula>
    </tableColumn>
    <tableColumn id="2" xr3:uid="{FCE544BF-7984-434C-8956-03B5A2E88A0E}"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876A7FE8-0AD5-4857-89D1-2AD8E5600123}"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4FFD4CC5-7843-4339-AFCE-8CFA167BC8E1}" name="Product">
      <calculatedColumnFormula>Table_SourceData_Scope3_Feed[[#This Row],[Product]]</calculatedColumnFormula>
    </tableColumn>
    <tableColumn id="2" xr3:uid="{FB1B1A96-322C-49C5-A8B7-DD6B1E41762D}" name="Region">
      <calculatedColumnFormula>Table_SourceData_Scope3_Feed[[#This Row],[Region of origin]]</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80DE3265-0E8B-4D9A-B290-F5EB440F60AC}"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3A840BA6-6695-459C-8FBE-3193E7D76CD4}" name="Product">
      <calculatedColumnFormula>Table_SourceData_Scope3_Feed[[#This Row],[Product]]</calculatedColumnFormula>
    </tableColumn>
    <tableColumn id="2" xr3:uid="{9E422C14-240C-4E1D-95DE-1020729060CA}" name="Region">
      <calculatedColumnFormula>Table_SourceData_Scope3_Feed[[#This Row],[Region of origin]]</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EC4A5C99-057C-4F51-94F3-0BB84416CCBA}"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4DAC0476-942B-41C8-AC3F-1728FC8EDE02}" name="Product">
      <calculatedColumnFormula>Table_SourceData_Scope3_Feed[[#This Row],[Product]]</calculatedColumnFormula>
    </tableColumn>
    <tableColumn id="2" xr3:uid="{FC3FA2E3-4573-41FA-A200-434CF4A0AA75}" name="Region">
      <calculatedColumnFormula>Table_SourceData_Scope3_Feed[[#This Row],[Region of origin]]</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6BE0018F-6A49-45AB-BBB6-0F2E45E570A7}"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8FED3234-0579-4782-AD7F-E47A1B7CAFA4}" name="Product">
      <calculatedColumnFormula>Table_SourceData_Scope3_Feed[[#This Row],[Product]]</calculatedColumnFormula>
    </tableColumn>
    <tableColumn id="2" xr3:uid="{AD1923C7-C4C9-470F-BF8F-0F14758BB6EF}" name="Region">
      <calculatedColumnFormula>Table_SourceData_Scope3_Feed[[#This Row],[Region of origin]]</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E697C131-D8DD-4925-8904-ECD7EDF806E9}"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392C2F82-3B40-445B-B193-B1586CD03F24}" name="Product">
      <calculatedColumnFormula>Table_SourceData_Scope3_Feed[[#This Row],[Product]]</calculatedColumnFormula>
    </tableColumn>
    <tableColumn id="2" xr3:uid="{A6EBCB23-4AE2-4253-A40A-687561D6EFA8}" name="Region">
      <calculatedColumnFormula>Table_SourceData_Scope3_Feed[[#This Row],[Region of origin]]</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D19EE4-2F2E-46F1-BAC8-1B7B7E4A9BA4}"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1B8FBCAB-D992-4182-AFAF-6816EDF0C1CC}" name="Product">
      <calculatedColumnFormula>Table_SourceData_Scope3_Feed[[#This Row],[Product]]</calculatedColumnFormula>
    </tableColumn>
    <tableColumn id="2" xr3:uid="{E2B0318F-879F-4D67-B8C0-02715C703F01}" name="Region">
      <calculatedColumnFormula>Table_SourceData_Scope3_Feed[[#This Row],[Region of origin]]</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A003A8D0-F57A-49C7-966F-622B9D1BD2BC}"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8F16A1AC-A0FE-4602-A94B-4258D47CE68B}" name="Product">
      <calculatedColumnFormula>Table_SourceData_Scope3_Feed[[#This Row],[Product]]</calculatedColumnFormula>
    </tableColumn>
    <tableColumn id="2" xr3:uid="{2E63F703-3CF9-4E9A-99F8-EAA6587C30EC}" name="Region">
      <calculatedColumnFormula>Table_SourceData_Scope3_Feed[[#This Row],[Region of origin]]</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FF6F8F12-8375-4390-8ECC-A39BB43ABE4B}"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DA1ABA62-C41E-443B-94C4-2360484A57E6}" name="Region"/>
    <tableColumn id="2" xr3:uid="{1DF17FD4-C2D0-4788-8259-C9F1E28647E9}" name="Scope3 regio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0D68739-BC70-48DA-A429-BA30F95584F4}" name="Table_SourceData_Scope3_FishFeedAndBait" displayName="Table_SourceData_Scope3_FishFeedAndBait" ref="D241:J247" totalsRowShown="0" dataDxfId="156"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2E2A0CEC-88CF-4FAA-97D3-BA110456C19A}" name="Category" dataDxfId="155" dataCellStyle="Content normal">
      <calculatedColumnFormula array="1">Common_InputFunctions.Utility_DisplayArrayInTable(Scope3_SourceData.Scope3_FishFeedAndBait_Data(), Table_SourceData_Scope3_FishFeedAndBait[[#Headers],[Category]], 0, 1)</calculatedColumnFormula>
    </tableColumn>
    <tableColumn id="1" xr3:uid="{A234645A-AAC3-422D-AFA4-3BB543D44F8A}" name="Product" dataDxfId="154" dataCellStyle="Content normal">
      <calculatedColumnFormula array="1">Common_InputFunctions.Utility_DisplayArrayInTable(Scope3_SourceData.Scope3_FishFeedAndBait_Data(), Table_SourceData_Scope3_FishFeedAndBait[[#Headers],[Category]], 0, 1)</calculatedColumnFormula>
    </tableColumn>
    <tableColumn id="2" xr3:uid="{CEAD67CC-9614-4539-B6C0-E3F65346B636}" name="Region of origin" dataDxfId="153" dataCellStyle="Content normal">
      <calculatedColumnFormula array="1">Common_InputFunctions.Utility_DisplayArrayInTable(Scope3_SourceData.Scope3_FishFeedAndBait_Data(), Table_SourceData_Scope3_FishFeedAndBait[[#Headers],[Category]], 0, 1)</calculatedColumnFormula>
    </tableColumn>
    <tableColumn id="3" xr3:uid="{58E75885-3CB3-4901-A462-931920B60481}" name="Quantity Unit" dataDxfId="152" dataCellStyle="Content normal">
      <calculatedColumnFormula array="1">Common_InputFunctions.Utility_DisplayArrayInTable(Scope3_SourceData.Scope3_FishFeedAndBait_Data(), Table_SourceData_Scope3_FishFeedAndBait[[#Headers],[Category]], 0, 1)</calculatedColumnFormula>
    </tableColumn>
    <tableColumn id="4" xr3:uid="{03E6B246-7681-4B5C-BAB7-E0D1FBE4CDED}" name="Emissions intensity" dataDxfId="151" dataCellStyle="Content normal">
      <calculatedColumnFormula array="1">Common_InputFunctions.Utility_DisplayArrayInTable(Scope3_SourceData.Scope3_FishFeedAndBait_Data(), Table_SourceData_Scope3_FishFeedAndBait[[#Headers],[Category]], 0, 1)</calculatedColumnFormula>
    </tableColumn>
    <tableColumn id="5" xr3:uid="{2A797C68-E6A8-435D-8E14-8E47AFF7EA60}" name="System boundary" dataDxfId="150" dataCellStyle="Content normal">
      <calculatedColumnFormula array="1">Common_InputFunctions.Utility_DisplayArrayInTable(Scope3_SourceData.Scope3_FishFeedAndBait_Data(), Table_SourceData_Scope3_FishFeedAndBait[[#Headers],[Category]], 0, 1)</calculatedColumnFormula>
    </tableColumn>
    <tableColumn id="8" xr3:uid="{11E5D088-34AC-4756-8959-F968CE22BAB4}" name="Source" dataDxfId="149"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C478747-1F5D-47EE-BF4A-E425947C11C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A287FA3-800B-4A3C-B890-EE3EB2C92498}" name="State/Territory">
      <calculatedColumnFormula array="1">Common_InputFunctions.Utility_DisplayArrayInTable(Common_SourceData.Common_SourceData_AustralianStatesTerritories_Data(),Table_AustralianStates[[#Headers],[State/Territory]],0)</calculatedColumnFormula>
    </tableColumn>
    <tableColumn id="2" xr3:uid="{96370351-02C0-481B-ABA4-01406FE3BD55}" name="Common Name">
      <calculatedColumnFormula array="1">Common_InputFunctions.Utility_DisplayArrayInTable(Common_SourceData.Common_SourceData_AustralianStatesTerritories_Data(),Table_AustralianStates[[#Headers],[State/Territory]],0)</calculatedColumnFormula>
    </tableColumn>
    <tableColumn id="3" xr3:uid="{842546B1-B984-44F3-AC64-19842544880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39DC0B0-B96D-42DE-A74F-9666165298BB}" name="Table_WASA4Areas" displayName="Table_WASA4Areas" ref="D20:D30" totalsRowShown="0">
  <autoFilter ref="D20:D30" xr:uid="{5FA81339-C6C8-4D36-BEEA-6C4AEDD9E676}">
    <filterColumn colId="0" hiddenButton="1"/>
  </autoFilter>
  <tableColumns count="1">
    <tableColumn id="1" xr3:uid="{CEB26DE3-6D08-4488-BCC5-CAF66DA074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88AC4D-D2BB-4119-86D0-5C4ECEF277E6}" name="Table_GWPData" displayName="Table_GWPData" ref="D36:E43" totalsRowShown="0">
  <autoFilter ref="D36:E43" xr:uid="{B8E87A66-3E41-4AD3-925D-01EE21B43D7A}">
    <filterColumn colId="0" hiddenButton="1"/>
    <filterColumn colId="1" hiddenButton="1"/>
  </autoFilter>
  <tableColumns count="2">
    <tableColumn id="1" xr3:uid="{8B79CC01-3ECE-4E13-BCFA-D269536A7BCE}" name="Gas">
      <calculatedColumnFormula array="1">Common_InputFunctions.Utility_DisplayArrayInTable(Common_SourceData.Common_SourceData_GWP_Data(), Table_GWPData[[#Headers],[Gas]], 0)</calculatedColumnFormula>
    </tableColumn>
    <tableColumn id="2" xr3:uid="{1429926F-63F9-41B0-922F-6ECBEB0F51C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082FF7C-D65B-40DD-A145-3895A8DB7C1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DBA2455-78CB-4D98-AA3F-09E76468921A}" name="Gas">
      <calculatedColumnFormula array="1">Common_InputFunctions.Utility_DisplayArrayInTable(Common_SourceData.Common_SourceData_ConvertGasElementalToMolecular_Data(),Table_GasToMolecularConversionFactor[[#Headers],[Gas]], 0)</calculatedColumnFormula>
    </tableColumn>
    <tableColumn id="5" xr3:uid="{847F9075-C0C3-424A-89AD-B0E0C46CC2B7}" name="Conversion factor">
      <calculatedColumnFormula array="1">Common_InputFunctions.Utility_DisplayArrayInTable(Common_SourceData.Common_SourceData_ConvertGasElementalToMolecular_Data(),Table_GasToMolecularConversionFactor[[#Headers],[Gas]], 0)</calculatedColumnFormula>
    </tableColumn>
    <tableColumn id="2" xr3:uid="{B3F423E7-5422-4AB0-8E9F-FE964D1AB28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0878C27-AF09-4C3E-AA84-4643A115F4B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AA59925-0E1E-4C81-A2FE-508039861BC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0CB345A-1C1C-4903-883E-95B118EE9D5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22A5368-2115-4AFA-9E1B-55763DE8967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85395033-5600-477B-B2A8-F9DD6340CCA7}" name="MAT"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3" xr3:uid="{CFC93F08-2BC7-4BBC-A029-A0CEEFC4A386}" name="MAP"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4" xr3:uid="{7EEE0652-905E-4C60-9EA8-BB1B972258D1}" name="Frost days per year"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5" xr3:uid="{097C0B4C-AE79-4AEF-9D0C-8729F8FD7AE7}" name="Elevation" totalsRowDxfId="145" totalsRowCellStyle="Content bold">
      <calculatedColumnFormula array="1">Common_InputFunctions.Utility_DisplayArrayInTable(Common_SourceData.Common_SourceData_ClimateZones_Data(), Table_SourceData_ClimateZones[[#Headers],[Climate zone]], 0)</calculatedColumnFormula>
    </tableColumn>
    <tableColumn id="6" xr3:uid="{FEB741F7-AC5C-4AEE-9552-9D4B6ECAE991}" name="MAP:PET" totalsRowDxfId="144" totalsRowCellStyle="Content bold">
      <calculatedColumnFormula array="1">Common_InputFunctions.Utility_DisplayArrayInTable(Common_SourceData.Common_SourceData_ClimateZones_Data(), Table_SourceData_ClimateZones[[#Headers],[Climate zone]], 0)</calculatedColumnFormula>
    </tableColumn>
    <tableColumn id="7" xr3:uid="{D5410FE5-B548-4931-A6AC-14C2144A60DA}" name="Min temp" totalsRowDxfId="143" totalsRowCellStyle="Content bold">
      <calculatedColumnFormula array="1">Common_InputFunctions.Utility_DisplayArrayInTable(Common_SourceData.Common_SourceData_ClimateZones_Data(), Table_SourceData_ClimateZones[[#Headers],[Climate zone]], 0)</calculatedColumnFormula>
    </tableColumn>
    <tableColumn id="8" xr3:uid="{5A1A3BF3-FC1C-49D4-864A-417D756978EB}" name="Max temp" totalsRowDxfId="142" totalsRowCellStyle="Content bold">
      <calculatedColumnFormula array="1">Common_InputFunctions.Utility_DisplayArrayInTable(Common_SourceData.Common_SourceData_ClimateZones_Data(), Table_SourceData_ClimateZones[[#Headers],[Climate zone]], 0)</calculatedColumnFormula>
    </tableColumn>
    <tableColumn id="9" xr3:uid="{2C3E4891-FDD2-45D8-9E12-D7E20AB2C942}" name="Min rainfall" totalsRowDxfId="141" totalsRowCellStyle="Content bold">
      <calculatedColumnFormula array="1">Common_InputFunctions.Utility_DisplayArrayInTable(Common_SourceData.Common_SourceData_ClimateZones_Data(), Table_SourceData_ClimateZones[[#Headers],[Climate zone]], 0)</calculatedColumnFormula>
    </tableColumn>
    <tableColumn id="10" xr3:uid="{5C2EEE10-BE60-43AB-BD46-3D5857E233F0}" name="Max rainfall" totalsRowDxfId="140" totalsRowCellStyle="Content bold">
      <calculatedColumnFormula array="1">Common_InputFunctions.Utility_DisplayArrayInTable(Common_SourceData.Common_SourceData_ClimateZones_Data(), Table_SourceData_ClimateZones[[#Headers],[Climate zone]], 0)</calculatedColumnFormula>
    </tableColumn>
    <tableColumn id="11" xr3:uid="{B8D4FB2A-E41F-41E4-A1B0-B50B6F4B8222}" name="Min frost days" totalsRowDxfId="139" totalsRowCellStyle="Content bold">
      <calculatedColumnFormula array="1">Common_InputFunctions.Utility_DisplayArrayInTable(Common_SourceData.Common_SourceData_ClimateZones_Data(), Table_SourceData_ClimateZones[[#Headers],[Climate zone]], 0)</calculatedColumnFormula>
    </tableColumn>
    <tableColumn id="15" xr3:uid="{D1F195A5-29D3-4872-B840-5C2B982B31D3}" name="Max frost days" totalsRowDxfId="138" totalsRowCellStyle="Content bold">
      <calculatedColumnFormula array="1">Common_InputFunctions.Utility_DisplayArrayInTable(Common_SourceData.Common_SourceData_ClimateZones_Data(), Table_SourceData_ClimateZones[[#Headers],[Climate zone]], 0)</calculatedColumnFormula>
    </tableColumn>
    <tableColumn id="12" xr3:uid="{D7C29537-FEDC-4D4C-ACE3-42DDEEA677B7}" name="Min elevation" totalsRowDxfId="137" totalsRowCellStyle="Content bold">
      <calculatedColumnFormula array="1">Common_InputFunctions.Utility_DisplayArrayInTable(Common_SourceData.Common_SourceData_ClimateZones_Data(), Table_SourceData_ClimateZones[[#Headers],[Climate zone]], 0)</calculatedColumnFormula>
    </tableColumn>
    <tableColumn id="16" xr3:uid="{958174B2-155C-4F21-8FC1-CAED3FC453D2}" name="Max elevation" totalsRowDxfId="136" totalsRowCellStyle="Content bold">
      <calculatedColumnFormula array="1">Common_InputFunctions.Utility_DisplayArrayInTable(Common_SourceData.Common_SourceData_ClimateZones_Data(), Table_SourceData_ClimateZones[[#Headers],[Climate zone]], 0)</calculatedColumnFormula>
    </tableColumn>
    <tableColumn id="13" xr3:uid="{17E613AB-F9F0-404A-8CFE-A6BE09D2A63F}" name="Min MAP:PET"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17" xr3:uid="{1E04DA75-1873-41D6-92F5-FFC40E85975A}" name="Max MAP:PET" totalsRowDxfId="1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8EA0F00-70EE-4353-B983-2572CEB0F04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8F355FA-9E18-4624-B96F-3F7C85E0C75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E23F64E-887D-4EF9-9FE8-07F603CE353D}" name="Wet or Dry Zone" totalsRowDxfId="1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3AFA370-8738-4E34-8DE5-34791278D8C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028E416-FD0D-4083-A9D9-9CDCBCBAB5EC}" name="Temperature Zone">
      <calculatedColumnFormula array="1">Common_InputFunctions.Utility_DisplayArrayInTable(Common_SourceData.Common_SourceData_TemperatureZones_Data(),Table_SourceData_TemperatureZones[[#Headers],[Temperature Zone]],0)</calculatedColumnFormula>
    </tableColumn>
    <tableColumn id="2" xr3:uid="{3213D349-5EBF-4936-AAA8-D15F4B964FB1}" name="MAT">
      <calculatedColumnFormula array="1">Common_InputFunctions.Utility_DisplayArrayInTable(Common_SourceData.Common_SourceData_TemperatureZones_Data(),Table_SourceData_TemperatureZones[[#Headers],[Temperature Zone]],0)</calculatedColumnFormula>
    </tableColumn>
    <tableColumn id="3" xr3:uid="{E0EBBFC7-A140-40A8-8E12-520D0626130C}" name="Min MAT">
      <calculatedColumnFormula array="1">Common_InputFunctions.Utility_DisplayArrayInTable(Common_SourceData.Common_SourceData_TemperatureZones_Data(),Table_SourceData_TemperatureZones[[#Headers],[Temperature Zone]],0)</calculatedColumnFormula>
    </tableColumn>
    <tableColumn id="4" xr3:uid="{D697D416-FDA5-4372-8BBC-3176E39220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04C603B-B6F6-4EF5-BD98-BFD203645EB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ADDB08F-80D5-4814-A2A0-D98870369EC7}" name="Rainfall Zone">
      <calculatedColumnFormula array="1">Common_InputFunctions.Utility_DisplayArrayInTable(Common_SourceData.Common_SourceData_RainfallZones_Data(),Table_SourceData_RainfallZones[[#Headers],[Rainfall Zone]],0)</calculatedColumnFormula>
    </tableColumn>
    <tableColumn id="2" xr3:uid="{E0DE79E3-5186-40AE-AFE3-FF55A6EEA374}" name="Annual rainfall">
      <calculatedColumnFormula array="1">Common_InputFunctions.Utility_DisplayArrayInTable(Common_SourceData.Common_SourceData_RainfallZones_Data(),Table_SourceData_RainfallZones[[#Headers],[Rainfall Zone]],0)</calculatedColumnFormula>
    </tableColumn>
    <tableColumn id="3" xr3:uid="{31804A76-4AC7-4705-A77D-2CCE1E9337BE}" name="Min rainfall">
      <calculatedColumnFormula array="1">Common_InputFunctions.Utility_DisplayArrayInTable(Common_SourceData.Common_SourceData_RainfallZones_Data(),Table_SourceData_RainfallZones[[#Headers],[Rainfall Zone]],0)</calculatedColumnFormula>
    </tableColumn>
    <tableColumn id="4" xr3:uid="{D9EF56B1-0415-4006-AE4F-4DB80FEDB32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AA4CFA5-F9FD-4055-8934-17ECCA2F6C8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1F7D022-6B55-4D8B-932F-227988594410}" name="Leaching Zone">
      <calculatedColumnFormula array="1">Common_InputFunctions.Utility_DisplayArrayInTable(Common_SourceData.Common_SourceData_LeachingZones_Data(), Table_SourceData_LeachingZones[[#Headers],[Leaching Zone]], 0)</calculatedColumnFormula>
    </tableColumn>
    <tableColumn id="2" xr3:uid="{2F08230F-DF28-4379-B8D2-B1FBE7194F9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1C3C94-FBA2-41C7-A91E-9959E5819B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A7BCDD8-83C0-455D-9496-7FEF773FF5E2}" name="Data source">
      <calculatedColumnFormula array="1">Common_InputFunctions.Utility_DisplayArrayInTable(Common_SourceData.Common_SourceData_DataScores_Scope3_Data(), Table_SourceData_DataScores_Scope3[[#Headers],[Data source]], 0)</calculatedColumnFormula>
    </tableColumn>
    <tableColumn id="2" xr3:uid="{E2BCFC54-9252-41C2-9D03-980F90A46BF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80D15C-3F73-4E88-9643-0E3B7226C575}" name="Table_SourceData_FracWET" displayName="Table_SourceData_FracWET" ref="D134:E136" totalsRowShown="0">
  <autoFilter ref="D134:E136" xr:uid="{308E99BE-FE1F-47A4-B2CA-97217277C4E9}">
    <filterColumn colId="0" hiddenButton="1"/>
    <filterColumn colId="1" hiddenButton="1"/>
  </autoFilter>
  <tableColumns count="2">
    <tableColumn id="1" xr3:uid="{52D54B98-3F5C-4DAD-91D8-47209B1CBF0F}" name="Is in leaching zone">
      <calculatedColumnFormula array="1">Common_InputFunctions.Utility_DisplayArrayInTable(Common_SourceData.Common_SourceData_FracWET_Data(),Table_SourceData_FracWET[[#Headers],[Is in leaching zone]],0)</calculatedColumnFormula>
    </tableColumn>
    <tableColumn id="2" xr3:uid="{9A57EC7B-E1C2-4105-B13E-4EB510230417}" name="FracWET" dataDxfId="1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7F96F76-16B5-4D2C-B2C0-0677F9A62AA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77D4AE1-5BBD-45EF-BFCD-46D4274DEA0D}" name="Production system j">
      <calculatedColumnFormula array="1">Common_InputFunctions.Utility_DisplayArrayInTable(Common_SourceData.Common_SourceData_EFN2O_Data(), Table_SourceData_Common_EFN2O[[#Headers],[Production system j]], 0)</calculatedColumnFormula>
    </tableColumn>
    <tableColumn id="2" xr3:uid="{C6CCA8D0-AB73-4541-AA09-167B095E7B82}" name="EFN2O">
      <calculatedColumnFormula array="1">Common_InputFunctions.Utility_DisplayArrayInTable(Common_SourceData.Common_SourceData_EFN2O_Data(), Table_SourceData_Common_EFN2O[[#Headers],[Production system j]], 0)</calculatedColumnFormula>
    </tableColumn>
    <tableColumn id="3" xr3:uid="{204083C8-C399-4D6B-B0B2-8991D4E5A8F7}" name="Production system only">
      <calculatedColumnFormula array="1">Common_InputFunctions.Utility_DisplayArrayInTable(Common_SourceData.Common_SourceData_EFN2O_Data(), Table_SourceData_Common_EFN2O[[#Headers],[Production system j]], 0)</calculatedColumnFormula>
    </tableColumn>
    <tableColumn id="4" xr3:uid="{973DD926-23DF-46A2-AD58-D64F34F24EFA}" name="Irrigation method">
      <calculatedColumnFormula array="1">Common_InputFunctions.Utility_DisplayArrayInTable(Common_SourceData.Common_SourceData_EFN2O_Data(), Table_SourceData_Common_EFN2O[[#Headers],[Production system j]], 0)</calculatedColumnFormula>
    </tableColumn>
    <tableColumn id="5" xr3:uid="{E046B314-7010-4676-A5EB-F80F38D4F3A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EBC22D0-6B32-4611-AF7D-E42A8F1055F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C001083-286C-4E7A-AD5C-B894196CEE00}" name="Irrigation type i">
      <calculatedColumnFormula array="1">Common_InputFunctions.Utility_DisplayArrayInTable(Common_SourceData.Common_SourceData_FracWETIrrigation_Data(), Table_SourceData_FracWETIrrigation[[#Headers],[Irrigation type i]], 0)</calculatedColumnFormula>
    </tableColumn>
    <tableColumn id="2" xr3:uid="{DE1A60AE-C5D5-49AC-95C8-8D0AAEB02582}" name="FracWET" dataDxfId="1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BD8BBAD-D110-4F14-9BA3-022B7AA72A9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9596886-0825-40AB-8B15-2DDEA3CCEB3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A08677F-AAE3-40D4-BEDE-23058A375EDA}" name="EFPRP" dataDxfId="1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362327E-5357-47F6-8F2F-705B458BCC4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7C75E7A-19E3-47ED-8896-2766A83C634A}" name="Month">
      <calculatedColumnFormula array="1">Common_InputFunctions.Utility_DisplayArrayInTable(Common_SourceData.Common_SourceData_MonthsToSeasons_Data(), Table_SourceData_Common_MonthToSeason[[#Headers],[Month]], 0)</calculatedColumnFormula>
    </tableColumn>
    <tableColumn id="2" xr3:uid="{812BD67D-F33D-41B3-8A9B-8A4DB75F9B83}" name="Season" dataDxfId="1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1C8652F-8FA0-4F1A-AD28-C3BA994322F5}"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4C72E13-EE2E-41C7-BA47-EFB29BF9831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2CDB234B-55CD-4F04-ABCC-7C1B9BE9C5EA}" name="MAT (ºC)"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1FC9592-470C-4745-BE0C-801EDB73B364}" name="Anaerobic lagoon"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BBADFC2-AD9E-45A1-A477-BCBE2A443483}" name="Digester / covered lagoons"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1489AD5-67B7-4E73-8CF6-B6524734B20F}" name="Liquid systems"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525F1-D92E-45C7-9BF8-3E33E56C8730}" name="Daily spread" dataDxfId="1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24CB689-3CDB-4700-9377-C73EB2656DE1}" name="Composting (passive windrow)" dataDxfId="1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D646B5-9BD0-4389-90A1-3149EF4602EE}" name="Solid storage" dataDxfId="1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53D8404-CF61-4D43-BB93-FA9A02F1F766}" name="Pit storage" dataDxfId="1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A04ED5B-4BC1-4A37-9DD3-B2528AAD7D05}" name="Deep litter" dataDxfId="1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AA791DA-F3A0-4954-BB53-8C5671397221}" name="Poultry manure with bedding" dataDxfId="1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CE6F09E-7C27-49A4-B2A7-6B3A0CF05769}" name="Poultry manure without bedding" dataDxfId="1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2162768-ACCE-48D5-8771-DFE30DA7454E}" name="Direct processing" dataDxfId="1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0F00B85-C8DF-42B4-9E3D-CEE67B91738F}" name="Direct application" dataDxfId="1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9065A74-641E-40D6-BB3B-C46C0998BA8B}" name="Pasture range and paddock"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8697876-07FA-45DD-A420-6BD64684FC66}" name="MAT raw"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4AA6F70-552D-46BB-96AE-FD3E2133B44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AA3D460-A09A-40D0-9FC4-A7902DA21DB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96FB2E9-CFF3-46A0-BF64-8B8E1F7DF6B8}" name="EFNi &amp; EFN2Oi" dataDxfId="1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42CC366-20A9-444B-A561-C804E2F99D16}"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07757BA8-A751-4CC2-AE82-298486C3FD88}" name="User friendly description" dataDxfId="112" dataCellStyle="Content normal"/>
    <tableColumn id="2" xr3:uid="{7148520C-28F0-4874-9F7C-976B826B4A88}" name="Description" dataDxfId="111" dataCellStyle="Content normal"/>
    <tableColumn id="1" xr3:uid="{4E13974D-F616-49F2-8E9F-954EDBFEB1DF}" name="ID"/>
    <tableColumn id="3" xr3:uid="{D4828A0E-47E2-4749-9825-94EC16B5A930}" name="Score"/>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AA6D4A1-4ED8-4C02-AA02-CEDDB7739BB5}"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27C9BB11-5A5E-4868-AAA0-6356A69D99D1}" name="User friendly description" dataDxfId="110" dataCellStyle="Content normal"/>
    <tableColumn id="1" xr3:uid="{5314C418-FE67-4ED2-AFCE-B99D3B3384BF}" name="Description"/>
    <tableColumn id="2" xr3:uid="{C480E577-2F78-4D53-BB14-47F2D4CB7F6B}" name="ID"/>
    <tableColumn id="3" xr3:uid="{27AA2D04-9437-4C31-9825-9D3DEF675DE3}" name="Score"/>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E7EF91D-C903-4E93-8374-8181D0B54E9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880B99BA-1D99-4F48-AD2A-ADA10026B35B}" name="User friendly description" dataDxfId="109" dataCellStyle="Content normal"/>
    <tableColumn id="1" xr3:uid="{855C20E7-2F1D-46E4-BCBB-B0560AC9FFBE}" name="Description"/>
    <tableColumn id="2" xr3:uid="{63747E18-1861-4B36-BC18-2372100BAEB5}" name="ID"/>
    <tableColumn id="3" xr3:uid="{60790537-9A08-4B5B-8242-4A2FBE180FEA}" name="Score"/>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C3C5FC3-6328-4E26-A1B1-2FF540B251A3}"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257D70B5-1E05-48E9-9E7E-FA2D457A2143}" name="User friendly description" dataDxfId="108" dataCellStyle="Content normal"/>
    <tableColumn id="1" xr3:uid="{1E03ECF4-A79D-42E7-943F-CF1494573C20}" name="Description"/>
    <tableColumn id="2" xr3:uid="{001CA177-D95B-4CDB-8087-179AE22145B9}" name="ID"/>
    <tableColumn id="3" xr3:uid="{4F4BC539-FCC4-4BE3-BF64-C433A1418A06}" name="Score"/>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F4E9EEBB-0E76-467A-BD0B-633F50312016}" name="Table_Input_Refrigerant" displayName="Table_Input_Refrigerant" ref="D9:H19" totalsRowShown="0" headerRowCellStyle="Input table column header">
  <autoFilter ref="D9:H19" xr:uid="{522F53FC-4417-4684-906D-1EAA429D66BB}">
    <filterColumn colId="0" hiddenButton="1"/>
    <filterColumn colId="1" hiddenButton="1"/>
    <filterColumn colId="2" hiddenButton="1"/>
    <filterColumn colId="3" hiddenButton="1"/>
    <filterColumn colId="4" hiddenButton="1"/>
  </autoFilter>
  <tableColumns count="5">
    <tableColumn id="1" xr3:uid="{BEA1906C-84C8-4822-96F3-0EA1AFF065B5}" name="Refrigeration unit name" dataCellStyle="Input text"/>
    <tableColumn id="2" xr3:uid="{E16C1840-10CB-40EC-A7B4-7C5083D48F71}" name="Appliance type (select)" dataCellStyle="Input select"/>
    <tableColumn id="3" xr3:uid="{6D041E43-4022-4CB7-97D2-7718B1075616}" name="Refrigerant used (select)" dataCellStyle="Input select"/>
    <tableColumn id="4" xr3:uid="{0DC77A51-2114-4274-A804-BFCBDE570634}" name="Unit refrigerant gas capacity (kg)" dataCellStyle="Input number general"/>
    <tableColumn id="5" xr3:uid="{CB2E3465-46F1-4492-9E3D-9E7CAE79F439}" name="Number of units in use" dataCellStyle="Input number general"/>
  </tableColumns>
  <tableStyleInfo name="Editable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4DDC9176-1B4C-4FAA-9A88-DACBDCAC0BDB}" name="Table_RefrigerantChemicalGWP" displayName="Table_RefrigerantChemicalGWP" ref="D8:H46" totalsRowShown="0">
  <autoFilter ref="D8:H46" xr:uid="{E1C64E54-9C84-4DF0-963A-F003AFDF82BC}">
    <filterColumn colId="0" hiddenButton="1"/>
    <filterColumn colId="1" hiddenButton="1"/>
    <filterColumn colId="2" hiddenButton="1"/>
    <filterColumn colId="3" hiddenButton="1"/>
    <filterColumn colId="4" hiddenButton="1"/>
  </autoFilter>
  <tableColumns count="5">
    <tableColumn id="1" xr3:uid="{308FFE97-0F05-41ED-AEAE-3C6630C85095}" name="Gas">
      <calculatedColumnFormula array="1">Common_InputFunctions.Utility_DisplayArrayInTable(Refrigerants_SourceData.Refrigerants_ChemicalGWP_Data(), Table_RefrigerantChemicalGWP[[#Headers],[Gas]], 0)</calculatedColumnFormula>
    </tableColumn>
    <tableColumn id="2" xr3:uid="{9BD79D46-1C97-4E80-A973-86EC4010028D}" name="Chemical formula">
      <calculatedColumnFormula array="1">Common_InputFunctions.Utility_DisplayArrayInTable(Refrigerants_SourceData.Refrigerants_ChemicalGWP_Data(), Table_RefrigerantChemicalGWP[[#Headers],[Gas]], 0)</calculatedColumnFormula>
    </tableColumn>
    <tableColumn id="3" xr3:uid="{65D181A8-43C3-4AE3-8F00-347FC4E785BD}" name="Global warming potential (AR5)">
      <calculatedColumnFormula array="1">Common_InputFunctions.Utility_DisplayArrayInTable(Refrigerants_SourceData.Refrigerants_ChemicalGWP_Data(), Table_RefrigerantChemicalGWP[[#Headers],[Gas]], 0)</calculatedColumnFormula>
    </tableColumn>
    <tableColumn id="4" xr3:uid="{3B5BA0C4-148D-4B69-B81F-B7AEC9F7967A}" name="Gas - FC name">
      <calculatedColumnFormula array="1">Common_InputFunctions.Utility_DisplayArrayInTable(Refrigerants_SourceData.Refrigerants_ChemicalGWP_Data(), Table_RefrigerantChemicalGWP[[#Headers],[Gas]], 0)</calculatedColumnFormula>
    </tableColumn>
    <tableColumn id="5" xr3:uid="{8B81931F-B05A-45D4-B5E4-03ACD5CD8D7F}" name="Aditional data source">
      <calculatedColumnFormula array="1">Common_InputFunctions.Utility_DisplayArrayInTable(Refrigerants_SourceData.Refrigerants_ChemicalGWP_Data(),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467BEDC3-DBC6-4CF6-A315-FDAA1DF4FDD6}" name="Table_RefrigerantBlends" displayName="Table_RefrigerantBlends" ref="D52:F102" totalsRowShown="0">
  <autoFilter ref="D52:F102" xr:uid="{18425C18-C97A-4426-BBB3-EF366039709E}">
    <filterColumn colId="0" hiddenButton="1"/>
    <filterColumn colId="1" hiddenButton="1"/>
    <filterColumn colId="2" hiddenButton="1"/>
  </autoFilter>
  <tableColumns count="3">
    <tableColumn id="1" xr3:uid="{38CDC072-36D1-4171-8C28-03CEB745D227}" name="Blend">
      <calculatedColumnFormula array="1">Common_InputFunctions.Utility_DisplayArrayInTable(Refrigerants_SourceData.Refrigerants_ChemicalBlends_Data(), Table_RefrigerantBlends[[#Headers],[Blend]], 0)</calculatedColumnFormula>
    </tableColumn>
    <tableColumn id="2" xr3:uid="{B04BAFB2-657B-4C31-849A-F587FB7548C6}" name="Constituents">
      <calculatedColumnFormula array="1">Common_InputFunctions.Utility_DisplayArrayInTable(Refrigerants_SourceData.Refrigerants_ChemicalBlends_Data(), Table_RefrigerantBlends[[#Headers],[Blend]], 0)</calculatedColumnFormula>
    </tableColumn>
    <tableColumn id="3" xr3:uid="{2C7EAB78-CF6A-43DD-B148-EA1D153D2862}" name="Composition (%)">
      <calculatedColumnFormula array="1">Common_InputFunctions.Utility_DisplayArrayInTable(Refrigerants_SourceData.Refrigerants_ChemicalBlends_Data(),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95685FA8-863D-4E5C-A86D-08F9DBD636B8}" name="Table_RefrigerantBlends_Cleaned" displayName="Table_RefrigerantBlends_Cleaned" ref="D109:Q161" totalsRowShown="0">
  <autoFilter ref="D109:Q161" xr:uid="{4B81EECF-2AA9-4F39-8881-1C4A3A7705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6B7368AE-AD0C-4AC7-BBB1-8182F24558AC}" name="Blend">
      <calculatedColumnFormula>D53</calculatedColumnFormula>
    </tableColumn>
    <tableColumn id="2" xr3:uid="{C1104649-4371-4663-AEE5-7C01DE4897F3}" name="Constituent 1">
      <calculatedColumnFormula array="1">IFERROR(INDEX(TRANSPOSE(InputFunctions_Utilities.Utility_SplitStringIntoArray($Q53, "/")), 1), "")</calculatedColumnFormula>
    </tableColumn>
    <tableColumn id="3" xr3:uid="{4725E880-3C47-4A5A-A8CD-4B79AFB2F615}" name="Constituent 2">
      <calculatedColumnFormula array="1">IFERROR(INDEX(TRANSPOSE(InputFunctions_Utilities.Utility_SplitStringIntoArray($Q53, "/")), 2), "")</calculatedColumnFormula>
    </tableColumn>
    <tableColumn id="4" xr3:uid="{8AA767DD-4424-4D1E-B525-45669230809E}" name="Constituent 3">
      <calculatedColumnFormula array="1">IFERROR(INDEX(TRANSPOSE(InputFunctions_Utilities.Utility_SplitStringIntoArray($Q53, "/")), 3), "")</calculatedColumnFormula>
    </tableColumn>
    <tableColumn id="5" xr3:uid="{44BE87AB-7821-4BE7-A274-C1E1F690EEDA}" name="Constituent 4">
      <calculatedColumnFormula array="1">IFERROR(INDEX(TRANSPOSE(InputFunctions_Utilities.Utility_SplitStringIntoArray($Q53, "/")), 4), "")</calculatedColumnFormula>
    </tableColumn>
    <tableColumn id="6" xr3:uid="{445649E5-3542-47CE-929F-3076876DF105}" name="Constituent 1 fraction"/>
    <tableColumn id="7" xr3:uid="{5BEFA921-FAE8-419C-9814-662D1A6E68BA}" name="Constituent 2 fraction"/>
    <tableColumn id="8" xr3:uid="{F37055C6-2A5B-4862-A668-23CB4535023A}" name="Constituent 3 fraction"/>
    <tableColumn id="9" xr3:uid="{82A1C5A2-C681-4005-9F55-B5A11180BAD9}" name="Constituent 4 fraction"/>
    <tableColumn id="10" xr3:uid="{C653A208-BC7A-41A0-ACCF-A5AD8BD74C51}" name="Constituent 1 GWP">
      <calculatedColumnFormula array="1">IFERROR(Table_RefrigerantBlends_Cleaned[[#This Row],[Constituent 1 fraction]]*Common_InputFunctions.Utility_LookupValueInTableNumber(Table_RefrigerantBlends_Cleaned[[#This Row],[Constituent 1]], Table_RefrigerantChemicalGWP[Gas - FC name], Table_RefrigerantChemicalGWP[Global warming potential (AR5)]),"")</calculatedColumnFormula>
    </tableColumn>
    <tableColumn id="11" xr3:uid="{1376F104-1B13-41DE-B7A8-991C492FE5DF}" name="Constituent 2 GWP"/>
    <tableColumn id="12" xr3:uid="{F571A0AF-90A2-4B85-8D7B-E61161324A10}" name="Constituent 3 GWP"/>
    <tableColumn id="13" xr3:uid="{90CB8704-62B0-48E0-8768-334251D5D034}" name="Constituent 4 GWP"/>
    <tableColumn id="14" xr3:uid="{F1B80302-C09B-4662-97BE-38B68DDBDB72}" name="Blend GWP">
      <calculatedColumnFormula array="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8875C40-E59D-4AF1-8341-08E93B9B8B2F}" name="Table_Refrigerants_LeakageRates" displayName="Table_Refrigerants_LeakageRates" ref="D167:E174" totalsRowShown="0">
  <autoFilter ref="D167:E174" xr:uid="{4B340411-0B16-4A11-B31A-8128F73C9D92}">
    <filterColumn colId="0" hiddenButton="1"/>
    <filterColumn colId="1" hiddenButton="1"/>
  </autoFilter>
  <tableColumns count="2">
    <tableColumn id="1" xr3:uid="{1A01CD21-F0FF-4D40-B5EE-866B979EFA5F}" name="Product">
      <calculatedColumnFormula array="1">Common_InputFunctions.Utility_DisplayArrayInTable(Refrigerants_SourceData.Refrigerants_LeakageRates_Data(), Table_Refrigerants_LeakageRates[[#Headers],[Product]], 0)</calculatedColumnFormula>
    </tableColumn>
    <tableColumn id="2" xr3:uid="{0EFA16CA-C793-494C-BD3D-B5B37A960EA5}" name="Annual leakage rate (%)">
      <calculatedColumnFormula array="1">Common_InputFunctions.Utility_DisplayArrayInTable(Refrigerants_SourceData.Refrigerants_LeakageRates_Data(),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8EC2C9B-F0A2-42B6-843E-F6161BF47CC0}"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7F7C8A3A-7C3C-4EA5-AE7A-5E646714739C}"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6A43CA13-7CB5-4C6A-B4FA-2A08C6E8C5B1}" name="Waste type w" dataDxfId="10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38817022-D7DF-430A-880F-63D246F81EEE}" name="EFwt" dataDxfId="106"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BA17444F-A378-4D85-8F0B-11DFB0815553}" name="EF source" dataDxfId="10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ECBC9493-1366-4884-B73C-54DE673837F7}"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B2B8B34A-FAF7-4FAD-95EC-10DA40538FD9}"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3D4EFA22-12B4-4732-8A8B-42F093F16CE1}" name="VTMw" dataDxfId="104"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C73D1C61-7C44-404F-9C02-79DF76248CF7}" name="Table_WasteTypes_Landfill" displayName="Table_WasteTypes_Landfill" ref="I16:I27" totalsRowShown="0">
  <autoFilter ref="I16:I27" xr:uid="{99B942E3-1D24-4166-921C-DCC10960718D}">
    <filterColumn colId="0" hiddenButton="1"/>
  </autoFilter>
  <tableColumns count="1">
    <tableColumn id="1" xr3:uid="{3B257DA9-E8F9-40D7-B68E-E86033ADC53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58FC6592-7A1F-4526-A8C3-5EBEACDA5140}" name="Table_WasteTypes_Incineration" displayName="Table_WasteTypes_Incineration" ref="K16:K26" totalsRowShown="0" headerRowDxfId="103" headerRowCellStyle="Content normal" dataCellStyle="Content normal">
  <autoFilter ref="K16:K26" xr:uid="{9A900595-7035-4239-9059-ACC16835BF72}">
    <filterColumn colId="0" hiddenButton="1"/>
  </autoFilter>
  <tableColumns count="1">
    <tableColumn id="1" xr3:uid="{9522535E-BBA4-4F03-87AF-2BBBD7B3365C}" name="Waste type w" dataCellStyle="Content normal">
      <calculatedColumnFormula>E29</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3F20D78C-BA46-45C1-AAB5-9E59E1402E65}" name="Table_WasteTypes_Composting" displayName="Table_WasteTypes_Composting" ref="M16:M21" totalsRowShown="0" headerRowDxfId="102" headerRowCellStyle="Content normal" dataCellStyle="Content normal">
  <autoFilter ref="M16:M21" xr:uid="{5C8D39D3-1330-49EB-B431-1B2B8C8238DC}">
    <filterColumn colId="0" hiddenButton="1"/>
  </autoFilter>
  <tableColumns count="1">
    <tableColumn id="1" xr3:uid="{9FF854C0-68ED-454E-9886-BFBCAAE96F2C}" name="Waste type w" totalsRowDxfId="101" dataCellStyle="Content normal">
      <calculatedColumnFormula>E40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14AC04D4-EEB9-41ED-8383-D51D72437D99}" name="Table_WasteTypes_Anaerobicdigestion" displayName="Table_WasteTypes_Anaerobicdigestion" ref="O16:O21" totalsRowShown="0" headerRowDxfId="100" headerRowCellStyle="Content normal" dataCellStyle="Content normal">
  <autoFilter ref="O16:O21" xr:uid="{331EC43E-DF68-429F-A2A4-58BFE6216EC3}">
    <filterColumn colId="0" hiddenButton="1"/>
  </autoFilter>
  <tableColumns count="1">
    <tableColumn id="1" xr3:uid="{7D417D5F-0E73-46CD-9FB9-7E3CF9604C9B}" name="Waste type w" totalsRowDxfId="99" dataCellStyle="Content normal">
      <calculatedColumnFormula>E46</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995D52-72E4-462E-AA04-9D1AA22FE12D}" name="Table_Input_DataQuality_Enterprise" displayName="Table_Input_DataQuality_Enterprise" ref="D7:J15" totalsRowShown="0" headerRowCellStyle="Input table column header">
  <autoFilter ref="D7:J15" xr:uid="{98995D52-72E4-462E-AA04-9D1AA22FE12D}"/>
  <tableColumns count="7">
    <tableColumn id="1" xr3:uid="{766414E3-927F-4281-9C0C-1A9C5011AAEE}" name="Data type" dataCellStyle="Content normal"/>
    <tableColumn id="2" xr3:uid="{7FC986B7-3E05-4518-A4BD-B7EBD33A8B15}" name="When was the data sourced?" dataCellStyle="Input select"/>
    <tableColumn id="3" xr3:uid="{16526B22-D217-46EF-BC4C-E637FCE5EC95}" name="Where is the data sourced from?" dataCellStyle="Input select"/>
    <tableColumn id="4" xr3:uid="{3AAC4A98-CAAD-40B5-A722-73508C5FB166}" name="How much of the data was from direct samples?" dataCellStyle="Input select"/>
    <tableColumn id="5" xr3:uid="{C448A810-BAE3-4F91-9F24-21BAF52A973C}" name="Notes" dataDxfId="464"/>
    <tableColumn id="6" xr3:uid="{862E9D6B-BB43-41BE-8C67-1D64A642D7F3}" name="Evidence files" dataDxfId="463"/>
    <tableColumn id="7" xr3:uid="{A9957D63-1EBA-4D14-BC67-2A0E3AA2B419}"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48B1C5-D7DC-4075-A870-4540ADBE9724}" name="Table_Input_DataQuality_Site" displayName="Table_Input_DataQuality_Site" ref="D20:J26" totalsRowShown="0" headerRowCellStyle="Input table column header">
  <autoFilter ref="D20:J26" xr:uid="{2848B1C5-D7DC-4075-A870-4540ADBE9724}"/>
  <tableColumns count="7">
    <tableColumn id="1" xr3:uid="{5D856B47-8344-434C-B8C5-AE157F966229}" name="Data type" dataCellStyle="Content normal"/>
    <tableColumn id="2" xr3:uid="{D4CB6C67-0558-4F8C-A55A-4C433B91BCE6}" name="When was the data sourced?" dataCellStyle="Input select"/>
    <tableColumn id="3" xr3:uid="{6E2A6B06-3DDD-4A3D-B134-9424CA31C644}" name="Where is the data sourced from?" dataCellStyle="Input select"/>
    <tableColumn id="4" xr3:uid="{FEA1703D-1911-4DEC-82D3-85178A1D42E0}" name="How much of the data was from direct samples?" dataCellStyle="Input select"/>
    <tableColumn id="5" xr3:uid="{3337BFD3-3DF4-4A5A-A926-E755139A6157}" name="Notes" dataDxfId="462"/>
    <tableColumn id="6" xr3:uid="{12BBF343-9185-4858-889C-52CA6187F028}" name="Evidence files" dataDxfId="461"/>
    <tableColumn id="7" xr3:uid="{17DE9946-3E3E-4EC2-B523-EF7923BDEA6F}"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E3F9232-DE67-4592-BB73-E46C0BFB9590}" name="Table_Input_DataQuality_PastureBeef" displayName="Table_Input_DataQuality_PastureBeef" ref="D31:J40" totalsRowShown="0" headerRowCellStyle="Input table column header">
  <autoFilter ref="D31:J40" xr:uid="{AE3F9232-DE67-4592-BB73-E46C0BFB9590}"/>
  <tableColumns count="7">
    <tableColumn id="1" xr3:uid="{D38B7C50-F506-42CE-9FB5-1C0375096DC3}" name="Data type" dataCellStyle="Content normal"/>
    <tableColumn id="2" xr3:uid="{C56260A7-FB13-4B26-8678-AAA427DA7FC6}" name="When was the data sourced?" dataCellStyle="Input select"/>
    <tableColumn id="3" xr3:uid="{2D8817D3-070C-4235-B959-84550EDF61B3}" name="Where is the data sourced from?" dataCellStyle="Input select"/>
    <tableColumn id="4" xr3:uid="{125CD8F4-EF3A-4071-B192-6795409946D8}" name="How much of the data was from direct samples?" dataCellStyle="Input select"/>
    <tableColumn id="5" xr3:uid="{8A74E42F-C35B-4BDD-9245-839C1F3C1520}" name="Notes" dataDxfId="460"/>
    <tableColumn id="6" xr3:uid="{3AB4A9DC-680B-447C-8E99-9AB65396E5A9}" name="Evidence files" dataDxfId="459"/>
    <tableColumn id="7" xr3:uid="{787C62E0-A9BD-475F-BB50-10FFADB8EB15}" name="Score" dataCellStyle="Input number general calculated">
      <calculatedColumnFormula>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B405304-2224-4461-A2AC-5C3337297B9F}" name="Table_Input_DataQuality_PastureManagement" displayName="Table_Input_DataQuality_PastureManagement" ref="D45:J50" totalsRowShown="0" headerRowCellStyle="Input table column header">
  <autoFilter ref="D45:J50" xr:uid="{0B405304-2224-4461-A2AC-5C3337297B9F}"/>
  <tableColumns count="7">
    <tableColumn id="1" xr3:uid="{FA93AB86-7F7C-49DB-BE84-942EBF4E4BF5}" name="Data type" dataCellStyle="Content normal"/>
    <tableColumn id="2" xr3:uid="{2FFB4163-E47F-407D-B4D6-9583863507A0}" name="When was the data sourced?" dataCellStyle="Input select"/>
    <tableColumn id="3" xr3:uid="{C7B0DDB8-1A90-4AB7-90CC-6CB1635601DC}" name="Where is the data sourced from?" dataCellStyle="Input select"/>
    <tableColumn id="4" xr3:uid="{1A709C61-EFE5-4D80-AA71-A79AC4D162FC}" name="How much of the data was from direct samples?" dataCellStyle="Input select"/>
    <tableColumn id="5" xr3:uid="{7212BD6B-35BD-42D8-9F09-AB4A9E21E11E}" name="Notes" dataDxfId="458"/>
    <tableColumn id="6" xr3:uid="{ED8DEFB0-F672-4B94-8A8A-08E95B94F452}" name="Evidence files" dataDxfId="457"/>
    <tableColumn id="7" xr3:uid="{EAC77EB9-8A0A-47A3-953F-56CA1EDD9E53}"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30C67F-E882-4123-B8E3-AE2103E197F7}" name="Table_Input_DataQuality_FertiliserApplications" displayName="Table_Input_DataQuality_FertiliserApplications" ref="D55:J59" totalsRowShown="0" headerRowCellStyle="Input table column header">
  <autoFilter ref="D55:J59" xr:uid="{4730C67F-E882-4123-B8E3-AE2103E197F7}"/>
  <tableColumns count="7">
    <tableColumn id="1" xr3:uid="{48A9368D-67DB-49BE-ADF0-3ED3D6B6886D}" name="Data type" dataCellStyle="Content normal"/>
    <tableColumn id="2" xr3:uid="{95B12875-4F57-460D-AE75-4103EF22C913}" name="When was the data sourced?" dataCellStyle="Input select"/>
    <tableColumn id="3" xr3:uid="{0703985D-E427-4374-B543-83D0FAAE6508}" name="Where is the data sourced from?" dataCellStyle="Input select"/>
    <tableColumn id="4" xr3:uid="{F3E44A87-7F7D-45F0-9B3D-595F89897070}" name="How much of the data was from direct samples?" dataCellStyle="Input select"/>
    <tableColumn id="5" xr3:uid="{BB0AB219-76C5-4C07-8464-6A099FB6C087}" name="Notes" dataDxfId="456"/>
    <tableColumn id="6" xr3:uid="{55811535-8D98-416A-8E25-DF480443738D}" name="Evidence files" dataDxfId="455"/>
    <tableColumn id="7" xr3:uid="{8413E0FF-2043-42EC-A1B4-A58F9779C482}"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E9F5BC-0B36-44D3-B860-B92B81D8BE83}" name="Table_Input_DataQuality_FuelElectricity" displayName="Table_Input_DataQuality_FuelElectricity" ref="D64:J68" totalsRowShown="0" headerRowCellStyle="Input table column header">
  <autoFilter ref="D64:J68" xr:uid="{FBE9F5BC-0B36-44D3-B860-B92B81D8BE83}"/>
  <tableColumns count="7">
    <tableColumn id="1" xr3:uid="{2316B718-5991-48B1-B750-5D2A364EE140}" name="Data type" dataCellStyle="Content normal"/>
    <tableColumn id="2" xr3:uid="{52B081B7-B268-4C29-BBBD-2ABFDFCC78C6}" name="When was the data sourced?" dataCellStyle="Input select"/>
    <tableColumn id="3" xr3:uid="{7C9ED2CA-1AB5-4318-AE1E-18BB67F2312F}" name="Where is the data sourced from?" dataCellStyle="Input select"/>
    <tableColumn id="4" xr3:uid="{85CB9257-FE0E-414E-9925-9D7DF17DA6DB}" name="How much of the data was from direct samples?" dataCellStyle="Input select"/>
    <tableColumn id="5" xr3:uid="{8C5D46E1-460B-4C34-B936-B7340702FC8A}" name="Notes" dataDxfId="454"/>
    <tableColumn id="6" xr3:uid="{6B183878-5EA9-4AA1-88D9-695C68CB6713}" name="Evidence files" dataDxfId="453"/>
    <tableColumn id="7" xr3:uid="{59AFF1C5-72B9-4397-97DE-85D9ECCFD14B}"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2EB8271-BB65-4189-90A6-6F24041663B6}" name="Table_Input_DataQuality_FarmInputsFreightWaste" displayName="Table_Input_DataQuality_FarmInputsFreightWaste" ref="D74:J79" totalsRowShown="0" headerRowCellStyle="Input table column header">
  <autoFilter ref="D74:J79" xr:uid="{E2EB8271-BB65-4189-90A6-6F24041663B6}"/>
  <tableColumns count="7">
    <tableColumn id="1" xr3:uid="{1D368DF0-B2ED-4A41-9D9C-CF6BCABEFFB3}" name="Data type" dataCellStyle="Content normal"/>
    <tableColumn id="2" xr3:uid="{2D4AFB44-5300-46F3-9156-D8EDC1DE265E}" name="When was the data sourced?" dataCellStyle="Input select"/>
    <tableColumn id="3" xr3:uid="{A1D0BD11-9716-43AD-83B6-98340DEC6B6C}" name="Where is the data sourced from?" dataCellStyle="Input select"/>
    <tableColumn id="4" xr3:uid="{810B210E-D3DD-4C2B-B6F7-D7658FAC417A}" name="How much of the data was from direct samples?" dataCellStyle="Input select"/>
    <tableColumn id="5" xr3:uid="{CF709830-6D5F-4365-B6EA-2DD643D1C7D9}" name="Notes" dataDxfId="452"/>
    <tableColumn id="6" xr3:uid="{F475BD73-7F40-4FD8-8570-BB188E6B27D1}" name="Evidence files" dataDxfId="451"/>
    <tableColumn id="7" xr3:uid="{3CC20754-630A-403A-A4B8-AE12D211F244}"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27.xml"/><Relationship Id="rId13" Type="http://schemas.openxmlformats.org/officeDocument/2006/relationships/table" Target="../tables/table32.xml"/><Relationship Id="rId3" Type="http://schemas.openxmlformats.org/officeDocument/2006/relationships/table" Target="../tables/table22.xml"/><Relationship Id="rId7" Type="http://schemas.openxmlformats.org/officeDocument/2006/relationships/table" Target="../tables/table26.xml"/><Relationship Id="rId12" Type="http://schemas.openxmlformats.org/officeDocument/2006/relationships/table" Target="../tables/table31.xml"/><Relationship Id="rId2" Type="http://schemas.openxmlformats.org/officeDocument/2006/relationships/table" Target="../tables/table21.xml"/><Relationship Id="rId16" Type="http://schemas.openxmlformats.org/officeDocument/2006/relationships/table" Target="../tables/table35.xml"/><Relationship Id="rId1" Type="http://schemas.openxmlformats.org/officeDocument/2006/relationships/table" Target="../tables/table20.xml"/><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5" Type="http://schemas.openxmlformats.org/officeDocument/2006/relationships/table" Target="../tables/table3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 Id="rId14" Type="http://schemas.openxmlformats.org/officeDocument/2006/relationships/table" Target="../tables/table33.xml"/></Relationships>
</file>

<file path=xl/worksheets/_rels/sheet45.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2" Type="http://schemas.openxmlformats.org/officeDocument/2006/relationships/table" Target="../tables/table36.xml"/><Relationship Id="rId1" Type="http://schemas.openxmlformats.org/officeDocument/2006/relationships/printerSettings" Target="../printerSettings/printerSettings31.bin"/><Relationship Id="rId6" Type="http://schemas.openxmlformats.org/officeDocument/2006/relationships/table" Target="../tables/table40.xml"/><Relationship Id="rId5" Type="http://schemas.openxmlformats.org/officeDocument/2006/relationships/table" Target="../tables/table39.xml"/><Relationship Id="rId4" Type="http://schemas.openxmlformats.org/officeDocument/2006/relationships/table" Target="../tables/table38.xml"/><Relationship Id="rId9"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32.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53.xml"/><Relationship Id="rId3" Type="http://schemas.openxmlformats.org/officeDocument/2006/relationships/table" Target="../tables/table48.xml"/><Relationship Id="rId7" Type="http://schemas.openxmlformats.org/officeDocument/2006/relationships/table" Target="../tables/table52.xml"/><Relationship Id="rId12" Type="http://schemas.openxmlformats.org/officeDocument/2006/relationships/table" Target="../tables/table57.xml"/><Relationship Id="rId2" Type="http://schemas.openxmlformats.org/officeDocument/2006/relationships/table" Target="../tables/table47.xml"/><Relationship Id="rId1" Type="http://schemas.openxmlformats.org/officeDocument/2006/relationships/printerSettings" Target="../printerSettings/printerSettings33.bin"/><Relationship Id="rId6" Type="http://schemas.openxmlformats.org/officeDocument/2006/relationships/table" Target="../tables/table51.xml"/><Relationship Id="rId11" Type="http://schemas.openxmlformats.org/officeDocument/2006/relationships/table" Target="../tables/table56.xml"/><Relationship Id="rId5" Type="http://schemas.openxmlformats.org/officeDocument/2006/relationships/table" Target="../tables/table50.xml"/><Relationship Id="rId10" Type="http://schemas.openxmlformats.org/officeDocument/2006/relationships/table" Target="../tables/table55.xml"/><Relationship Id="rId4" Type="http://schemas.openxmlformats.org/officeDocument/2006/relationships/table" Target="../tables/table49.xml"/><Relationship Id="rId9" Type="http://schemas.openxmlformats.org/officeDocument/2006/relationships/table" Target="../tables/table54.xml"/></Relationships>
</file>

<file path=xl/worksheets/_rels/sheet49.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50.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18" Type="http://schemas.openxmlformats.org/officeDocument/2006/relationships/table" Target="../tables/table82.xml"/><Relationship Id="rId26" Type="http://schemas.openxmlformats.org/officeDocument/2006/relationships/table" Target="../tables/table90.xml"/><Relationship Id="rId3" Type="http://schemas.openxmlformats.org/officeDocument/2006/relationships/table" Target="../tables/table67.xml"/><Relationship Id="rId21" Type="http://schemas.openxmlformats.org/officeDocument/2006/relationships/table" Target="../tables/table85.xml"/><Relationship Id="rId7" Type="http://schemas.openxmlformats.org/officeDocument/2006/relationships/table" Target="../tables/table71.xml"/><Relationship Id="rId12" Type="http://schemas.openxmlformats.org/officeDocument/2006/relationships/table" Target="../tables/table76.xml"/><Relationship Id="rId17" Type="http://schemas.openxmlformats.org/officeDocument/2006/relationships/table" Target="../tables/table81.xml"/><Relationship Id="rId25" Type="http://schemas.openxmlformats.org/officeDocument/2006/relationships/table" Target="../tables/table89.xml"/><Relationship Id="rId2" Type="http://schemas.openxmlformats.org/officeDocument/2006/relationships/table" Target="../tables/table66.xml"/><Relationship Id="rId16" Type="http://schemas.openxmlformats.org/officeDocument/2006/relationships/table" Target="../tables/table80.xml"/><Relationship Id="rId20" Type="http://schemas.openxmlformats.org/officeDocument/2006/relationships/table" Target="../tables/table84.xml"/><Relationship Id="rId29" Type="http://schemas.openxmlformats.org/officeDocument/2006/relationships/table" Target="../tables/table93.xml"/><Relationship Id="rId1" Type="http://schemas.openxmlformats.org/officeDocument/2006/relationships/table" Target="../tables/table65.xml"/><Relationship Id="rId6" Type="http://schemas.openxmlformats.org/officeDocument/2006/relationships/table" Target="../tables/table70.xml"/><Relationship Id="rId11" Type="http://schemas.openxmlformats.org/officeDocument/2006/relationships/table" Target="../tables/table75.xml"/><Relationship Id="rId24" Type="http://schemas.openxmlformats.org/officeDocument/2006/relationships/table" Target="../tables/table88.xml"/><Relationship Id="rId5" Type="http://schemas.openxmlformats.org/officeDocument/2006/relationships/table" Target="../tables/table69.xml"/><Relationship Id="rId15" Type="http://schemas.openxmlformats.org/officeDocument/2006/relationships/table" Target="../tables/table79.xml"/><Relationship Id="rId23" Type="http://schemas.openxmlformats.org/officeDocument/2006/relationships/table" Target="../tables/table87.xml"/><Relationship Id="rId28" Type="http://schemas.openxmlformats.org/officeDocument/2006/relationships/table" Target="../tables/table92.xml"/><Relationship Id="rId10" Type="http://schemas.openxmlformats.org/officeDocument/2006/relationships/table" Target="../tables/table74.xml"/><Relationship Id="rId19" Type="http://schemas.openxmlformats.org/officeDocument/2006/relationships/table" Target="../tables/table83.xml"/><Relationship Id="rId31" Type="http://schemas.openxmlformats.org/officeDocument/2006/relationships/table" Target="../tables/table95.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 Id="rId22" Type="http://schemas.openxmlformats.org/officeDocument/2006/relationships/table" Target="../tables/table86.xml"/><Relationship Id="rId27" Type="http://schemas.openxmlformats.org/officeDocument/2006/relationships/table" Target="../tables/table91.xml"/><Relationship Id="rId30" Type="http://schemas.openxmlformats.org/officeDocument/2006/relationships/table" Target="../tables/table94.xml"/></Relationships>
</file>

<file path=xl/worksheets/_rels/sheet51.xml.rels><?xml version="1.0" encoding="UTF-8" standalone="yes"?>
<Relationships xmlns="http://schemas.openxmlformats.org/package/2006/relationships"><Relationship Id="rId8" Type="http://schemas.openxmlformats.org/officeDocument/2006/relationships/table" Target="../tables/table102.xml"/><Relationship Id="rId13" Type="http://schemas.openxmlformats.org/officeDocument/2006/relationships/table" Target="../tables/table107.xml"/><Relationship Id="rId18" Type="http://schemas.openxmlformats.org/officeDocument/2006/relationships/table" Target="../tables/table112.xml"/><Relationship Id="rId3" Type="http://schemas.openxmlformats.org/officeDocument/2006/relationships/table" Target="../tables/table97.xml"/><Relationship Id="rId21" Type="http://schemas.openxmlformats.org/officeDocument/2006/relationships/table" Target="../tables/table115.xml"/><Relationship Id="rId7" Type="http://schemas.openxmlformats.org/officeDocument/2006/relationships/table" Target="../tables/table101.xml"/><Relationship Id="rId12" Type="http://schemas.openxmlformats.org/officeDocument/2006/relationships/table" Target="../tables/table106.xml"/><Relationship Id="rId17" Type="http://schemas.openxmlformats.org/officeDocument/2006/relationships/table" Target="../tables/table111.xml"/><Relationship Id="rId2" Type="http://schemas.openxmlformats.org/officeDocument/2006/relationships/table" Target="../tables/table96.xml"/><Relationship Id="rId16" Type="http://schemas.openxmlformats.org/officeDocument/2006/relationships/table" Target="../tables/table110.xml"/><Relationship Id="rId20" Type="http://schemas.openxmlformats.org/officeDocument/2006/relationships/table" Target="../tables/table114.xml"/><Relationship Id="rId1" Type="http://schemas.openxmlformats.org/officeDocument/2006/relationships/printerSettings" Target="../printerSettings/printerSettings34.bin"/><Relationship Id="rId6" Type="http://schemas.openxmlformats.org/officeDocument/2006/relationships/table" Target="../tables/table100.xml"/><Relationship Id="rId11" Type="http://schemas.openxmlformats.org/officeDocument/2006/relationships/table" Target="../tables/table105.xml"/><Relationship Id="rId5" Type="http://schemas.openxmlformats.org/officeDocument/2006/relationships/table" Target="../tables/table99.xml"/><Relationship Id="rId15" Type="http://schemas.openxmlformats.org/officeDocument/2006/relationships/table" Target="../tables/table109.xml"/><Relationship Id="rId10" Type="http://schemas.openxmlformats.org/officeDocument/2006/relationships/table" Target="../tables/table104.xml"/><Relationship Id="rId19" Type="http://schemas.openxmlformats.org/officeDocument/2006/relationships/table" Target="../tables/table113.xml"/><Relationship Id="rId4" Type="http://schemas.openxmlformats.org/officeDocument/2006/relationships/table" Target="../tables/table98.xml"/><Relationship Id="rId9" Type="http://schemas.openxmlformats.org/officeDocument/2006/relationships/table" Target="../tables/table103.xml"/><Relationship Id="rId14" Type="http://schemas.openxmlformats.org/officeDocument/2006/relationships/table" Target="../tables/table108.xml"/><Relationship Id="rId22" Type="http://schemas.openxmlformats.org/officeDocument/2006/relationships/table" Target="../tables/table116.xml"/></Relationships>
</file>

<file path=xl/worksheets/_rels/sheet53.xml.rels><?xml version="1.0" encoding="UTF-8" standalone="yes"?>
<Relationships xmlns="http://schemas.openxmlformats.org/package/2006/relationships"><Relationship Id="rId2" Type="http://schemas.openxmlformats.org/officeDocument/2006/relationships/table" Target="../tables/table117.xml"/><Relationship Id="rId1" Type="http://schemas.openxmlformats.org/officeDocument/2006/relationships/printerSettings" Target="../printerSettings/printerSettings35.bin"/></Relationships>
</file>

<file path=xl/worksheets/_rels/sheet54.xml.rels><?xml version="1.0" encoding="UTF-8" standalone="yes"?>
<Relationships xmlns="http://schemas.openxmlformats.org/package/2006/relationships"><Relationship Id="rId3" Type="http://schemas.openxmlformats.org/officeDocument/2006/relationships/table" Target="../tables/table120.xml"/><Relationship Id="rId2" Type="http://schemas.openxmlformats.org/officeDocument/2006/relationships/table" Target="../tables/table119.xml"/><Relationship Id="rId1" Type="http://schemas.openxmlformats.org/officeDocument/2006/relationships/table" Target="../tables/table118.xml"/><Relationship Id="rId4" Type="http://schemas.openxmlformats.org/officeDocument/2006/relationships/table" Target="../tables/table121.xml"/></Relationships>
</file>

<file path=xl/worksheets/_rels/sheet55.xml.rels><?xml version="1.0" encoding="UTF-8" standalone="yes"?>
<Relationships xmlns="http://schemas.openxmlformats.org/package/2006/relationships"><Relationship Id="rId3" Type="http://schemas.openxmlformats.org/officeDocument/2006/relationships/table" Target="../tables/table123.xml"/><Relationship Id="rId7" Type="http://schemas.openxmlformats.org/officeDocument/2006/relationships/table" Target="../tables/table127.xml"/><Relationship Id="rId2" Type="http://schemas.openxmlformats.org/officeDocument/2006/relationships/table" Target="../tables/table122.xml"/><Relationship Id="rId1" Type="http://schemas.openxmlformats.org/officeDocument/2006/relationships/printerSettings" Target="../printerSettings/printerSettings36.bin"/><Relationship Id="rId6" Type="http://schemas.openxmlformats.org/officeDocument/2006/relationships/table" Target="../tables/table126.xml"/><Relationship Id="rId5" Type="http://schemas.openxmlformats.org/officeDocument/2006/relationships/table" Target="../tables/table125.xml"/><Relationship Id="rId4" Type="http://schemas.openxmlformats.org/officeDocument/2006/relationships/table" Target="../tables/table124.xml"/></Relationships>
</file>

<file path=xl/worksheets/_rels/sheet57.xml.rels><?xml version="1.0" encoding="UTF-8" standalone="yes"?>
<Relationships xmlns="http://schemas.openxmlformats.org/package/2006/relationships"><Relationship Id="rId3" Type="http://schemas.openxmlformats.org/officeDocument/2006/relationships/table" Target="../tables/table130.xml"/><Relationship Id="rId7" Type="http://schemas.openxmlformats.org/officeDocument/2006/relationships/table" Target="../tables/table134.xml"/><Relationship Id="rId2" Type="http://schemas.openxmlformats.org/officeDocument/2006/relationships/table" Target="../tables/table129.xml"/><Relationship Id="rId1" Type="http://schemas.openxmlformats.org/officeDocument/2006/relationships/table" Target="../tables/table128.xml"/><Relationship Id="rId6" Type="http://schemas.openxmlformats.org/officeDocument/2006/relationships/table" Target="../tables/table133.xml"/><Relationship Id="rId5" Type="http://schemas.openxmlformats.org/officeDocument/2006/relationships/table" Target="../tables/table132.xml"/><Relationship Id="rId4" Type="http://schemas.openxmlformats.org/officeDocument/2006/relationships/table" Target="../tables/table1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8"/>
  <sheetViews>
    <sheetView zoomScaleNormal="100" workbookViewId="0">
      <pane xSplit="1" topLeftCell="B1" activePane="topRight" state="frozenSplit"/>
      <selection pane="topRight" activeCell="A68" sqref="A68"/>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74"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6" spans="1:1" ht="20.100000000000001" customHeight="1" x14ac:dyDescent="0.2">
      <c r="A6" s="5" t="str">
        <f>HYPERLINK("#'Results'!A1", "Results")</f>
        <v>Results</v>
      </c>
    </row>
    <row r="9" spans="1:1" ht="20.100000000000001" customHeight="1" x14ac:dyDescent="0.2">
      <c r="A9" s="7" t="s">
        <v>0</v>
      </c>
    </row>
    <row r="10" spans="1:1" ht="20.100000000000001" customHeight="1" x14ac:dyDescent="0.2">
      <c r="A10" s="5" t="str">
        <f>HYPERLINK("#'Input - Enterprise'!A1", "Enterprise")</f>
        <v>Enterprise</v>
      </c>
    </row>
    <row r="11" spans="1:1" ht="20.100000000000001" customHeight="1" x14ac:dyDescent="0.2">
      <c r="A11" s="5" t="str">
        <f>HYPERLINK("#'Input - Site'!A1", "Site")</f>
        <v>Site</v>
      </c>
    </row>
    <row r="12" spans="1:1" ht="20.100000000000001" customHeight="1" x14ac:dyDescent="0.2">
      <c r="A12" s="5" t="str">
        <f>HYPERLINK("#'Input - Dairy'!A1", "Dairy")</f>
        <v>Dairy</v>
      </c>
    </row>
    <row r="13" spans="1:1" ht="20.100000000000001" customHeight="1" x14ac:dyDescent="0.2">
      <c r="A13" s="5" t="str">
        <f>HYPERLINK("#'Input - Livestock sales'!A1", "Livestock sales")</f>
        <v>Livestock sales</v>
      </c>
    </row>
    <row r="14" spans="1:1" ht="20.100000000000001" customHeight="1" x14ac:dyDescent="0.2">
      <c r="A14" s="5" t="str">
        <f>HYPERLINK("#'Input - Dairy cattle purchases'!A1", "Dairy cattle purchases")</f>
        <v>Dairy cattle purchases</v>
      </c>
    </row>
    <row r="15" spans="1:1" ht="20.100000000000001" customHeight="1" x14ac:dyDescent="0.2">
      <c r="A15" s="5" t="str">
        <f>HYPERLINK("#'Input - Pasture'!A1", "Pasture")</f>
        <v>Pasture</v>
      </c>
    </row>
    <row r="16" spans="1:1" ht="20.100000000000001" customHeight="1" x14ac:dyDescent="0.2">
      <c r="A16" s="5" t="str">
        <f>HYPERLINK("#'Input - Fert Prod System'!A1", "Fert Prod System")</f>
        <v>Fert Prod System</v>
      </c>
    </row>
    <row r="17" spans="1:1" ht="20.100000000000001" customHeight="1" x14ac:dyDescent="0.2">
      <c r="A17" s="5" t="str">
        <f>HYPERLINK("#'Input - Fertiliser'!A1", "Fertiliser")</f>
        <v>Fertiliser</v>
      </c>
    </row>
    <row r="18" spans="1:1" ht="20.100000000000001" customHeight="1" x14ac:dyDescent="0.2">
      <c r="A18" s="5" t="str">
        <f>HYPERLINK("#'Input - Fuel'!A1", "Fuel")</f>
        <v>Fuel</v>
      </c>
    </row>
    <row r="19" spans="1:1" ht="20.100000000000001" customHeight="1" x14ac:dyDescent="0.2">
      <c r="A19" s="5" t="str">
        <f>HYPERLINK("#'Input - Electricity'!A1", "Electricity")</f>
        <v>Electricity</v>
      </c>
    </row>
    <row r="20" spans="1:1" ht="20.100000000000001" customHeight="1" x14ac:dyDescent="0.2">
      <c r="A20" s="5" t="str">
        <f>HYPERLINK("#'Input - Common farm inputs'!A1", "Common farm inputs")</f>
        <v>Common farm inputs</v>
      </c>
    </row>
    <row r="21" spans="1:1" ht="20.100000000000001" customHeight="1" x14ac:dyDescent="0.2">
      <c r="A21" s="5" t="str">
        <f>HYPERLINK("#'Input - Crop pasture farm input'!A1", "Crop pasture farm input")</f>
        <v>Crop pasture farm input</v>
      </c>
    </row>
    <row r="22" spans="1:1" ht="20.100000000000001" customHeight="1" x14ac:dyDescent="0.2">
      <c r="A22" s="5" t="str">
        <f>HYPERLINK("#'Input - Livestock farm Inputs'!A1", "Livestock farm Inputs")</f>
        <v>Livestock farm Inputs</v>
      </c>
    </row>
    <row r="23" spans="1:1" ht="20.100000000000001" customHeight="1" x14ac:dyDescent="0.2">
      <c r="A23" s="5" t="str">
        <f>HYPERLINK("#'Input - Freight'!A1", "Freight")</f>
        <v>Freight</v>
      </c>
    </row>
    <row r="24" spans="1:1" ht="20.100000000000001" customHeight="1" x14ac:dyDescent="0.2">
      <c r="A24" s="5" t="str">
        <f>HYPERLINK("#'Input - Solid waste'!A1", "Solid waste")</f>
        <v>Solid waste</v>
      </c>
    </row>
    <row r="25" spans="1:1" ht="20.100000000000001" customHeight="1" x14ac:dyDescent="0.2">
      <c r="A25" s="5" t="str">
        <f>HYPERLINK("#'Input - Manure sent off-site'!A1", "Manure sent off-site")</f>
        <v>Manure sent off-site</v>
      </c>
    </row>
    <row r="26" spans="1:1" ht="20.100000000000001" customHeight="1" x14ac:dyDescent="0.2">
      <c r="A26" s="5" t="str">
        <f>HYPERLINK("#'Input - Refrigerants'!A1", "Refrigerants")</f>
        <v>Refrigerants</v>
      </c>
    </row>
    <row r="27" spans="1:1" ht="20.100000000000001" customHeight="1" x14ac:dyDescent="0.2">
      <c r="A27" s="5" t="str">
        <f>HYPERLINK("#'Input - Data quality'!A1", "Data quality")</f>
        <v>Data quality</v>
      </c>
    </row>
    <row r="30" spans="1:1" ht="20.100000000000001" customHeight="1" x14ac:dyDescent="0.2">
      <c r="A30" s="6" t="s">
        <v>2</v>
      </c>
    </row>
    <row r="31" spans="1:1" ht="20.100000000000001" customHeight="1" x14ac:dyDescent="0.2">
      <c r="A31" s="5" t="str">
        <f>HYPERLINK("#'3.3.1.1-2 Enteric Methane'!A1", "3.3.1.1-2 Enteric methane")</f>
        <v>3.3.1.1-2 Enteric methane</v>
      </c>
    </row>
    <row r="32" spans="1:1"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5"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3"/>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ht="30" customHeight="1" x14ac:dyDescent="0.35">
      <c r="A1" s="10" t="e" vm="1">
        <v>#VALUE!</v>
      </c>
      <c r="C1" s="84" t="s">
        <v>238</v>
      </c>
      <c r="D1" s="84"/>
      <c r="E1" s="84"/>
      <c r="F1" s="84"/>
      <c r="G1" s="84"/>
      <c r="H1" s="84"/>
      <c r="I1" s="84"/>
      <c r="J1" s="84"/>
      <c r="K1" s="84"/>
    </row>
    <row r="2" spans="1:11" s="3" customFormat="1" ht="20.100000000000001" customHeight="1" x14ac:dyDescent="0.2">
      <c r="A2"/>
    </row>
    <row r="3" spans="1:11" ht="20.100000000000001" customHeight="1" x14ac:dyDescent="0.2">
      <c r="A3" s="5" t="str">
        <f>HYPERLINK("#'Home'!A1", "Home")</f>
        <v>Home</v>
      </c>
      <c r="C3" s="11"/>
      <c r="D3" s="11"/>
      <c r="E3" s="11"/>
      <c r="F3" s="11"/>
      <c r="G3" s="11"/>
      <c r="H3" s="11"/>
      <c r="I3" s="11"/>
      <c r="J3" s="11"/>
      <c r="K3" s="11"/>
    </row>
    <row r="4" spans="1:11" ht="20.100000000000001" customHeight="1" x14ac:dyDescent="0.2">
      <c r="A4" s="274"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tr">
        <f>"Emissions breakdown for activities running between " &amp; TEXT(X_Cell_Site_StartDate, "dd mmmm yyyy") &amp; " and " &amp; TEXT('Input - Enterprise'!E13, "dd mmmm yyyy")</f>
        <v>Emissions breakdown for activities running between 01 January 2024 and 31 December 2024</v>
      </c>
    </row>
    <row r="6" spans="1:11" ht="20.100000000000001" customHeight="1" x14ac:dyDescent="0.2">
      <c r="A6" s="5" t="str">
        <f>HYPERLINK("#'Results'!A1", "Results")</f>
        <v>Results</v>
      </c>
    </row>
    <row r="7" spans="1:11" ht="20.100000000000001" customHeight="1" x14ac:dyDescent="0.2">
      <c r="D7" s="78" t="s">
        <v>239</v>
      </c>
    </row>
    <row r="9" spans="1:11" ht="20.100000000000001" customHeight="1" x14ac:dyDescent="0.2">
      <c r="A9" s="7" t="s">
        <v>0</v>
      </c>
      <c r="D9" s="11" t="s">
        <v>3</v>
      </c>
      <c r="E9" s="11" t="s">
        <v>7</v>
      </c>
      <c r="F9" s="11" t="s">
        <v>8</v>
      </c>
      <c r="G9" s="11" t="s">
        <v>4</v>
      </c>
      <c r="H9" s="11" t="s">
        <v>9</v>
      </c>
      <c r="I9" s="11" t="s">
        <v>10</v>
      </c>
      <c r="J9" s="11"/>
    </row>
    <row r="10" spans="1:11" ht="20.100000000000001" customHeight="1" x14ac:dyDescent="0.2">
      <c r="A10" s="5" t="str">
        <f>HYPERLINK("#'Input - Enterprise'!A1", "Enterprise")</f>
        <v>Enterprise</v>
      </c>
      <c r="D10" s="1" t="s">
        <v>164</v>
      </c>
      <c r="E10" s="1" cm="1">
        <f t="array" ref="E10">VEERG_3_3_1_1__1_TotalAnnualMethaneFromEntericFermentationVariation_Result_Method1</f>
        <v>32.464682683989999</v>
      </c>
      <c r="F10" s="1" cm="1">
        <f t="array" ref="F10">VEERG_3_3_1_1__1_TotalAnnualMethaneFromEntericFermentationVariation_Result_Method2</f>
        <v>32.464682683989999</v>
      </c>
      <c r="G10" s="9" t="s">
        <v>5</v>
      </c>
      <c r="H10" s="1" cm="1">
        <f t="array" ref="H10">Common_Equations.Common_ConvertCH4ToCO2e(E10,_xlfn.XLOOKUP("CH4", Table_GWPData[Gas],Table_GWPData[CO2-e factor]))</f>
        <v>909.01111515171999</v>
      </c>
      <c r="I10" s="1" cm="1">
        <f t="array" ref="I10">Common_Equations.Common_ConvertCH4ToCO2e(F10,_xlfn.XLOOKUP("CH4", Table_GWPData[Gas],Table_GWPData[CO2-e factor]))</f>
        <v>909.01111515171999</v>
      </c>
      <c r="J10" s="9" t="s">
        <v>6</v>
      </c>
    </row>
    <row r="11" spans="1:11" ht="20.100000000000001" customHeight="1" x14ac:dyDescent="0.2">
      <c r="A11" s="5" t="str">
        <f>HYPERLINK("#'Input - Site'!A1", "Site")</f>
        <v>Site</v>
      </c>
      <c r="D11" s="1" t="s">
        <v>165</v>
      </c>
      <c r="E11" s="1" cm="1">
        <f t="array" aca="1" ref="E11" ca="1">VEERG_4_3_1_1__1_TotalAnnualMethaneFromManureManagement_Result_Method1</f>
        <v>10.314345551795777</v>
      </c>
      <c r="F11" s="1" cm="1">
        <f t="array" aca="1" ref="F11" ca="1">VEERG_4_3_1_1__1_TotalAnnualMethaneFromManureManagement_Result_Method2</f>
        <v>10.64070664267806</v>
      </c>
      <c r="G11" s="9" t="s">
        <v>5</v>
      </c>
      <c r="H11" s="1" cm="1">
        <f t="array" aca="1" ref="H11" ca="1">Common_Equations.Common_ConvertCH4ToCO2e(E11,_xlfn.XLOOKUP("CH4", Table_GWPData[Gas],Table_GWPData[CO2-e factor]))</f>
        <v>288.80167545028172</v>
      </c>
      <c r="I11" s="1" cm="1">
        <f t="array" aca="1" ref="I11" ca="1">Common_Equations.Common_ConvertCH4ToCO2e(F11,_xlfn.XLOOKUP("CH4", Table_GWPData[Gas],Table_GWPData[CO2-e factor]))</f>
        <v>297.9397859949857</v>
      </c>
      <c r="J11" s="9" t="s">
        <v>6</v>
      </c>
    </row>
    <row r="12" spans="1:11" ht="20.100000000000001" customHeight="1" x14ac:dyDescent="0.2">
      <c r="A12" s="5" t="str">
        <f>HYPERLINK("#'Input - Dairy'!A1", "Dairy")</f>
        <v>Dairy</v>
      </c>
      <c r="D12" s="1" t="s">
        <v>166</v>
      </c>
      <c r="E12" s="1" cm="1">
        <f t="array" ref="E12">VEERG_4_3_1_3__1_TotalAnnualDirectNitrousOxideEmissionsFromMMS_Result_Method1</f>
        <v>5.8975625860183567E-2</v>
      </c>
      <c r="F12" s="1" cm="1">
        <f t="array" ref="F12">VEERG_4_3_1_3__1_TotalAnnualDirectNitrousOxideEmissionsFromMMS_Result_Method2</f>
        <v>5.8975625860183567E-2</v>
      </c>
      <c r="G12" s="9" t="s">
        <v>11</v>
      </c>
      <c r="H12" s="1" cm="1">
        <f t="array" ref="H12">Common_Equations.Common_ConvertN2OToCO2e(E12,_xlfn.XLOOKUP("N2O", Table_GWPData[Gas],Table_GWPData[CO2-e factor]))</f>
        <v>15.628540852948646</v>
      </c>
      <c r="I12" s="1" cm="1">
        <f t="array" ref="I12">Common_Equations.Common_ConvertN2OToCO2e(F12,_xlfn.XLOOKUP("N2O", Table_GWPData[Gas],Table_GWPData[CO2-e factor]))</f>
        <v>15.628540852948646</v>
      </c>
      <c r="J12" s="9" t="s">
        <v>6</v>
      </c>
    </row>
    <row r="13" spans="1:11" ht="20.100000000000001" customHeight="1" x14ac:dyDescent="0.2">
      <c r="A13" s="5" t="str">
        <f>HYPERLINK("#'Input - Livestock sales'!A1", "Livestock sales")</f>
        <v>Livestock sales</v>
      </c>
      <c r="D13" s="1" t="s">
        <v>167</v>
      </c>
      <c r="E13" s="1" cm="1">
        <f t="array" ref="E13">VEERG_4_3_1_5__1_AnnualAtmosphericDepositionEmissionsFromMMS_Result_Method1</f>
        <v>4.7299753181434263E-2</v>
      </c>
      <c r="F13" s="1" cm="1">
        <f t="array" ref="F13">VEERG_4_3_1_5__1_AnnualAtmosphericDepositionEmissionsFromMMS_Result_Method2</f>
        <v>4.7299753181434263E-2</v>
      </c>
      <c r="G13" s="9" t="s">
        <v>11</v>
      </c>
      <c r="H13" s="1" cm="1">
        <f t="array" ref="H13">Common_Equations.Common_ConvertN2OToCO2e(E13,_xlfn.XLOOKUP("N2O", Table_GWPData[Gas],Table_GWPData[CO2-e factor]))</f>
        <v>12.53443459308008</v>
      </c>
      <c r="I13" s="1" cm="1">
        <f t="array" ref="I13">Common_Equations.Common_ConvertN2OToCO2e(F13,_xlfn.XLOOKUP("N2O", Table_GWPData[Gas],Table_GWPData[CO2-e factor]))</f>
        <v>12.53443459308008</v>
      </c>
      <c r="J13" s="9" t="s">
        <v>6</v>
      </c>
    </row>
    <row r="14" spans="1:11" ht="20.100000000000001" customHeight="1" x14ac:dyDescent="0.2">
      <c r="A14" s="5" t="str">
        <f>HYPERLINK("#'Input - Dairy cattle purchases'!A1", "Dairy cattle purchases")</f>
        <v>Dairy cattle purchases</v>
      </c>
      <c r="D14" s="1" t="s">
        <v>168</v>
      </c>
      <c r="E14" s="1" cm="1">
        <f t="array" ref="E14">VEERG_4_3_1_6__1_AnnualEmissionsFromLeachingAndRunoffFromMMS_Result_Method1</f>
        <v>2.5949275378480772E-3</v>
      </c>
      <c r="F14" s="1" cm="1">
        <f t="array" ref="F14">VEERG_4_3_1_6__1_AnnualEmissionsFromLeachingAndRunoffFromMMS_Result_Method2</f>
        <v>2.5949275378480772E-3</v>
      </c>
      <c r="G14" s="9" t="s">
        <v>11</v>
      </c>
      <c r="H14" s="1" cm="1">
        <f t="array" ref="H14">Common_Equations.Common_ConvertN2OToCO2e(E14,_xlfn.XLOOKUP("N2O", Table_GWPData[Gas],Table_GWPData[CO2-e factor]))</f>
        <v>0.68765579752974049</v>
      </c>
      <c r="I14" s="1" cm="1">
        <f t="array" ref="I14">Common_Equations.Common_ConvertN2OToCO2e(F14,_xlfn.XLOOKUP("N2O", Table_GWPData[Gas],Table_GWPData[CO2-e factor]))</f>
        <v>0.68765579752974049</v>
      </c>
      <c r="J14" s="9" t="s">
        <v>6</v>
      </c>
    </row>
    <row r="15" spans="1:11" ht="20.100000000000001" customHeight="1" x14ac:dyDescent="0.2">
      <c r="A15" s="5" t="str">
        <f>HYPERLINK("#'Input - Pasture'!A1", "Pasture")</f>
        <v>Pasture</v>
      </c>
      <c r="D15" s="1" t="s">
        <v>169</v>
      </c>
      <c r="E15" s="1" cm="1">
        <f t="array" ref="E15">VEERG_4_3_1_9__1_DirectNitrousOxideEmissionsOnPasture_Result_Method1</f>
        <v>7.4716451267705888E-2</v>
      </c>
      <c r="F15" s="1" cm="1">
        <f t="array" ref="F15">VEERG_4_3_1_9__1_DirectNitrousOxideEmissionsOnPasture_Result_Method2</f>
        <v>7.4716451267705888E-2</v>
      </c>
      <c r="G15" s="9" t="s">
        <v>11</v>
      </c>
      <c r="H15" s="1" cm="1">
        <f t="array" ref="H15">Common_Equations.Common_ConvertN2OToCO2e(E15,_xlfn.XLOOKUP("N2O", Table_GWPData[Gas],Table_GWPData[CO2-e factor]))</f>
        <v>19.799859585942059</v>
      </c>
      <c r="I15" s="1" cm="1">
        <f t="array" ref="I15">Common_Equations.Common_ConvertN2OToCO2e(F15,_xlfn.XLOOKUP("N2O", Table_GWPData[Gas],Table_GWPData[CO2-e factor]))</f>
        <v>19.799859585942059</v>
      </c>
      <c r="J15" s="9" t="s">
        <v>6</v>
      </c>
    </row>
    <row r="16" spans="1:11" ht="20.100000000000001" customHeight="1" x14ac:dyDescent="0.2">
      <c r="A16" s="5" t="str">
        <f>HYPERLINK("#'Input - Fert Prod System'!A1", "Fert Prod System")</f>
        <v>Fert Prod System</v>
      </c>
      <c r="D16" s="1" t="s">
        <v>170</v>
      </c>
      <c r="E16" s="1" cm="1">
        <f t="array" ref="E16">VEERG_4_3_1_10__1_AtmosphericDepositionEmissionsFromUrineAndDungOnPasture_Result_Method1</f>
        <v>4.6286841560343794E-2</v>
      </c>
      <c r="F16" s="1" cm="1">
        <f t="array" ref="F16">VEERG_4_3_1_10__1_AtmosphericDepositionEmissionsFromUrineAndDungOnPasture_Result_Method2</f>
        <v>4.6286841560343794E-2</v>
      </c>
      <c r="G16" s="9" t="s">
        <v>11</v>
      </c>
      <c r="H16" s="1" cm="1">
        <f t="array" ref="H16">Common_Equations.Common_ConvertN2OToCO2e(E16,_xlfn.XLOOKUP("N2O", Table_GWPData[Gas],Table_GWPData[CO2-e factor]))</f>
        <v>12.266013013491106</v>
      </c>
      <c r="I16" s="1" cm="1">
        <f t="array" ref="I16">Common_Equations.Common_ConvertN2OToCO2e(F16,_xlfn.XLOOKUP("N2O", Table_GWPData[Gas],Table_GWPData[CO2-e factor]))</f>
        <v>12.266013013491106</v>
      </c>
      <c r="J16" s="9" t="s">
        <v>6</v>
      </c>
    </row>
    <row r="17" spans="1:10" ht="20.100000000000001" customHeight="1" x14ac:dyDescent="0.2">
      <c r="A17" s="5" t="str">
        <f>HYPERLINK("#'Input - Fertiliser'!A1", "Fertiliser")</f>
        <v>Fertiliser</v>
      </c>
      <c r="D17" s="1" t="s">
        <v>171</v>
      </c>
      <c r="E17" s="1" cm="1">
        <f t="array" ref="E17">VEERG_4_3_1_12__1_LeachingAndRunoffEmissionsFromUrineAndDungOnPasture_Result_Method1</f>
        <v>9.8625715673371778E-2</v>
      </c>
      <c r="F17" s="1" cm="1">
        <f t="array" ref="F17">VEERG_4_3_1_12__1_LeachingAndRunoffEmissionsFromUrineAndDungOnPasture_Result_Method2</f>
        <v>9.8625715673371778E-2</v>
      </c>
      <c r="G17" s="9" t="s">
        <v>11</v>
      </c>
      <c r="H17" s="1" cm="1">
        <f t="array" ref="H17">Common_Equations.Common_ConvertN2OToCO2e(E17,_xlfn.XLOOKUP("N2O", Table_GWPData[Gas],Table_GWPData[CO2-e factor]))</f>
        <v>26.135814653443521</v>
      </c>
      <c r="I17" s="1" cm="1">
        <f t="array" ref="I17">Common_Equations.Common_ConvertN2OToCO2e(F17,_xlfn.XLOOKUP("N2O", Table_GWPData[Gas],Table_GWPData[CO2-e factor]))</f>
        <v>26.135814653443521</v>
      </c>
      <c r="J17" s="9" t="s">
        <v>6</v>
      </c>
    </row>
    <row r="18" spans="1:10" ht="20.100000000000001" customHeight="1" x14ac:dyDescent="0.2">
      <c r="A18" s="5" t="str">
        <f>HYPERLINK("#'Input - Fuel'!A1", "Fuel")</f>
        <v>Fuel</v>
      </c>
      <c r="D18" s="1" t="s">
        <v>132</v>
      </c>
      <c r="E18" s="1" cm="1">
        <f t="array" ref="E18">VEERG_5_1_1_1__1_InorganicFertiliserApplicationN2OEmissions_Result_Method1</f>
        <v>1.6950488729428572</v>
      </c>
      <c r="F18" s="1" cm="1">
        <f t="array" ref="F18">VEERG_5_1_1_1__1_InorganicFertiliserApplicationN2OEmissions_Result_Method2</f>
        <v>1.6950489285714287</v>
      </c>
      <c r="G18" s="9" t="s">
        <v>11</v>
      </c>
      <c r="H18" s="1" cm="1">
        <f t="array" ref="H18">Common_Equations.Common_ConvertN2OToCO2e(E18,_xlfn.XLOOKUP("N2O", Table_GWPData[Gas],Table_GWPData[CO2-e factor]))</f>
        <v>449.18795132985719</v>
      </c>
      <c r="I18" s="1" cm="1">
        <f t="array" ref="I18">Common_Equations.Common_ConvertN2OToCO2e(F18,_xlfn.XLOOKUP("N2O", Table_GWPData[Gas],Table_GWPData[CO2-e factor]))</f>
        <v>449.1879660714286</v>
      </c>
      <c r="J18" s="9" t="s">
        <v>6</v>
      </c>
    </row>
    <row r="19" spans="1:10" ht="20.100000000000001" customHeight="1" x14ac:dyDescent="0.2">
      <c r="A19" s="5" t="str">
        <f>HYPERLINK("#'Input - Electricity'!A1", "Electricity")</f>
        <v>Electricity</v>
      </c>
      <c r="D19" s="1" t="s">
        <v>133</v>
      </c>
      <c r="E19" s="1" cm="1">
        <f t="array" ref="E19">VEERG_5_1_1_3__1_InorganicFertiliserApplicationCO2Emissions_Result_Method1</f>
        <v>184.92752666666664</v>
      </c>
      <c r="F19" s="1">
        <f>E19</f>
        <v>184.92752666666664</v>
      </c>
      <c r="G19" s="9" t="s">
        <v>126</v>
      </c>
      <c r="H19" s="1">
        <f>E19</f>
        <v>184.92752666666664</v>
      </c>
      <c r="I19" s="1">
        <f>F19</f>
        <v>184.92752666666664</v>
      </c>
      <c r="J19" s="9" t="s">
        <v>6</v>
      </c>
    </row>
    <row r="20" spans="1:10" ht="20.100000000000001" customHeight="1" x14ac:dyDescent="0.2">
      <c r="A20" s="5" t="str">
        <f>HYPERLINK("#'Input - Common farm inputs'!A1", "Common farm inputs")</f>
        <v>Common farm inputs</v>
      </c>
      <c r="D20" s="1" t="s">
        <v>134</v>
      </c>
      <c r="E20" s="1" cm="1">
        <f t="array" ref="E20">VEERG_5_2_1_1__2_MassOfNitrogenInOrganicFertiliser_Result_Method1</f>
        <v>5.5785714285714286E-2</v>
      </c>
      <c r="F20" s="1">
        <f>E20</f>
        <v>5.5785714285714286E-2</v>
      </c>
      <c r="G20" s="9" t="s">
        <v>11</v>
      </c>
      <c r="H20" s="1" cm="1">
        <f t="array" ref="H20">Common_Equations.Common_ConvertN2OToCO2e(E20,_xlfn.XLOOKUP("N2O", Table_GWPData[Gas],Table_GWPData[CO2-e factor]))</f>
        <v>14.783214285714285</v>
      </c>
      <c r="I20" s="1" cm="1">
        <f t="array" ref="I20">Common_Equations.Common_ConvertN2OToCO2e(F20,_xlfn.XLOOKUP("N2O", Table_GWPData[Gas],Table_GWPData[CO2-e factor]))</f>
        <v>14.783214285714285</v>
      </c>
      <c r="J20" s="9" t="s">
        <v>6</v>
      </c>
    </row>
    <row r="21" spans="1:10" ht="20.100000000000001" customHeight="1" x14ac:dyDescent="0.2">
      <c r="A21" s="5" t="str">
        <f>HYPERLINK("#'Input - Crop pasture farm input'!A1", "Crop pasture farm input")</f>
        <v>Crop pasture farm input</v>
      </c>
      <c r="D21" s="1" t="s">
        <v>135</v>
      </c>
      <c r="E21" s="1" cm="1">
        <f t="array" ref="E21">VEERG_5_3_1_1__1_LimeApplicationCO2Emissions_Result_Method1</f>
        <v>758.08333333333326</v>
      </c>
      <c r="F21" s="1">
        <f>E21</f>
        <v>758.08333333333326</v>
      </c>
      <c r="G21" s="9" t="s">
        <v>126</v>
      </c>
      <c r="H21" s="1">
        <f>E21</f>
        <v>758.08333333333326</v>
      </c>
      <c r="I21" s="1">
        <f>F21</f>
        <v>758.08333333333326</v>
      </c>
      <c r="J21" s="9" t="s">
        <v>6</v>
      </c>
    </row>
    <row r="22" spans="1:10" ht="20.100000000000001" customHeight="1" x14ac:dyDescent="0.2">
      <c r="A22" s="5" t="str">
        <f>HYPERLINK("#'Input - Livestock farm Inputs'!A1", "Livestock farm Inputs")</f>
        <v>Livestock farm Inputs</v>
      </c>
      <c r="D22" s="1" t="s">
        <v>136</v>
      </c>
      <c r="E22" s="1" cm="1">
        <f t="array" ref="E22">VEERG_5_4_1_3__1_OrganicFertiliserAtmosphericDepositionN2OEmissions_Result_Method1</f>
        <v>1.38237E-2</v>
      </c>
      <c r="F22" s="1">
        <f>E22</f>
        <v>1.38237E-2</v>
      </c>
      <c r="G22" s="9" t="s">
        <v>11</v>
      </c>
      <c r="H22" s="1" cm="1">
        <f t="array" ref="H22">Common_Equations.Common_ConvertN2OToCO2e(E22,_xlfn.XLOOKUP("N2O", Table_GWPData[Gas],Table_GWPData[CO2-e factor]))</f>
        <v>3.6632804999999999</v>
      </c>
      <c r="I22" s="1" cm="1">
        <f t="array" ref="I22">Common_Equations.Common_ConvertN2OToCO2e(F22,_xlfn.XLOOKUP("N2O", Table_GWPData[Gas],Table_GWPData[CO2-e factor]))</f>
        <v>3.6632804999999999</v>
      </c>
      <c r="J22" s="9" t="s">
        <v>6</v>
      </c>
    </row>
    <row r="23" spans="1:10" ht="20.100000000000001" customHeight="1" x14ac:dyDescent="0.2">
      <c r="A23" s="5" t="str">
        <f>HYPERLINK("#'Input - Freight'!A1", "Freight")</f>
        <v>Freight</v>
      </c>
      <c r="D23" s="1" t="s">
        <v>137</v>
      </c>
      <c r="E23" s="1" cm="1">
        <f t="array" ref="E23">VEERG_5_5_1_1__1_FertiliserLeachingAndRunoffN2OEmissions_result_Method1</f>
        <v>0.78791740368000007</v>
      </c>
      <c r="F23" s="1">
        <f>E23</f>
        <v>0.78791740368000007</v>
      </c>
      <c r="G23" s="9" t="s">
        <v>11</v>
      </c>
      <c r="H23" s="1" cm="1">
        <f t="array" ref="H23">Common_Equations.Common_ConvertN2OToCO2e(E23,_xlfn.XLOOKUP("N2O", Table_GWPData[Gas],Table_GWPData[CO2-e factor]))</f>
        <v>208.79811197520002</v>
      </c>
      <c r="I23" s="1" cm="1">
        <f t="array" ref="I23">Common_Equations.Common_ConvertN2OToCO2e(F23,_xlfn.XLOOKUP("N2O", Table_GWPData[Gas],Table_GWPData[CO2-e factor]))</f>
        <v>208.79811197520002</v>
      </c>
      <c r="J23" s="9" t="s">
        <v>6</v>
      </c>
    </row>
    <row r="24" spans="1:10" ht="20.100000000000001" customHeight="1" x14ac:dyDescent="0.2">
      <c r="A24" s="5" t="str">
        <f>HYPERLINK("#'Input - Solid waste'!A1", "Solid waste")</f>
        <v>Solid waste</v>
      </c>
      <c r="D24" s="1" t="s">
        <v>138</v>
      </c>
      <c r="E24" s="1" cm="1">
        <f t="array" ref="E24">VEERG_6_2_1_1__1__NitrousOxideEmissionsFromPastureResidues_Result_Method1</f>
        <v>5.8320428571428569E-7</v>
      </c>
      <c r="F24" s="1" cm="1">
        <f t="array" ref="F24">VEERG_6_2_1_1__1__NitrousOxideEmissionsFromPastureResidues_Result_Method2</f>
        <v>5.8320428571428569E-7</v>
      </c>
      <c r="G24" s="9" t="s">
        <v>11</v>
      </c>
      <c r="H24" s="1" cm="1">
        <f t="array" ref="H24">Common_Equations.Common_ConvertN2OToCO2e(E24,_xlfn.XLOOKUP("N2O", Table_GWPData[Gas],Table_GWPData[CO2-e factor]))</f>
        <v>1.545491357142857E-4</v>
      </c>
      <c r="I24" s="1" cm="1">
        <f t="array" ref="I24">Common_Equations.Common_ConvertN2OToCO2e(F24,_xlfn.XLOOKUP("N2O", Table_GWPData[Gas],Table_GWPData[CO2-e factor]))</f>
        <v>1.545491357142857E-4</v>
      </c>
      <c r="J24" s="9" t="s">
        <v>6</v>
      </c>
    </row>
    <row r="25" spans="1:10" ht="20.100000000000001" customHeight="1" x14ac:dyDescent="0.2">
      <c r="A25" s="5" t="str">
        <f>HYPERLINK("#'Input - Manure sent off-site'!A1", "Manure sent off-site")</f>
        <v>Manure sent off-site</v>
      </c>
      <c r="D25" s="1" t="s">
        <v>139</v>
      </c>
      <c r="E25" s="1" cm="1">
        <f t="array" ref="E25">VEERG_6_3_1_1__1__LeachingAndRunoffEmissionsCropAndPastureResidue_PastureOnly_Result_Method1</f>
        <v>3.0793186285714277E-7</v>
      </c>
      <c r="F25" s="1" cm="1">
        <f t="array" ref="F25">VEERG_6_3_1_1__1__LeachingAndRunoffEmissionsCropAndPastureResidue_PastureOnly_Result_Method2</f>
        <v>3.0793186285714277E-7</v>
      </c>
      <c r="G25" s="9" t="s">
        <v>11</v>
      </c>
      <c r="H25" s="1" cm="1">
        <f t="array" ref="H25">Common_Equations.Common_ConvertN2OToCO2e(E25,_xlfn.XLOOKUP("N2O", Table_GWPData[Gas],Table_GWPData[CO2-e factor]))</f>
        <v>8.1601943657142831E-5</v>
      </c>
      <c r="I25" s="1" cm="1">
        <f t="array" ref="I25">Common_Equations.Common_ConvertN2OToCO2e(F25,_xlfn.XLOOKUP("N2O", Table_GWPData[Gas],Table_GWPData[CO2-e factor]))</f>
        <v>8.1601943657142831E-5</v>
      </c>
      <c r="J25" s="9" t="s">
        <v>6</v>
      </c>
    </row>
    <row r="26" spans="1:10" ht="20.100000000000001" customHeight="1" x14ac:dyDescent="0.2">
      <c r="A26" s="5" t="str">
        <f>HYPERLINK("#'Input - Refrigerants'!A1", "Refrigerants")</f>
        <v>Refrigerants</v>
      </c>
      <c r="D26" s="1" t="s">
        <v>140</v>
      </c>
      <c r="E26" s="1" cm="1">
        <f t="array" ref="E26">VEERG_8_1_1_1__1_FuelCombustionTransport_Result_CO2</f>
        <v>83.182000000000002</v>
      </c>
      <c r="F26" s="1">
        <f>E26</f>
        <v>83.182000000000002</v>
      </c>
      <c r="G26" s="9" t="s">
        <v>126</v>
      </c>
      <c r="H26" s="1">
        <f>E26</f>
        <v>83.182000000000002</v>
      </c>
      <c r="I26" s="1">
        <f>F26</f>
        <v>83.182000000000002</v>
      </c>
      <c r="J26" s="9" t="s">
        <v>6</v>
      </c>
    </row>
    <row r="27" spans="1:10" ht="20.100000000000001" customHeight="1" x14ac:dyDescent="0.2">
      <c r="A27" s="5" t="str">
        <f>HYPERLINK("#'Input - Data quality'!A1", "Data quality")</f>
        <v>Data quality</v>
      </c>
      <c r="D27" s="1" t="s">
        <v>142</v>
      </c>
      <c r="E27" s="1" cm="1">
        <f t="array" ref="E27">VEERG_8_1_1_1__1_FuelCombustionTransport_Result_CH4</f>
        <v>0.19906000000000001</v>
      </c>
      <c r="F27" s="1">
        <f>E27</f>
        <v>0.19906000000000001</v>
      </c>
      <c r="G27" s="9" t="s">
        <v>5</v>
      </c>
      <c r="H27" s="1" cm="1">
        <f t="array" ref="H27">Common_Equations.Common_ConvertCH4ToCO2e(E27,_xlfn.XLOOKUP("CH4", Table_GWPData[Gas],Table_GWPData[CO2-e factor]))</f>
        <v>5.5736800000000004</v>
      </c>
      <c r="I27" s="1" cm="1">
        <f t="array" ref="I27">Common_Equations.Common_ConvertCH4ToCO2e(F27,_xlfn.XLOOKUP("CH4", Table_GWPData[Gas],Table_GWPData[CO2-e factor]))</f>
        <v>5.5736800000000004</v>
      </c>
      <c r="J27" s="9" t="s">
        <v>6</v>
      </c>
    </row>
    <row r="28" spans="1:10" ht="20.100000000000001" customHeight="1" x14ac:dyDescent="0.2">
      <c r="D28" s="1" t="s">
        <v>141</v>
      </c>
      <c r="E28" s="1" cm="1">
        <f t="array" ref="E28">VEERG_8_1_1_1__1_FuelCombustionTransport_Result_N2O</f>
        <v>0.58450000000000002</v>
      </c>
      <c r="F28" s="1">
        <f>E28</f>
        <v>0.58450000000000002</v>
      </c>
      <c r="G28" s="9" t="s">
        <v>11</v>
      </c>
      <c r="H28" s="1" cm="1">
        <f t="array" ref="H28">Common_Equations.Common_ConvertN2OToCO2e(E28,_xlfn.XLOOKUP("N2O", Table_GWPData[Gas],Table_GWPData[CO2-e factor]))</f>
        <v>154.89250000000001</v>
      </c>
      <c r="I28" s="1" cm="1">
        <f t="array" ref="I28">Common_Equations.Common_ConvertN2OToCO2e(F28,_xlfn.XLOOKUP("N2O", Table_GWPData[Gas],Table_GWPData[CO2-e factor]))</f>
        <v>154.89250000000001</v>
      </c>
      <c r="J28" s="9" t="s">
        <v>6</v>
      </c>
    </row>
    <row r="29" spans="1:10" ht="20.100000000000001" customHeight="1" x14ac:dyDescent="0.2">
      <c r="D29" s="1" t="s">
        <v>143</v>
      </c>
      <c r="E29" s="1" cm="1">
        <f t="array" ref="E29">VEERG_8_2_1_1__1_FuelCombustionStationary_Result_CO2</f>
        <v>29.070800000000002</v>
      </c>
      <c r="F29" s="1">
        <f>E29</f>
        <v>29.070800000000002</v>
      </c>
      <c r="G29" s="9" t="s">
        <v>126</v>
      </c>
      <c r="H29" s="1">
        <f>E29</f>
        <v>29.070800000000002</v>
      </c>
      <c r="I29" s="1">
        <f>F29</f>
        <v>29.070800000000002</v>
      </c>
      <c r="J29" s="9" t="s">
        <v>6</v>
      </c>
    </row>
    <row r="30" spans="1:10" ht="20.100000000000001" customHeight="1" x14ac:dyDescent="0.2">
      <c r="A30" s="6" t="s">
        <v>2</v>
      </c>
      <c r="D30" s="1" t="s">
        <v>144</v>
      </c>
      <c r="E30" s="1" cm="1">
        <f t="array" ref="E30">VEERG_8_2_1_1__1_FuelCombustionStationary_Result_CH4</f>
        <v>7.2400000000000006E-2</v>
      </c>
      <c r="F30" s="1">
        <f t="shared" ref="F30:F31" si="0">E30</f>
        <v>7.2400000000000006E-2</v>
      </c>
      <c r="G30" s="9" t="s">
        <v>5</v>
      </c>
      <c r="H30" s="1" cm="1">
        <f t="array" ref="H30">Common_Equations.Common_ConvertCH4ToCO2e(E30,_xlfn.XLOOKUP("CH4", Table_GWPData[Gas],Table_GWPData[CO2-e factor]))</f>
        <v>2.0272000000000001</v>
      </c>
      <c r="I30" s="1" cm="1">
        <f t="array" ref="I30">Common_Equations.Common_ConvertCH4ToCO2e(F30,_xlfn.XLOOKUP("CH4", Table_GWPData[Gas],Table_GWPData[CO2-e factor]))</f>
        <v>2.0272000000000001</v>
      </c>
      <c r="J30" s="9" t="s">
        <v>6</v>
      </c>
    </row>
    <row r="31" spans="1:10" ht="20.100000000000001" customHeight="1" x14ac:dyDescent="0.2">
      <c r="A31" s="5" t="str">
        <f>HYPERLINK("#'3.3.1.1-2 Enteric Methane'!A1", "3.3.1.1-2 Enteric methane")</f>
        <v>3.3.1.1-2 Enteric methane</v>
      </c>
      <c r="D31" s="1" t="s">
        <v>145</v>
      </c>
      <c r="E31" s="1" cm="1">
        <f t="array" ref="E31">VEERG_8_2_1_1__1_FuelCombustionStationary_Result_N2O</f>
        <v>7.1400000000000005E-2</v>
      </c>
      <c r="F31" s="1">
        <f t="shared" si="0"/>
        <v>7.1400000000000005E-2</v>
      </c>
      <c r="G31" s="9" t="s">
        <v>11</v>
      </c>
      <c r="H31" s="1" cm="1">
        <f t="array" ref="H31">Common_Equations.Common_ConvertN2OToCO2e(E31,_xlfn.XLOOKUP("N2O", Table_GWPData[Gas],Table_GWPData[CO2-e factor]))</f>
        <v>18.921000000000003</v>
      </c>
      <c r="I31" s="1" cm="1">
        <f t="array" ref="I31">Common_Equations.Common_ConvertN2OToCO2e(F31,_xlfn.XLOOKUP("N2O", Table_GWPData[Gas],Table_GWPData[CO2-e factor]))</f>
        <v>18.921000000000003</v>
      </c>
      <c r="J31" s="9" t="s">
        <v>6</v>
      </c>
    </row>
    <row r="32" spans="1:10" ht="20.100000000000001" customHeight="1" x14ac:dyDescent="0.2">
      <c r="A32" s="5" t="str">
        <f>HYPERLINK("#'4.3.1.1-2 Methane'!A1", "4.3.1.1-2 Manure methane")</f>
        <v>4.3.1.1-2 Manure methane</v>
      </c>
      <c r="D32" s="1" t="s">
        <v>316</v>
      </c>
      <c r="E32" s="1" cm="1">
        <f t="array" ref="E32">VEERG_9_1_1__1_RefrigerantLeaking_Result_Blend1_Value_Method1</f>
        <v>8.5000000000000006E-4</v>
      </c>
      <c r="F32" s="1">
        <f>E32</f>
        <v>8.5000000000000006E-4</v>
      </c>
      <c r="G32" s="9" t="str" cm="1">
        <f t="array" ref="G32">IF(ISBLANK(VEERG_9_1_1__1_RefrigerantLeaking_Result_Blend1_Name_Method1), "", "t " &amp; VEERG_9_1_1__1_RefrigerantLeaking_Result_Blend1_Name_Method1)</f>
        <v>t R-402A</v>
      </c>
      <c r="H32" s="1">
        <f>INDEX(Table_E_CO2e,2,4)</f>
        <v>1.1860424000000003</v>
      </c>
      <c r="I32" s="1">
        <f>H32</f>
        <v>1.1860424000000003</v>
      </c>
      <c r="J32" s="9" t="s">
        <v>6</v>
      </c>
    </row>
    <row r="33" spans="1:10" ht="20.100000000000001" customHeight="1" x14ac:dyDescent="0.2">
      <c r="A33" s="5" t="str">
        <f>HYPERLINK("#'4.3.1.3-4 Direct N20'!A1", "4.3.1.3-4 Direct N20")</f>
        <v>4.3.1.3-4 Direct N20</v>
      </c>
      <c r="D33" s="1" t="s">
        <v>317</v>
      </c>
      <c r="E33" s="1" cm="1">
        <f t="array" ref="E33">VEERG_9_1_1__1_RefrigerantLeaking_Result_Blend2_Value_Method1</f>
        <v>1.7500000000000003E-3</v>
      </c>
      <c r="F33" s="1">
        <f t="shared" ref="F33:F41" si="1">E33</f>
        <v>1.7500000000000003E-3</v>
      </c>
      <c r="G33" s="9" t="str" cm="1">
        <f t="array" ref="G33">IF(ISBLANK(VEERG_9_1_1__1_RefrigerantLeaking_Result_Blend2_Name_Method1), "", "t " &amp; VEERG_9_1_1__1_RefrigerantLeaking_Result_Blend2_Name_Method1)</f>
        <v>t R-422B</v>
      </c>
      <c r="H33" s="1">
        <f>INDEX(Table_E_CO2e,3,4)</f>
        <v>2.0794287500000004</v>
      </c>
      <c r="I33" s="1">
        <f t="shared" ref="I33:I41" si="2">H33</f>
        <v>2.0794287500000004</v>
      </c>
      <c r="J33" s="9" t="s">
        <v>6</v>
      </c>
    </row>
    <row r="34" spans="1:10" ht="20.100000000000001" customHeight="1" x14ac:dyDescent="0.2">
      <c r="A34" s="5" t="str">
        <f>HYPERLINK("#'4.3.1.5 Atmos deposition'!A1", "4.3.1.5 Atmos deposition")</f>
        <v>4.3.1.5 Atmos deposition</v>
      </c>
      <c r="D34" s="1" t="s">
        <v>318</v>
      </c>
      <c r="E34" s="1" cm="1">
        <f t="array" ref="E34">VEERG_9_1_1__1_RefrigerantLeaking_Result_Blend3_Value_Method1</f>
        <v>1.2210000000000002E-2</v>
      </c>
      <c r="F34" s="1">
        <f t="shared" si="1"/>
        <v>1.2210000000000002E-2</v>
      </c>
      <c r="G34" s="9" t="str" cm="1">
        <f t="array" ref="G34">IF(ISBLANK(VEERG_9_1_1__1_RefrigerantLeaking_Result_Blend3_Name_Method1), "", "t " &amp; VEERG_9_1_1__1_RefrigerantLeaking_Result_Blend3_Name_Method1)</f>
        <v>t R-400 60/40</v>
      </c>
      <c r="H34" s="1">
        <f>INDEX(Table_E_CO2e,4,4)</f>
        <v>70.007256000000027</v>
      </c>
      <c r="I34" s="1">
        <f t="shared" si="2"/>
        <v>70.007256000000027</v>
      </c>
      <c r="J34" s="9" t="s">
        <v>6</v>
      </c>
    </row>
    <row r="35" spans="1:10" ht="20.100000000000001" customHeight="1" x14ac:dyDescent="0.2">
      <c r="A35" s="5" t="str">
        <f>HYPERLINK("#'4.3.1.6-7 Leaching and runoff'!A1", "4.3.1.6-7 Leaching &amp; runoff")</f>
        <v>4.3.1.6-7 Leaching &amp; runoff</v>
      </c>
      <c r="D35" s="1" t="s">
        <v>319</v>
      </c>
      <c r="E35" s="1" cm="1">
        <f t="array" ref="E35">VEERG_9_1_1__1_RefrigerantLeaking_Result_Blend4_Value_Method1</f>
        <v>1.5699999999999999E-2</v>
      </c>
      <c r="F35" s="1">
        <f t="shared" si="1"/>
        <v>1.5699999999999999E-2</v>
      </c>
      <c r="G35" s="9" t="str" cm="1">
        <f t="array" ref="G35">IF(ISBLANK(VEERG_9_1_1__1_RefrigerantLeaking_Result_Blend4_Name_Method1), "", "t " &amp; VEERG_9_1_1__1_RefrigerantLeaking_Result_Blend4_Name_Method1)</f>
        <v>t R-504</v>
      </c>
      <c r="H35" s="1">
        <f>INDEX(Table_E_CO2e,5,4)</f>
        <v>34.780656319599998</v>
      </c>
      <c r="I35" s="1">
        <f t="shared" si="2"/>
        <v>34.780656319599998</v>
      </c>
      <c r="J35" s="9" t="s">
        <v>6</v>
      </c>
    </row>
    <row r="36" spans="1:10" ht="20.100000000000001" customHeight="1" x14ac:dyDescent="0.2">
      <c r="A36" s="5" t="str">
        <f>HYPERLINK("#'4.3.1.8 Manure applied to soils'!A1", "4.3.1.8 Manure applied to soils")</f>
        <v>4.3.1.8 Manure applied to soils</v>
      </c>
      <c r="D36" s="1" t="s">
        <v>320</v>
      </c>
      <c r="E36" s="1" cm="1">
        <f t="array" ref="E36">VEERG_9_1_1__1_RefrigerantLeaking_Result_Blend5_Value_Method1</f>
        <v>0</v>
      </c>
      <c r="F36" s="1">
        <f t="shared" si="1"/>
        <v>0</v>
      </c>
      <c r="G36" s="9" t="str" cm="1">
        <f t="array" ref="G36">IF(ISBLANK(VEERG_9_1_1__1_RefrigerantLeaking_Result_Blend5_Name_Method1), "", "t " &amp; VEERG_9_1_1__1_RefrigerantLeaking_Result_Blend5_Name_Method1)</f>
        <v/>
      </c>
      <c r="H36" s="1">
        <f>INDEX(Table_E_CO2e,6,4)</f>
        <v>0</v>
      </c>
      <c r="I36" s="1">
        <f t="shared" si="2"/>
        <v>0</v>
      </c>
      <c r="J36" s="9" t="s">
        <v>6</v>
      </c>
    </row>
    <row r="37" spans="1:10" ht="20.100000000000001" customHeight="1" x14ac:dyDescent="0.2">
      <c r="A37" s="5" t="str">
        <f>HYPERLINK("#'4.3.1.9 Soil direct N2O'!A1", "4.3.1.9 Soil direct N2O")</f>
        <v>4.3.1.9 Soil direct N2O</v>
      </c>
      <c r="D37" s="1" t="s">
        <v>321</v>
      </c>
      <c r="E37" s="1" cm="1">
        <f t="array" ref="E37">VEERG_9_1_1__1_RefrigerantLeaking_Result_Blend6_Value_Method1</f>
        <v>0</v>
      </c>
      <c r="F37" s="1">
        <f t="shared" si="1"/>
        <v>0</v>
      </c>
      <c r="G37" s="9" t="str" cm="1">
        <f t="array" ref="G37">IF(ISBLANK(VEERG_9_1_1__1_RefrigerantLeaking_Result_Blend6_Name_Method1), "", "t " &amp; VEERG_9_1_1__1_RefrigerantLeaking_Result_Blend6_Name_Method1)</f>
        <v/>
      </c>
      <c r="H37" s="1">
        <f>INDEX(Table_E_CO2e,7,4)</f>
        <v>0</v>
      </c>
      <c r="I37" s="1">
        <f t="shared" si="2"/>
        <v>0</v>
      </c>
      <c r="J37" s="9" t="s">
        <v>6</v>
      </c>
    </row>
    <row r="38" spans="1:10" ht="20.100000000000001" customHeight="1" x14ac:dyDescent="0.2">
      <c r="A38" s="5" t="str">
        <f>HYPERLINK("#'4.3.1.10-11 Soil Atmos Dep'!A1", "4.3.1.10-11 Soil Atmos Deposition")</f>
        <v>4.3.1.10-11 Soil Atmos Deposition</v>
      </c>
      <c r="D38" s="1" t="s">
        <v>322</v>
      </c>
      <c r="E38" s="1" cm="1">
        <f t="array" ref="E38">VEERG_9_1_1__1_RefrigerantLeaking_Result_Blend7_Value_Method1</f>
        <v>0</v>
      </c>
      <c r="F38" s="1">
        <f t="shared" si="1"/>
        <v>0</v>
      </c>
      <c r="G38" s="9" t="str" cm="1">
        <f t="array" ref="G38">IF(ISBLANK(VEERG_9_1_1__1_RefrigerantLeaking_Result_Blend7_Name_Method1), "", "t " &amp; VEERG_9_1_1__1_RefrigerantLeaking_Result_Blend7_Name_Method1)</f>
        <v/>
      </c>
      <c r="H38" s="1">
        <f>INDEX(Table_E_CO2e,8,4)</f>
        <v>0</v>
      </c>
      <c r="I38" s="1">
        <f t="shared" si="2"/>
        <v>0</v>
      </c>
      <c r="J38" s="9" t="s">
        <v>6</v>
      </c>
    </row>
    <row r="39" spans="1:10" ht="20.100000000000001" customHeight="1" x14ac:dyDescent="0.2">
      <c r="A39" s="5" t="str">
        <f>HYPERLINK("#'4.3.1.12-13 Soil leach runoff'!A1", "4.3.1.12-13 Soil leach &amp; runoff")</f>
        <v>4.3.1.12-13 Soil leach &amp; runoff</v>
      </c>
      <c r="D39" s="1" t="s">
        <v>323</v>
      </c>
      <c r="E39" s="1" cm="1">
        <f t="array" ref="E39">VEERG_9_1_1__1_RefrigerantLeaking_Result_Blend8_Value_Method1</f>
        <v>0</v>
      </c>
      <c r="F39" s="1">
        <f t="shared" si="1"/>
        <v>0</v>
      </c>
      <c r="G39" s="9" t="str" cm="1">
        <f t="array" ref="G39">IF(ISBLANK(VEERG_9_1_1__1_RefrigerantLeaking_Result_Blend8_Name_Method1), "", "t " &amp; VEERG_9_1_1__1_RefrigerantLeaking_Result_Blend8_Name_Method1)</f>
        <v/>
      </c>
      <c r="H39" s="1">
        <f>INDEX(Table_E_CO2e,9,4)</f>
        <v>0</v>
      </c>
      <c r="I39" s="1">
        <f t="shared" si="2"/>
        <v>0</v>
      </c>
      <c r="J39" s="9" t="s">
        <v>6</v>
      </c>
    </row>
    <row r="40" spans="1:10" ht="20.100000000000001" customHeight="1" x14ac:dyDescent="0.2">
      <c r="A40" s="5" t="str">
        <f>HYPERLINK("#'5.1.1.1-2 Inorganic fert N2O'!A1", "5.1.1.1-2 Inorganic fert N2O")</f>
        <v>5.1.1.1-2 Inorganic fert N2O</v>
      </c>
      <c r="D40" s="1" t="s">
        <v>324</v>
      </c>
      <c r="E40" s="1" cm="1">
        <f t="array" ref="E40">VEERG_9_1_1__1_RefrigerantLeaking_Result_Blend9_Value_Method1</f>
        <v>0</v>
      </c>
      <c r="F40" s="1">
        <f t="shared" si="1"/>
        <v>0</v>
      </c>
      <c r="G40" s="9" t="str" cm="1">
        <f t="array" ref="G40">IF(ISBLANK(VEERG_9_1_1__1_RefrigerantLeaking_Result_Blend9_Name_Method1), "", "t " &amp; VEERG_9_1_1__1_RefrigerantLeaking_Result_Blend9_Name_Method1)</f>
        <v/>
      </c>
      <c r="H40" s="1">
        <f>INDEX(Table_E_CO2e,10,4)</f>
        <v>0</v>
      </c>
      <c r="I40" s="1">
        <f t="shared" si="2"/>
        <v>0</v>
      </c>
      <c r="J40" s="9" t="s">
        <v>6</v>
      </c>
    </row>
    <row r="41" spans="1:10" ht="20.100000000000001" customHeight="1" x14ac:dyDescent="0.2">
      <c r="A41" s="5" t="str">
        <f>HYPERLINK("#'5.1.1.3-4 Inorganic fert CO2'!A1", "5.1.1.3-4 Inorganic fert CO2")</f>
        <v>5.1.1.3-4 Inorganic fert CO2</v>
      </c>
      <c r="D41" s="1" t="s">
        <v>325</v>
      </c>
      <c r="E41" s="1" cm="1">
        <f t="array" ref="E41">VEERG_9_1_1__1_RefrigerantLeaking_Result_Blend10_Value_Method1</f>
        <v>0</v>
      </c>
      <c r="F41" s="1">
        <f t="shared" si="1"/>
        <v>0</v>
      </c>
      <c r="G41" s="9" t="str" cm="1">
        <f t="array" ref="G41">IF(ISBLANK(VEERG_9_1_1__1_RefrigerantLeaking_Result_Blend10_Name_Method1), "", "t " &amp; VEERG_9_1_1__1_RefrigerantLeaking_Result_Blend10_Name_Method1)</f>
        <v/>
      </c>
      <c r="H41" s="1">
        <f>INDEX(Table_E_CO2e,11,4)</f>
        <v>0</v>
      </c>
      <c r="I41" s="1">
        <f t="shared" si="2"/>
        <v>0</v>
      </c>
      <c r="J41" s="9" t="s">
        <v>6</v>
      </c>
    </row>
    <row r="42" spans="1:10" ht="20.100000000000001" customHeight="1" x14ac:dyDescent="0.2">
      <c r="A42" s="5" t="str">
        <f>HYPERLINK("#'5.2.1.1-2 Organic Fert N2O'!A1", "5.2.1.1-2 Organic fert N2O")</f>
        <v>5.2.1.1-2 Organic fert N2O</v>
      </c>
      <c r="D42" s="1" t="s">
        <v>315</v>
      </c>
      <c r="E42" s="1" cm="1">
        <f t="array" ref="E42">VEERG_10_1_1_1__1_EmissionsFromWasteManagement_Scope1_Result_Method1</f>
        <v>438.82805000000002</v>
      </c>
      <c r="F42" s="1">
        <f>E42</f>
        <v>438.82805000000002</v>
      </c>
      <c r="G42" s="9" t="s">
        <v>264</v>
      </c>
      <c r="H42" s="1">
        <f>E42</f>
        <v>438.82805000000002</v>
      </c>
      <c r="I42" s="1">
        <f>F42</f>
        <v>438.82805000000002</v>
      </c>
      <c r="J42" s="9" t="s">
        <v>6</v>
      </c>
    </row>
    <row r="43" spans="1:10" ht="20.100000000000001" customHeight="1" x14ac:dyDescent="0.2">
      <c r="A43" s="5" t="str">
        <f>HYPERLINK("#'5.3.1.1-2 Lime CO2'!A1", "5.3.1.1-2 Lime CO2")</f>
        <v>5.3.1.1-2 Lime CO2</v>
      </c>
      <c r="D43" s="87" t="s">
        <v>240</v>
      </c>
      <c r="E43" s="88"/>
      <c r="F43" s="88"/>
      <c r="G43" s="88"/>
      <c r="H43" s="87">
        <f ca="1">SUM(H10:H42)</f>
        <v>3744.8573768098872</v>
      </c>
      <c r="I43" s="87">
        <f ca="1">SUM(I10:I42)</f>
        <v>3753.9955020961629</v>
      </c>
      <c r="J43" s="89" t="s">
        <v>6</v>
      </c>
    </row>
    <row r="44" spans="1:10" ht="20.100000000000001" customHeight="1" x14ac:dyDescent="0.2">
      <c r="A44" s="5" t="str">
        <f>HYPERLINK("#'5.4.1.1-4 Atmos deposition'!A1", "5.4.1.1-4 Atmos. deposition")</f>
        <v>5.4.1.1-4 Atmos. deposition</v>
      </c>
    </row>
    <row r="45" spans="1:10" ht="20.100000000000001" customHeight="1" x14ac:dyDescent="0.2">
      <c r="A45" s="5" t="str">
        <f>HYPERLINK("#'5.5.1.1-2 Leaching and runoff'!A1", "5.5.1.1-2 Leaching &amp; runoff")</f>
        <v>5.5.1.1-2 Leaching &amp; runoff</v>
      </c>
    </row>
    <row r="46" spans="1:10" ht="20.100000000000001" customHeight="1" x14ac:dyDescent="0.2">
      <c r="A46" s="5" t="str">
        <f>HYPERLINK("#'6.2.1.1-2 Pasture residue N2O'!A1", "6.2.1.1-2 Pasture residue N2O")</f>
        <v>6.2.1.1-2 Pasture residue N2O</v>
      </c>
      <c r="D46" s="78" t="s">
        <v>241</v>
      </c>
    </row>
    <row r="47" spans="1:10" ht="20.100000000000001" customHeight="1" x14ac:dyDescent="0.2">
      <c r="A47" s="5" t="str">
        <f>HYPERLINK("#'6.3.1.1-2 Leach runoff pasture'!A1", "6.3.1.1-2 Leach &amp; runoff (pasture)")</f>
        <v>6.3.1.1-2 Leach &amp; runoff (pasture)</v>
      </c>
    </row>
    <row r="48" spans="1:10" ht="20.100000000000001" customHeight="1" x14ac:dyDescent="0.2">
      <c r="A48" s="5" t="str">
        <f>HYPERLINK("#'8.1.1.1-2 Transport fuel'!A1", "8.1.1.1-2 Transport fuel")</f>
        <v>8.1.1.1-2 Transport fuel</v>
      </c>
      <c r="D48" s="11" t="s">
        <v>242</v>
      </c>
      <c r="E48" s="11" t="s">
        <v>7</v>
      </c>
      <c r="F48" s="11" t="s">
        <v>8</v>
      </c>
      <c r="G48" s="11" t="s">
        <v>4</v>
      </c>
      <c r="H48" s="11" t="s">
        <v>9</v>
      </c>
      <c r="I48" s="11" t="s">
        <v>10</v>
      </c>
      <c r="J48" s="11"/>
    </row>
    <row r="49" spans="1:10" ht="20.100000000000001" customHeight="1" x14ac:dyDescent="0.2">
      <c r="A49" s="5" t="str">
        <f>HYPERLINK("#'8.2.1.1-2 Stationary fuel'!A1", "8.2.1.1-2 Stationary fuel")</f>
        <v>8.2.1.1-2 Stationary fuel</v>
      </c>
      <c r="D49" s="1" t="str" cm="1">
        <f t="array" ref="D49">"14.1.1-2 Purchased electricity " &amp; IF(X_Cell_Electricity_CalculationMethod="Location-based (simpler)", "(Location-based)", "(Market-based)")</f>
        <v>14.1.1-2 Purchased electricity (Location-based)</v>
      </c>
      <c r="E49" s="1" cm="1">
        <f t="array" ref="E49">IF(X_Cell_Electricity_CalculationMethod="Location-based (simpler)", VEERG_14_1_1__1_LocationBasedScopeElectricityEmissions_Result_Method1, VEERG_14_1_2__1_MarketBasedScopeElectricityEmissionsVariation_Result_Method1)</f>
        <v>16.8</v>
      </c>
      <c r="F49" s="1">
        <f>E43</f>
        <v>0</v>
      </c>
      <c r="G49" s="9" t="s">
        <v>6</v>
      </c>
      <c r="H49" s="1">
        <f>E43</f>
        <v>0</v>
      </c>
      <c r="I49" s="1">
        <f>F43</f>
        <v>0</v>
      </c>
      <c r="J49" s="9" t="s">
        <v>6</v>
      </c>
    </row>
    <row r="50" spans="1:10" ht="20.100000000000001" customHeight="1" x14ac:dyDescent="0.2">
      <c r="A50" s="5" t="str">
        <f>HYPERLINK("#'9.1.1.1-2 Refrigerant use'!A1", "9.1.1.1-2 Refrigerant use")</f>
        <v>9.1.1.1-2 Refrigerant use</v>
      </c>
      <c r="D50" s="87" t="s">
        <v>243</v>
      </c>
      <c r="E50" s="90"/>
      <c r="F50" s="90"/>
      <c r="G50" s="90"/>
      <c r="H50" s="87">
        <f>SUM(H49)</f>
        <v>0</v>
      </c>
      <c r="I50" s="87">
        <f>SUM(I49)</f>
        <v>0</v>
      </c>
      <c r="J50" s="89" t="s">
        <v>6</v>
      </c>
    </row>
    <row r="51" spans="1:10" ht="20.100000000000001" customHeight="1" x14ac:dyDescent="0.2">
      <c r="A51" s="5" t="str">
        <f>HYPERLINK("#'10.1.1-2 Solid waste treatment'!A1", "10.1.1.1-2 Solid waste")</f>
        <v>10.1.1.1-2 Solid waste</v>
      </c>
    </row>
    <row r="52" spans="1:10" ht="20.100000000000001" customHeight="1" x14ac:dyDescent="0.2">
      <c r="A52" s="5" t="str">
        <f>HYPERLINK("#'14.1.1-2 Purchased electricity'!A1", "14.1.1-2 Purchased electricity")</f>
        <v>14.1.1-2 Purchased electricity</v>
      </c>
    </row>
    <row r="53" spans="1:10" ht="20.100000000000001" customHeight="1" x14ac:dyDescent="0.2">
      <c r="A53" s="5" t="str">
        <f>HYPERLINK("#'15 Scope 3'!A1", "15 Scope 3")</f>
        <v>15 Scope 3</v>
      </c>
      <c r="D53" s="78" t="s">
        <v>244</v>
      </c>
    </row>
    <row r="54" spans="1:10" ht="20.100000000000001" customHeight="1" x14ac:dyDescent="0.2">
      <c r="A54" s="5" t="str">
        <f>HYPERLINK("#'Calcs - Manure sent off-site'!A1", "Calcs - Manure sent off-site")</f>
        <v>Calcs - Manure sent off-site</v>
      </c>
      <c r="D54" s="11" t="s">
        <v>245</v>
      </c>
      <c r="E54" s="11" t="s">
        <v>7</v>
      </c>
      <c r="F54" s="11" t="s">
        <v>8</v>
      </c>
      <c r="G54" s="11" t="s">
        <v>4</v>
      </c>
      <c r="H54" s="11" t="s">
        <v>9</v>
      </c>
      <c r="I54" s="11" t="s">
        <v>10</v>
      </c>
      <c r="J54" s="11"/>
    </row>
    <row r="55" spans="1:10" ht="20.100000000000001" customHeight="1" x14ac:dyDescent="0.2">
      <c r="D55" s="1" t="s">
        <v>246</v>
      </c>
      <c r="E55" s="1" cm="1">
        <f t="array" ref="E55">VEERG_15_1_1_1__1_EmissionsFromPurchasedLivestock_Result_Method1</f>
        <v>295.47000000000003</v>
      </c>
      <c r="F55" s="1" cm="1">
        <f t="array" ref="F55">VEERG_15_1_1_1__1_EmissionsFromPurchasedLivestock_Result_Method2</f>
        <v>415.625</v>
      </c>
      <c r="G55" s="9" t="s">
        <v>6</v>
      </c>
      <c r="H55" s="1">
        <f>E55</f>
        <v>295.47000000000003</v>
      </c>
      <c r="I55" s="1">
        <f>F55</f>
        <v>415.625</v>
      </c>
      <c r="J55" s="9" t="s">
        <v>6</v>
      </c>
    </row>
    <row r="56" spans="1:10" ht="20.100000000000001" customHeight="1" x14ac:dyDescent="0.2">
      <c r="D56" s="1" t="s">
        <v>247</v>
      </c>
      <c r="E56" s="1" cm="1">
        <f t="array" ref="E56">VEERG_15_2_1_1__1_EmissionsFromPurchasedFeed_Result_Method1</f>
        <v>0.78505200000000008</v>
      </c>
      <c r="F56" s="1" cm="1">
        <f t="array" ref="F56">VEERG_15_2_1_1__1_EmissionsFromPurchasedFeed_Result_Method2</f>
        <v>0.52978000000000003</v>
      </c>
      <c r="G56" s="9" t="s">
        <v>6</v>
      </c>
      <c r="H56" s="1">
        <f t="shared" ref="H56:I67" si="3">E56</f>
        <v>0.78505200000000008</v>
      </c>
      <c r="I56" s="1">
        <f t="shared" si="3"/>
        <v>0.52978000000000003</v>
      </c>
      <c r="J56" s="9" t="s">
        <v>6</v>
      </c>
    </row>
    <row r="57" spans="1:10" ht="20.100000000000001" customHeight="1" x14ac:dyDescent="0.2">
      <c r="A57" s="82" t="s">
        <v>1</v>
      </c>
      <c r="D57" s="1" t="s">
        <v>248</v>
      </c>
      <c r="E57" s="1" cm="1">
        <f t="array" ref="E57">VEERG_15_3_1_1__1_EmissionsFromPurchasedMineralSupplements_Result_Method1</f>
        <v>0.1789</v>
      </c>
      <c r="F57" s="1" cm="1">
        <f t="array" ref="F57">VEERG_15_3_1_1__1_EmissionsFromPurchasedMineralSupplements_Result_Method2</f>
        <v>0.16</v>
      </c>
      <c r="G57" s="9" t="s">
        <v>6</v>
      </c>
      <c r="H57" s="1">
        <f t="shared" si="3"/>
        <v>0.1789</v>
      </c>
      <c r="I57" s="1">
        <f t="shared" si="3"/>
        <v>0.16</v>
      </c>
      <c r="J57" s="9" t="s">
        <v>6</v>
      </c>
    </row>
    <row r="58" spans="1:10" ht="20.100000000000001" customHeight="1" x14ac:dyDescent="0.2">
      <c r="A58" s="5" t="str">
        <f>HYPERLINK("#'Constants - Dairy'!A1", "Constants - Dairy")</f>
        <v>Constants - Dairy</v>
      </c>
      <c r="D58" s="1" t="s">
        <v>249</v>
      </c>
      <c r="E58" s="1" cm="1">
        <f t="array" ref="E58">VEERG_15_4_1_1__2_EmissionsFromPurchasedFertiliserComponentsVariation_Result_Method1</f>
        <v>518.80600000000004</v>
      </c>
      <c r="F58" s="1" cm="1">
        <f t="array" ref="F58">VEERG_15_4_1_1__2_EmissionsFromPurchasedFertiliserComponentsVariation_Result_Method2</f>
        <v>599.726</v>
      </c>
      <c r="G58" s="9" t="s">
        <v>6</v>
      </c>
      <c r="H58" s="1">
        <f t="shared" si="3"/>
        <v>518.80600000000004</v>
      </c>
      <c r="I58" s="1">
        <f t="shared" si="3"/>
        <v>599.726</v>
      </c>
      <c r="J58" s="9" t="s">
        <v>6</v>
      </c>
    </row>
    <row r="59" spans="1:10" ht="20.100000000000001" customHeight="1" x14ac:dyDescent="0.2">
      <c r="A59" s="5" t="str">
        <f>HYPERLINK("#'Constants - Ag Residue'!A1", "Constants - Ag residue")</f>
        <v>Constants - Ag residue</v>
      </c>
      <c r="D59" s="1" t="s">
        <v>250</v>
      </c>
      <c r="E59" s="1" cm="1">
        <f t="array" ref="E59">VEERG_15_5_1_1__1_EmissionsFromPurchasedAgrichemicals_Result_Method1</f>
        <v>7.5159999999999991</v>
      </c>
      <c r="F59" s="1" cm="1">
        <f t="array" ref="F59">VEERG_15_5_1_1__1_EmissionsFromPurchasedAgrichemicals_Result_Method2</f>
        <v>7.4959999999999996</v>
      </c>
      <c r="G59" s="9" t="s">
        <v>6</v>
      </c>
      <c r="H59" s="1">
        <f t="shared" si="3"/>
        <v>7.5159999999999991</v>
      </c>
      <c r="I59" s="1">
        <f t="shared" si="3"/>
        <v>7.4959999999999996</v>
      </c>
      <c r="J59" s="9" t="s">
        <v>6</v>
      </c>
    </row>
    <row r="60" spans="1:10" ht="20.100000000000001" customHeight="1" x14ac:dyDescent="0.2">
      <c r="A60" s="5" t="str">
        <f>HYPERLINK("#'Constants - Common Livestock'!A1", "Constants - Common Livestock")</f>
        <v>Constants - Common Livestock</v>
      </c>
      <c r="D60" s="1" t="s">
        <v>251</v>
      </c>
      <c r="E60" s="1" cm="1">
        <f t="array" ref="E60">VEERG_15_6_1_1__1_EmissionsFromPurchasedLime_Result_Method1</f>
        <v>0.16553999999999999</v>
      </c>
      <c r="F60" s="1" cm="1">
        <f t="array" ref="F60">VEERG_15_6_1_1__1_EmissionsFromPurchasedLime_Result_Method2</f>
        <v>0.14399999999999999</v>
      </c>
      <c r="G60" s="9" t="s">
        <v>6</v>
      </c>
      <c r="H60" s="1">
        <f t="shared" si="3"/>
        <v>0.16553999999999999</v>
      </c>
      <c r="I60" s="1">
        <f t="shared" si="3"/>
        <v>0.14399999999999999</v>
      </c>
      <c r="J60" s="9" t="s">
        <v>6</v>
      </c>
    </row>
    <row r="61" spans="1:10" ht="20.100000000000001" customHeight="1" x14ac:dyDescent="0.2">
      <c r="A61" s="5" t="str">
        <f>HYPERLINK("#'Constants - Electricity'!A1", "Constants - Electricity")</f>
        <v>Constants - Electricity</v>
      </c>
      <c r="D61" s="1" t="s">
        <v>252</v>
      </c>
      <c r="E61" s="1" t="str" cm="1">
        <f t="array" ref="E61">VEERG_15_7_1_1__1_EmissionsFromPurchasedServices_Result_Method1</f>
        <v>No data</v>
      </c>
      <c r="F61" s="1" cm="1">
        <f t="array" ref="F61">VEERG_15_7_1_1__1_EmissionsFromPurchasedServices_Result_Method2</f>
        <v>42</v>
      </c>
      <c r="G61" s="9" t="s">
        <v>6</v>
      </c>
      <c r="H61" s="1" t="str">
        <f t="shared" si="3"/>
        <v>No data</v>
      </c>
      <c r="I61" s="1">
        <f t="shared" si="3"/>
        <v>42</v>
      </c>
      <c r="J61" s="9" t="s">
        <v>6</v>
      </c>
    </row>
    <row r="62" spans="1:10" ht="20.100000000000001" customHeight="1" x14ac:dyDescent="0.2">
      <c r="A62" s="5" t="str">
        <f>HYPERLINK("#'Constants - Fertiliser'!A1", "Constants - Fertiliser")</f>
        <v>Constants - Fertiliser</v>
      </c>
      <c r="D62" s="1" t="s">
        <v>253</v>
      </c>
      <c r="E62" s="1" cm="1">
        <f t="array" ref="E62">VEERG_15_10_1_1__1_OtherPurchasedGoodsAndServices_CleaningChemicals_Result_Method1</f>
        <v>0.50509999999999999</v>
      </c>
      <c r="F62" s="1" cm="1">
        <f t="array" ref="F62">VEERG_15_10_1_1__1_OtherPurchasedGoodsAndServices_CleaningChemicals_Result_Method2</f>
        <v>2.73</v>
      </c>
      <c r="G62" s="9" t="s">
        <v>6</v>
      </c>
      <c r="H62" s="1">
        <f t="shared" si="3"/>
        <v>0.50509999999999999</v>
      </c>
      <c r="I62" s="1">
        <f t="shared" si="3"/>
        <v>2.73</v>
      </c>
      <c r="J62" s="9" t="s">
        <v>6</v>
      </c>
    </row>
    <row r="63" spans="1:10" ht="20.100000000000001" customHeight="1" x14ac:dyDescent="0.2">
      <c r="A63" s="5" t="str">
        <f>HYPERLINK("#'Constants - Fuel'!A1", "Constants - Fuel")</f>
        <v>Constants - Fuel</v>
      </c>
      <c r="D63" s="1" t="s">
        <v>254</v>
      </c>
      <c r="E63" s="1" cm="1">
        <f t="array" ref="E63">VEERG_15_10_1_1__1_OtherPurchasedGoodsAndServices_PharmacyChemicals_Result_Method1</f>
        <v>1.5636000000000001E-2</v>
      </c>
      <c r="F63" s="1" cm="1">
        <f t="array" ref="F63">VEERG_15_10_1_1__1_OtherPurchasedGoodsAndServices_PharmacyChemicals_Result_Method2</f>
        <v>1.3400000000000002E-2</v>
      </c>
      <c r="G63" s="9" t="s">
        <v>6</v>
      </c>
      <c r="H63" s="1">
        <f t="shared" si="3"/>
        <v>1.5636000000000001E-2</v>
      </c>
      <c r="I63" s="1">
        <f t="shared" si="3"/>
        <v>1.3400000000000002E-2</v>
      </c>
      <c r="J63" s="9" t="s">
        <v>6</v>
      </c>
    </row>
    <row r="64" spans="1:10" ht="20.100000000000001" customHeight="1" x14ac:dyDescent="0.2">
      <c r="A64" s="5" t="str">
        <f>HYPERLINK("#'Constants - Scope 3'!A1", "Constants - Scope 3")</f>
        <v>Constants - Scope 3</v>
      </c>
      <c r="D64" s="1" t="s">
        <v>255</v>
      </c>
      <c r="E64" s="1" cm="1">
        <f t="array" ref="E64">VEERG_15_10_1_1__1_OtherPurchasedGoodsAndServices_Misc_Result_Method1</f>
        <v>1.01E-2</v>
      </c>
      <c r="F64" s="1" cm="1">
        <f t="array" ref="F64">VEERG_15_10_1_1__1_OtherPurchasedGoodsAndServices_Misc_Result_Method2</f>
        <v>2.5860000000000001E-2</v>
      </c>
      <c r="G64" s="9" t="s">
        <v>6</v>
      </c>
      <c r="H64" s="1">
        <f t="shared" si="3"/>
        <v>1.01E-2</v>
      </c>
      <c r="I64" s="1">
        <f t="shared" si="3"/>
        <v>2.5860000000000001E-2</v>
      </c>
      <c r="J64" s="9" t="s">
        <v>6</v>
      </c>
    </row>
    <row r="65" spans="1:10" ht="20.100000000000001" customHeight="1" x14ac:dyDescent="0.2">
      <c r="A65" s="5" t="str">
        <f>HYPERLINK("#'Constants - Common'!A1", "Constants - Common")</f>
        <v>Constants - Common</v>
      </c>
      <c r="D65" s="1" t="s">
        <v>256</v>
      </c>
      <c r="E65" s="1" t="str" cm="1">
        <f t="array" ref="E65">VEERG_15_10_1_1__1_OtherPurchasedGoodsAndServices_Uncategorised_Result_Method1</f>
        <v>No data</v>
      </c>
      <c r="F65" s="1" cm="1">
        <f t="array" ref="F65">VEERG_15_10_1_1__1_OtherPurchasedGoodsAndServices_Uncategorised_Result_Method2</f>
        <v>4000</v>
      </c>
      <c r="G65" s="9" t="s">
        <v>6</v>
      </c>
      <c r="H65" s="1" t="str">
        <f t="shared" si="3"/>
        <v>No data</v>
      </c>
      <c r="I65" s="1">
        <f t="shared" si="3"/>
        <v>4000</v>
      </c>
      <c r="J65" s="9" t="s">
        <v>6</v>
      </c>
    </row>
    <row r="66" spans="1:10" ht="20.100000000000001" customHeight="1" x14ac:dyDescent="0.2">
      <c r="A66" s="5" t="str">
        <f>HYPERLINK("#'Constants - Refrigerants'!A1", "Constants - Refrigerants")</f>
        <v>Constants - Refrigerants</v>
      </c>
      <c r="D66" s="1" t="s">
        <v>257</v>
      </c>
      <c r="E66" s="1" cm="1">
        <f t="array" ref="E66">VEERG_15_11_1_1__1_TotalUpstreamEmissionsFromFuel_Result</f>
        <v>26.794</v>
      </c>
      <c r="F66" s="1">
        <f>E66</f>
        <v>26.794</v>
      </c>
      <c r="G66" s="9" t="s">
        <v>6</v>
      </c>
      <c r="H66" s="1">
        <f t="shared" si="3"/>
        <v>26.794</v>
      </c>
      <c r="I66" s="1">
        <f t="shared" si="3"/>
        <v>26.794</v>
      </c>
      <c r="J66" s="9" t="s">
        <v>6</v>
      </c>
    </row>
    <row r="67" spans="1:10" ht="20.100000000000001" customHeight="1" x14ac:dyDescent="0.2">
      <c r="A67" s="5" t="str">
        <f>HYPERLINK("#'Constants - Solid Waste'!A1", "Constants - Solid Waste")</f>
        <v>Constants - Solid Waste</v>
      </c>
      <c r="D67" s="1" t="str" cm="1">
        <f t="array" ref="D67">"15.12.1.1 Purchased electricity " &amp; IF(X_Cell_Electricity_CalculationMethod="Location-based (simpler)", "(Location-based)", "(Market-based)")</f>
        <v>15.12.1.1 Purchased electricity (Location-based)</v>
      </c>
      <c r="E67" s="1" cm="1">
        <f t="array" ref="E67">IF(X_Cell_Electricity_CalculationMethod="Location-based (simpler)", VEERG_15_12_1_1__1_UpstreamPurchasedElectricityLocationBased_Result, VEERG_15_12_1_1__1_UpstreamPurchasedElectricityMarketBased_Result)</f>
        <v>2.7</v>
      </c>
      <c r="F67" s="1">
        <f>E67</f>
        <v>2.7</v>
      </c>
      <c r="G67" s="9" t="s">
        <v>6</v>
      </c>
      <c r="H67" s="1">
        <f t="shared" si="3"/>
        <v>2.7</v>
      </c>
      <c r="I67" s="1">
        <f t="shared" si="3"/>
        <v>2.7</v>
      </c>
      <c r="J67" s="9" t="s">
        <v>6</v>
      </c>
    </row>
    <row r="68" spans="1:10" ht="20.100000000000001" customHeight="1" x14ac:dyDescent="0.2">
      <c r="A68" s="5" t="str">
        <f>HYPERLINK("#'Acknowledgements'!A1", "Acknowledgements")</f>
        <v>Acknowledgements</v>
      </c>
      <c r="D68" s="1" t="s">
        <v>258</v>
      </c>
      <c r="E68" s="1" t="str" cm="1">
        <f t="array" ref="E68">VEERG_15_14_1_1__1_EmbeddedEmissionsFromUpstreamFreight_Incoming_Result_Method1</f>
        <v>No data</v>
      </c>
      <c r="F68" s="1" cm="1">
        <f t="array" ref="F68">VEERG_15_14_1_1__1_EmbeddedEmissionsFromUpstreamFreight_Incoming_Result_Method2</f>
        <v>5146700</v>
      </c>
      <c r="G68" s="9" t="s">
        <v>6</v>
      </c>
      <c r="H68" s="1" t="str">
        <f>E68</f>
        <v>No data</v>
      </c>
      <c r="I68" s="1">
        <f>F68</f>
        <v>5146700</v>
      </c>
      <c r="J68" s="9" t="s">
        <v>6</v>
      </c>
    </row>
    <row r="69" spans="1:10" ht="20.100000000000001" customHeight="1" x14ac:dyDescent="0.2">
      <c r="D69" s="1" t="s">
        <v>259</v>
      </c>
      <c r="E69" s="1" cm="1">
        <f t="array" ref="E69">VEERG_10_1_1_1__1_EmissionsFromWasteManagement_Scope3_Result_Method1</f>
        <v>441.15000000000003</v>
      </c>
      <c r="F69" s="1">
        <f>E69</f>
        <v>441.15000000000003</v>
      </c>
      <c r="G69" s="9" t="s">
        <v>6</v>
      </c>
      <c r="H69" s="1">
        <f t="shared" ref="H69:I70" si="4">E69</f>
        <v>441.15000000000003</v>
      </c>
      <c r="I69" s="1">
        <f t="shared" si="4"/>
        <v>441.15000000000003</v>
      </c>
      <c r="J69" s="9" t="s">
        <v>6</v>
      </c>
    </row>
    <row r="70" spans="1:10" ht="20.100000000000001" customHeight="1" x14ac:dyDescent="0.2">
      <c r="D70" s="1" t="s">
        <v>260</v>
      </c>
      <c r="E70" s="1" t="str" cm="1">
        <f t="array" ref="E70">VEERG_15_14_1_1__1_EmbeddedEmissionsFromUpstreamFreight_Outgoing_Result_Method1</f>
        <v>No data</v>
      </c>
      <c r="F70" s="1" cm="1">
        <f t="array" ref="F70">VEERG_15_14_1_1__1_EmbeddedEmissionsFromUpstreamFreight_Outgoing_Result_Method2</f>
        <v>432640</v>
      </c>
      <c r="G70" s="9" t="s">
        <v>6</v>
      </c>
      <c r="H70" s="1" t="str">
        <f t="shared" si="4"/>
        <v>No data</v>
      </c>
      <c r="I70" s="1">
        <f t="shared" si="4"/>
        <v>432640</v>
      </c>
      <c r="J70" s="9" t="s">
        <v>6</v>
      </c>
    </row>
    <row r="71" spans="1:10" ht="20.100000000000001" customHeight="1" x14ac:dyDescent="0.2">
      <c r="D71" s="87" t="s">
        <v>261</v>
      </c>
      <c r="E71" s="90"/>
      <c r="F71" s="90"/>
      <c r="G71" s="90"/>
      <c r="H71" s="87">
        <f>SUM(H55:H70)</f>
        <v>1294.0963280000001</v>
      </c>
      <c r="I71" s="87">
        <f>SUM(I55:I70)</f>
        <v>5584879.0940400008</v>
      </c>
      <c r="J71" s="89" t="s">
        <v>6</v>
      </c>
    </row>
    <row r="74" spans="1:10" ht="20.100000000000001" customHeight="1" x14ac:dyDescent="0.2">
      <c r="D74" s="78" t="str">
        <f>"Carbon removals from plantings for the activity period " &amp; TEXT(X_Cell_Site_StartDate, "d mmmm yyyy") &amp; " and " &amp; TEXT(X_Cell_Site_EndDate, "d mmmm yyyy")</f>
        <v>Carbon removals from plantings for the activity period 1 January 2024 and 31 December 2024</v>
      </c>
    </row>
    <row r="76" spans="1:10" ht="20.100000000000001" customHeight="1" x14ac:dyDescent="0.2">
      <c r="D76" s="87" t="s">
        <v>262</v>
      </c>
      <c r="E76" s="90">
        <f>SUM(Table_Input_Enterprise_PlantingRemovals[Removal allocated to this enterprise])</f>
        <v>0</v>
      </c>
      <c r="F76" s="89" t="s">
        <v>126</v>
      </c>
    </row>
    <row r="79" spans="1:10" ht="20.100000000000001" customHeight="1" x14ac:dyDescent="0.2">
      <c r="A79" s="129" t="str">
        <f>HYPERLINK("#A1", "▲ Back to top")</f>
        <v>▲ Back to top</v>
      </c>
      <c r="D79" s="78" t="str">
        <f>"Net emissions for the activity period " &amp; TEXT(X_Cell_Site_StartDate, "d mmmm yyyy") &amp; " and " &amp; TEXT(X_Cell_Site_EndDate, "d mmmm yyyy")</f>
        <v>Net emissions for the activity period 1 January 2024 and 31 December 2024</v>
      </c>
    </row>
    <row r="81" spans="4:7" ht="20.100000000000001" customHeight="1" x14ac:dyDescent="0.2">
      <c r="D81" s="11"/>
      <c r="E81" s="11" t="s">
        <v>129</v>
      </c>
      <c r="F81" s="11" t="s">
        <v>130</v>
      </c>
    </row>
    <row r="82" spans="4:7" ht="20.100000000000001" customHeight="1" x14ac:dyDescent="0.2">
      <c r="D82" s="85" t="s">
        <v>263</v>
      </c>
      <c r="E82" s="91">
        <f ca="1">Result_Enterprise_Scope1_Method1+Result_Enterprise_Scope2_Method1+Result_Enterprise_Scope3_Method1</f>
        <v>5038.9537048098873</v>
      </c>
      <c r="F82" s="91">
        <f ca="1">Result_Enterprise_Scope1_Method2+Result_Enterprise_Scope2_Method2+Result_Enterprise_Scope3_Method2</f>
        <v>7753.9955020961625</v>
      </c>
      <c r="G82" s="86" t="s">
        <v>264</v>
      </c>
    </row>
    <row r="83" spans="4:7" ht="20.100000000000001" customHeight="1" x14ac:dyDescent="0.2">
      <c r="D83" s="85" t="s">
        <v>265</v>
      </c>
      <c r="E83" s="91">
        <f ca="1">Result_Enterprise_Gross_Method1-Result_Enterprise_Removals</f>
        <v>5038.9537048098873</v>
      </c>
      <c r="F83" s="91">
        <f ca="1">Result_Enterprise_Gross_Method2-Result_Enterprise_Removals</f>
        <v>7753.9955020961625</v>
      </c>
      <c r="G83" s="86" t="s">
        <v>264</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DCBC-EA61-418F-9ACB-B83379D3C733}">
  <sheetPr>
    <tabColor rgb="FF0C769E"/>
  </sheetPr>
  <dimension ref="A1:AL445"/>
  <sheetViews>
    <sheetView showGridLines="0" zoomScaleNormal="100" workbookViewId="0">
      <pane xSplit="1" topLeftCell="B1" activePane="topRight" state="frozenSplit"/>
      <selection pane="topRight" activeCell="A68" sqref="A68"/>
    </sheetView>
  </sheetViews>
  <sheetFormatPr defaultRowHeight="20.100000000000001" customHeight="1" x14ac:dyDescent="0.2"/>
  <cols>
    <col min="1" max="1" width="36.7109375" customWidth="1"/>
    <col min="2" max="3" width="4.7109375" customWidth="1"/>
    <col min="4" max="4" width="53.7109375" customWidth="1"/>
    <col min="5" max="14" width="30.7109375" customWidth="1"/>
    <col min="15" max="38" width="9.140625" style="1"/>
  </cols>
  <sheetData>
    <row r="1" spans="1:38" ht="30" customHeight="1" x14ac:dyDescent="0.35">
      <c r="A1" s="10" t="e" vm="1">
        <v>#VALUE!</v>
      </c>
      <c r="C1" s="84" t="s">
        <v>273</v>
      </c>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row>
    <row r="2" spans="1:38" ht="20.100000000000001" customHeight="1" x14ac:dyDescent="0.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spans="1:38" ht="20.100000000000001" customHeight="1" x14ac:dyDescent="0.2">
      <c r="A3" s="5" t="str">
        <f>HYPERLINK("#'Home'!A1", "Home")</f>
        <v>Home</v>
      </c>
      <c r="C3" s="94"/>
      <c r="D3" s="94"/>
      <c r="E3" s="94"/>
      <c r="F3" s="94"/>
      <c r="G3" s="94"/>
      <c r="H3" s="94"/>
      <c r="I3" s="94"/>
      <c r="J3" s="94"/>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row>
    <row r="4" spans="1:38" ht="20.100000000000001" customHeight="1" x14ac:dyDescent="0.2">
      <c r="A4" s="5" t="str">
        <f>HYPERLINK("#'Results - Activity period'!A1", "Results - Activity period")</f>
        <v>Results - Activity period</v>
      </c>
      <c r="C4" s="1"/>
      <c r="D4" s="1"/>
      <c r="E4" s="1"/>
      <c r="F4" s="1"/>
      <c r="G4" s="1"/>
      <c r="H4" s="1"/>
      <c r="I4" s="1"/>
      <c r="J4" s="1"/>
      <c r="K4" s="1"/>
      <c r="L4" s="1"/>
      <c r="M4" s="1"/>
      <c r="N4" s="1"/>
    </row>
    <row r="5" spans="1:38" ht="20.100000000000001" customHeight="1" x14ac:dyDescent="0.2">
      <c r="A5" s="274" t="str">
        <f>HYPERLINK("#'Results - Product EI'!A1", "Results - Product Emissions Intensity")</f>
        <v>Results - Product Emissions Intensity</v>
      </c>
      <c r="C5" s="1"/>
      <c r="D5" s="1"/>
      <c r="E5" s="1"/>
      <c r="F5" s="1"/>
      <c r="G5" s="1"/>
      <c r="H5" s="1"/>
      <c r="I5" s="1"/>
      <c r="J5" s="1"/>
      <c r="K5" s="1"/>
      <c r="L5" s="1"/>
      <c r="M5" s="1"/>
      <c r="N5" s="1"/>
    </row>
    <row r="6" spans="1:38" ht="20.100000000000001" customHeight="1" x14ac:dyDescent="0.2">
      <c r="A6" s="5" t="str">
        <f>HYPERLINK("#'Results'!A1", "Results")</f>
        <v>Results</v>
      </c>
      <c r="C6" s="1"/>
      <c r="D6" s="1"/>
      <c r="E6" s="1"/>
      <c r="F6" s="1"/>
      <c r="G6" s="1"/>
      <c r="H6" s="1"/>
      <c r="I6" s="1"/>
      <c r="J6" s="1"/>
      <c r="K6" s="1"/>
      <c r="L6" s="1"/>
      <c r="M6" s="1"/>
      <c r="N6" s="1"/>
    </row>
    <row r="7" spans="1:38" ht="20.100000000000001" customHeight="1" x14ac:dyDescent="0.2">
      <c r="C7" s="1"/>
      <c r="D7" s="1"/>
      <c r="E7" s="1"/>
      <c r="F7" s="1"/>
      <c r="G7" s="1"/>
      <c r="H7" s="1"/>
      <c r="I7" s="1"/>
      <c r="J7" s="1"/>
      <c r="K7" s="1"/>
      <c r="L7" s="1"/>
      <c r="M7" s="1"/>
      <c r="N7" s="1"/>
    </row>
    <row r="8" spans="1:38" ht="20.100000000000001" customHeight="1" x14ac:dyDescent="0.2">
      <c r="C8" s="1"/>
      <c r="D8" s="1"/>
      <c r="E8" s="1"/>
      <c r="F8" s="1"/>
      <c r="G8" s="1"/>
      <c r="H8" s="1"/>
      <c r="I8" s="1"/>
      <c r="J8" s="1"/>
      <c r="K8" s="1"/>
      <c r="L8" s="1"/>
      <c r="M8" s="1"/>
      <c r="N8" s="1"/>
    </row>
    <row r="9" spans="1:38" ht="20.100000000000001" customHeight="1" x14ac:dyDescent="0.2">
      <c r="A9" s="7" t="s">
        <v>0</v>
      </c>
      <c r="C9" s="1"/>
      <c r="D9" s="1"/>
      <c r="E9" s="1"/>
      <c r="F9" s="1"/>
      <c r="G9" s="1"/>
      <c r="H9" s="1"/>
      <c r="I9" s="1"/>
      <c r="J9" s="1"/>
      <c r="K9" s="1"/>
      <c r="L9" s="1"/>
      <c r="M9" s="1"/>
      <c r="N9" s="1"/>
    </row>
    <row r="10" spans="1:38" ht="20.100000000000001" customHeight="1" x14ac:dyDescent="0.2">
      <c r="A10" s="5" t="str">
        <f>HYPERLINK("#'Input - Enterprise'!A1", "Enterprise")</f>
        <v>Enterprise</v>
      </c>
      <c r="C10" s="1"/>
      <c r="D10" s="1"/>
      <c r="E10" s="1"/>
      <c r="F10" s="1"/>
      <c r="G10" s="1"/>
      <c r="H10" s="1"/>
      <c r="I10" s="1"/>
      <c r="J10" s="1"/>
      <c r="K10" s="1"/>
      <c r="L10" s="1"/>
      <c r="M10" s="1"/>
      <c r="N10" s="1"/>
    </row>
    <row r="11" spans="1:38" ht="20.100000000000001" customHeight="1" x14ac:dyDescent="0.2">
      <c r="A11" s="5" t="str">
        <f>HYPERLINK("#'Input - Site'!A1", "Site")</f>
        <v>Site</v>
      </c>
      <c r="C11" s="1"/>
      <c r="D11" s="1"/>
      <c r="E11" s="1"/>
      <c r="F11" s="1"/>
      <c r="G11" s="1"/>
      <c r="H11" s="1"/>
      <c r="I11" s="1"/>
      <c r="J11" s="1"/>
      <c r="K11" s="1"/>
      <c r="L11" s="1"/>
      <c r="M11" s="1"/>
      <c r="N11" s="1"/>
    </row>
    <row r="12" spans="1:38" ht="20.100000000000001" customHeight="1" x14ac:dyDescent="0.2">
      <c r="A12" s="5" t="str">
        <f>HYPERLINK("#'Input - Dairy'!A1", "Dairy")</f>
        <v>Dairy</v>
      </c>
      <c r="C12" s="1"/>
      <c r="D12" s="1"/>
      <c r="E12" s="1"/>
      <c r="F12" s="1"/>
      <c r="G12" s="1"/>
      <c r="H12" s="1"/>
      <c r="I12" s="1"/>
      <c r="J12" s="1"/>
      <c r="K12" s="1"/>
      <c r="L12" s="1"/>
      <c r="M12" s="1"/>
      <c r="N12" s="1"/>
    </row>
    <row r="13" spans="1:38" ht="20.100000000000001" customHeight="1" x14ac:dyDescent="0.2">
      <c r="A13" s="5" t="str">
        <f>HYPERLINK("#'Input - Livestock sales'!A1", "Livestock sales")</f>
        <v>Livestock sales</v>
      </c>
      <c r="C13" s="1"/>
      <c r="D13" s="1"/>
      <c r="E13" s="1"/>
      <c r="F13" s="1"/>
      <c r="G13" s="1"/>
      <c r="H13" s="1"/>
      <c r="I13" s="1"/>
      <c r="J13" s="1"/>
      <c r="K13" s="1"/>
      <c r="L13" s="1"/>
      <c r="M13" s="1"/>
      <c r="N13" s="1"/>
    </row>
    <row r="14" spans="1:38" ht="20.100000000000001" customHeight="1" x14ac:dyDescent="0.2">
      <c r="A14" s="5" t="str">
        <f>HYPERLINK("#'Input - Dairy cattle purchases'!A1", "Dairy cattle purchases")</f>
        <v>Dairy cattle purchases</v>
      </c>
      <c r="C14" s="1"/>
      <c r="D14" s="1"/>
      <c r="E14" s="1"/>
      <c r="F14" s="1"/>
      <c r="G14" s="1"/>
      <c r="H14" s="1"/>
      <c r="I14" s="1"/>
      <c r="J14" s="1"/>
      <c r="K14" s="1"/>
      <c r="L14" s="1"/>
      <c r="M14" s="1"/>
      <c r="N14" s="1"/>
    </row>
    <row r="15" spans="1:38" ht="20.100000000000001" customHeight="1" x14ac:dyDescent="0.2">
      <c r="A15" s="5" t="str">
        <f>HYPERLINK("#'Input - Pasture'!A1", "Pasture")</f>
        <v>Pasture</v>
      </c>
      <c r="C15" s="1"/>
      <c r="D15" s="1"/>
      <c r="E15" s="1"/>
      <c r="F15" s="1"/>
      <c r="G15" s="1"/>
      <c r="H15" s="1"/>
      <c r="I15" s="1"/>
      <c r="J15" s="1"/>
      <c r="K15" s="1"/>
      <c r="L15" s="1"/>
      <c r="M15" s="1"/>
      <c r="N15" s="1"/>
    </row>
    <row r="16" spans="1:38" ht="20.100000000000001" customHeight="1" x14ac:dyDescent="0.2">
      <c r="A16" s="5" t="str">
        <f>HYPERLINK("#'Input - Fert Prod System'!A1", "Fert Prod System")</f>
        <v>Fert Prod System</v>
      </c>
      <c r="C16" s="1"/>
      <c r="D16" s="1"/>
      <c r="E16" s="1"/>
      <c r="F16" s="1"/>
      <c r="G16" s="1"/>
      <c r="H16" s="1"/>
      <c r="I16" s="1"/>
      <c r="J16" s="1"/>
      <c r="K16" s="1"/>
      <c r="L16" s="1"/>
      <c r="M16" s="1"/>
      <c r="N16" s="1"/>
    </row>
    <row r="17" spans="1:14" ht="20.100000000000001" customHeight="1" x14ac:dyDescent="0.2">
      <c r="A17" s="5" t="str">
        <f>HYPERLINK("#'Input - Fertiliser'!A1", "Fertiliser")</f>
        <v>Fertiliser</v>
      </c>
      <c r="C17" s="1"/>
      <c r="D17" s="1"/>
      <c r="E17" s="1"/>
      <c r="F17" s="1"/>
      <c r="G17" s="1"/>
      <c r="H17" s="1"/>
      <c r="I17" s="1"/>
      <c r="J17" s="1"/>
      <c r="K17" s="1"/>
      <c r="L17" s="1"/>
      <c r="M17" s="1"/>
      <c r="N17" s="1"/>
    </row>
    <row r="18" spans="1:14" ht="20.100000000000001" customHeight="1" x14ac:dyDescent="0.2">
      <c r="A18" s="5" t="str">
        <f>HYPERLINK("#'Input - Fuel'!A1", "Fuel")</f>
        <v>Fuel</v>
      </c>
      <c r="C18" s="1"/>
      <c r="D18" s="1"/>
      <c r="E18" s="1"/>
      <c r="F18" s="1"/>
      <c r="G18" s="1"/>
      <c r="H18" s="1"/>
      <c r="I18" s="1"/>
      <c r="J18" s="1"/>
      <c r="K18" s="1"/>
      <c r="L18" s="1"/>
      <c r="M18" s="1"/>
      <c r="N18" s="1"/>
    </row>
    <row r="19" spans="1:14" ht="20.100000000000001" customHeight="1" x14ac:dyDescent="0.2">
      <c r="A19" s="5" t="str">
        <f>HYPERLINK("#'Input - Electricity'!A1", "Electricity")</f>
        <v>Electricity</v>
      </c>
      <c r="C19" s="1"/>
      <c r="D19" s="1"/>
      <c r="E19" s="1"/>
      <c r="F19" s="1"/>
      <c r="G19" s="1"/>
      <c r="H19" s="1"/>
      <c r="I19" s="1"/>
      <c r="J19" s="1"/>
      <c r="K19" s="1"/>
      <c r="L19" s="1"/>
      <c r="M19" s="1"/>
      <c r="N19" s="1"/>
    </row>
    <row r="20" spans="1:14" ht="20.100000000000001" customHeight="1" x14ac:dyDescent="0.2">
      <c r="A20" s="5" t="str">
        <f>HYPERLINK("#'Input - Common farm inputs'!A1", "Common farm inputs")</f>
        <v>Common farm inputs</v>
      </c>
      <c r="C20" s="1"/>
      <c r="D20" s="1"/>
      <c r="E20" s="1"/>
      <c r="F20" s="1"/>
      <c r="G20" s="1"/>
      <c r="H20" s="1"/>
      <c r="I20" s="1"/>
      <c r="J20" s="1"/>
      <c r="K20" s="1"/>
      <c r="L20" s="1"/>
      <c r="M20" s="1"/>
      <c r="N20" s="1"/>
    </row>
    <row r="21" spans="1:14" ht="20.100000000000001" customHeight="1" x14ac:dyDescent="0.2">
      <c r="A21" s="5" t="str">
        <f>HYPERLINK("#'Input - Crop pasture farm input'!A1", "Crop pasture farm input")</f>
        <v>Crop pasture farm input</v>
      </c>
      <c r="C21" s="1"/>
      <c r="D21" s="1"/>
      <c r="E21" s="1"/>
      <c r="F21" s="1"/>
      <c r="G21" s="1"/>
      <c r="H21" s="1"/>
      <c r="I21" s="1"/>
      <c r="J21" s="1"/>
      <c r="K21" s="1"/>
      <c r="L21" s="1"/>
      <c r="M21" s="1"/>
      <c r="N21" s="1"/>
    </row>
    <row r="22" spans="1:14" ht="20.100000000000001" customHeight="1" x14ac:dyDescent="0.2">
      <c r="A22" s="5" t="str">
        <f>HYPERLINK("#'Input - Livestock farm Inputs'!A1", "Livestock farm Inputs")</f>
        <v>Livestock farm Inputs</v>
      </c>
      <c r="C22" s="1"/>
      <c r="D22" s="1"/>
      <c r="E22" s="1"/>
      <c r="F22" s="1"/>
      <c r="G22" s="1"/>
      <c r="H22" s="1"/>
      <c r="I22" s="1"/>
      <c r="J22" s="1"/>
      <c r="K22" s="1"/>
      <c r="L22" s="1"/>
      <c r="M22" s="1"/>
      <c r="N22" s="1"/>
    </row>
    <row r="23" spans="1:14" ht="20.100000000000001" customHeight="1" x14ac:dyDescent="0.2">
      <c r="A23" s="5" t="str">
        <f>HYPERLINK("#'Input - Freight'!A1", "Freight")</f>
        <v>Freight</v>
      </c>
      <c r="C23" s="1"/>
      <c r="D23" s="1"/>
      <c r="E23" s="1"/>
      <c r="F23" s="1"/>
      <c r="G23" s="1"/>
      <c r="H23" s="1"/>
      <c r="I23" s="1"/>
      <c r="J23" s="1"/>
      <c r="K23" s="1"/>
      <c r="L23" s="1"/>
      <c r="M23" s="1"/>
      <c r="N23" s="1"/>
    </row>
    <row r="24" spans="1:14" ht="20.100000000000001" customHeight="1" x14ac:dyDescent="0.2">
      <c r="A24" s="5" t="str">
        <f>HYPERLINK("#'Input - Solid waste'!A1", "Solid waste")</f>
        <v>Solid waste</v>
      </c>
      <c r="C24" s="1"/>
      <c r="D24" s="1"/>
      <c r="E24" s="1"/>
      <c r="F24" s="1"/>
      <c r="G24" s="1"/>
      <c r="H24" s="1"/>
      <c r="I24" s="1"/>
      <c r="J24" s="1"/>
      <c r="K24" s="1"/>
      <c r="L24" s="1"/>
      <c r="M24" s="1"/>
      <c r="N24" s="1"/>
    </row>
    <row r="25" spans="1:14" ht="20.100000000000001" customHeight="1" x14ac:dyDescent="0.2">
      <c r="A25" s="5" t="str">
        <f>HYPERLINK("#'Input - Manure sent off-site'!A1", "Manure sent off-site")</f>
        <v>Manure sent off-site</v>
      </c>
      <c r="C25" s="1"/>
      <c r="D25" s="1"/>
      <c r="E25" s="1"/>
      <c r="F25" s="1"/>
      <c r="G25" s="1"/>
      <c r="H25" s="1"/>
      <c r="I25" s="1"/>
      <c r="J25" s="1"/>
      <c r="K25" s="1"/>
      <c r="L25" s="1"/>
      <c r="M25" s="1"/>
      <c r="N25" s="1"/>
    </row>
    <row r="26" spans="1:14" ht="20.100000000000001" customHeight="1" x14ac:dyDescent="0.2">
      <c r="A26" s="5" t="str">
        <f>HYPERLINK("#'Input - Refrigerants'!A1", "Refrigerants")</f>
        <v>Refrigerants</v>
      </c>
      <c r="C26" s="1"/>
      <c r="D26" s="1"/>
      <c r="E26" s="1"/>
      <c r="F26" s="1"/>
      <c r="G26" s="1"/>
      <c r="H26" s="1"/>
      <c r="I26" s="1"/>
      <c r="J26" s="1"/>
      <c r="K26" s="1"/>
      <c r="L26" s="1"/>
      <c r="M26" s="1"/>
      <c r="N26" s="1"/>
    </row>
    <row r="27" spans="1:14" ht="20.100000000000001" customHeight="1" x14ac:dyDescent="0.2">
      <c r="A27" s="5" t="str">
        <f>HYPERLINK("#'Input - Data quality'!A1", "Data quality")</f>
        <v>Data quality</v>
      </c>
      <c r="C27" s="1"/>
      <c r="D27" s="1"/>
      <c r="E27" s="1"/>
      <c r="F27" s="1"/>
      <c r="G27" s="1"/>
      <c r="H27" s="1"/>
      <c r="I27" s="1"/>
      <c r="J27" s="1"/>
      <c r="K27" s="1"/>
      <c r="L27" s="1"/>
      <c r="M27" s="1"/>
      <c r="N27" s="1"/>
    </row>
    <row r="28" spans="1:14" ht="20.100000000000001" customHeight="1" x14ac:dyDescent="0.2">
      <c r="C28" s="1"/>
      <c r="D28" s="1"/>
      <c r="E28" s="1"/>
      <c r="F28" s="1"/>
      <c r="G28" s="1"/>
      <c r="H28" s="1"/>
      <c r="I28" s="1"/>
      <c r="J28" s="1"/>
      <c r="K28" s="1"/>
      <c r="L28" s="1"/>
      <c r="M28" s="1"/>
      <c r="N28" s="1"/>
    </row>
    <row r="29" spans="1:14" ht="20.100000000000001" customHeight="1" x14ac:dyDescent="0.2">
      <c r="C29" s="1"/>
      <c r="D29" s="1"/>
      <c r="E29" s="1"/>
      <c r="F29" s="1"/>
      <c r="G29" s="1"/>
      <c r="H29" s="1"/>
      <c r="I29" s="1"/>
      <c r="J29" s="1"/>
      <c r="K29" s="1"/>
      <c r="L29" s="1"/>
      <c r="M29" s="1"/>
      <c r="N29" s="1"/>
    </row>
    <row r="30" spans="1:14" ht="20.100000000000001" customHeight="1" x14ac:dyDescent="0.2">
      <c r="A30" s="6" t="s">
        <v>2</v>
      </c>
      <c r="C30" s="1"/>
      <c r="D30" s="1"/>
      <c r="E30" s="1"/>
      <c r="F30" s="1"/>
      <c r="G30" s="1"/>
      <c r="H30" s="1"/>
      <c r="I30" s="1"/>
      <c r="J30" s="1"/>
      <c r="K30" s="1"/>
      <c r="L30" s="1"/>
      <c r="M30" s="1"/>
      <c r="N30" s="1"/>
    </row>
    <row r="31" spans="1:14" ht="20.100000000000001" customHeight="1" x14ac:dyDescent="0.2">
      <c r="A31" s="5" t="str">
        <f>HYPERLINK("#'3.3.1.1-2 Enteric Methane'!A1", "3.3.1.1-2 Enteric methane")</f>
        <v>3.3.1.1-2 Enteric methane</v>
      </c>
      <c r="C31" s="1"/>
      <c r="D31" s="1"/>
      <c r="E31" s="1"/>
      <c r="F31" s="1"/>
      <c r="G31" s="1"/>
      <c r="H31" s="1"/>
      <c r="I31" s="1"/>
      <c r="J31" s="1"/>
      <c r="K31" s="1"/>
      <c r="L31" s="1"/>
      <c r="M31" s="1"/>
      <c r="N31" s="1"/>
    </row>
    <row r="32" spans="1:14" ht="20.100000000000001" customHeight="1" x14ac:dyDescent="0.2">
      <c r="A32" s="5" t="str">
        <f>HYPERLINK("#'4.3.1.1-2 Methane'!A1", "4.3.1.1-2 Manure methane")</f>
        <v>4.3.1.1-2 Manure methane</v>
      </c>
      <c r="C32" s="1"/>
      <c r="D32" s="2" t="str">
        <f>"Emissions for whole production cycle running between " &amp; TEXT(X_Cell_Enterprise_ProductionTimeframeStart, "d mmmm yyyy") &amp; " and " &amp; TEXT(X_Cell_Enterprise_ProductionTimeframeEnd, "d mmmm yyyy")</f>
        <v>Emissions for whole production cycle running between 1 November 2023 and 31 March 2025</v>
      </c>
      <c r="E32" s="1"/>
      <c r="F32" s="1"/>
      <c r="G32" s="1"/>
      <c r="H32" s="1"/>
      <c r="I32" s="1"/>
      <c r="J32" s="1"/>
      <c r="K32" s="1"/>
      <c r="L32" s="1"/>
      <c r="M32" s="1"/>
      <c r="N32" s="1"/>
    </row>
    <row r="33" spans="1:14" ht="20.100000000000001" customHeight="1" x14ac:dyDescent="0.2">
      <c r="A33" s="5" t="str">
        <f>HYPERLINK("#'4.3.1.3-4 Direct N20'!A1", "4.3.1.3-4 Direct N20")</f>
        <v>4.3.1.3-4 Direct N20</v>
      </c>
      <c r="C33" s="1"/>
      <c r="D33" s="1"/>
      <c r="E33" s="1"/>
      <c r="F33" s="1"/>
      <c r="G33" s="1"/>
      <c r="H33" s="1"/>
      <c r="I33" s="1"/>
      <c r="J33" s="1"/>
      <c r="K33" s="1"/>
      <c r="L33" s="1"/>
      <c r="M33" s="1"/>
      <c r="N33" s="1"/>
    </row>
    <row r="34" spans="1:14" ht="20.100000000000001" customHeight="1" x14ac:dyDescent="0.2">
      <c r="A34" s="5" t="str">
        <f>HYPERLINK("#'4.3.1.5 Atmos deposition'!A1", "4.3.1.5 Atmos deposition")</f>
        <v>4.3.1.5 Atmos deposition</v>
      </c>
      <c r="C34" s="1"/>
      <c r="D34" s="1"/>
      <c r="E34" s="1"/>
      <c r="F34" s="1"/>
      <c r="G34" s="1"/>
      <c r="H34" s="1"/>
      <c r="I34" s="1"/>
      <c r="J34" s="1"/>
      <c r="K34" s="1"/>
      <c r="L34" s="1"/>
      <c r="M34" s="1"/>
      <c r="N34" s="1"/>
    </row>
    <row r="35" spans="1:14" ht="20.100000000000001" customHeight="1" x14ac:dyDescent="0.2">
      <c r="A35" s="5" t="str">
        <f>HYPERLINK("#'4.3.1.6-7 Leaching and runoff'!A1", "4.3.1.6-7 Leaching &amp; runoff")</f>
        <v>4.3.1.6-7 Leaching &amp; runoff</v>
      </c>
      <c r="C35" s="1"/>
      <c r="D35" s="11"/>
      <c r="E35" s="11" t="s">
        <v>129</v>
      </c>
      <c r="F35" s="11" t="s">
        <v>130</v>
      </c>
      <c r="G35" s="11"/>
      <c r="H35" s="1"/>
      <c r="I35" s="1"/>
      <c r="J35" s="1"/>
      <c r="K35" s="1"/>
      <c r="L35" s="1"/>
      <c r="M35" s="1"/>
      <c r="N35" s="1"/>
    </row>
    <row r="36" spans="1:14" ht="20.100000000000001" customHeight="1" x14ac:dyDescent="0.2">
      <c r="A36" s="5" t="str">
        <f>HYPERLINK("#'4.3.1.8 Manure applied to soils'!A1", "4.3.1.8 Manure applied to soils")</f>
        <v>4.3.1.8 Manure applied to soils</v>
      </c>
      <c r="C36" s="1"/>
      <c r="D36" s="76" t="s">
        <v>274</v>
      </c>
      <c r="E36" s="1">
        <f ca="1">Result_EmissionsForWholeProductionCycle_Gross_Method1</f>
        <v>5038.9537048098873</v>
      </c>
      <c r="F36" s="1">
        <f ca="1">Result_EmissionsForWholeProductionCycle_Gross_Method2</f>
        <v>7753.9955020961625</v>
      </c>
      <c r="G36" s="9" t="s">
        <v>6</v>
      </c>
      <c r="H36" s="1"/>
      <c r="I36" s="1"/>
      <c r="J36" s="1"/>
      <c r="K36" s="1"/>
      <c r="L36" s="1"/>
      <c r="M36" s="1"/>
      <c r="N36" s="1"/>
    </row>
    <row r="37" spans="1:14" ht="20.100000000000001" customHeight="1" x14ac:dyDescent="0.2">
      <c r="A37" s="5" t="str">
        <f>HYPERLINK("#'4.3.1.9 Soil direct N2O'!A1", "4.3.1.9 Soil direct N2O")</f>
        <v>4.3.1.9 Soil direct N2O</v>
      </c>
      <c r="C37" s="1"/>
      <c r="D37" s="76" t="s">
        <v>275</v>
      </c>
      <c r="E37" s="1">
        <f ca="1">Result_EmissionsForWholeProductionCycle_Net_Method1</f>
        <v>5038.9537048098873</v>
      </c>
      <c r="F37" s="1">
        <f ca="1">Result_EmissionsForWholeProductionCycle_Net_Method2</f>
        <v>7753.9955020961625</v>
      </c>
      <c r="G37" s="9" t="s">
        <v>6</v>
      </c>
      <c r="H37" s="1"/>
      <c r="I37" s="1"/>
      <c r="J37" s="1"/>
      <c r="K37" s="1"/>
      <c r="L37" s="1"/>
      <c r="M37" s="1"/>
      <c r="N37" s="1"/>
    </row>
    <row r="38" spans="1:14" ht="20.100000000000001" customHeight="1" x14ac:dyDescent="0.2">
      <c r="A38" s="5" t="str">
        <f>HYPERLINK("#'4.3.1.10-11 Soil Atmos Dep'!A1", "4.3.1.10-11 Soil Atmos Deposition")</f>
        <v>4.3.1.10-11 Soil Atmos Deposition</v>
      </c>
      <c r="C38" s="1"/>
      <c r="D38" s="1"/>
      <c r="E38" s="1"/>
      <c r="F38" s="1"/>
      <c r="G38" s="1"/>
      <c r="H38" s="1"/>
      <c r="I38" s="1"/>
      <c r="J38" s="1"/>
      <c r="K38" s="1"/>
      <c r="L38" s="1"/>
      <c r="M38" s="1"/>
      <c r="N38" s="1"/>
    </row>
    <row r="39" spans="1:14" ht="20.100000000000001" customHeight="1" x14ac:dyDescent="0.2">
      <c r="A39" s="5" t="str">
        <f>HYPERLINK("#'4.3.1.12-13 Soil leach runoff'!A1", "4.3.1.12-13 Soil leach &amp; runoff")</f>
        <v>4.3.1.12-13 Soil leach &amp; runoff</v>
      </c>
      <c r="C39" s="1"/>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2023 and 31 March 2025</v>
      </c>
      <c r="E39" s="1"/>
      <c r="F39" s="1"/>
      <c r="G39" s="1"/>
      <c r="H39" s="1"/>
      <c r="I39" s="1"/>
      <c r="J39" s="1"/>
      <c r="K39" s="1"/>
      <c r="L39" s="1"/>
      <c r="M39" s="1"/>
      <c r="N39" s="1"/>
    </row>
    <row r="40" spans="1:14" ht="20.100000000000001" customHeight="1" x14ac:dyDescent="0.2">
      <c r="A40" s="5" t="str">
        <f>HYPERLINK("#'5.1.1.1-2 Inorganic fert N2O'!A1", "5.1.1.1-2 Inorganic fert N2O")</f>
        <v>5.1.1.1-2 Inorganic fert N2O</v>
      </c>
      <c r="C40" s="1"/>
      <c r="D40" s="1"/>
      <c r="E40" s="1"/>
      <c r="F40" s="1"/>
      <c r="G40" s="1"/>
      <c r="H40" s="1"/>
      <c r="I40" s="1"/>
      <c r="J40" s="1"/>
      <c r="K40" s="1"/>
      <c r="L40" s="1"/>
      <c r="M40" s="1"/>
      <c r="N40" s="1"/>
    </row>
    <row r="41" spans="1:14" ht="20.100000000000001" customHeight="1" x14ac:dyDescent="0.2">
      <c r="A41" s="5" t="str">
        <f>HYPERLINK("#'5.1.1.3-4 Inorganic fert CO2'!A1", "5.1.1.3-4 Inorganic fert CO2")</f>
        <v>5.1.1.3-4 Inorganic fert CO2</v>
      </c>
      <c r="C41" s="1"/>
      <c r="D41" s="1"/>
      <c r="E41" s="1"/>
      <c r="F41" s="1"/>
      <c r="G41" s="1"/>
      <c r="H41" s="1"/>
      <c r="I41" s="1"/>
      <c r="J41" s="1"/>
      <c r="K41" s="1"/>
      <c r="L41" s="1"/>
      <c r="M41" s="1"/>
      <c r="N41" s="1"/>
    </row>
    <row r="42" spans="1:14" ht="20.100000000000001" customHeight="1" x14ac:dyDescent="0.2">
      <c r="A42" s="5" t="str">
        <f>HYPERLINK("#'5.2.1.1-2 Organic Fert N2O'!A1", "5.2.1.1-2 Organic fert N2O")</f>
        <v>5.2.1.1-2 Organic fert N2O</v>
      </c>
      <c r="C42" s="1"/>
      <c r="D42" s="78" t="s">
        <v>150</v>
      </c>
      <c r="E42" s="1"/>
      <c r="F42" s="1"/>
      <c r="G42" s="1"/>
      <c r="H42" s="1"/>
      <c r="I42" s="1"/>
      <c r="J42" s="1"/>
      <c r="K42" s="1"/>
      <c r="L42" s="1"/>
      <c r="M42" s="1"/>
      <c r="N42" s="1"/>
    </row>
    <row r="43" spans="1:14" ht="20.100000000000001" customHeight="1" x14ac:dyDescent="0.2">
      <c r="A43" s="5" t="str">
        <f>HYPERLINK("#'5.3.1.1-2 Lime CO2'!A1", "5.3.1.1-2 Lime CO2")</f>
        <v>5.3.1.1-2 Lime CO2</v>
      </c>
      <c r="C43" s="1"/>
      <c r="D43" s="11" t="s">
        <v>131</v>
      </c>
      <c r="E43" s="11" t="s">
        <v>122</v>
      </c>
      <c r="F43" s="11" t="s">
        <v>117</v>
      </c>
      <c r="G43" s="11" t="s">
        <v>152</v>
      </c>
      <c r="H43" s="11" t="s">
        <v>120</v>
      </c>
      <c r="I43" s="11" t="s">
        <v>121</v>
      </c>
      <c r="J43" s="11" t="s">
        <v>118</v>
      </c>
      <c r="K43" s="1"/>
      <c r="L43" s="1"/>
      <c r="M43" s="1"/>
      <c r="N43" s="1"/>
    </row>
    <row r="44" spans="1:14" ht="20.100000000000001" customHeight="1" x14ac:dyDescent="0.2">
      <c r="A44" s="5" t="str">
        <f>HYPERLINK("#'5.4.1.1-4 Atmos deposition'!A1", "5.4.1.1-4 Atmos. deposition")</f>
        <v>5.4.1.1-4 Atmos. deposition</v>
      </c>
      <c r="C44" s="1"/>
      <c r="D44" s="1" t="s">
        <v>184</v>
      </c>
      <c r="E44" s="1" t="s">
        <v>123</v>
      </c>
      <c r="F44" s="1">
        <f>X_Cell_Enterprise_MilkProduced*(IF(X_Cell_Enterprise_MilkProducedUnit="Litres of milk", 1.03, 1))*10^-3</f>
        <v>7.7445700000000004</v>
      </c>
      <c r="G44" s="1">
        <f>F44/(F44+F46+F48)</f>
        <v>0.56346397159023531</v>
      </c>
      <c r="H44" s="1">
        <f ca="1">(E36/F44)*G44</f>
        <v>366.61413960639635</v>
      </c>
      <c r="I44" s="1">
        <f ca="1">(F36/F44)*G44</f>
        <v>564.14973346537306</v>
      </c>
      <c r="J44" s="9" t="s">
        <v>280</v>
      </c>
      <c r="K44" s="1"/>
      <c r="L44" s="1"/>
      <c r="M44" s="1"/>
      <c r="N44" s="1"/>
    </row>
    <row r="45" spans="1:14" ht="20.100000000000001" customHeight="1" x14ac:dyDescent="0.2">
      <c r="A45" s="5" t="str">
        <f>HYPERLINK("#'5.5.1.1-2 Leaching and runoff'!A1", "5.5.1.1-2 Leaching &amp; runoff")</f>
        <v>5.5.1.1-2 Leaching &amp; runoff</v>
      </c>
      <c r="C45" s="1"/>
      <c r="D45" s="1" t="s">
        <v>185</v>
      </c>
      <c r="E45" s="1" t="s">
        <v>123</v>
      </c>
      <c r="F45" s="1">
        <f>F44</f>
        <v>7.7445700000000004</v>
      </c>
      <c r="G45" s="1">
        <f>G44</f>
        <v>0.56346397159023531</v>
      </c>
      <c r="H45" s="1">
        <f ca="1">(E37/F45)*G45</f>
        <v>366.61413960639635</v>
      </c>
      <c r="I45" s="1">
        <f ca="1">(F37/F45)*G45</f>
        <v>564.14973346537306</v>
      </c>
      <c r="J45" s="9" t="s">
        <v>280</v>
      </c>
      <c r="K45" s="1"/>
      <c r="L45" s="1"/>
      <c r="M45" s="1"/>
      <c r="N45" s="1"/>
    </row>
    <row r="46" spans="1:14" ht="20.100000000000001" customHeight="1" x14ac:dyDescent="0.2">
      <c r="A46" s="5" t="str">
        <f>HYPERLINK("#'6.2.1.1-2 Pasture residue N2O'!A1", "6.2.1.1-2 Pasture residue N2O")</f>
        <v>6.2.1.1-2 Pasture residue N2O</v>
      </c>
      <c r="C46" s="1"/>
      <c r="D46" s="1" t="s">
        <v>154</v>
      </c>
      <c r="E46" s="1" t="s">
        <v>124</v>
      </c>
      <c r="F46" s="1">
        <f>X_Cell_Enterprise_LiveweightSold</f>
        <v>5</v>
      </c>
      <c r="G46" s="1">
        <f>F46/(F44+F46+F48)</f>
        <v>0.36378002367480394</v>
      </c>
      <c r="H46" s="1">
        <f ca="1">(E36/F46)*G46</f>
        <v>366.61413960639635</v>
      </c>
      <c r="I46" s="1">
        <f ca="1">(F36/F46)*G46</f>
        <v>564.14973346537306</v>
      </c>
      <c r="J46" s="9" t="s">
        <v>119</v>
      </c>
      <c r="K46" s="1"/>
      <c r="L46" s="1"/>
      <c r="M46" s="1"/>
      <c r="N46" s="1"/>
    </row>
    <row r="47" spans="1:14" ht="20.100000000000001" customHeight="1" x14ac:dyDescent="0.2">
      <c r="A47" s="5" t="str">
        <f>HYPERLINK("#'6.3.1.1-2 Leach runoff pasture'!A1", "6.3.1.1-2 Leach &amp; runoff (pasture)")</f>
        <v>6.3.1.1-2 Leach &amp; runoff (pasture)</v>
      </c>
      <c r="C47" s="1"/>
      <c r="D47" s="1" t="s">
        <v>155</v>
      </c>
      <c r="E47" s="1" t="s">
        <v>124</v>
      </c>
      <c r="F47" s="1">
        <f>F46</f>
        <v>5</v>
      </c>
      <c r="G47" s="1">
        <f>G46</f>
        <v>0.36378002367480394</v>
      </c>
      <c r="H47" s="95">
        <f ca="1">(E37/F47)*G47</f>
        <v>366.61413960639635</v>
      </c>
      <c r="I47" s="95">
        <f ca="1">(F37/F47)*G47</f>
        <v>564.14973346537306</v>
      </c>
      <c r="J47" s="9" t="s">
        <v>119</v>
      </c>
      <c r="K47" s="1"/>
      <c r="L47" s="1"/>
      <c r="M47" s="1"/>
      <c r="N47" s="1"/>
    </row>
    <row r="48" spans="1:14" ht="20.100000000000001" customHeight="1" x14ac:dyDescent="0.2">
      <c r="A48" s="5" t="str">
        <f>HYPERLINK("#'8.1.1.1-2 Transport fuel'!A1", "8.1.1.1-2 Transport fuel")</f>
        <v>8.1.1.1-2 Transport fuel</v>
      </c>
      <c r="C48" s="1"/>
      <c r="D48" s="1" t="s">
        <v>156</v>
      </c>
      <c r="E48" s="1" t="s">
        <v>124</v>
      </c>
      <c r="F48" s="1">
        <f>X_Cell_Enterprise_ManureSoldTonnes</f>
        <v>1</v>
      </c>
      <c r="G48" s="1">
        <f>F48/(F44+F46+F48)</f>
        <v>7.2756004734960786E-2</v>
      </c>
      <c r="H48" s="1">
        <f ca="1">(E36/F48)*G48</f>
        <v>366.61413960639635</v>
      </c>
      <c r="I48" s="1">
        <f ca="1">(F36/F48)*G48</f>
        <v>564.14973346537306</v>
      </c>
      <c r="J48" s="9" t="s">
        <v>281</v>
      </c>
      <c r="K48" s="1"/>
      <c r="L48" s="1"/>
      <c r="M48" s="1"/>
      <c r="N48" s="1"/>
    </row>
    <row r="49" spans="1:14" ht="20.100000000000001" customHeight="1" x14ac:dyDescent="0.2">
      <c r="A49" s="5" t="str">
        <f>HYPERLINK("#'8.2.1.1-2 Stationary fuel'!A1", "8.2.1.1-2 Stationary fuel")</f>
        <v>8.2.1.1-2 Stationary fuel</v>
      </c>
      <c r="C49" s="1"/>
      <c r="D49" s="1" t="s">
        <v>157</v>
      </c>
      <c r="E49" s="1" t="s">
        <v>124</v>
      </c>
      <c r="F49" s="1">
        <f>F48</f>
        <v>1</v>
      </c>
      <c r="G49" s="1">
        <f>G48</f>
        <v>7.2756004734960786E-2</v>
      </c>
      <c r="H49" s="1">
        <f ca="1">(E37/F49)*G49</f>
        <v>366.61413960639635</v>
      </c>
      <c r="I49" s="1">
        <f ca="1">(F37/F49)*G49</f>
        <v>564.14973346537306</v>
      </c>
      <c r="J49" s="9" t="s">
        <v>281</v>
      </c>
      <c r="K49" s="1"/>
      <c r="L49" s="1"/>
      <c r="M49" s="1"/>
      <c r="N49" s="1"/>
    </row>
    <row r="50" spans="1:14" ht="20.100000000000001" customHeight="1" x14ac:dyDescent="0.2">
      <c r="A50" s="5" t="str">
        <f>HYPERLINK("#'9.1.1.1-2 Refrigerant use'!A1", "9.1.1.1-2 Refrigerant use")</f>
        <v>9.1.1.1-2 Refrigerant use</v>
      </c>
      <c r="C50" s="1"/>
      <c r="D50" s="1" t="s">
        <v>237</v>
      </c>
      <c r="E50" s="1" t="s">
        <v>276</v>
      </c>
      <c r="F50" s="1">
        <f>X_Cell_Enterprise_ManureUsedAsFertiliserTonnes</f>
        <v>1</v>
      </c>
      <c r="G50" s="1" t="s">
        <v>277</v>
      </c>
      <c r="H50" s="1" t="s">
        <v>277</v>
      </c>
      <c r="I50" s="1" t="s">
        <v>277</v>
      </c>
      <c r="J50" s="9"/>
      <c r="K50" s="1"/>
      <c r="L50" s="1"/>
      <c r="M50" s="1"/>
      <c r="N50" s="1"/>
    </row>
    <row r="51" spans="1:14" ht="20.100000000000001" customHeight="1" x14ac:dyDescent="0.2">
      <c r="A51" s="5" t="str">
        <f>HYPERLINK("#'10.1.1-2 Solid waste treatment'!A1", "10.1.1.1-2 Solid waste")</f>
        <v>10.1.1.1-2 Solid waste</v>
      </c>
      <c r="C51" s="1"/>
      <c r="D51" s="1"/>
      <c r="E51" s="1"/>
      <c r="F51" s="1"/>
      <c r="G51" s="1"/>
      <c r="H51" s="1"/>
      <c r="I51" s="1"/>
      <c r="J51" s="1"/>
      <c r="K51" s="1"/>
      <c r="L51" s="1"/>
      <c r="M51" s="1"/>
      <c r="N51" s="1"/>
    </row>
    <row r="52" spans="1:14" ht="20.100000000000001" customHeight="1" x14ac:dyDescent="0.2">
      <c r="A52" s="5" t="str">
        <f>HYPERLINK("#'14.1.1-2 Purchased electricity'!A1", "14.1.1-2 Purchased electricity")</f>
        <v>14.1.1-2 Purchased electricity</v>
      </c>
      <c r="C52" s="1"/>
      <c r="D52" s="78" t="s">
        <v>151</v>
      </c>
      <c r="E52" s="1"/>
      <c r="F52" s="1"/>
      <c r="G52" s="1"/>
      <c r="H52" s="1"/>
      <c r="I52" s="1"/>
      <c r="J52" s="1"/>
      <c r="K52" s="1"/>
      <c r="L52" s="1"/>
      <c r="M52" s="1"/>
      <c r="N52" s="1"/>
    </row>
    <row r="53" spans="1:14" ht="20.100000000000001" customHeight="1" x14ac:dyDescent="0.2">
      <c r="A53" s="5" t="str">
        <f>HYPERLINK("#'15 Scope 3'!A1", "15 Scope 3")</f>
        <v>15 Scope 3</v>
      </c>
      <c r="C53" s="1"/>
      <c r="D53" s="11" t="s">
        <v>131</v>
      </c>
      <c r="E53" s="11" t="s">
        <v>122</v>
      </c>
      <c r="F53" s="11" t="s">
        <v>117</v>
      </c>
      <c r="G53" s="11" t="s">
        <v>153</v>
      </c>
      <c r="H53" s="11" t="s">
        <v>278</v>
      </c>
      <c r="I53" s="11" t="s">
        <v>279</v>
      </c>
      <c r="J53" s="11" t="s">
        <v>118</v>
      </c>
      <c r="K53" s="1"/>
      <c r="L53" s="1"/>
      <c r="M53" s="1"/>
      <c r="N53" s="1"/>
    </row>
    <row r="54" spans="1:14" ht="20.100000000000001" customHeight="1" x14ac:dyDescent="0.2">
      <c r="A54" s="5" t="str">
        <f>HYPERLINK("#'Calcs - Manure sent off-site'!A1", "Calcs - Manure sent off-site")</f>
        <v>Calcs - Manure sent off-site</v>
      </c>
      <c r="C54" s="1"/>
      <c r="D54" s="1" t="s">
        <v>184</v>
      </c>
      <c r="E54" s="1" t="s">
        <v>123</v>
      </c>
      <c r="F54" s="1">
        <f>X_Cell_Enterprise_MilkProduced*(IF(X_Cell_Enterprise_MilkProducedUnit="Litres", 1.03, 1))*10^-3</f>
        <v>7.5190000000000001</v>
      </c>
      <c r="G54" s="1">
        <f>X_Cell_Enterprise_PercentIncomeFromMilk</f>
        <v>0.8</v>
      </c>
      <c r="H54" s="1">
        <f ca="1">E36*G54/F54</f>
        <v>536.13019867640776</v>
      </c>
      <c r="I54" s="1">
        <f ca="1">F36*G54/F54</f>
        <v>825.00284634618038</v>
      </c>
      <c r="J54" s="9" t="s">
        <v>280</v>
      </c>
      <c r="K54" s="1"/>
      <c r="L54" s="1"/>
      <c r="M54" s="1"/>
      <c r="N54" s="1"/>
    </row>
    <row r="55" spans="1:14" ht="20.100000000000001" customHeight="1" x14ac:dyDescent="0.2">
      <c r="C55" s="1"/>
      <c r="D55" s="1" t="s">
        <v>185</v>
      </c>
      <c r="E55" s="1" t="s">
        <v>123</v>
      </c>
      <c r="F55" s="1">
        <f>F54</f>
        <v>7.5190000000000001</v>
      </c>
      <c r="G55" s="1">
        <f>G54</f>
        <v>0.8</v>
      </c>
      <c r="H55" s="1">
        <f ca="1">E37*G55/F55</f>
        <v>536.13019867640776</v>
      </c>
      <c r="I55" s="1">
        <f ca="1">F37*G55/F55</f>
        <v>825.00284634618038</v>
      </c>
      <c r="J55" s="9" t="s">
        <v>280</v>
      </c>
      <c r="K55" s="1"/>
      <c r="L55" s="1"/>
      <c r="M55" s="1"/>
      <c r="N55" s="1"/>
    </row>
    <row r="56" spans="1:14" ht="20.100000000000001" customHeight="1" x14ac:dyDescent="0.2">
      <c r="C56" s="1"/>
      <c r="D56" s="1" t="s">
        <v>154</v>
      </c>
      <c r="E56" s="1" t="s">
        <v>124</v>
      </c>
      <c r="F56" s="1">
        <f>X_Cell_Enterprise_LiveweightSold</f>
        <v>5</v>
      </c>
      <c r="G56" s="1">
        <f>X_Cell_Enterprise_PercentIncomeFromLiveweight</f>
        <v>0.15</v>
      </c>
      <c r="H56" s="1">
        <f ca="1">E36*G56/F56</f>
        <v>151.16861114429662</v>
      </c>
      <c r="I56" s="1">
        <f ca="1">F36*G56/F56</f>
        <v>232.61986506288486</v>
      </c>
      <c r="J56" s="9" t="s">
        <v>119</v>
      </c>
      <c r="K56" s="1"/>
      <c r="L56" s="1"/>
      <c r="M56" s="1"/>
      <c r="N56" s="1"/>
    </row>
    <row r="57" spans="1:14" ht="20.100000000000001" customHeight="1" x14ac:dyDescent="0.2">
      <c r="A57" s="82" t="s">
        <v>1</v>
      </c>
      <c r="C57" s="1"/>
      <c r="D57" s="1" t="s">
        <v>155</v>
      </c>
      <c r="E57" s="1" t="s">
        <v>124</v>
      </c>
      <c r="F57" s="1">
        <f>F56</f>
        <v>5</v>
      </c>
      <c r="G57" s="1">
        <f>G56</f>
        <v>0.15</v>
      </c>
      <c r="H57" s="1">
        <f ca="1">E37*G57/F57</f>
        <v>151.16861114429662</v>
      </c>
      <c r="I57" s="1">
        <f ca="1">F37*G57/F57</f>
        <v>232.61986506288486</v>
      </c>
      <c r="J57" s="9" t="s">
        <v>119</v>
      </c>
      <c r="K57" s="1"/>
      <c r="L57" s="1"/>
      <c r="M57" s="1"/>
      <c r="N57" s="1"/>
    </row>
    <row r="58" spans="1:14" ht="20.100000000000001" customHeight="1" x14ac:dyDescent="0.2">
      <c r="A58" s="5" t="str">
        <f>HYPERLINK("#'Constants - Dairy'!A1", "Constants - Dairy")</f>
        <v>Constants - Dairy</v>
      </c>
      <c r="C58" s="1"/>
      <c r="D58" s="1" t="s">
        <v>156</v>
      </c>
      <c r="E58" s="1" t="s">
        <v>124</v>
      </c>
      <c r="F58" s="1">
        <f>X_Cell_Enterprise_ManureSoldTonnes</f>
        <v>1</v>
      </c>
      <c r="G58" s="1">
        <f>X_Cell_Enterprise_PercentIncomeFromManure</f>
        <v>0.05</v>
      </c>
      <c r="H58" s="1">
        <f ca="1">E36*G58/F58</f>
        <v>251.94768524049437</v>
      </c>
      <c r="I58" s="1">
        <f ca="1">F36*G58/F58</f>
        <v>387.69977510480817</v>
      </c>
      <c r="J58" s="9" t="s">
        <v>281</v>
      </c>
      <c r="K58" s="1"/>
      <c r="L58" s="1"/>
      <c r="M58" s="1"/>
      <c r="N58" s="1"/>
    </row>
    <row r="59" spans="1:14" ht="20.100000000000001" customHeight="1" x14ac:dyDescent="0.2">
      <c r="A59" s="5" t="str">
        <f>HYPERLINK("#'Constants - Ag Residue'!A1", "Constants - Ag residue")</f>
        <v>Constants - Ag residue</v>
      </c>
      <c r="C59" s="1"/>
      <c r="D59" s="1" t="s">
        <v>157</v>
      </c>
      <c r="E59" s="1" t="s">
        <v>124</v>
      </c>
      <c r="F59" s="1">
        <f>F58</f>
        <v>1</v>
      </c>
      <c r="G59" s="1">
        <f>G58</f>
        <v>0.05</v>
      </c>
      <c r="H59" s="1">
        <f ca="1">E37*G59/F59</f>
        <v>251.94768524049437</v>
      </c>
      <c r="I59" s="1">
        <f ca="1">F37*G59/F59</f>
        <v>387.69977510480817</v>
      </c>
      <c r="J59" s="9" t="s">
        <v>281</v>
      </c>
      <c r="K59" s="1"/>
      <c r="L59" s="1"/>
      <c r="M59" s="1"/>
      <c r="N59" s="1"/>
    </row>
    <row r="60" spans="1:14" ht="20.100000000000001" customHeight="1" x14ac:dyDescent="0.2">
      <c r="A60" s="5" t="str">
        <f>HYPERLINK("#'Constants - Common Livestock'!A1", "Constants - Common Livestock")</f>
        <v>Constants - Common Livestock</v>
      </c>
      <c r="C60" s="1"/>
      <c r="D60" s="1" t="s">
        <v>237</v>
      </c>
      <c r="E60" s="1" t="s">
        <v>276</v>
      </c>
      <c r="F60" s="1">
        <f>X_Cell_Enterprise_ManureUsedAsFertiliserTonnes</f>
        <v>1</v>
      </c>
      <c r="G60" s="1" t="s">
        <v>277</v>
      </c>
      <c r="H60" s="1" t="s">
        <v>277</v>
      </c>
      <c r="I60" s="1" t="s">
        <v>277</v>
      </c>
      <c r="J60" s="1"/>
      <c r="K60" s="1"/>
      <c r="L60" s="1"/>
      <c r="M60" s="1"/>
      <c r="N60" s="1"/>
    </row>
    <row r="61" spans="1:14" ht="20.100000000000001" customHeight="1" x14ac:dyDescent="0.2">
      <c r="A61" s="5" t="str">
        <f>HYPERLINK("#'Constants - Electricity'!A1", "Constants - Electricity")</f>
        <v>Constants - Electricity</v>
      </c>
      <c r="C61" s="1"/>
      <c r="D61" s="1"/>
      <c r="E61" s="1"/>
      <c r="F61" s="1"/>
      <c r="G61" s="1"/>
      <c r="H61" s="1"/>
      <c r="I61" s="1"/>
      <c r="J61" s="1"/>
      <c r="K61" s="1"/>
      <c r="L61" s="1"/>
      <c r="M61" s="1"/>
      <c r="N61" s="1"/>
    </row>
    <row r="62" spans="1:14" ht="20.100000000000001" customHeight="1" x14ac:dyDescent="0.2">
      <c r="A62" s="5" t="str">
        <f>HYPERLINK("#'Constants - Fertiliser'!A1", "Constants - Fertiliser")</f>
        <v>Constants - Fertiliser</v>
      </c>
      <c r="C62" s="1"/>
      <c r="D62" s="1"/>
      <c r="E62" s="1"/>
      <c r="F62" s="1"/>
      <c r="G62" s="1"/>
      <c r="H62" s="1"/>
      <c r="I62" s="1"/>
      <c r="J62" s="1"/>
      <c r="K62" s="1"/>
      <c r="L62" s="1"/>
      <c r="M62" s="1"/>
      <c r="N62" s="1"/>
    </row>
    <row r="63" spans="1:14" ht="20.100000000000001" customHeight="1" x14ac:dyDescent="0.2">
      <c r="A63" s="5" t="str">
        <f>HYPERLINK("#'Constants - Fuel'!A1", "Constants - Fuel")</f>
        <v>Constants - Fuel</v>
      </c>
      <c r="C63" s="1"/>
      <c r="D63" s="1"/>
      <c r="E63" s="1"/>
      <c r="F63" s="1"/>
      <c r="G63" s="1"/>
      <c r="H63" s="1"/>
      <c r="I63" s="1"/>
      <c r="J63" s="1"/>
      <c r="K63" s="1"/>
      <c r="L63" s="1"/>
      <c r="M63" s="1"/>
      <c r="N63" s="1"/>
    </row>
    <row r="64" spans="1:14" ht="20.100000000000001" customHeight="1" x14ac:dyDescent="0.2">
      <c r="A64" s="5" t="str">
        <f>HYPERLINK("#'Constants - Scope 3'!A1", "Constants - Scope 3")</f>
        <v>Constants - Scope 3</v>
      </c>
      <c r="C64" s="1"/>
      <c r="D64" s="1"/>
      <c r="E64" s="1"/>
      <c r="F64" s="1"/>
      <c r="G64" s="1"/>
      <c r="H64" s="1"/>
      <c r="I64" s="1"/>
      <c r="J64" s="1"/>
      <c r="K64" s="1"/>
      <c r="L64" s="1"/>
      <c r="M64" s="1"/>
      <c r="N64" s="1"/>
    </row>
    <row r="65" spans="1:14" ht="20.100000000000001" customHeight="1" x14ac:dyDescent="0.2">
      <c r="A65" s="5" t="str">
        <f>HYPERLINK("#'Constants - Common'!A1", "Constants - Common")</f>
        <v>Constants - Common</v>
      </c>
      <c r="C65" s="1"/>
      <c r="D65" s="1"/>
      <c r="E65" s="1"/>
      <c r="F65" s="1"/>
      <c r="G65" s="1"/>
      <c r="H65" s="1"/>
      <c r="I65" s="1"/>
      <c r="J65" s="1"/>
      <c r="K65" s="1"/>
      <c r="L65" s="1"/>
      <c r="M65" s="1"/>
      <c r="N65" s="1"/>
    </row>
    <row r="66" spans="1:14" ht="20.100000000000001" customHeight="1" x14ac:dyDescent="0.2">
      <c r="A66" s="5" t="str">
        <f>HYPERLINK("#'Constants - Refrigerants'!A1", "Constants - Refrigerants")</f>
        <v>Constants - Refrigerants</v>
      </c>
      <c r="C66" s="1"/>
      <c r="D66" s="1"/>
      <c r="E66" s="1"/>
      <c r="F66" s="1"/>
      <c r="G66" s="1"/>
      <c r="H66" s="1"/>
      <c r="I66" s="1"/>
      <c r="J66" s="1"/>
      <c r="K66" s="1"/>
      <c r="L66" s="1"/>
      <c r="M66" s="1"/>
      <c r="N66" s="1"/>
    </row>
    <row r="67" spans="1:14" ht="20.100000000000001" customHeight="1" x14ac:dyDescent="0.2">
      <c r="A67" s="5" t="str">
        <f>HYPERLINK("#'Constants - Solid Waste'!A1", "Constants - Solid Waste")</f>
        <v>Constants - Solid Waste</v>
      </c>
      <c r="C67" s="1"/>
      <c r="D67" s="1"/>
      <c r="E67" s="1"/>
      <c r="F67" s="1"/>
      <c r="G67" s="1"/>
      <c r="H67" s="1"/>
      <c r="I67" s="1"/>
      <c r="J67" s="1"/>
      <c r="K67" s="1"/>
      <c r="L67" s="1"/>
      <c r="M67" s="1"/>
      <c r="N67" s="1"/>
    </row>
    <row r="68" spans="1:14" ht="20.100000000000001" customHeight="1" x14ac:dyDescent="0.2">
      <c r="A68" s="5" t="str">
        <f>HYPERLINK("#'Acknowledgements'!A1", "Acknowledgements")</f>
        <v>Acknowledgements</v>
      </c>
      <c r="C68" s="1"/>
      <c r="D68" s="1"/>
      <c r="E68" s="1"/>
      <c r="F68" s="1"/>
      <c r="G68" s="1"/>
      <c r="H68" s="1"/>
      <c r="I68" s="1"/>
      <c r="J68" s="1"/>
      <c r="K68" s="1"/>
      <c r="L68" s="1"/>
      <c r="M68" s="1"/>
      <c r="N68" s="1"/>
    </row>
    <row r="69" spans="1:14" ht="20.100000000000001" customHeight="1" x14ac:dyDescent="0.2">
      <c r="C69" s="1"/>
      <c r="D69" s="1"/>
      <c r="E69" s="1"/>
      <c r="F69" s="1"/>
      <c r="G69" s="1"/>
      <c r="H69" s="1"/>
      <c r="I69" s="1"/>
      <c r="J69" s="1"/>
      <c r="K69" s="1"/>
      <c r="L69" s="1"/>
      <c r="M69" s="1"/>
      <c r="N69" s="1"/>
    </row>
    <row r="70" spans="1:14" ht="20.100000000000001" customHeight="1" x14ac:dyDescent="0.2">
      <c r="C70" s="1"/>
      <c r="D70" s="1"/>
      <c r="E70" s="1"/>
      <c r="F70" s="1"/>
      <c r="G70" s="1"/>
      <c r="H70" s="1"/>
      <c r="I70" s="1"/>
      <c r="J70" s="1"/>
      <c r="K70" s="1"/>
      <c r="L70" s="1"/>
      <c r="M70" s="1"/>
      <c r="N70" s="1"/>
    </row>
    <row r="71" spans="1:14" ht="20.100000000000001" customHeight="1" x14ac:dyDescent="0.2">
      <c r="C71" s="1"/>
      <c r="D71" s="1"/>
      <c r="E71" s="1"/>
      <c r="F71" s="1"/>
      <c r="G71" s="1"/>
      <c r="H71" s="1"/>
      <c r="I71" s="1"/>
      <c r="J71" s="1"/>
      <c r="K71" s="1"/>
      <c r="L71" s="1"/>
      <c r="M71" s="1"/>
      <c r="N71" s="1"/>
    </row>
    <row r="72" spans="1:14" ht="20.100000000000001" customHeight="1" x14ac:dyDescent="0.2">
      <c r="C72" s="1"/>
      <c r="D72" s="1"/>
      <c r="E72" s="1"/>
      <c r="F72" s="1"/>
      <c r="G72" s="1"/>
      <c r="H72" s="1"/>
      <c r="I72" s="1"/>
      <c r="J72" s="1"/>
      <c r="K72" s="1"/>
      <c r="L72" s="1"/>
      <c r="M72" s="1"/>
      <c r="N72" s="1"/>
    </row>
    <row r="73" spans="1:14" ht="20.100000000000001" customHeight="1" x14ac:dyDescent="0.2">
      <c r="C73" s="1"/>
      <c r="D73" s="1"/>
      <c r="E73" s="1"/>
      <c r="F73" s="1"/>
      <c r="G73" s="1"/>
      <c r="H73" s="1"/>
      <c r="I73" s="1"/>
      <c r="J73" s="1"/>
      <c r="K73" s="1"/>
      <c r="L73" s="1"/>
      <c r="M73" s="1"/>
      <c r="N73" s="1"/>
    </row>
    <row r="74" spans="1:14" ht="20.100000000000001" customHeight="1" x14ac:dyDescent="0.2">
      <c r="C74" s="1"/>
      <c r="D74" s="1"/>
      <c r="E74" s="1"/>
      <c r="F74" s="1"/>
      <c r="G74" s="1"/>
      <c r="H74" s="1"/>
      <c r="I74" s="1"/>
      <c r="J74" s="1"/>
      <c r="K74" s="1"/>
      <c r="L74" s="1"/>
      <c r="M74" s="1"/>
      <c r="N74" s="1"/>
    </row>
    <row r="75" spans="1:14" ht="20.100000000000001" customHeight="1" x14ac:dyDescent="0.2">
      <c r="C75" s="1"/>
      <c r="D75" s="1"/>
      <c r="E75" s="1"/>
      <c r="F75" s="1"/>
      <c r="G75" s="1"/>
      <c r="H75" s="1"/>
      <c r="I75" s="1"/>
      <c r="J75" s="1"/>
      <c r="K75" s="1"/>
      <c r="L75" s="1"/>
      <c r="M75" s="1"/>
      <c r="N75" s="1"/>
    </row>
    <row r="76" spans="1:14" ht="20.100000000000001" customHeight="1" x14ac:dyDescent="0.2">
      <c r="C76" s="1"/>
      <c r="D76" s="1"/>
      <c r="E76" s="1"/>
      <c r="F76" s="1"/>
      <c r="G76" s="1"/>
      <c r="H76" s="1"/>
      <c r="I76" s="1"/>
      <c r="J76" s="1"/>
      <c r="K76" s="1"/>
      <c r="L76" s="1"/>
      <c r="M76" s="1"/>
      <c r="N76" s="1"/>
    </row>
    <row r="77" spans="1:14" ht="20.100000000000001" customHeight="1" x14ac:dyDescent="0.2">
      <c r="C77" s="1"/>
      <c r="D77" s="1"/>
      <c r="E77" s="1"/>
      <c r="F77" s="1"/>
      <c r="G77" s="1"/>
      <c r="H77" s="1"/>
      <c r="I77" s="1"/>
      <c r="J77" s="1"/>
      <c r="K77" s="1"/>
      <c r="L77" s="1"/>
      <c r="M77" s="1"/>
      <c r="N77" s="1"/>
    </row>
    <row r="78" spans="1:14" ht="20.100000000000001" customHeight="1" x14ac:dyDescent="0.2">
      <c r="C78" s="1"/>
      <c r="D78" s="1"/>
      <c r="E78" s="1"/>
      <c r="F78" s="1"/>
      <c r="G78" s="1"/>
      <c r="H78" s="1"/>
      <c r="I78" s="1"/>
      <c r="J78" s="1"/>
      <c r="K78" s="1"/>
      <c r="L78" s="1"/>
      <c r="M78" s="1"/>
      <c r="N78" s="1"/>
    </row>
    <row r="79" spans="1:14" ht="20.100000000000001" customHeight="1" x14ac:dyDescent="0.2">
      <c r="C79" s="1"/>
      <c r="D79" s="1"/>
      <c r="E79" s="1"/>
      <c r="F79" s="1"/>
      <c r="G79" s="1"/>
      <c r="H79" s="1"/>
      <c r="I79" s="1"/>
      <c r="J79" s="1"/>
      <c r="K79" s="1"/>
      <c r="L79" s="1"/>
      <c r="M79" s="1"/>
      <c r="N79" s="1"/>
    </row>
    <row r="80" spans="1:14" ht="20.100000000000001" customHeight="1" x14ac:dyDescent="0.2">
      <c r="C80" s="1"/>
      <c r="D80" s="1"/>
      <c r="E80" s="1"/>
      <c r="F80" s="1"/>
      <c r="G80" s="1"/>
      <c r="H80" s="1"/>
      <c r="I80" s="1"/>
      <c r="J80" s="1"/>
      <c r="K80" s="1"/>
      <c r="L80" s="1"/>
      <c r="M80" s="1"/>
      <c r="N80" s="1"/>
    </row>
    <row r="81" spans="3:14" ht="20.100000000000001" customHeight="1" x14ac:dyDescent="0.2">
      <c r="C81" s="1"/>
      <c r="D81" s="1"/>
      <c r="E81" s="1"/>
      <c r="F81" s="1"/>
      <c r="G81" s="1"/>
      <c r="H81" s="1"/>
      <c r="I81" s="1"/>
      <c r="J81" s="1"/>
      <c r="K81" s="1"/>
      <c r="L81" s="1"/>
      <c r="M81" s="1"/>
      <c r="N81" s="1"/>
    </row>
    <row r="82" spans="3:14" ht="20.100000000000001" customHeight="1" x14ac:dyDescent="0.2">
      <c r="C82" s="1"/>
      <c r="D82" s="1"/>
      <c r="E82" s="1"/>
      <c r="F82" s="1"/>
      <c r="G82" s="1"/>
      <c r="H82" s="1"/>
      <c r="I82" s="1"/>
      <c r="J82" s="1"/>
      <c r="K82" s="1"/>
      <c r="L82" s="1"/>
      <c r="M82" s="1"/>
      <c r="N82" s="1"/>
    </row>
    <row r="83" spans="3:14" ht="20.100000000000001" customHeight="1" x14ac:dyDescent="0.2">
      <c r="C83" s="1"/>
      <c r="D83" s="1"/>
      <c r="E83" s="1"/>
      <c r="F83" s="1"/>
      <c r="G83" s="1"/>
      <c r="H83" s="1"/>
      <c r="I83" s="1"/>
      <c r="J83" s="1"/>
      <c r="K83" s="1"/>
      <c r="L83" s="1"/>
      <c r="M83" s="1"/>
      <c r="N83" s="1"/>
    </row>
    <row r="84" spans="3:14" ht="20.100000000000001" customHeight="1" x14ac:dyDescent="0.2">
      <c r="C84" s="1"/>
      <c r="D84" s="1"/>
      <c r="E84" s="1"/>
      <c r="F84" s="1"/>
      <c r="G84" s="1"/>
      <c r="H84" s="1"/>
      <c r="I84" s="1"/>
      <c r="J84" s="1"/>
      <c r="K84" s="1"/>
      <c r="L84" s="1"/>
      <c r="M84" s="1"/>
      <c r="N84" s="1"/>
    </row>
    <row r="85" spans="3:14" ht="20.100000000000001" customHeight="1" x14ac:dyDescent="0.2">
      <c r="C85" s="1"/>
      <c r="D85" s="1"/>
      <c r="E85" s="1"/>
      <c r="F85" s="1"/>
      <c r="G85" s="1"/>
      <c r="H85" s="1"/>
      <c r="I85" s="1"/>
      <c r="J85" s="1"/>
      <c r="K85" s="1"/>
      <c r="L85" s="1"/>
      <c r="M85" s="1"/>
      <c r="N85" s="1"/>
    </row>
    <row r="86" spans="3:14" ht="20.100000000000001" customHeight="1" x14ac:dyDescent="0.2">
      <c r="C86" s="1"/>
      <c r="D86" s="1"/>
      <c r="E86" s="1"/>
      <c r="F86" s="1"/>
      <c r="G86" s="1"/>
      <c r="H86" s="1"/>
      <c r="I86" s="1"/>
      <c r="J86" s="1"/>
      <c r="K86" s="1"/>
      <c r="L86" s="1"/>
      <c r="M86" s="1"/>
      <c r="N86" s="1"/>
    </row>
    <row r="87" spans="3:14" ht="20.100000000000001" customHeight="1" x14ac:dyDescent="0.2">
      <c r="C87" s="1"/>
      <c r="D87" s="1"/>
      <c r="E87" s="1"/>
      <c r="F87" s="1"/>
      <c r="G87" s="1"/>
      <c r="H87" s="1"/>
      <c r="I87" s="1"/>
      <c r="J87" s="1"/>
      <c r="K87" s="1"/>
      <c r="L87" s="1"/>
      <c r="M87" s="1"/>
      <c r="N87" s="1"/>
    </row>
    <row r="88" spans="3:14" ht="20.100000000000001" customHeight="1" x14ac:dyDescent="0.2">
      <c r="C88" s="1"/>
      <c r="D88" s="1"/>
      <c r="E88" s="1"/>
      <c r="F88" s="1"/>
      <c r="G88" s="1"/>
      <c r="H88" s="1"/>
      <c r="I88" s="1"/>
      <c r="J88" s="1"/>
      <c r="K88" s="1"/>
      <c r="L88" s="1"/>
      <c r="M88" s="1"/>
      <c r="N88" s="1"/>
    </row>
    <row r="89" spans="3:14" ht="20.100000000000001" customHeight="1" x14ac:dyDescent="0.2">
      <c r="C89" s="1"/>
      <c r="D89" s="1"/>
      <c r="E89" s="1"/>
      <c r="F89" s="1"/>
      <c r="G89" s="1"/>
      <c r="H89" s="1"/>
      <c r="I89" s="1"/>
      <c r="J89" s="1"/>
      <c r="K89" s="1"/>
      <c r="L89" s="1"/>
      <c r="M89" s="1"/>
      <c r="N89" s="1"/>
    </row>
    <row r="90" spans="3:14" ht="20.100000000000001" customHeight="1" x14ac:dyDescent="0.2">
      <c r="C90" s="1"/>
      <c r="D90" s="1"/>
      <c r="E90" s="1"/>
      <c r="F90" s="1"/>
      <c r="G90" s="1"/>
      <c r="H90" s="1"/>
      <c r="I90" s="1"/>
      <c r="J90" s="1"/>
      <c r="K90" s="1"/>
      <c r="L90" s="1"/>
      <c r="M90" s="1"/>
      <c r="N90" s="1"/>
    </row>
    <row r="91" spans="3:14" ht="20.100000000000001" customHeight="1" x14ac:dyDescent="0.2">
      <c r="C91" s="1"/>
      <c r="D91" s="1"/>
      <c r="E91" s="1"/>
      <c r="F91" s="1"/>
      <c r="G91" s="1"/>
      <c r="H91" s="1"/>
      <c r="I91" s="1"/>
      <c r="J91" s="1"/>
      <c r="K91" s="1"/>
      <c r="L91" s="1"/>
      <c r="M91" s="1"/>
      <c r="N91" s="1"/>
    </row>
    <row r="92" spans="3:14" ht="20.100000000000001" customHeight="1" x14ac:dyDescent="0.2">
      <c r="C92" s="1"/>
      <c r="D92" s="1"/>
      <c r="E92" s="1"/>
      <c r="F92" s="1"/>
      <c r="G92" s="1"/>
      <c r="H92" s="1"/>
      <c r="I92" s="1"/>
      <c r="J92" s="1"/>
      <c r="K92" s="1"/>
      <c r="L92" s="1"/>
      <c r="M92" s="1"/>
      <c r="N92" s="1"/>
    </row>
    <row r="93" spans="3:14" ht="20.100000000000001" customHeight="1" x14ac:dyDescent="0.2">
      <c r="C93" s="1"/>
      <c r="D93" s="1"/>
      <c r="E93" s="1"/>
      <c r="F93" s="1"/>
      <c r="G93" s="1"/>
      <c r="H93" s="1"/>
      <c r="I93" s="1"/>
      <c r="J93" s="1"/>
      <c r="K93" s="1"/>
      <c r="L93" s="1"/>
      <c r="M93" s="1"/>
      <c r="N93" s="1"/>
    </row>
    <row r="94" spans="3:14" ht="20.100000000000001" customHeight="1" x14ac:dyDescent="0.2">
      <c r="C94" s="1"/>
      <c r="D94" s="1"/>
      <c r="E94" s="1"/>
      <c r="F94" s="1"/>
      <c r="G94" s="1"/>
      <c r="H94" s="1"/>
      <c r="I94" s="1"/>
      <c r="J94" s="1"/>
      <c r="K94" s="1"/>
      <c r="L94" s="1"/>
      <c r="M94" s="1"/>
      <c r="N94" s="1"/>
    </row>
    <row r="95" spans="3:14" ht="20.100000000000001" customHeight="1" x14ac:dyDescent="0.2">
      <c r="C95" s="1"/>
      <c r="D95" s="1"/>
      <c r="E95" s="1"/>
      <c r="F95" s="1"/>
      <c r="G95" s="1"/>
      <c r="H95" s="1"/>
      <c r="I95" s="1"/>
      <c r="J95" s="1"/>
      <c r="K95" s="1"/>
      <c r="L95" s="1"/>
      <c r="M95" s="1"/>
      <c r="N95" s="1"/>
    </row>
    <row r="96" spans="3:14" ht="20.100000000000001" customHeight="1" x14ac:dyDescent="0.2">
      <c r="C96" s="1"/>
      <c r="D96" s="1"/>
      <c r="E96" s="1"/>
      <c r="F96" s="1"/>
      <c r="G96" s="1"/>
      <c r="H96" s="1"/>
      <c r="I96" s="1"/>
      <c r="J96" s="1"/>
      <c r="K96" s="1"/>
      <c r="L96" s="1"/>
      <c r="M96" s="1"/>
      <c r="N96" s="1"/>
    </row>
    <row r="97" spans="3:14" ht="20.100000000000001" customHeight="1" x14ac:dyDescent="0.2">
      <c r="C97" s="1"/>
      <c r="D97" s="1"/>
      <c r="E97" s="1"/>
      <c r="F97" s="1"/>
      <c r="G97" s="1"/>
      <c r="H97" s="1"/>
      <c r="I97" s="1"/>
      <c r="J97" s="1"/>
      <c r="K97" s="1"/>
      <c r="L97" s="1"/>
      <c r="M97" s="1"/>
      <c r="N97" s="1"/>
    </row>
    <row r="98" spans="3:14" ht="20.100000000000001" customHeight="1" x14ac:dyDescent="0.2">
      <c r="C98" s="1"/>
      <c r="D98" s="1"/>
      <c r="E98" s="1"/>
      <c r="F98" s="1"/>
      <c r="G98" s="1"/>
      <c r="H98" s="1"/>
      <c r="I98" s="1"/>
      <c r="J98" s="1"/>
      <c r="K98" s="1"/>
      <c r="L98" s="1"/>
      <c r="M98" s="1"/>
      <c r="N98" s="1"/>
    </row>
    <row r="99" spans="3:14" ht="20.100000000000001" customHeight="1" x14ac:dyDescent="0.2">
      <c r="C99" s="1"/>
      <c r="D99" s="1"/>
      <c r="E99" s="1"/>
      <c r="F99" s="1"/>
      <c r="G99" s="1"/>
      <c r="H99" s="1"/>
      <c r="I99" s="1"/>
      <c r="J99" s="1"/>
      <c r="K99" s="1"/>
      <c r="L99" s="1"/>
      <c r="M99" s="1"/>
      <c r="N99" s="1"/>
    </row>
    <row r="100" spans="3:14" ht="20.100000000000001" customHeight="1" x14ac:dyDescent="0.2">
      <c r="C100" s="1"/>
      <c r="D100" s="1"/>
      <c r="E100" s="1"/>
      <c r="F100" s="1"/>
      <c r="G100" s="1"/>
      <c r="H100" s="1"/>
      <c r="I100" s="1"/>
      <c r="J100" s="1"/>
      <c r="K100" s="1"/>
      <c r="L100" s="1"/>
      <c r="M100" s="1"/>
      <c r="N100" s="1"/>
    </row>
    <row r="101" spans="3:14" ht="20.100000000000001" customHeight="1" x14ac:dyDescent="0.2">
      <c r="C101" s="1"/>
      <c r="D101" s="1"/>
      <c r="E101" s="1"/>
      <c r="F101" s="1"/>
      <c r="G101" s="1"/>
      <c r="H101" s="1"/>
      <c r="I101" s="1"/>
      <c r="J101" s="1"/>
      <c r="K101" s="1"/>
      <c r="L101" s="1"/>
      <c r="M101" s="1"/>
      <c r="N101" s="1"/>
    </row>
    <row r="102" spans="3:14" ht="20.100000000000001" customHeight="1" x14ac:dyDescent="0.2">
      <c r="C102" s="1"/>
      <c r="D102" s="1"/>
      <c r="E102" s="1"/>
      <c r="F102" s="1"/>
      <c r="G102" s="1"/>
      <c r="H102" s="1"/>
      <c r="I102" s="1"/>
      <c r="J102" s="1"/>
      <c r="K102" s="1"/>
      <c r="L102" s="1"/>
      <c r="M102" s="1"/>
      <c r="N102" s="1"/>
    </row>
    <row r="103" spans="3:14" ht="20.100000000000001" customHeight="1" x14ac:dyDescent="0.2">
      <c r="C103" s="1"/>
      <c r="D103" s="1"/>
      <c r="E103" s="1"/>
      <c r="F103" s="1"/>
      <c r="G103" s="1"/>
      <c r="H103" s="1"/>
      <c r="I103" s="1"/>
      <c r="J103" s="1"/>
      <c r="K103" s="1"/>
      <c r="L103" s="1"/>
      <c r="M103" s="1"/>
      <c r="N103" s="1"/>
    </row>
    <row r="104" spans="3:14" ht="20.100000000000001" customHeight="1" x14ac:dyDescent="0.2">
      <c r="C104" s="1"/>
      <c r="D104" s="1"/>
      <c r="E104" s="1"/>
      <c r="F104" s="1"/>
      <c r="G104" s="1"/>
      <c r="H104" s="1"/>
      <c r="I104" s="1"/>
      <c r="J104" s="1"/>
      <c r="K104" s="1"/>
      <c r="L104" s="1"/>
      <c r="M104" s="1"/>
      <c r="N104" s="1"/>
    </row>
    <row r="105" spans="3:14" ht="20.100000000000001" customHeight="1" x14ac:dyDescent="0.2">
      <c r="C105" s="1"/>
      <c r="D105" s="1"/>
      <c r="E105" s="1"/>
      <c r="F105" s="1"/>
      <c r="G105" s="1"/>
      <c r="H105" s="1"/>
      <c r="I105" s="1"/>
      <c r="J105" s="1"/>
      <c r="K105" s="1"/>
      <c r="L105" s="1"/>
      <c r="M105" s="1"/>
      <c r="N105" s="1"/>
    </row>
    <row r="106" spans="3:14" ht="20.100000000000001" customHeight="1" x14ac:dyDescent="0.2">
      <c r="C106" s="1"/>
      <c r="D106" s="1"/>
      <c r="E106" s="1"/>
      <c r="F106" s="1"/>
      <c r="G106" s="1"/>
      <c r="H106" s="1"/>
      <c r="I106" s="1"/>
      <c r="J106" s="1"/>
      <c r="K106" s="1"/>
      <c r="L106" s="1"/>
      <c r="M106" s="1"/>
      <c r="N106" s="1"/>
    </row>
    <row r="107" spans="3:14" ht="20.100000000000001" customHeight="1" x14ac:dyDescent="0.2">
      <c r="C107" s="1"/>
      <c r="D107" s="1"/>
      <c r="E107" s="1"/>
      <c r="F107" s="1"/>
      <c r="G107" s="1"/>
      <c r="H107" s="1"/>
      <c r="I107" s="1"/>
      <c r="J107" s="1"/>
      <c r="K107" s="1"/>
      <c r="L107" s="1"/>
      <c r="M107" s="1"/>
      <c r="N107" s="1"/>
    </row>
    <row r="108" spans="3:14" ht="20.100000000000001" customHeight="1" x14ac:dyDescent="0.2">
      <c r="C108" s="1"/>
      <c r="D108" s="1"/>
      <c r="E108" s="1"/>
      <c r="F108" s="1"/>
      <c r="G108" s="1"/>
      <c r="H108" s="1"/>
      <c r="I108" s="1"/>
      <c r="J108" s="1"/>
      <c r="K108" s="1"/>
      <c r="L108" s="1"/>
      <c r="M108" s="1"/>
      <c r="N108" s="1"/>
    </row>
    <row r="109" spans="3:14" ht="20.100000000000001" customHeight="1" x14ac:dyDescent="0.2">
      <c r="C109" s="1"/>
      <c r="D109" s="1"/>
      <c r="E109" s="1"/>
      <c r="F109" s="1"/>
      <c r="G109" s="1"/>
      <c r="H109" s="1"/>
      <c r="I109" s="1"/>
      <c r="J109" s="1"/>
      <c r="K109" s="1"/>
      <c r="L109" s="1"/>
      <c r="M109" s="1"/>
      <c r="N109" s="1"/>
    </row>
    <row r="110" spans="3:14" ht="20.100000000000001" customHeight="1" x14ac:dyDescent="0.2">
      <c r="C110" s="1"/>
      <c r="D110" s="1"/>
      <c r="E110" s="1"/>
      <c r="F110" s="1"/>
      <c r="G110" s="1"/>
      <c r="H110" s="1"/>
      <c r="I110" s="1"/>
      <c r="J110" s="1"/>
      <c r="K110" s="1"/>
      <c r="L110" s="1"/>
      <c r="M110" s="1"/>
      <c r="N110" s="1"/>
    </row>
    <row r="111" spans="3:14" ht="20.100000000000001" customHeight="1" x14ac:dyDescent="0.2">
      <c r="C111" s="1"/>
      <c r="D111" s="1"/>
      <c r="E111" s="1"/>
      <c r="F111" s="1"/>
      <c r="G111" s="1"/>
      <c r="H111" s="1"/>
      <c r="I111" s="1"/>
      <c r="J111" s="1"/>
      <c r="K111" s="1"/>
      <c r="L111" s="1"/>
      <c r="M111" s="1"/>
      <c r="N111" s="1"/>
    </row>
    <row r="112" spans="3:14" ht="20.100000000000001" customHeight="1" x14ac:dyDescent="0.2">
      <c r="C112" s="1"/>
      <c r="D112" s="1"/>
      <c r="E112" s="1"/>
      <c r="F112" s="1"/>
      <c r="G112" s="1"/>
      <c r="H112" s="1"/>
      <c r="I112" s="1"/>
      <c r="J112" s="1"/>
      <c r="K112" s="1"/>
      <c r="L112" s="1"/>
      <c r="M112" s="1"/>
      <c r="N112" s="1"/>
    </row>
    <row r="113" spans="3:14" ht="20.100000000000001" customHeight="1" x14ac:dyDescent="0.2">
      <c r="C113" s="1"/>
      <c r="D113" s="1"/>
      <c r="E113" s="1"/>
      <c r="F113" s="1"/>
      <c r="G113" s="1"/>
      <c r="H113" s="1"/>
      <c r="I113" s="1"/>
      <c r="J113" s="1"/>
      <c r="K113" s="1"/>
      <c r="L113" s="1"/>
      <c r="M113" s="1"/>
      <c r="N113" s="1"/>
    </row>
    <row r="114" spans="3:14" ht="20.100000000000001" customHeight="1" x14ac:dyDescent="0.2">
      <c r="C114" s="1"/>
      <c r="D114" s="1"/>
      <c r="E114" s="1"/>
      <c r="F114" s="1"/>
      <c r="G114" s="1"/>
      <c r="H114" s="1"/>
      <c r="I114" s="1"/>
      <c r="J114" s="1"/>
      <c r="K114" s="1"/>
      <c r="L114" s="1"/>
      <c r="M114" s="1"/>
      <c r="N114" s="1"/>
    </row>
    <row r="115" spans="3:14" ht="20.100000000000001" customHeight="1" x14ac:dyDescent="0.2">
      <c r="C115" s="1"/>
      <c r="D115" s="1"/>
      <c r="E115" s="1"/>
      <c r="F115" s="1"/>
      <c r="G115" s="1"/>
      <c r="H115" s="1"/>
      <c r="I115" s="1"/>
      <c r="J115" s="1"/>
      <c r="K115" s="1"/>
      <c r="L115" s="1"/>
      <c r="M115" s="1"/>
      <c r="N115" s="1"/>
    </row>
    <row r="116" spans="3:14" ht="20.100000000000001" customHeight="1" x14ac:dyDescent="0.2">
      <c r="C116" s="1"/>
      <c r="D116" s="1"/>
      <c r="E116" s="1"/>
      <c r="F116" s="1"/>
      <c r="G116" s="1"/>
      <c r="H116" s="1"/>
      <c r="I116" s="1"/>
      <c r="J116" s="1"/>
      <c r="K116" s="1"/>
      <c r="L116" s="1"/>
      <c r="M116" s="1"/>
      <c r="N116" s="1"/>
    </row>
    <row r="117" spans="3:14" ht="20.100000000000001" customHeight="1" x14ac:dyDescent="0.2">
      <c r="C117" s="1"/>
      <c r="D117" s="1"/>
      <c r="E117" s="1"/>
      <c r="F117" s="1"/>
      <c r="G117" s="1"/>
      <c r="H117" s="1"/>
      <c r="I117" s="1"/>
      <c r="J117" s="1"/>
      <c r="K117" s="1"/>
      <c r="L117" s="1"/>
      <c r="M117" s="1"/>
      <c r="N117" s="1"/>
    </row>
    <row r="118" spans="3:14" ht="20.100000000000001" customHeight="1" x14ac:dyDescent="0.2">
      <c r="C118" s="1"/>
      <c r="D118" s="1"/>
      <c r="E118" s="1"/>
      <c r="F118" s="1"/>
      <c r="G118" s="1"/>
      <c r="H118" s="1"/>
      <c r="I118" s="1"/>
      <c r="J118" s="1"/>
      <c r="K118" s="1"/>
      <c r="L118" s="1"/>
      <c r="M118" s="1"/>
      <c r="N118" s="1"/>
    </row>
    <row r="119" spans="3:14" ht="20.100000000000001" customHeight="1" x14ac:dyDescent="0.2">
      <c r="C119" s="1"/>
      <c r="D119" s="1"/>
      <c r="E119" s="1"/>
      <c r="F119" s="1"/>
      <c r="G119" s="1"/>
      <c r="H119" s="1"/>
      <c r="I119" s="1"/>
      <c r="J119" s="1"/>
      <c r="K119" s="1"/>
      <c r="L119" s="1"/>
      <c r="M119" s="1"/>
      <c r="N119" s="1"/>
    </row>
    <row r="120" spans="3:14" ht="20.100000000000001" customHeight="1" x14ac:dyDescent="0.2">
      <c r="C120" s="1"/>
      <c r="D120" s="1"/>
      <c r="E120" s="1"/>
      <c r="F120" s="1"/>
      <c r="G120" s="1"/>
      <c r="H120" s="1"/>
      <c r="I120" s="1"/>
      <c r="J120" s="1"/>
      <c r="K120" s="1"/>
      <c r="L120" s="1"/>
      <c r="M120" s="1"/>
      <c r="N120" s="1"/>
    </row>
    <row r="121" spans="3:14" ht="20.100000000000001" customHeight="1" x14ac:dyDescent="0.2">
      <c r="C121" s="1"/>
      <c r="D121" s="1"/>
      <c r="E121" s="1"/>
      <c r="F121" s="1"/>
      <c r="G121" s="1"/>
      <c r="H121" s="1"/>
      <c r="I121" s="1"/>
      <c r="J121" s="1"/>
      <c r="K121" s="1"/>
      <c r="L121" s="1"/>
      <c r="M121" s="1"/>
      <c r="N121" s="1"/>
    </row>
    <row r="122" spans="3:14" ht="20.100000000000001" customHeight="1" x14ac:dyDescent="0.2">
      <c r="C122" s="1"/>
      <c r="D122" s="1"/>
      <c r="E122" s="1"/>
      <c r="F122" s="1"/>
      <c r="G122" s="1"/>
      <c r="H122" s="1"/>
      <c r="I122" s="1"/>
      <c r="J122" s="1"/>
      <c r="K122" s="1"/>
      <c r="L122" s="1"/>
      <c r="M122" s="1"/>
      <c r="N122" s="1"/>
    </row>
    <row r="123" spans="3:14" ht="20.100000000000001" customHeight="1" x14ac:dyDescent="0.2">
      <c r="C123" s="1"/>
      <c r="D123" s="1"/>
      <c r="E123" s="1"/>
      <c r="F123" s="1"/>
      <c r="G123" s="1"/>
      <c r="H123" s="1"/>
      <c r="I123" s="1"/>
      <c r="J123" s="1"/>
      <c r="K123" s="1"/>
      <c r="L123" s="1"/>
      <c r="M123" s="1"/>
      <c r="N123" s="1"/>
    </row>
    <row r="124" spans="3:14" ht="20.100000000000001" customHeight="1" x14ac:dyDescent="0.2">
      <c r="C124" s="1"/>
      <c r="D124" s="1"/>
      <c r="E124" s="1"/>
      <c r="F124" s="1"/>
      <c r="G124" s="1"/>
      <c r="H124" s="1"/>
      <c r="I124" s="1"/>
      <c r="J124" s="1"/>
      <c r="K124" s="1"/>
      <c r="L124" s="1"/>
      <c r="M124" s="1"/>
      <c r="N124" s="1"/>
    </row>
    <row r="125" spans="3:14" ht="20.100000000000001" customHeight="1" x14ac:dyDescent="0.2">
      <c r="C125" s="1"/>
      <c r="D125" s="1"/>
      <c r="E125" s="1"/>
      <c r="F125" s="1"/>
      <c r="G125" s="1"/>
      <c r="H125" s="1"/>
      <c r="I125" s="1"/>
      <c r="J125" s="1"/>
      <c r="K125" s="1"/>
      <c r="L125" s="1"/>
      <c r="M125" s="1"/>
      <c r="N125" s="1"/>
    </row>
    <row r="126" spans="3:14" ht="20.100000000000001" customHeight="1" x14ac:dyDescent="0.2">
      <c r="C126" s="1"/>
      <c r="D126" s="1"/>
      <c r="E126" s="1"/>
      <c r="F126" s="1"/>
      <c r="G126" s="1"/>
      <c r="H126" s="1"/>
      <c r="I126" s="1"/>
      <c r="J126" s="1"/>
      <c r="K126" s="1"/>
      <c r="L126" s="1"/>
      <c r="M126" s="1"/>
      <c r="N126" s="1"/>
    </row>
    <row r="127" spans="3:14" ht="20.100000000000001" customHeight="1" x14ac:dyDescent="0.2">
      <c r="C127" s="1"/>
      <c r="D127" s="1"/>
      <c r="E127" s="1"/>
      <c r="F127" s="1"/>
      <c r="G127" s="1"/>
      <c r="H127" s="1"/>
      <c r="I127" s="1"/>
      <c r="J127" s="1"/>
      <c r="K127" s="1"/>
      <c r="L127" s="1"/>
      <c r="M127" s="1"/>
      <c r="N127" s="1"/>
    </row>
    <row r="128" spans="3:14" ht="20.100000000000001" customHeight="1" x14ac:dyDescent="0.2">
      <c r="C128" s="1"/>
      <c r="D128" s="1"/>
      <c r="E128" s="1"/>
      <c r="F128" s="1"/>
      <c r="G128" s="1"/>
      <c r="H128" s="1"/>
      <c r="I128" s="1"/>
      <c r="J128" s="1"/>
      <c r="K128" s="1"/>
      <c r="L128" s="1"/>
      <c r="M128" s="1"/>
      <c r="N128" s="1"/>
    </row>
    <row r="129" spans="3:14" ht="20.100000000000001" customHeight="1" x14ac:dyDescent="0.2">
      <c r="C129" s="1"/>
      <c r="D129" s="1"/>
      <c r="E129" s="1"/>
      <c r="F129" s="1"/>
      <c r="G129" s="1"/>
      <c r="H129" s="1"/>
      <c r="I129" s="1"/>
      <c r="J129" s="1"/>
      <c r="K129" s="1"/>
      <c r="L129" s="1"/>
      <c r="M129" s="1"/>
      <c r="N129" s="1"/>
    </row>
    <row r="130" spans="3:14" ht="20.100000000000001" customHeight="1" x14ac:dyDescent="0.2">
      <c r="C130" s="1"/>
      <c r="D130" s="1"/>
      <c r="E130" s="1"/>
      <c r="F130" s="1"/>
      <c r="G130" s="1"/>
      <c r="H130" s="1"/>
      <c r="I130" s="1"/>
      <c r="J130" s="1"/>
      <c r="K130" s="1"/>
      <c r="L130" s="1"/>
      <c r="M130" s="1"/>
      <c r="N130" s="1"/>
    </row>
    <row r="131" spans="3:14" ht="20.100000000000001" customHeight="1" x14ac:dyDescent="0.2">
      <c r="C131" s="1"/>
      <c r="D131" s="1"/>
      <c r="E131" s="1"/>
      <c r="F131" s="1"/>
      <c r="G131" s="1"/>
      <c r="H131" s="1"/>
      <c r="I131" s="1"/>
      <c r="J131" s="1"/>
      <c r="K131" s="1"/>
      <c r="L131" s="1"/>
      <c r="M131" s="1"/>
      <c r="N131" s="1"/>
    </row>
    <row r="132" spans="3:14" ht="20.100000000000001" customHeight="1" x14ac:dyDescent="0.2">
      <c r="C132" s="1"/>
      <c r="D132" s="1"/>
      <c r="E132" s="1"/>
      <c r="F132" s="1"/>
      <c r="G132" s="1"/>
      <c r="H132" s="1"/>
      <c r="I132" s="1"/>
      <c r="J132" s="1"/>
      <c r="K132" s="1"/>
      <c r="L132" s="1"/>
      <c r="M132" s="1"/>
      <c r="N132" s="1"/>
    </row>
    <row r="133" spans="3:14" ht="20.100000000000001" customHeight="1" x14ac:dyDescent="0.2">
      <c r="C133" s="1"/>
      <c r="D133" s="1"/>
      <c r="E133" s="1"/>
      <c r="F133" s="1"/>
      <c r="G133" s="1"/>
      <c r="H133" s="1"/>
      <c r="I133" s="1"/>
      <c r="J133" s="1"/>
      <c r="K133" s="1"/>
      <c r="L133" s="1"/>
      <c r="M133" s="1"/>
      <c r="N133" s="1"/>
    </row>
    <row r="134" spans="3:14" ht="20.100000000000001" customHeight="1" x14ac:dyDescent="0.2">
      <c r="C134" s="1"/>
      <c r="D134" s="1"/>
      <c r="E134" s="1"/>
      <c r="F134" s="1"/>
      <c r="G134" s="1"/>
      <c r="H134" s="1"/>
      <c r="I134" s="1"/>
      <c r="J134" s="1"/>
      <c r="K134" s="1"/>
      <c r="L134" s="1"/>
      <c r="M134" s="1"/>
      <c r="N134" s="1"/>
    </row>
    <row r="135" spans="3:14" ht="20.100000000000001" customHeight="1" x14ac:dyDescent="0.2">
      <c r="C135" s="1"/>
      <c r="D135" s="1"/>
      <c r="E135" s="1"/>
      <c r="F135" s="1"/>
      <c r="G135" s="1"/>
      <c r="H135" s="1"/>
      <c r="I135" s="1"/>
      <c r="J135" s="1"/>
      <c r="K135" s="1"/>
      <c r="L135" s="1"/>
      <c r="M135" s="1"/>
      <c r="N135" s="1"/>
    </row>
    <row r="136" spans="3:14" ht="20.100000000000001" customHeight="1" x14ac:dyDescent="0.2">
      <c r="C136" s="1"/>
      <c r="D136" s="1"/>
      <c r="E136" s="1"/>
      <c r="F136" s="1"/>
      <c r="G136" s="1"/>
      <c r="H136" s="1"/>
      <c r="I136" s="1"/>
      <c r="J136" s="1"/>
      <c r="K136" s="1"/>
      <c r="L136" s="1"/>
      <c r="M136" s="1"/>
      <c r="N136" s="1"/>
    </row>
    <row r="137" spans="3:14" ht="20.100000000000001" customHeight="1" x14ac:dyDescent="0.2">
      <c r="C137" s="1"/>
      <c r="D137" s="1"/>
      <c r="E137" s="1"/>
      <c r="F137" s="1"/>
      <c r="G137" s="1"/>
      <c r="H137" s="1"/>
      <c r="I137" s="1"/>
      <c r="J137" s="1"/>
      <c r="K137" s="1"/>
      <c r="L137" s="1"/>
      <c r="M137" s="1"/>
      <c r="N137" s="1"/>
    </row>
    <row r="138" spans="3:14" ht="20.100000000000001" customHeight="1" x14ac:dyDescent="0.2">
      <c r="C138" s="1"/>
      <c r="D138" s="1"/>
      <c r="E138" s="1"/>
      <c r="F138" s="1"/>
      <c r="G138" s="1"/>
      <c r="H138" s="1"/>
      <c r="I138" s="1"/>
      <c r="J138" s="1"/>
      <c r="K138" s="1"/>
      <c r="L138" s="1"/>
      <c r="M138" s="1"/>
      <c r="N138" s="1"/>
    </row>
    <row r="139" spans="3:14" ht="20.100000000000001" customHeight="1" x14ac:dyDescent="0.2">
      <c r="C139" s="1"/>
      <c r="D139" s="1"/>
      <c r="E139" s="1"/>
      <c r="F139" s="1"/>
      <c r="G139" s="1"/>
      <c r="H139" s="1"/>
      <c r="I139" s="1"/>
      <c r="J139" s="1"/>
      <c r="K139" s="1"/>
      <c r="L139" s="1"/>
      <c r="M139" s="1"/>
      <c r="N139" s="1"/>
    </row>
    <row r="140" spans="3:14" ht="20.100000000000001" customHeight="1" x14ac:dyDescent="0.2">
      <c r="C140" s="1"/>
      <c r="D140" s="1"/>
      <c r="E140" s="1"/>
      <c r="F140" s="1"/>
      <c r="G140" s="1"/>
      <c r="H140" s="1"/>
      <c r="I140" s="1"/>
      <c r="J140" s="1"/>
      <c r="K140" s="1"/>
      <c r="L140" s="1"/>
      <c r="M140" s="1"/>
      <c r="N140" s="1"/>
    </row>
    <row r="141" spans="3:14" ht="20.100000000000001" customHeight="1" x14ac:dyDescent="0.2">
      <c r="C141" s="1"/>
      <c r="D141" s="1"/>
      <c r="E141" s="1"/>
      <c r="F141" s="1"/>
      <c r="G141" s="1"/>
      <c r="H141" s="1"/>
      <c r="I141" s="1"/>
      <c r="J141" s="1"/>
      <c r="K141" s="1"/>
      <c r="L141" s="1"/>
      <c r="M141" s="1"/>
      <c r="N141" s="1"/>
    </row>
    <row r="142" spans="3:14" ht="20.100000000000001" customHeight="1" x14ac:dyDescent="0.2">
      <c r="C142" s="1"/>
      <c r="D142" s="1"/>
      <c r="E142" s="1"/>
      <c r="F142" s="1"/>
      <c r="G142" s="1"/>
      <c r="H142" s="1"/>
      <c r="I142" s="1"/>
      <c r="J142" s="1"/>
      <c r="K142" s="1"/>
      <c r="L142" s="1"/>
      <c r="M142" s="1"/>
      <c r="N142" s="1"/>
    </row>
    <row r="143" spans="3:14" ht="20.100000000000001" customHeight="1" x14ac:dyDescent="0.2">
      <c r="C143" s="1"/>
      <c r="D143" s="1"/>
      <c r="E143" s="1"/>
      <c r="F143" s="1"/>
      <c r="G143" s="1"/>
      <c r="H143" s="1"/>
      <c r="I143" s="1"/>
      <c r="J143" s="1"/>
      <c r="K143" s="1"/>
      <c r="L143" s="1"/>
      <c r="M143" s="1"/>
      <c r="N143" s="1"/>
    </row>
    <row r="144" spans="3:14" ht="20.100000000000001" customHeight="1" x14ac:dyDescent="0.2">
      <c r="C144" s="1"/>
      <c r="D144" s="1"/>
      <c r="E144" s="1"/>
      <c r="F144" s="1"/>
      <c r="G144" s="1"/>
      <c r="H144" s="1"/>
      <c r="I144" s="1"/>
      <c r="J144" s="1"/>
      <c r="K144" s="1"/>
      <c r="L144" s="1"/>
      <c r="M144" s="1"/>
      <c r="N144" s="1"/>
    </row>
    <row r="145" spans="3:14" ht="20.100000000000001" customHeight="1" x14ac:dyDescent="0.2">
      <c r="C145" s="1"/>
      <c r="D145" s="1"/>
      <c r="E145" s="1"/>
      <c r="F145" s="1"/>
      <c r="G145" s="1"/>
      <c r="H145" s="1"/>
      <c r="I145" s="1"/>
      <c r="J145" s="1"/>
      <c r="K145" s="1"/>
      <c r="L145" s="1"/>
      <c r="M145" s="1"/>
      <c r="N145" s="1"/>
    </row>
    <row r="146" spans="3:14" ht="20.100000000000001" customHeight="1" x14ac:dyDescent="0.2">
      <c r="C146" s="1"/>
      <c r="D146" s="1"/>
      <c r="E146" s="1"/>
      <c r="F146" s="1"/>
      <c r="G146" s="1"/>
      <c r="H146" s="1"/>
      <c r="I146" s="1"/>
      <c r="J146" s="1"/>
      <c r="K146" s="1"/>
      <c r="L146" s="1"/>
      <c r="M146" s="1"/>
      <c r="N146" s="1"/>
    </row>
    <row r="147" spans="3:14" ht="20.100000000000001" customHeight="1" x14ac:dyDescent="0.2">
      <c r="C147" s="1"/>
      <c r="D147" s="1"/>
      <c r="E147" s="1"/>
      <c r="F147" s="1"/>
      <c r="G147" s="1"/>
      <c r="H147" s="1"/>
      <c r="I147" s="1"/>
      <c r="J147" s="1"/>
      <c r="K147" s="1"/>
      <c r="L147" s="1"/>
      <c r="M147" s="1"/>
      <c r="N147" s="1"/>
    </row>
    <row r="148" spans="3:14" ht="20.100000000000001" customHeight="1" x14ac:dyDescent="0.2">
      <c r="C148" s="1"/>
      <c r="D148" s="1"/>
      <c r="E148" s="1"/>
      <c r="F148" s="1"/>
      <c r="G148" s="1"/>
      <c r="H148" s="1"/>
      <c r="I148" s="1"/>
      <c r="J148" s="1"/>
      <c r="K148" s="1"/>
      <c r="L148" s="1"/>
      <c r="M148" s="1"/>
      <c r="N148" s="1"/>
    </row>
    <row r="149" spans="3:14" ht="20.100000000000001" customHeight="1" x14ac:dyDescent="0.2">
      <c r="C149" s="1"/>
      <c r="D149" s="1"/>
      <c r="E149" s="1"/>
      <c r="F149" s="1"/>
      <c r="G149" s="1"/>
      <c r="H149" s="1"/>
      <c r="I149" s="1"/>
      <c r="J149" s="1"/>
      <c r="K149" s="1"/>
      <c r="L149" s="1"/>
      <c r="M149" s="1"/>
      <c r="N149" s="1"/>
    </row>
    <row r="150" spans="3:14" ht="20.100000000000001" customHeight="1" x14ac:dyDescent="0.2">
      <c r="C150" s="1"/>
      <c r="D150" s="1"/>
      <c r="E150" s="1"/>
      <c r="F150" s="1"/>
      <c r="G150" s="1"/>
      <c r="H150" s="1"/>
      <c r="I150" s="1"/>
      <c r="J150" s="1"/>
      <c r="K150" s="1"/>
      <c r="L150" s="1"/>
      <c r="M150" s="1"/>
      <c r="N150" s="1"/>
    </row>
    <row r="151" spans="3:14" ht="20.100000000000001" customHeight="1" x14ac:dyDescent="0.2">
      <c r="C151" s="1"/>
      <c r="D151" s="1"/>
      <c r="E151" s="1"/>
      <c r="F151" s="1"/>
      <c r="G151" s="1"/>
      <c r="H151" s="1"/>
      <c r="I151" s="1"/>
      <c r="J151" s="1"/>
      <c r="K151" s="1"/>
      <c r="L151" s="1"/>
      <c r="M151" s="1"/>
      <c r="N151" s="1"/>
    </row>
    <row r="152" spans="3:14" ht="20.100000000000001" customHeight="1" x14ac:dyDescent="0.2">
      <c r="C152" s="1"/>
      <c r="D152" s="1"/>
      <c r="E152" s="1"/>
      <c r="F152" s="1"/>
      <c r="G152" s="1"/>
      <c r="H152" s="1"/>
      <c r="I152" s="1"/>
      <c r="J152" s="1"/>
      <c r="K152" s="1"/>
      <c r="L152" s="1"/>
      <c r="M152" s="1"/>
      <c r="N152" s="1"/>
    </row>
    <row r="153" spans="3:14" ht="20.100000000000001" customHeight="1" x14ac:dyDescent="0.2">
      <c r="C153" s="1"/>
      <c r="D153" s="1"/>
      <c r="E153" s="1"/>
      <c r="F153" s="1"/>
      <c r="G153" s="1"/>
      <c r="H153" s="1"/>
      <c r="I153" s="1"/>
      <c r="J153" s="1"/>
      <c r="K153" s="1"/>
      <c r="L153" s="1"/>
      <c r="M153" s="1"/>
      <c r="N153" s="1"/>
    </row>
    <row r="154" spans="3:14" ht="20.100000000000001" customHeight="1" x14ac:dyDescent="0.2">
      <c r="C154" s="1"/>
      <c r="D154" s="1"/>
      <c r="E154" s="1"/>
      <c r="F154" s="1"/>
      <c r="G154" s="1"/>
      <c r="H154" s="1"/>
      <c r="I154" s="1"/>
      <c r="J154" s="1"/>
      <c r="K154" s="1"/>
      <c r="L154" s="1"/>
      <c r="M154" s="1"/>
      <c r="N154" s="1"/>
    </row>
    <row r="155" spans="3:14" ht="20.100000000000001" customHeight="1" x14ac:dyDescent="0.2">
      <c r="C155" s="1"/>
      <c r="D155" s="1"/>
      <c r="E155" s="1"/>
      <c r="F155" s="1"/>
      <c r="G155" s="1"/>
      <c r="H155" s="1"/>
      <c r="I155" s="1"/>
      <c r="J155" s="1"/>
      <c r="K155" s="1"/>
      <c r="L155" s="1"/>
      <c r="M155" s="1"/>
      <c r="N155" s="1"/>
    </row>
    <row r="156" spans="3:14" ht="20.100000000000001" customHeight="1" x14ac:dyDescent="0.2">
      <c r="C156" s="1"/>
      <c r="D156" s="1"/>
      <c r="E156" s="1"/>
      <c r="F156" s="1"/>
      <c r="G156" s="1"/>
      <c r="H156" s="1"/>
      <c r="I156" s="1"/>
      <c r="J156" s="1"/>
      <c r="K156" s="1"/>
      <c r="L156" s="1"/>
      <c r="M156" s="1"/>
      <c r="N156" s="1"/>
    </row>
    <row r="157" spans="3:14" ht="20.100000000000001" customHeight="1" x14ac:dyDescent="0.2">
      <c r="C157" s="1"/>
      <c r="D157" s="1"/>
      <c r="E157" s="1"/>
      <c r="F157" s="1"/>
      <c r="G157" s="1"/>
      <c r="H157" s="1"/>
      <c r="I157" s="1"/>
      <c r="J157" s="1"/>
      <c r="K157" s="1"/>
      <c r="L157" s="1"/>
      <c r="M157" s="1"/>
      <c r="N157" s="1"/>
    </row>
    <row r="158" spans="3:14" ht="20.100000000000001" customHeight="1" x14ac:dyDescent="0.2">
      <c r="C158" s="1"/>
      <c r="D158" s="1"/>
      <c r="E158" s="1"/>
      <c r="F158" s="1"/>
      <c r="G158" s="1"/>
      <c r="H158" s="1"/>
      <c r="I158" s="1"/>
      <c r="J158" s="1"/>
      <c r="K158" s="1"/>
      <c r="L158" s="1"/>
      <c r="M158" s="1"/>
      <c r="N158" s="1"/>
    </row>
    <row r="159" spans="3:14" ht="20.100000000000001" customHeight="1" x14ac:dyDescent="0.2">
      <c r="C159" s="1"/>
      <c r="D159" s="1"/>
      <c r="E159" s="1"/>
      <c r="F159" s="1"/>
      <c r="G159" s="1"/>
      <c r="H159" s="1"/>
      <c r="I159" s="1"/>
      <c r="J159" s="1"/>
      <c r="K159" s="1"/>
      <c r="L159" s="1"/>
      <c r="M159" s="1"/>
      <c r="N159" s="1"/>
    </row>
    <row r="160" spans="3:14" ht="20.100000000000001" customHeight="1" x14ac:dyDescent="0.2">
      <c r="C160" s="1"/>
      <c r="D160" s="1"/>
      <c r="E160" s="1"/>
      <c r="F160" s="1"/>
      <c r="G160" s="1"/>
      <c r="H160" s="1"/>
      <c r="I160" s="1"/>
      <c r="J160" s="1"/>
      <c r="K160" s="1"/>
      <c r="L160" s="1"/>
      <c r="M160" s="1"/>
      <c r="N160" s="1"/>
    </row>
    <row r="161" spans="3:14" ht="20.100000000000001" customHeight="1" x14ac:dyDescent="0.2">
      <c r="C161" s="1"/>
      <c r="D161" s="1"/>
      <c r="E161" s="1"/>
      <c r="F161" s="1"/>
      <c r="G161" s="1"/>
      <c r="H161" s="1"/>
      <c r="I161" s="1"/>
      <c r="J161" s="1"/>
      <c r="K161" s="1"/>
      <c r="L161" s="1"/>
      <c r="M161" s="1"/>
      <c r="N161" s="1"/>
    </row>
    <row r="162" spans="3:14" ht="20.100000000000001" customHeight="1" x14ac:dyDescent="0.2">
      <c r="C162" s="1"/>
      <c r="D162" s="1"/>
      <c r="E162" s="1"/>
      <c r="F162" s="1"/>
      <c r="G162" s="1"/>
      <c r="H162" s="1"/>
      <c r="I162" s="1"/>
      <c r="J162" s="1"/>
      <c r="K162" s="1"/>
      <c r="L162" s="1"/>
      <c r="M162" s="1"/>
      <c r="N162" s="1"/>
    </row>
    <row r="163" spans="3:14" ht="20.100000000000001" customHeight="1" x14ac:dyDescent="0.2">
      <c r="C163" s="1"/>
      <c r="D163" s="1"/>
      <c r="E163" s="1"/>
      <c r="F163" s="1"/>
      <c r="G163" s="1"/>
      <c r="H163" s="1"/>
      <c r="I163" s="1"/>
      <c r="J163" s="1"/>
      <c r="K163" s="1"/>
      <c r="L163" s="1"/>
      <c r="M163" s="1"/>
      <c r="N163" s="1"/>
    </row>
    <row r="164" spans="3:14" ht="20.100000000000001" customHeight="1" x14ac:dyDescent="0.2">
      <c r="C164" s="1"/>
      <c r="D164" s="1"/>
      <c r="E164" s="1"/>
      <c r="F164" s="1"/>
      <c r="G164" s="1"/>
      <c r="H164" s="1"/>
      <c r="I164" s="1"/>
      <c r="J164" s="1"/>
      <c r="K164" s="1"/>
      <c r="L164" s="1"/>
      <c r="M164" s="1"/>
      <c r="N164" s="1"/>
    </row>
    <row r="165" spans="3:14" ht="20.100000000000001" customHeight="1" x14ac:dyDescent="0.2">
      <c r="C165" s="1"/>
      <c r="D165" s="1"/>
      <c r="E165" s="1"/>
      <c r="F165" s="1"/>
      <c r="G165" s="1"/>
      <c r="H165" s="1"/>
      <c r="I165" s="1"/>
      <c r="J165" s="1"/>
      <c r="K165" s="1"/>
      <c r="L165" s="1"/>
      <c r="M165" s="1"/>
      <c r="N165" s="1"/>
    </row>
    <row r="166" spans="3:14" ht="20.100000000000001" customHeight="1" x14ac:dyDescent="0.2">
      <c r="C166" s="1"/>
      <c r="D166" s="1"/>
      <c r="E166" s="1"/>
      <c r="F166" s="1"/>
      <c r="G166" s="1"/>
      <c r="H166" s="1"/>
      <c r="I166" s="1"/>
      <c r="J166" s="1"/>
      <c r="K166" s="1"/>
      <c r="L166" s="1"/>
      <c r="M166" s="1"/>
      <c r="N166" s="1"/>
    </row>
    <row r="167" spans="3:14" ht="20.100000000000001" customHeight="1" x14ac:dyDescent="0.2">
      <c r="C167" s="1"/>
      <c r="D167" s="1"/>
      <c r="E167" s="1"/>
      <c r="F167" s="1"/>
      <c r="G167" s="1"/>
      <c r="H167" s="1"/>
      <c r="I167" s="1"/>
      <c r="J167" s="1"/>
      <c r="K167" s="1"/>
      <c r="L167" s="1"/>
      <c r="M167" s="1"/>
      <c r="N167" s="1"/>
    </row>
    <row r="168" spans="3:14" ht="20.100000000000001" customHeight="1" x14ac:dyDescent="0.2">
      <c r="C168" s="1"/>
      <c r="D168" s="1"/>
      <c r="E168" s="1"/>
      <c r="F168" s="1"/>
      <c r="G168" s="1"/>
      <c r="H168" s="1"/>
      <c r="I168" s="1"/>
      <c r="J168" s="1"/>
      <c r="K168" s="1"/>
      <c r="L168" s="1"/>
      <c r="M168" s="1"/>
      <c r="N168" s="1"/>
    </row>
    <row r="169" spans="3:14" ht="20.100000000000001" customHeight="1" x14ac:dyDescent="0.2">
      <c r="C169" s="1"/>
      <c r="D169" s="1"/>
      <c r="E169" s="1"/>
      <c r="F169" s="1"/>
      <c r="G169" s="1"/>
      <c r="H169" s="1"/>
      <c r="I169" s="1"/>
      <c r="J169" s="1"/>
      <c r="K169" s="1"/>
      <c r="L169" s="1"/>
      <c r="M169" s="1"/>
      <c r="N169" s="1"/>
    </row>
    <row r="170" spans="3:14" ht="20.100000000000001" customHeight="1" x14ac:dyDescent="0.2">
      <c r="C170" s="1"/>
      <c r="D170" s="1"/>
      <c r="E170" s="1"/>
      <c r="F170" s="1"/>
      <c r="G170" s="1"/>
      <c r="H170" s="1"/>
      <c r="I170" s="1"/>
      <c r="J170" s="1"/>
      <c r="K170" s="1"/>
      <c r="L170" s="1"/>
      <c r="M170" s="1"/>
      <c r="N170" s="1"/>
    </row>
    <row r="171" spans="3:14" ht="20.100000000000001" customHeight="1" x14ac:dyDescent="0.2">
      <c r="C171" s="1"/>
      <c r="D171" s="1"/>
      <c r="E171" s="1"/>
      <c r="F171" s="1"/>
      <c r="G171" s="1"/>
      <c r="H171" s="1"/>
      <c r="I171" s="1"/>
      <c r="J171" s="1"/>
      <c r="K171" s="1"/>
      <c r="L171" s="1"/>
      <c r="M171" s="1"/>
      <c r="N171" s="1"/>
    </row>
    <row r="172" spans="3:14" ht="20.100000000000001" customHeight="1" x14ac:dyDescent="0.2">
      <c r="C172" s="1"/>
      <c r="D172" s="1"/>
      <c r="E172" s="1"/>
      <c r="F172" s="1"/>
      <c r="G172" s="1"/>
      <c r="H172" s="1"/>
      <c r="I172" s="1"/>
      <c r="J172" s="1"/>
      <c r="K172" s="1"/>
      <c r="L172" s="1"/>
      <c r="M172" s="1"/>
      <c r="N172" s="1"/>
    </row>
    <row r="173" spans="3:14" ht="20.100000000000001" customHeight="1" x14ac:dyDescent="0.2">
      <c r="C173" s="1"/>
      <c r="D173" s="1"/>
      <c r="E173" s="1"/>
      <c r="F173" s="1"/>
      <c r="G173" s="1"/>
      <c r="H173" s="1"/>
      <c r="I173" s="1"/>
      <c r="J173" s="1"/>
      <c r="K173" s="1"/>
      <c r="L173" s="1"/>
      <c r="M173" s="1"/>
      <c r="N173" s="1"/>
    </row>
    <row r="174" spans="3:14" ht="20.100000000000001" customHeight="1" x14ac:dyDescent="0.2">
      <c r="C174" s="1"/>
      <c r="D174" s="1"/>
      <c r="E174" s="1"/>
      <c r="F174" s="1"/>
      <c r="G174" s="1"/>
      <c r="H174" s="1"/>
      <c r="I174" s="1"/>
      <c r="J174" s="1"/>
      <c r="K174" s="1"/>
      <c r="L174" s="1"/>
      <c r="M174" s="1"/>
      <c r="N174" s="1"/>
    </row>
    <row r="175" spans="3:14" ht="20.100000000000001" customHeight="1" x14ac:dyDescent="0.2">
      <c r="C175" s="1"/>
      <c r="D175" s="1"/>
      <c r="E175" s="1"/>
      <c r="F175" s="1"/>
      <c r="G175" s="1"/>
      <c r="H175" s="1"/>
      <c r="I175" s="1"/>
      <c r="J175" s="1"/>
      <c r="K175" s="1"/>
      <c r="L175" s="1"/>
      <c r="M175" s="1"/>
      <c r="N175" s="1"/>
    </row>
    <row r="176" spans="3:14" ht="20.100000000000001" customHeight="1" x14ac:dyDescent="0.2">
      <c r="C176" s="1"/>
      <c r="D176" s="1"/>
      <c r="E176" s="1"/>
      <c r="F176" s="1"/>
      <c r="G176" s="1"/>
      <c r="H176" s="1"/>
      <c r="I176" s="1"/>
      <c r="J176" s="1"/>
      <c r="K176" s="1"/>
      <c r="L176" s="1"/>
      <c r="M176" s="1"/>
      <c r="N176" s="1"/>
    </row>
    <row r="177" spans="3:14" ht="20.100000000000001" customHeight="1" x14ac:dyDescent="0.2">
      <c r="C177" s="1"/>
      <c r="D177" s="1"/>
      <c r="E177" s="1"/>
      <c r="F177" s="1"/>
      <c r="G177" s="1"/>
      <c r="H177" s="1"/>
      <c r="I177" s="1"/>
      <c r="J177" s="1"/>
      <c r="K177" s="1"/>
      <c r="L177" s="1"/>
      <c r="M177" s="1"/>
      <c r="N177" s="1"/>
    </row>
    <row r="178" spans="3:14" ht="20.100000000000001" customHeight="1" x14ac:dyDescent="0.2">
      <c r="C178" s="1"/>
      <c r="D178" s="1"/>
      <c r="E178" s="1"/>
      <c r="F178" s="1"/>
      <c r="G178" s="1"/>
      <c r="H178" s="1"/>
      <c r="I178" s="1"/>
      <c r="J178" s="1"/>
      <c r="K178" s="1"/>
      <c r="L178" s="1"/>
      <c r="M178" s="1"/>
      <c r="N178" s="1"/>
    </row>
    <row r="179" spans="3:14" ht="20.100000000000001" customHeight="1" x14ac:dyDescent="0.2">
      <c r="C179" s="1"/>
      <c r="D179" s="1"/>
      <c r="E179" s="1"/>
      <c r="F179" s="1"/>
      <c r="G179" s="1"/>
      <c r="H179" s="1"/>
      <c r="I179" s="1"/>
      <c r="J179" s="1"/>
      <c r="K179" s="1"/>
      <c r="L179" s="1"/>
      <c r="M179" s="1"/>
      <c r="N179" s="1"/>
    </row>
    <row r="180" spans="3:14" ht="20.100000000000001" customHeight="1" x14ac:dyDescent="0.2">
      <c r="C180" s="1"/>
      <c r="D180" s="1"/>
      <c r="E180" s="1"/>
      <c r="F180" s="1"/>
      <c r="G180" s="1"/>
      <c r="H180" s="1"/>
      <c r="I180" s="1"/>
      <c r="J180" s="1"/>
      <c r="K180" s="1"/>
      <c r="L180" s="1"/>
      <c r="M180" s="1"/>
      <c r="N180" s="1"/>
    </row>
    <row r="181" spans="3:14" ht="20.100000000000001" customHeight="1" x14ac:dyDescent="0.2">
      <c r="C181" s="1"/>
      <c r="D181" s="1"/>
      <c r="E181" s="1"/>
      <c r="F181" s="1"/>
      <c r="G181" s="1"/>
      <c r="H181" s="1"/>
      <c r="I181" s="1"/>
      <c r="J181" s="1"/>
      <c r="K181" s="1"/>
      <c r="L181" s="1"/>
      <c r="M181" s="1"/>
      <c r="N181" s="1"/>
    </row>
    <row r="182" spans="3:14" ht="20.100000000000001" customHeight="1" x14ac:dyDescent="0.2">
      <c r="C182" s="1"/>
      <c r="D182" s="1"/>
      <c r="E182" s="1"/>
      <c r="F182" s="1"/>
      <c r="G182" s="1"/>
      <c r="H182" s="1"/>
      <c r="I182" s="1"/>
      <c r="J182" s="1"/>
      <c r="K182" s="1"/>
      <c r="L182" s="1"/>
      <c r="M182" s="1"/>
      <c r="N182" s="1"/>
    </row>
    <row r="183" spans="3:14" ht="20.100000000000001" customHeight="1" x14ac:dyDescent="0.2">
      <c r="C183" s="1"/>
      <c r="D183" s="1"/>
      <c r="E183" s="1"/>
      <c r="F183" s="1"/>
      <c r="G183" s="1"/>
      <c r="H183" s="1"/>
      <c r="I183" s="1"/>
      <c r="J183" s="1"/>
      <c r="K183" s="1"/>
      <c r="L183" s="1"/>
      <c r="M183" s="1"/>
      <c r="N183" s="1"/>
    </row>
    <row r="184" spans="3:14" ht="20.100000000000001" customHeight="1" x14ac:dyDescent="0.2">
      <c r="C184" s="1"/>
      <c r="D184" s="1"/>
      <c r="E184" s="1"/>
      <c r="F184" s="1"/>
      <c r="G184" s="1"/>
      <c r="H184" s="1"/>
      <c r="I184" s="1"/>
      <c r="J184" s="1"/>
      <c r="K184" s="1"/>
      <c r="L184" s="1"/>
      <c r="M184" s="1"/>
      <c r="N184" s="1"/>
    </row>
    <row r="185" spans="3:14" ht="20.100000000000001" customHeight="1" x14ac:dyDescent="0.2">
      <c r="C185" s="1"/>
      <c r="D185" s="1"/>
      <c r="E185" s="1"/>
      <c r="F185" s="1"/>
      <c r="G185" s="1"/>
      <c r="H185" s="1"/>
      <c r="I185" s="1"/>
      <c r="J185" s="1"/>
      <c r="K185" s="1"/>
      <c r="L185" s="1"/>
      <c r="M185" s="1"/>
      <c r="N185" s="1"/>
    </row>
    <row r="186" spans="3:14" ht="20.100000000000001" customHeight="1" x14ac:dyDescent="0.2">
      <c r="C186" s="1"/>
      <c r="D186" s="1"/>
      <c r="E186" s="1"/>
      <c r="F186" s="1"/>
      <c r="G186" s="1"/>
      <c r="H186" s="1"/>
      <c r="I186" s="1"/>
      <c r="J186" s="1"/>
      <c r="K186" s="1"/>
      <c r="L186" s="1"/>
      <c r="M186" s="1"/>
      <c r="N186" s="1"/>
    </row>
    <row r="187" spans="3:14" ht="20.100000000000001" customHeight="1" x14ac:dyDescent="0.2">
      <c r="C187" s="1"/>
      <c r="D187" s="1"/>
      <c r="E187" s="1"/>
      <c r="F187" s="1"/>
      <c r="G187" s="1"/>
      <c r="H187" s="1"/>
      <c r="I187" s="1"/>
      <c r="J187" s="1"/>
      <c r="K187" s="1"/>
      <c r="L187" s="1"/>
      <c r="M187" s="1"/>
      <c r="N187" s="1"/>
    </row>
    <row r="188" spans="3:14" ht="20.100000000000001" customHeight="1" x14ac:dyDescent="0.2">
      <c r="C188" s="1"/>
      <c r="D188" s="1"/>
      <c r="E188" s="1"/>
      <c r="F188" s="1"/>
      <c r="G188" s="1"/>
      <c r="H188" s="1"/>
      <c r="I188" s="1"/>
      <c r="J188" s="1"/>
      <c r="K188" s="1"/>
      <c r="L188" s="1"/>
      <c r="M188" s="1"/>
      <c r="N188" s="1"/>
    </row>
    <row r="189" spans="3:14" ht="20.100000000000001" customHeight="1" x14ac:dyDescent="0.2">
      <c r="C189" s="1"/>
      <c r="D189" s="1"/>
      <c r="E189" s="1"/>
      <c r="F189" s="1"/>
      <c r="G189" s="1"/>
      <c r="H189" s="1"/>
      <c r="I189" s="1"/>
      <c r="J189" s="1"/>
      <c r="K189" s="1"/>
      <c r="L189" s="1"/>
      <c r="M189" s="1"/>
      <c r="N189" s="1"/>
    </row>
    <row r="190" spans="3:14" ht="20.100000000000001" customHeight="1" x14ac:dyDescent="0.2">
      <c r="C190" s="1"/>
      <c r="D190" s="1"/>
      <c r="E190" s="1"/>
      <c r="F190" s="1"/>
      <c r="G190" s="1"/>
      <c r="H190" s="1"/>
      <c r="I190" s="1"/>
      <c r="J190" s="1"/>
      <c r="K190" s="1"/>
      <c r="L190" s="1"/>
      <c r="M190" s="1"/>
      <c r="N190" s="1"/>
    </row>
    <row r="191" spans="3:14" ht="20.100000000000001" customHeight="1" x14ac:dyDescent="0.2">
      <c r="C191" s="1"/>
      <c r="D191" s="1"/>
      <c r="E191" s="1"/>
      <c r="F191" s="1"/>
      <c r="G191" s="1"/>
      <c r="H191" s="1"/>
      <c r="I191" s="1"/>
      <c r="J191" s="1"/>
      <c r="K191" s="1"/>
      <c r="L191" s="1"/>
      <c r="M191" s="1"/>
      <c r="N191" s="1"/>
    </row>
    <row r="192" spans="3:14" ht="20.100000000000001" customHeight="1" x14ac:dyDescent="0.2">
      <c r="C192" s="1"/>
      <c r="D192" s="1"/>
      <c r="E192" s="1"/>
      <c r="F192" s="1"/>
      <c r="G192" s="1"/>
      <c r="H192" s="1"/>
      <c r="I192" s="1"/>
      <c r="J192" s="1"/>
      <c r="K192" s="1"/>
      <c r="L192" s="1"/>
      <c r="M192" s="1"/>
      <c r="N192" s="1"/>
    </row>
    <row r="193" spans="3:14" ht="20.100000000000001" customHeight="1" x14ac:dyDescent="0.2">
      <c r="C193" s="1"/>
      <c r="D193" s="1"/>
      <c r="E193" s="1"/>
      <c r="F193" s="1"/>
      <c r="G193" s="1"/>
      <c r="H193" s="1"/>
      <c r="I193" s="1"/>
      <c r="J193" s="1"/>
      <c r="K193" s="1"/>
      <c r="L193" s="1"/>
      <c r="M193" s="1"/>
      <c r="N193" s="1"/>
    </row>
    <row r="194" spans="3:14" ht="20.100000000000001" customHeight="1" x14ac:dyDescent="0.2">
      <c r="C194" s="1"/>
      <c r="D194" s="1"/>
      <c r="E194" s="1"/>
      <c r="F194" s="1"/>
      <c r="G194" s="1"/>
      <c r="H194" s="1"/>
      <c r="I194" s="1"/>
      <c r="J194" s="1"/>
      <c r="K194" s="1"/>
      <c r="L194" s="1"/>
      <c r="M194" s="1"/>
      <c r="N194" s="1"/>
    </row>
    <row r="195" spans="3:14" ht="20.100000000000001" customHeight="1" x14ac:dyDescent="0.2">
      <c r="C195" s="1"/>
      <c r="D195" s="1"/>
      <c r="E195" s="1"/>
      <c r="F195" s="1"/>
      <c r="G195" s="1"/>
      <c r="H195" s="1"/>
      <c r="I195" s="1"/>
      <c r="J195" s="1"/>
      <c r="K195" s="1"/>
      <c r="L195" s="1"/>
      <c r="M195" s="1"/>
      <c r="N195" s="1"/>
    </row>
    <row r="196" spans="3:14" ht="20.100000000000001" customHeight="1" x14ac:dyDescent="0.2">
      <c r="C196" s="1"/>
      <c r="D196" s="1"/>
      <c r="E196" s="1"/>
      <c r="F196" s="1"/>
      <c r="G196" s="1"/>
      <c r="H196" s="1"/>
      <c r="I196" s="1"/>
      <c r="J196" s="1"/>
      <c r="K196" s="1"/>
      <c r="L196" s="1"/>
      <c r="M196" s="1"/>
      <c r="N196" s="1"/>
    </row>
    <row r="197" spans="3:14" ht="20.100000000000001" customHeight="1" x14ac:dyDescent="0.2">
      <c r="C197" s="1"/>
      <c r="D197" s="1"/>
      <c r="E197" s="1"/>
      <c r="F197" s="1"/>
      <c r="G197" s="1"/>
      <c r="H197" s="1"/>
      <c r="I197" s="1"/>
      <c r="J197" s="1"/>
      <c r="K197" s="1"/>
      <c r="L197" s="1"/>
      <c r="M197" s="1"/>
      <c r="N197" s="1"/>
    </row>
    <row r="198" spans="3:14" ht="20.100000000000001" customHeight="1" x14ac:dyDescent="0.2">
      <c r="C198" s="1"/>
      <c r="D198" s="1"/>
      <c r="E198" s="1"/>
      <c r="F198" s="1"/>
      <c r="G198" s="1"/>
      <c r="H198" s="1"/>
      <c r="I198" s="1"/>
      <c r="J198" s="1"/>
      <c r="K198" s="1"/>
      <c r="L198" s="1"/>
      <c r="M198" s="1"/>
      <c r="N198" s="1"/>
    </row>
    <row r="199" spans="3:14" ht="20.100000000000001" customHeight="1" x14ac:dyDescent="0.2">
      <c r="C199" s="1"/>
      <c r="D199" s="1"/>
      <c r="E199" s="1"/>
      <c r="F199" s="1"/>
      <c r="G199" s="1"/>
      <c r="H199" s="1"/>
      <c r="I199" s="1"/>
      <c r="J199" s="1"/>
      <c r="K199" s="1"/>
      <c r="L199" s="1"/>
      <c r="M199" s="1"/>
      <c r="N199" s="1"/>
    </row>
    <row r="200" spans="3:14" ht="20.100000000000001" customHeight="1" x14ac:dyDescent="0.2">
      <c r="C200" s="1"/>
      <c r="D200" s="1"/>
      <c r="E200" s="1"/>
      <c r="F200" s="1"/>
      <c r="G200" s="1"/>
      <c r="H200" s="1"/>
      <c r="I200" s="1"/>
      <c r="J200" s="1"/>
      <c r="K200" s="1"/>
      <c r="L200" s="1"/>
      <c r="M200" s="1"/>
      <c r="N200" s="1"/>
    </row>
    <row r="201" spans="3:14" ht="20.100000000000001" customHeight="1" x14ac:dyDescent="0.2">
      <c r="C201" s="1"/>
      <c r="D201" s="1"/>
      <c r="E201" s="1"/>
      <c r="F201" s="1"/>
      <c r="G201" s="1"/>
      <c r="H201" s="1"/>
      <c r="I201" s="1"/>
      <c r="J201" s="1"/>
      <c r="K201" s="1"/>
      <c r="L201" s="1"/>
      <c r="M201" s="1"/>
      <c r="N201" s="1"/>
    </row>
    <row r="202" spans="3:14" ht="20.100000000000001" customHeight="1" x14ac:dyDescent="0.2">
      <c r="C202" s="1"/>
      <c r="D202" s="1"/>
      <c r="E202" s="1"/>
      <c r="F202" s="1"/>
      <c r="G202" s="1"/>
      <c r="H202" s="1"/>
      <c r="I202" s="1"/>
      <c r="J202" s="1"/>
      <c r="K202" s="1"/>
      <c r="L202" s="1"/>
      <c r="M202" s="1"/>
      <c r="N202" s="1"/>
    </row>
    <row r="203" spans="3:14" ht="20.100000000000001" customHeight="1" x14ac:dyDescent="0.2">
      <c r="C203" s="1"/>
      <c r="D203" s="1"/>
      <c r="E203" s="1"/>
      <c r="F203" s="1"/>
      <c r="G203" s="1"/>
      <c r="H203" s="1"/>
      <c r="I203" s="1"/>
      <c r="J203" s="1"/>
      <c r="K203" s="1"/>
      <c r="L203" s="1"/>
      <c r="M203" s="1"/>
      <c r="N203" s="1"/>
    </row>
    <row r="204" spans="3:14" ht="20.100000000000001" customHeight="1" x14ac:dyDescent="0.2">
      <c r="C204" s="1"/>
      <c r="D204" s="1"/>
      <c r="E204" s="1"/>
      <c r="F204" s="1"/>
      <c r="G204" s="1"/>
      <c r="H204" s="1"/>
      <c r="I204" s="1"/>
      <c r="J204" s="1"/>
      <c r="K204" s="1"/>
      <c r="L204" s="1"/>
      <c r="M204" s="1"/>
      <c r="N204" s="1"/>
    </row>
    <row r="205" spans="3:14" ht="20.100000000000001" customHeight="1" x14ac:dyDescent="0.2">
      <c r="C205" s="1"/>
      <c r="D205" s="1"/>
      <c r="E205" s="1"/>
      <c r="F205" s="1"/>
      <c r="G205" s="1"/>
      <c r="H205" s="1"/>
      <c r="I205" s="1"/>
      <c r="J205" s="1"/>
      <c r="K205" s="1"/>
      <c r="L205" s="1"/>
      <c r="M205" s="1"/>
      <c r="N205" s="1"/>
    </row>
    <row r="206" spans="3:14" ht="20.100000000000001" customHeight="1" x14ac:dyDescent="0.2">
      <c r="C206" s="1"/>
      <c r="D206" s="1"/>
      <c r="E206" s="1"/>
      <c r="F206" s="1"/>
      <c r="G206" s="1"/>
      <c r="H206" s="1"/>
      <c r="I206" s="1"/>
      <c r="J206" s="1"/>
      <c r="K206" s="1"/>
      <c r="L206" s="1"/>
      <c r="M206" s="1"/>
      <c r="N206" s="1"/>
    </row>
    <row r="207" spans="3:14" ht="20.100000000000001" customHeight="1" x14ac:dyDescent="0.2">
      <c r="C207" s="1"/>
      <c r="D207" s="1"/>
      <c r="E207" s="1"/>
      <c r="F207" s="1"/>
      <c r="G207" s="1"/>
      <c r="H207" s="1"/>
      <c r="I207" s="1"/>
      <c r="J207" s="1"/>
      <c r="K207" s="1"/>
      <c r="L207" s="1"/>
      <c r="M207" s="1"/>
      <c r="N207" s="1"/>
    </row>
    <row r="208" spans="3:14" ht="20.100000000000001" customHeight="1" x14ac:dyDescent="0.2">
      <c r="C208" s="1"/>
      <c r="D208" s="1"/>
      <c r="E208" s="1"/>
      <c r="F208" s="1"/>
      <c r="G208" s="1"/>
      <c r="H208" s="1"/>
      <c r="I208" s="1"/>
      <c r="J208" s="1"/>
      <c r="K208" s="1"/>
      <c r="L208" s="1"/>
      <c r="M208" s="1"/>
      <c r="N208" s="1"/>
    </row>
    <row r="209" spans="3:14" ht="20.100000000000001" customHeight="1" x14ac:dyDescent="0.2">
      <c r="C209" s="1"/>
      <c r="D209" s="1"/>
      <c r="E209" s="1"/>
      <c r="F209" s="1"/>
      <c r="G209" s="1"/>
      <c r="H209" s="1"/>
      <c r="I209" s="1"/>
      <c r="J209" s="1"/>
      <c r="K209" s="1"/>
      <c r="L209" s="1"/>
      <c r="M209" s="1"/>
      <c r="N209" s="1"/>
    </row>
    <row r="210" spans="3:14" ht="20.100000000000001" customHeight="1" x14ac:dyDescent="0.2">
      <c r="C210" s="1"/>
      <c r="D210" s="1"/>
      <c r="E210" s="1"/>
      <c r="F210" s="1"/>
      <c r="G210" s="1"/>
      <c r="H210" s="1"/>
      <c r="I210" s="1"/>
      <c r="J210" s="1"/>
      <c r="K210" s="1"/>
      <c r="L210" s="1"/>
      <c r="M210" s="1"/>
      <c r="N210" s="1"/>
    </row>
    <row r="211" spans="3:14" ht="20.100000000000001" customHeight="1" x14ac:dyDescent="0.2">
      <c r="C211" s="1"/>
      <c r="D211" s="1"/>
      <c r="E211" s="1"/>
      <c r="F211" s="1"/>
      <c r="G211" s="1"/>
      <c r="H211" s="1"/>
      <c r="I211" s="1"/>
      <c r="J211" s="1"/>
      <c r="K211" s="1"/>
      <c r="L211" s="1"/>
      <c r="M211" s="1"/>
      <c r="N211" s="1"/>
    </row>
    <row r="212" spans="3:14" ht="20.100000000000001" customHeight="1" x14ac:dyDescent="0.2">
      <c r="C212" s="1"/>
      <c r="D212" s="1"/>
      <c r="E212" s="1"/>
      <c r="F212" s="1"/>
      <c r="G212" s="1"/>
      <c r="H212" s="1"/>
      <c r="I212" s="1"/>
      <c r="J212" s="1"/>
      <c r="K212" s="1"/>
      <c r="L212" s="1"/>
      <c r="M212" s="1"/>
      <c r="N212" s="1"/>
    </row>
    <row r="213" spans="3:14" ht="20.100000000000001" customHeight="1" x14ac:dyDescent="0.2">
      <c r="C213" s="1"/>
      <c r="D213" s="1"/>
      <c r="E213" s="1"/>
      <c r="F213" s="1"/>
      <c r="G213" s="1"/>
      <c r="H213" s="1"/>
      <c r="I213" s="1"/>
      <c r="J213" s="1"/>
      <c r="K213" s="1"/>
      <c r="L213" s="1"/>
      <c r="M213" s="1"/>
      <c r="N213" s="1"/>
    </row>
    <row r="214" spans="3:14" ht="20.100000000000001" customHeight="1" x14ac:dyDescent="0.2">
      <c r="C214" s="1"/>
      <c r="D214" s="1"/>
      <c r="E214" s="1"/>
      <c r="F214" s="1"/>
      <c r="G214" s="1"/>
      <c r="H214" s="1"/>
      <c r="I214" s="1"/>
      <c r="J214" s="1"/>
      <c r="K214" s="1"/>
      <c r="L214" s="1"/>
      <c r="M214" s="1"/>
      <c r="N214" s="1"/>
    </row>
    <row r="215" spans="3:14" ht="20.100000000000001" customHeight="1" x14ac:dyDescent="0.2">
      <c r="C215" s="1"/>
      <c r="D215" s="1"/>
      <c r="E215" s="1"/>
      <c r="F215" s="1"/>
      <c r="G215" s="1"/>
      <c r="H215" s="1"/>
      <c r="I215" s="1"/>
      <c r="J215" s="1"/>
      <c r="K215" s="1"/>
      <c r="L215" s="1"/>
      <c r="M215" s="1"/>
      <c r="N215" s="1"/>
    </row>
    <row r="216" spans="3:14" ht="20.100000000000001" customHeight="1" x14ac:dyDescent="0.2">
      <c r="C216" s="1"/>
      <c r="D216" s="1"/>
      <c r="E216" s="1"/>
      <c r="F216" s="1"/>
      <c r="G216" s="1"/>
      <c r="H216" s="1"/>
      <c r="I216" s="1"/>
      <c r="J216" s="1"/>
      <c r="K216" s="1"/>
      <c r="L216" s="1"/>
      <c r="M216" s="1"/>
      <c r="N216" s="1"/>
    </row>
    <row r="217" spans="3:14" ht="20.100000000000001" customHeight="1" x14ac:dyDescent="0.2">
      <c r="C217" s="1"/>
      <c r="D217" s="1"/>
      <c r="E217" s="1"/>
      <c r="F217" s="1"/>
      <c r="G217" s="1"/>
      <c r="H217" s="1"/>
      <c r="I217" s="1"/>
      <c r="J217" s="1"/>
      <c r="K217" s="1"/>
      <c r="L217" s="1"/>
      <c r="M217" s="1"/>
      <c r="N217" s="1"/>
    </row>
    <row r="218" spans="3:14" ht="20.100000000000001" customHeight="1" x14ac:dyDescent="0.2">
      <c r="C218" s="1"/>
      <c r="D218" s="1"/>
      <c r="E218" s="1"/>
      <c r="F218" s="1"/>
      <c r="G218" s="1"/>
      <c r="H218" s="1"/>
      <c r="I218" s="1"/>
      <c r="J218" s="1"/>
      <c r="K218" s="1"/>
      <c r="L218" s="1"/>
      <c r="M218" s="1"/>
      <c r="N218" s="1"/>
    </row>
    <row r="219" spans="3:14" ht="20.100000000000001" customHeight="1" x14ac:dyDescent="0.2">
      <c r="C219" s="1"/>
      <c r="D219" s="1"/>
      <c r="E219" s="1"/>
      <c r="F219" s="1"/>
      <c r="G219" s="1"/>
      <c r="H219" s="1"/>
      <c r="I219" s="1"/>
      <c r="J219" s="1"/>
      <c r="K219" s="1"/>
      <c r="L219" s="1"/>
      <c r="M219" s="1"/>
      <c r="N219" s="1"/>
    </row>
    <row r="220" spans="3:14" ht="20.100000000000001" customHeight="1" x14ac:dyDescent="0.2">
      <c r="C220" s="1"/>
      <c r="D220" s="1"/>
      <c r="E220" s="1"/>
      <c r="F220" s="1"/>
      <c r="G220" s="1"/>
      <c r="H220" s="1"/>
      <c r="I220" s="1"/>
      <c r="J220" s="1"/>
      <c r="K220" s="1"/>
      <c r="L220" s="1"/>
      <c r="M220" s="1"/>
      <c r="N220" s="1"/>
    </row>
    <row r="221" spans="3:14" ht="20.100000000000001" customHeight="1" x14ac:dyDescent="0.2">
      <c r="C221" s="1"/>
      <c r="D221" s="1"/>
      <c r="E221" s="1"/>
      <c r="F221" s="1"/>
      <c r="G221" s="1"/>
      <c r="H221" s="1"/>
      <c r="I221" s="1"/>
      <c r="J221" s="1"/>
      <c r="K221" s="1"/>
      <c r="L221" s="1"/>
      <c r="M221" s="1"/>
      <c r="N221" s="1"/>
    </row>
    <row r="222" spans="3:14" ht="20.100000000000001" customHeight="1" x14ac:dyDescent="0.2">
      <c r="C222" s="1"/>
      <c r="D222" s="1"/>
      <c r="E222" s="1"/>
      <c r="F222" s="1"/>
      <c r="G222" s="1"/>
      <c r="H222" s="1"/>
      <c r="I222" s="1"/>
      <c r="J222" s="1"/>
      <c r="K222" s="1"/>
      <c r="L222" s="1"/>
      <c r="M222" s="1"/>
      <c r="N222" s="1"/>
    </row>
    <row r="223" spans="3:14" ht="20.100000000000001" customHeight="1" x14ac:dyDescent="0.2">
      <c r="C223" s="1"/>
      <c r="D223" s="1"/>
      <c r="E223" s="1"/>
      <c r="F223" s="1"/>
      <c r="G223" s="1"/>
      <c r="H223" s="1"/>
      <c r="I223" s="1"/>
      <c r="J223" s="1"/>
      <c r="K223" s="1"/>
      <c r="L223" s="1"/>
      <c r="M223" s="1"/>
      <c r="N223" s="1"/>
    </row>
    <row r="224" spans="3:14" ht="20.100000000000001" customHeight="1" x14ac:dyDescent="0.2">
      <c r="C224" s="1"/>
      <c r="D224" s="1"/>
      <c r="E224" s="1"/>
      <c r="F224" s="1"/>
      <c r="G224" s="1"/>
      <c r="H224" s="1"/>
      <c r="I224" s="1"/>
      <c r="J224" s="1"/>
      <c r="K224" s="1"/>
      <c r="L224" s="1"/>
      <c r="M224" s="1"/>
      <c r="N224" s="1"/>
    </row>
    <row r="225" spans="3:14" ht="20.100000000000001" customHeight="1" x14ac:dyDescent="0.2">
      <c r="C225" s="1"/>
      <c r="D225" s="1"/>
      <c r="E225" s="1"/>
      <c r="F225" s="1"/>
      <c r="G225" s="1"/>
      <c r="H225" s="1"/>
      <c r="I225" s="1"/>
      <c r="J225" s="1"/>
      <c r="K225" s="1"/>
      <c r="L225" s="1"/>
      <c r="M225" s="1"/>
      <c r="N225" s="1"/>
    </row>
    <row r="226" spans="3:14" ht="20.100000000000001" customHeight="1" x14ac:dyDescent="0.2">
      <c r="C226" s="1"/>
      <c r="D226" s="1"/>
      <c r="E226" s="1"/>
      <c r="F226" s="1"/>
      <c r="G226" s="1"/>
      <c r="H226" s="1"/>
      <c r="I226" s="1"/>
      <c r="J226" s="1"/>
      <c r="K226" s="1"/>
      <c r="L226" s="1"/>
      <c r="M226" s="1"/>
      <c r="N226" s="1"/>
    </row>
    <row r="227" spans="3:14" ht="20.100000000000001" customHeight="1" x14ac:dyDescent="0.2">
      <c r="C227" s="1"/>
      <c r="D227" s="1"/>
      <c r="E227" s="1"/>
      <c r="F227" s="1"/>
      <c r="G227" s="1"/>
      <c r="H227" s="1"/>
      <c r="I227" s="1"/>
      <c r="J227" s="1"/>
      <c r="K227" s="1"/>
      <c r="L227" s="1"/>
      <c r="M227" s="1"/>
      <c r="N227" s="1"/>
    </row>
    <row r="228" spans="3:14" ht="20.100000000000001" customHeight="1" x14ac:dyDescent="0.2">
      <c r="C228" s="1"/>
      <c r="D228" s="1"/>
      <c r="E228" s="1"/>
      <c r="F228" s="1"/>
      <c r="G228" s="1"/>
      <c r="H228" s="1"/>
      <c r="I228" s="1"/>
      <c r="J228" s="1"/>
      <c r="K228" s="1"/>
      <c r="L228" s="1"/>
      <c r="M228" s="1"/>
      <c r="N228" s="1"/>
    </row>
    <row r="229" spans="3:14" ht="20.100000000000001" customHeight="1" x14ac:dyDescent="0.2">
      <c r="C229" s="1"/>
      <c r="D229" s="1"/>
      <c r="E229" s="1"/>
      <c r="F229" s="1"/>
      <c r="G229" s="1"/>
      <c r="H229" s="1"/>
      <c r="I229" s="1"/>
      <c r="J229" s="1"/>
      <c r="K229" s="1"/>
      <c r="L229" s="1"/>
      <c r="M229" s="1"/>
      <c r="N229" s="1"/>
    </row>
    <row r="230" spans="3:14" ht="20.100000000000001" customHeight="1" x14ac:dyDescent="0.2">
      <c r="C230" s="1"/>
      <c r="D230" s="1"/>
      <c r="E230" s="1"/>
      <c r="F230" s="1"/>
      <c r="G230" s="1"/>
      <c r="H230" s="1"/>
      <c r="I230" s="1"/>
      <c r="J230" s="1"/>
      <c r="K230" s="1"/>
      <c r="L230" s="1"/>
      <c r="M230" s="1"/>
      <c r="N230" s="1"/>
    </row>
    <row r="231" spans="3:14" ht="20.100000000000001" customHeight="1" x14ac:dyDescent="0.2">
      <c r="C231" s="1"/>
      <c r="D231" s="1"/>
      <c r="E231" s="1"/>
      <c r="F231" s="1"/>
      <c r="G231" s="1"/>
      <c r="H231" s="1"/>
      <c r="I231" s="1"/>
      <c r="J231" s="1"/>
      <c r="K231" s="1"/>
      <c r="L231" s="1"/>
      <c r="M231" s="1"/>
      <c r="N231" s="1"/>
    </row>
    <row r="232" spans="3:14" ht="20.100000000000001" customHeight="1" x14ac:dyDescent="0.2">
      <c r="C232" s="1"/>
      <c r="D232" s="1"/>
      <c r="E232" s="1"/>
      <c r="F232" s="1"/>
      <c r="G232" s="1"/>
      <c r="H232" s="1"/>
      <c r="I232" s="1"/>
      <c r="J232" s="1"/>
      <c r="K232" s="1"/>
      <c r="L232" s="1"/>
      <c r="M232" s="1"/>
      <c r="N232" s="1"/>
    </row>
    <row r="233" spans="3:14" ht="20.100000000000001" customHeight="1" x14ac:dyDescent="0.2">
      <c r="C233" s="1"/>
      <c r="D233" s="1"/>
      <c r="E233" s="1"/>
      <c r="F233" s="1"/>
      <c r="G233" s="1"/>
      <c r="H233" s="1"/>
      <c r="I233" s="1"/>
      <c r="J233" s="1"/>
      <c r="K233" s="1"/>
      <c r="L233" s="1"/>
      <c r="M233" s="1"/>
      <c r="N233" s="1"/>
    </row>
    <row r="234" spans="3:14" ht="20.100000000000001" customHeight="1" x14ac:dyDescent="0.2">
      <c r="C234" s="1"/>
      <c r="D234" s="1"/>
      <c r="E234" s="1"/>
      <c r="F234" s="1"/>
      <c r="G234" s="1"/>
      <c r="H234" s="1"/>
      <c r="I234" s="1"/>
      <c r="J234" s="1"/>
      <c r="K234" s="1"/>
      <c r="L234" s="1"/>
      <c r="M234" s="1"/>
      <c r="N234" s="1"/>
    </row>
    <row r="235" spans="3:14" ht="20.100000000000001" customHeight="1" x14ac:dyDescent="0.2">
      <c r="C235" s="1"/>
      <c r="D235" s="1"/>
      <c r="E235" s="1"/>
      <c r="F235" s="1"/>
      <c r="G235" s="1"/>
      <c r="H235" s="1"/>
      <c r="I235" s="1"/>
      <c r="J235" s="1"/>
      <c r="K235" s="1"/>
      <c r="L235" s="1"/>
      <c r="M235" s="1"/>
      <c r="N235" s="1"/>
    </row>
    <row r="236" spans="3:14" ht="20.100000000000001" customHeight="1" x14ac:dyDescent="0.2">
      <c r="C236" s="1"/>
      <c r="D236" s="1"/>
      <c r="E236" s="1"/>
      <c r="F236" s="1"/>
      <c r="G236" s="1"/>
      <c r="H236" s="1"/>
      <c r="I236" s="1"/>
      <c r="J236" s="1"/>
      <c r="K236" s="1"/>
      <c r="L236" s="1"/>
      <c r="M236" s="1"/>
      <c r="N236" s="1"/>
    </row>
    <row r="237" spans="3:14" ht="20.100000000000001" customHeight="1" x14ac:dyDescent="0.2">
      <c r="C237" s="1"/>
      <c r="D237" s="1"/>
      <c r="E237" s="1"/>
      <c r="F237" s="1"/>
      <c r="G237" s="1"/>
      <c r="H237" s="1"/>
      <c r="I237" s="1"/>
      <c r="J237" s="1"/>
      <c r="K237" s="1"/>
      <c r="L237" s="1"/>
      <c r="M237" s="1"/>
      <c r="N237" s="1"/>
    </row>
    <row r="238" spans="3:14" ht="20.100000000000001" customHeight="1" x14ac:dyDescent="0.2">
      <c r="C238" s="1"/>
      <c r="D238" s="1"/>
      <c r="E238" s="1"/>
      <c r="F238" s="1"/>
      <c r="G238" s="1"/>
      <c r="H238" s="1"/>
      <c r="I238" s="1"/>
      <c r="J238" s="1"/>
      <c r="K238" s="1"/>
      <c r="L238" s="1"/>
      <c r="M238" s="1"/>
      <c r="N238" s="1"/>
    </row>
    <row r="239" spans="3:14" ht="20.100000000000001" customHeight="1" x14ac:dyDescent="0.2">
      <c r="C239" s="1"/>
      <c r="D239" s="1"/>
      <c r="E239" s="1"/>
      <c r="F239" s="1"/>
      <c r="G239" s="1"/>
      <c r="H239" s="1"/>
      <c r="I239" s="1"/>
      <c r="J239" s="1"/>
      <c r="K239" s="1"/>
      <c r="L239" s="1"/>
      <c r="M239" s="1"/>
      <c r="N239" s="1"/>
    </row>
    <row r="240" spans="3:14" ht="20.100000000000001" customHeight="1" x14ac:dyDescent="0.2">
      <c r="C240" s="1"/>
      <c r="D240" s="1"/>
      <c r="E240" s="1"/>
      <c r="F240" s="1"/>
      <c r="G240" s="1"/>
      <c r="H240" s="1"/>
      <c r="I240" s="1"/>
      <c r="J240" s="1"/>
      <c r="K240" s="1"/>
      <c r="L240" s="1"/>
      <c r="M240" s="1"/>
      <c r="N240" s="1"/>
    </row>
    <row r="241" spans="3:14" ht="20.100000000000001" customHeight="1" x14ac:dyDescent="0.2">
      <c r="C241" s="1"/>
      <c r="D241" s="1"/>
      <c r="E241" s="1"/>
      <c r="F241" s="1"/>
      <c r="G241" s="1"/>
      <c r="H241" s="1"/>
      <c r="I241" s="1"/>
      <c r="J241" s="1"/>
      <c r="K241" s="1"/>
      <c r="L241" s="1"/>
      <c r="M241" s="1"/>
      <c r="N241" s="1"/>
    </row>
    <row r="242" spans="3:14" ht="20.100000000000001" customHeight="1" x14ac:dyDescent="0.2">
      <c r="C242" s="1"/>
      <c r="D242" s="1"/>
      <c r="E242" s="1"/>
      <c r="F242" s="1"/>
      <c r="G242" s="1"/>
      <c r="H242" s="1"/>
      <c r="I242" s="1"/>
      <c r="J242" s="1"/>
      <c r="K242" s="1"/>
      <c r="L242" s="1"/>
      <c r="M242" s="1"/>
      <c r="N242" s="1"/>
    </row>
    <row r="243" spans="3:14" ht="20.100000000000001" customHeight="1" x14ac:dyDescent="0.2">
      <c r="C243" s="1"/>
      <c r="D243" s="1"/>
      <c r="E243" s="1"/>
      <c r="F243" s="1"/>
      <c r="G243" s="1"/>
      <c r="H243" s="1"/>
      <c r="I243" s="1"/>
      <c r="J243" s="1"/>
      <c r="K243" s="1"/>
      <c r="L243" s="1"/>
      <c r="M243" s="1"/>
      <c r="N243" s="1"/>
    </row>
    <row r="244" spans="3:14" ht="20.100000000000001" customHeight="1" x14ac:dyDescent="0.2">
      <c r="C244" s="1"/>
      <c r="D244" s="1"/>
      <c r="E244" s="1"/>
      <c r="F244" s="1"/>
      <c r="G244" s="1"/>
      <c r="H244" s="1"/>
      <c r="I244" s="1"/>
      <c r="J244" s="1"/>
      <c r="K244" s="1"/>
      <c r="L244" s="1"/>
      <c r="M244" s="1"/>
      <c r="N244" s="1"/>
    </row>
    <row r="245" spans="3:14" ht="20.100000000000001" customHeight="1" x14ac:dyDescent="0.2">
      <c r="C245" s="1"/>
      <c r="D245" s="1"/>
      <c r="E245" s="1"/>
      <c r="F245" s="1"/>
      <c r="G245" s="1"/>
      <c r="H245" s="1"/>
      <c r="I245" s="1"/>
      <c r="J245" s="1"/>
      <c r="K245" s="1"/>
      <c r="L245" s="1"/>
      <c r="M245" s="1"/>
      <c r="N245" s="1"/>
    </row>
    <row r="246" spans="3:14" ht="20.100000000000001" customHeight="1" x14ac:dyDescent="0.2">
      <c r="C246" s="1"/>
      <c r="D246" s="1"/>
      <c r="E246" s="1"/>
      <c r="F246" s="1"/>
      <c r="G246" s="1"/>
      <c r="H246" s="1"/>
      <c r="I246" s="1"/>
      <c r="J246" s="1"/>
      <c r="K246" s="1"/>
      <c r="L246" s="1"/>
      <c r="M246" s="1"/>
      <c r="N246" s="1"/>
    </row>
    <row r="247" spans="3:14" ht="20.100000000000001" customHeight="1" x14ac:dyDescent="0.2">
      <c r="C247" s="1"/>
      <c r="D247" s="1"/>
      <c r="E247" s="1"/>
      <c r="F247" s="1"/>
      <c r="G247" s="1"/>
      <c r="H247" s="1"/>
      <c r="I247" s="1"/>
      <c r="J247" s="1"/>
      <c r="K247" s="1"/>
      <c r="L247" s="1"/>
      <c r="M247" s="1"/>
      <c r="N247" s="1"/>
    </row>
    <row r="248" spans="3:14" ht="20.100000000000001" customHeight="1" x14ac:dyDescent="0.2">
      <c r="C248" s="1"/>
      <c r="D248" s="1"/>
      <c r="E248" s="1"/>
      <c r="F248" s="1"/>
      <c r="G248" s="1"/>
      <c r="H248" s="1"/>
      <c r="I248" s="1"/>
      <c r="J248" s="1"/>
      <c r="K248" s="1"/>
      <c r="L248" s="1"/>
      <c r="M248" s="1"/>
      <c r="N248" s="1"/>
    </row>
    <row r="249" spans="3:14" ht="20.100000000000001" customHeight="1" x14ac:dyDescent="0.2">
      <c r="C249" s="1"/>
      <c r="D249" s="1"/>
      <c r="E249" s="1"/>
      <c r="F249" s="1"/>
      <c r="G249" s="1"/>
      <c r="H249" s="1"/>
      <c r="I249" s="1"/>
      <c r="J249" s="1"/>
      <c r="K249" s="1"/>
      <c r="L249" s="1"/>
      <c r="M249" s="1"/>
      <c r="N249" s="1"/>
    </row>
    <row r="250" spans="3:14" ht="20.100000000000001" customHeight="1" x14ac:dyDescent="0.2">
      <c r="C250" s="1"/>
      <c r="D250" s="1"/>
      <c r="E250" s="1"/>
      <c r="F250" s="1"/>
      <c r="G250" s="1"/>
      <c r="H250" s="1"/>
      <c r="I250" s="1"/>
      <c r="J250" s="1"/>
      <c r="K250" s="1"/>
      <c r="L250" s="1"/>
      <c r="M250" s="1"/>
      <c r="N250" s="1"/>
    </row>
    <row r="251" spans="3:14" ht="20.100000000000001" customHeight="1" x14ac:dyDescent="0.2">
      <c r="C251" s="1"/>
      <c r="D251" s="1"/>
      <c r="E251" s="1"/>
      <c r="F251" s="1"/>
      <c r="G251" s="1"/>
      <c r="H251" s="1"/>
      <c r="I251" s="1"/>
      <c r="J251" s="1"/>
      <c r="K251" s="1"/>
      <c r="L251" s="1"/>
      <c r="M251" s="1"/>
      <c r="N251" s="1"/>
    </row>
    <row r="252" spans="3:14" ht="20.100000000000001" customHeight="1" x14ac:dyDescent="0.2">
      <c r="C252" s="1"/>
      <c r="D252" s="1"/>
      <c r="E252" s="1"/>
      <c r="F252" s="1"/>
      <c r="G252" s="1"/>
      <c r="H252" s="1"/>
      <c r="I252" s="1"/>
      <c r="J252" s="1"/>
      <c r="K252" s="1"/>
      <c r="L252" s="1"/>
      <c r="M252" s="1"/>
      <c r="N252" s="1"/>
    </row>
    <row r="253" spans="3:14" ht="20.100000000000001" customHeight="1" x14ac:dyDescent="0.2">
      <c r="C253" s="1"/>
      <c r="D253" s="1"/>
      <c r="E253" s="1"/>
      <c r="F253" s="1"/>
      <c r="G253" s="1"/>
      <c r="H253" s="1"/>
      <c r="I253" s="1"/>
      <c r="J253" s="1"/>
      <c r="K253" s="1"/>
      <c r="L253" s="1"/>
      <c r="M253" s="1"/>
      <c r="N253" s="1"/>
    </row>
    <row r="254" spans="3:14" ht="20.100000000000001" customHeight="1" x14ac:dyDescent="0.2">
      <c r="C254" s="1"/>
      <c r="D254" s="1"/>
      <c r="E254" s="1"/>
      <c r="F254" s="1"/>
      <c r="G254" s="1"/>
      <c r="H254" s="1"/>
      <c r="I254" s="1"/>
      <c r="J254" s="1"/>
      <c r="K254" s="1"/>
      <c r="L254" s="1"/>
      <c r="M254" s="1"/>
      <c r="N254" s="1"/>
    </row>
    <row r="255" spans="3:14" ht="20.100000000000001" customHeight="1" x14ac:dyDescent="0.2">
      <c r="C255" s="1"/>
      <c r="D255" s="1"/>
      <c r="E255" s="1"/>
      <c r="F255" s="1"/>
      <c r="G255" s="1"/>
      <c r="H255" s="1"/>
      <c r="I255" s="1"/>
      <c r="J255" s="1"/>
      <c r="K255" s="1"/>
      <c r="L255" s="1"/>
      <c r="M255" s="1"/>
      <c r="N255" s="1"/>
    </row>
    <row r="256" spans="3:14" ht="20.100000000000001" customHeight="1" x14ac:dyDescent="0.2">
      <c r="C256" s="1"/>
      <c r="D256" s="1"/>
      <c r="E256" s="1"/>
      <c r="F256" s="1"/>
      <c r="G256" s="1"/>
      <c r="H256" s="1"/>
      <c r="I256" s="1"/>
      <c r="J256" s="1"/>
      <c r="K256" s="1"/>
      <c r="L256" s="1"/>
      <c r="M256" s="1"/>
      <c r="N256" s="1"/>
    </row>
    <row r="257" spans="3:14" ht="20.100000000000001" customHeight="1" x14ac:dyDescent="0.2">
      <c r="C257" s="1"/>
      <c r="D257" s="1"/>
      <c r="E257" s="1"/>
      <c r="F257" s="1"/>
      <c r="G257" s="1"/>
      <c r="H257" s="1"/>
      <c r="I257" s="1"/>
      <c r="J257" s="1"/>
      <c r="K257" s="1"/>
      <c r="L257" s="1"/>
      <c r="M257" s="1"/>
      <c r="N257" s="1"/>
    </row>
    <row r="258" spans="3:14" ht="20.100000000000001" customHeight="1" x14ac:dyDescent="0.2">
      <c r="C258" s="1"/>
      <c r="D258" s="1"/>
      <c r="E258" s="1"/>
      <c r="F258" s="1"/>
      <c r="G258" s="1"/>
      <c r="H258" s="1"/>
      <c r="I258" s="1"/>
      <c r="J258" s="1"/>
      <c r="K258" s="1"/>
      <c r="L258" s="1"/>
      <c r="M258" s="1"/>
      <c r="N258" s="1"/>
    </row>
    <row r="259" spans="3:14" ht="20.100000000000001" customHeight="1" x14ac:dyDescent="0.2">
      <c r="C259" s="1"/>
      <c r="D259" s="1"/>
      <c r="E259" s="1"/>
      <c r="F259" s="1"/>
      <c r="G259" s="1"/>
      <c r="H259" s="1"/>
      <c r="I259" s="1"/>
      <c r="J259" s="1"/>
      <c r="K259" s="1"/>
      <c r="L259" s="1"/>
      <c r="M259" s="1"/>
      <c r="N259" s="1"/>
    </row>
    <row r="260" spans="3:14" ht="20.100000000000001" customHeight="1" x14ac:dyDescent="0.2">
      <c r="C260" s="1"/>
      <c r="D260" s="1"/>
      <c r="E260" s="1"/>
      <c r="F260" s="1"/>
      <c r="G260" s="1"/>
      <c r="H260" s="1"/>
      <c r="I260" s="1"/>
      <c r="J260" s="1"/>
      <c r="K260" s="1"/>
      <c r="L260" s="1"/>
      <c r="M260" s="1"/>
      <c r="N260" s="1"/>
    </row>
    <row r="261" spans="3:14" ht="20.100000000000001" customHeight="1" x14ac:dyDescent="0.2">
      <c r="C261" s="1"/>
      <c r="D261" s="1"/>
      <c r="E261" s="1"/>
      <c r="F261" s="1"/>
      <c r="G261" s="1"/>
      <c r="H261" s="1"/>
      <c r="I261" s="1"/>
      <c r="J261" s="1"/>
      <c r="K261" s="1"/>
      <c r="L261" s="1"/>
      <c r="M261" s="1"/>
      <c r="N261" s="1"/>
    </row>
    <row r="262" spans="3:14" ht="20.100000000000001" customHeight="1" x14ac:dyDescent="0.2">
      <c r="C262" s="1"/>
      <c r="D262" s="1"/>
      <c r="E262" s="1"/>
      <c r="F262" s="1"/>
      <c r="G262" s="1"/>
      <c r="H262" s="1"/>
      <c r="I262" s="1"/>
      <c r="J262" s="1"/>
      <c r="K262" s="1"/>
      <c r="L262" s="1"/>
      <c r="M262" s="1"/>
      <c r="N262" s="1"/>
    </row>
    <row r="263" spans="3:14" ht="20.100000000000001" customHeight="1" x14ac:dyDescent="0.2">
      <c r="C263" s="1"/>
      <c r="D263" s="1"/>
      <c r="E263" s="1"/>
      <c r="F263" s="1"/>
      <c r="G263" s="1"/>
      <c r="H263" s="1"/>
      <c r="I263" s="1"/>
      <c r="J263" s="1"/>
      <c r="K263" s="1"/>
      <c r="L263" s="1"/>
      <c r="M263" s="1"/>
      <c r="N263" s="1"/>
    </row>
    <row r="264" spans="3:14" ht="20.100000000000001" customHeight="1" x14ac:dyDescent="0.2">
      <c r="C264" s="1"/>
      <c r="D264" s="1"/>
      <c r="E264" s="1"/>
      <c r="F264" s="1"/>
      <c r="G264" s="1"/>
      <c r="H264" s="1"/>
      <c r="I264" s="1"/>
      <c r="J264" s="1"/>
      <c r="K264" s="1"/>
      <c r="L264" s="1"/>
      <c r="M264" s="1"/>
      <c r="N264" s="1"/>
    </row>
    <row r="265" spans="3:14" ht="20.100000000000001" customHeight="1" x14ac:dyDescent="0.2">
      <c r="C265" s="1"/>
      <c r="D265" s="1"/>
      <c r="E265" s="1"/>
      <c r="F265" s="1"/>
      <c r="G265" s="1"/>
      <c r="H265" s="1"/>
      <c r="I265" s="1"/>
      <c r="J265" s="1"/>
      <c r="K265" s="1"/>
      <c r="L265" s="1"/>
      <c r="M265" s="1"/>
      <c r="N265" s="1"/>
    </row>
    <row r="266" spans="3:14" ht="20.100000000000001" customHeight="1" x14ac:dyDescent="0.2">
      <c r="C266" s="1"/>
      <c r="D266" s="1"/>
      <c r="E266" s="1"/>
      <c r="F266" s="1"/>
      <c r="G266" s="1"/>
      <c r="H266" s="1"/>
      <c r="I266" s="1"/>
      <c r="J266" s="1"/>
      <c r="K266" s="1"/>
      <c r="L266" s="1"/>
      <c r="M266" s="1"/>
      <c r="N266" s="1"/>
    </row>
    <row r="267" spans="3:14" ht="20.100000000000001" customHeight="1" x14ac:dyDescent="0.2">
      <c r="C267" s="1"/>
      <c r="D267" s="1"/>
      <c r="E267" s="1"/>
      <c r="F267" s="1"/>
      <c r="G267" s="1"/>
      <c r="H267" s="1"/>
      <c r="I267" s="1"/>
      <c r="J267" s="1"/>
      <c r="K267" s="1"/>
      <c r="L267" s="1"/>
      <c r="M267" s="1"/>
      <c r="N267" s="1"/>
    </row>
    <row r="268" spans="3:14" ht="20.100000000000001" customHeight="1" x14ac:dyDescent="0.2">
      <c r="C268" s="1"/>
      <c r="D268" s="1"/>
      <c r="E268" s="1"/>
      <c r="F268" s="1"/>
      <c r="G268" s="1"/>
      <c r="H268" s="1"/>
      <c r="I268" s="1"/>
      <c r="J268" s="1"/>
      <c r="K268" s="1"/>
      <c r="L268" s="1"/>
      <c r="M268" s="1"/>
      <c r="N268" s="1"/>
    </row>
    <row r="269" spans="3:14" ht="20.100000000000001" customHeight="1" x14ac:dyDescent="0.2">
      <c r="C269" s="1"/>
      <c r="D269" s="1"/>
      <c r="E269" s="1"/>
      <c r="F269" s="1"/>
      <c r="G269" s="1"/>
      <c r="H269" s="1"/>
      <c r="I269" s="1"/>
      <c r="J269" s="1"/>
      <c r="K269" s="1"/>
      <c r="L269" s="1"/>
      <c r="M269" s="1"/>
      <c r="N269" s="1"/>
    </row>
    <row r="270" spans="3:14" ht="20.100000000000001" customHeight="1" x14ac:dyDescent="0.2">
      <c r="C270" s="1"/>
      <c r="D270" s="1"/>
      <c r="E270" s="1"/>
      <c r="F270" s="1"/>
      <c r="G270" s="1"/>
      <c r="H270" s="1"/>
      <c r="I270" s="1"/>
      <c r="J270" s="1"/>
      <c r="K270" s="1"/>
      <c r="L270" s="1"/>
      <c r="M270" s="1"/>
      <c r="N270" s="1"/>
    </row>
    <row r="271" spans="3:14" ht="20.100000000000001" customHeight="1" x14ac:dyDescent="0.2">
      <c r="C271" s="1"/>
      <c r="D271" s="1"/>
      <c r="E271" s="1"/>
      <c r="F271" s="1"/>
      <c r="G271" s="1"/>
      <c r="H271" s="1"/>
      <c r="I271" s="1"/>
      <c r="J271" s="1"/>
      <c r="K271" s="1"/>
      <c r="L271" s="1"/>
      <c r="M271" s="1"/>
      <c r="N271" s="1"/>
    </row>
    <row r="272" spans="3:14" ht="20.100000000000001" customHeight="1" x14ac:dyDescent="0.2">
      <c r="C272" s="1"/>
      <c r="D272" s="1"/>
      <c r="E272" s="1"/>
      <c r="F272" s="1"/>
      <c r="G272" s="1"/>
      <c r="H272" s="1"/>
      <c r="I272" s="1"/>
      <c r="J272" s="1"/>
      <c r="K272" s="1"/>
      <c r="L272" s="1"/>
      <c r="M272" s="1"/>
      <c r="N272" s="1"/>
    </row>
    <row r="273" spans="3:14" ht="20.100000000000001" customHeight="1" x14ac:dyDescent="0.2">
      <c r="C273" s="1"/>
      <c r="D273" s="1"/>
      <c r="E273" s="1"/>
      <c r="F273" s="1"/>
      <c r="G273" s="1"/>
      <c r="H273" s="1"/>
      <c r="I273" s="1"/>
      <c r="J273" s="1"/>
      <c r="K273" s="1"/>
      <c r="L273" s="1"/>
      <c r="M273" s="1"/>
      <c r="N273" s="1"/>
    </row>
    <row r="274" spans="3:14" ht="20.100000000000001" customHeight="1" x14ac:dyDescent="0.2">
      <c r="C274" s="1"/>
      <c r="D274" s="1"/>
      <c r="E274" s="1"/>
      <c r="F274" s="1"/>
      <c r="G274" s="1"/>
      <c r="H274" s="1"/>
      <c r="I274" s="1"/>
      <c r="J274" s="1"/>
      <c r="K274" s="1"/>
      <c r="L274" s="1"/>
      <c r="M274" s="1"/>
      <c r="N274" s="1"/>
    </row>
    <row r="275" spans="3:14" ht="20.100000000000001" customHeight="1" x14ac:dyDescent="0.2">
      <c r="C275" s="1"/>
      <c r="D275" s="1"/>
      <c r="E275" s="1"/>
      <c r="F275" s="1"/>
      <c r="G275" s="1"/>
      <c r="H275" s="1"/>
      <c r="I275" s="1"/>
      <c r="J275" s="1"/>
      <c r="K275" s="1"/>
      <c r="L275" s="1"/>
      <c r="M275" s="1"/>
      <c r="N275" s="1"/>
    </row>
    <row r="276" spans="3:14" ht="20.100000000000001" customHeight="1" x14ac:dyDescent="0.2">
      <c r="C276" s="1"/>
      <c r="D276" s="1"/>
      <c r="E276" s="1"/>
      <c r="F276" s="1"/>
      <c r="G276" s="1"/>
      <c r="H276" s="1"/>
      <c r="I276" s="1"/>
      <c r="J276" s="1"/>
      <c r="K276" s="1"/>
      <c r="L276" s="1"/>
      <c r="M276" s="1"/>
      <c r="N276" s="1"/>
    </row>
    <row r="277" spans="3:14" ht="20.100000000000001" customHeight="1" x14ac:dyDescent="0.2">
      <c r="C277" s="1"/>
      <c r="D277" s="1"/>
      <c r="E277" s="1"/>
      <c r="F277" s="1"/>
      <c r="G277" s="1"/>
      <c r="H277" s="1"/>
      <c r="I277" s="1"/>
      <c r="J277" s="1"/>
      <c r="K277" s="1"/>
      <c r="L277" s="1"/>
      <c r="M277" s="1"/>
      <c r="N277" s="1"/>
    </row>
    <row r="278" spans="3:14" ht="20.100000000000001" customHeight="1" x14ac:dyDescent="0.2">
      <c r="C278" s="1"/>
      <c r="D278" s="1"/>
      <c r="E278" s="1"/>
      <c r="F278" s="1"/>
      <c r="G278" s="1"/>
      <c r="H278" s="1"/>
      <c r="I278" s="1"/>
      <c r="J278" s="1"/>
      <c r="K278" s="1"/>
      <c r="L278" s="1"/>
      <c r="M278" s="1"/>
      <c r="N278" s="1"/>
    </row>
    <row r="279" spans="3:14" ht="20.100000000000001" customHeight="1" x14ac:dyDescent="0.2">
      <c r="C279" s="1"/>
      <c r="D279" s="1"/>
      <c r="E279" s="1"/>
      <c r="F279" s="1"/>
      <c r="G279" s="1"/>
      <c r="H279" s="1"/>
      <c r="I279" s="1"/>
      <c r="J279" s="1"/>
      <c r="K279" s="1"/>
      <c r="L279" s="1"/>
      <c r="M279" s="1"/>
      <c r="N279" s="1"/>
    </row>
    <row r="280" spans="3:14" ht="20.100000000000001" customHeight="1" x14ac:dyDescent="0.2">
      <c r="C280" s="1"/>
      <c r="D280" s="1"/>
      <c r="E280" s="1"/>
      <c r="F280" s="1"/>
      <c r="G280" s="1"/>
      <c r="H280" s="1"/>
      <c r="I280" s="1"/>
      <c r="J280" s="1"/>
      <c r="K280" s="1"/>
      <c r="L280" s="1"/>
      <c r="M280" s="1"/>
      <c r="N280" s="1"/>
    </row>
    <row r="281" spans="3:14" ht="20.100000000000001" customHeight="1" x14ac:dyDescent="0.2">
      <c r="C281" s="1"/>
      <c r="D281" s="1"/>
      <c r="E281" s="1"/>
      <c r="F281" s="1"/>
      <c r="G281" s="1"/>
      <c r="H281" s="1"/>
      <c r="I281" s="1"/>
      <c r="J281" s="1"/>
      <c r="K281" s="1"/>
      <c r="L281" s="1"/>
      <c r="M281" s="1"/>
      <c r="N281" s="1"/>
    </row>
    <row r="282" spans="3:14" ht="20.100000000000001" customHeight="1" x14ac:dyDescent="0.2">
      <c r="C282" s="1"/>
      <c r="D282" s="1"/>
      <c r="E282" s="1"/>
      <c r="F282" s="1"/>
      <c r="G282" s="1"/>
      <c r="H282" s="1"/>
      <c r="I282" s="1"/>
      <c r="J282" s="1"/>
      <c r="K282" s="1"/>
      <c r="L282" s="1"/>
      <c r="M282" s="1"/>
      <c r="N282" s="1"/>
    </row>
    <row r="283" spans="3:14" ht="20.100000000000001" customHeight="1" x14ac:dyDescent="0.2">
      <c r="C283" s="1"/>
      <c r="D283" s="1"/>
      <c r="E283" s="1"/>
      <c r="F283" s="1"/>
      <c r="G283" s="1"/>
      <c r="H283" s="1"/>
      <c r="I283" s="1"/>
      <c r="J283" s="1"/>
      <c r="K283" s="1"/>
      <c r="L283" s="1"/>
      <c r="M283" s="1"/>
      <c r="N283" s="1"/>
    </row>
    <row r="284" spans="3:14" ht="20.100000000000001" customHeight="1" x14ac:dyDescent="0.2">
      <c r="C284" s="1"/>
      <c r="D284" s="1"/>
      <c r="E284" s="1"/>
      <c r="F284" s="1"/>
      <c r="G284" s="1"/>
      <c r="H284" s="1"/>
      <c r="I284" s="1"/>
      <c r="J284" s="1"/>
      <c r="K284" s="1"/>
      <c r="L284" s="1"/>
      <c r="M284" s="1"/>
      <c r="N284" s="1"/>
    </row>
    <row r="285" spans="3:14" ht="20.100000000000001" customHeight="1" x14ac:dyDescent="0.2">
      <c r="C285" s="1"/>
      <c r="D285" s="1"/>
      <c r="E285" s="1"/>
      <c r="F285" s="1"/>
      <c r="G285" s="1"/>
      <c r="H285" s="1"/>
      <c r="I285" s="1"/>
      <c r="J285" s="1"/>
      <c r="K285" s="1"/>
      <c r="L285" s="1"/>
      <c r="M285" s="1"/>
      <c r="N285" s="1"/>
    </row>
    <row r="286" spans="3:14" ht="20.100000000000001" customHeight="1" x14ac:dyDescent="0.2">
      <c r="C286" s="1"/>
      <c r="D286" s="1"/>
      <c r="E286" s="1"/>
      <c r="F286" s="1"/>
      <c r="G286" s="1"/>
      <c r="H286" s="1"/>
      <c r="I286" s="1"/>
      <c r="J286" s="1"/>
      <c r="K286" s="1"/>
      <c r="L286" s="1"/>
      <c r="M286" s="1"/>
      <c r="N286" s="1"/>
    </row>
    <row r="287" spans="3:14" ht="20.100000000000001" customHeight="1" x14ac:dyDescent="0.2">
      <c r="C287" s="1"/>
      <c r="D287" s="1"/>
      <c r="E287" s="1"/>
      <c r="F287" s="1"/>
      <c r="G287" s="1"/>
      <c r="H287" s="1"/>
      <c r="I287" s="1"/>
      <c r="J287" s="1"/>
      <c r="K287" s="1"/>
      <c r="L287" s="1"/>
      <c r="M287" s="1"/>
      <c r="N287" s="1"/>
    </row>
    <row r="288" spans="3:14" ht="20.100000000000001" customHeight="1" x14ac:dyDescent="0.2">
      <c r="C288" s="1"/>
      <c r="D288" s="1"/>
      <c r="E288" s="1"/>
      <c r="F288" s="1"/>
      <c r="G288" s="1"/>
      <c r="H288" s="1"/>
      <c r="I288" s="1"/>
      <c r="J288" s="1"/>
      <c r="K288" s="1"/>
      <c r="L288" s="1"/>
      <c r="M288" s="1"/>
      <c r="N288" s="1"/>
    </row>
    <row r="289" spans="3:14" ht="20.100000000000001" customHeight="1" x14ac:dyDescent="0.2">
      <c r="C289" s="1"/>
      <c r="D289" s="1"/>
      <c r="E289" s="1"/>
      <c r="F289" s="1"/>
      <c r="G289" s="1"/>
      <c r="H289" s="1"/>
      <c r="I289" s="1"/>
      <c r="J289" s="1"/>
      <c r="K289" s="1"/>
      <c r="L289" s="1"/>
      <c r="M289" s="1"/>
      <c r="N289" s="1"/>
    </row>
    <row r="290" spans="3:14" ht="20.100000000000001" customHeight="1" x14ac:dyDescent="0.2">
      <c r="C290" s="1"/>
      <c r="D290" s="1"/>
      <c r="E290" s="1"/>
      <c r="F290" s="1"/>
      <c r="G290" s="1"/>
      <c r="H290" s="1"/>
      <c r="I290" s="1"/>
      <c r="J290" s="1"/>
      <c r="K290" s="1"/>
      <c r="L290" s="1"/>
      <c r="M290" s="1"/>
      <c r="N290" s="1"/>
    </row>
    <row r="291" spans="3:14" ht="20.100000000000001" customHeight="1" x14ac:dyDescent="0.2">
      <c r="C291" s="1"/>
      <c r="D291" s="1"/>
      <c r="E291" s="1"/>
      <c r="F291" s="1"/>
      <c r="G291" s="1"/>
      <c r="H291" s="1"/>
      <c r="I291" s="1"/>
      <c r="J291" s="1"/>
      <c r="K291" s="1"/>
      <c r="L291" s="1"/>
      <c r="M291" s="1"/>
      <c r="N291" s="1"/>
    </row>
    <row r="292" spans="3:14" ht="20.100000000000001" customHeight="1" x14ac:dyDescent="0.2">
      <c r="C292" s="1"/>
      <c r="D292" s="1"/>
      <c r="E292" s="1"/>
      <c r="F292" s="1"/>
      <c r="G292" s="1"/>
      <c r="H292" s="1"/>
      <c r="I292" s="1"/>
      <c r="J292" s="1"/>
      <c r="K292" s="1"/>
      <c r="L292" s="1"/>
      <c r="M292" s="1"/>
      <c r="N292" s="1"/>
    </row>
    <row r="293" spans="3:14" ht="20.100000000000001" customHeight="1" x14ac:dyDescent="0.2">
      <c r="C293" s="1"/>
      <c r="D293" s="1"/>
      <c r="E293" s="1"/>
      <c r="F293" s="1"/>
      <c r="G293" s="1"/>
      <c r="H293" s="1"/>
      <c r="I293" s="1"/>
      <c r="J293" s="1"/>
      <c r="K293" s="1"/>
      <c r="L293" s="1"/>
      <c r="M293" s="1"/>
      <c r="N293" s="1"/>
    </row>
    <row r="294" spans="3:14" ht="20.100000000000001" customHeight="1" x14ac:dyDescent="0.2">
      <c r="C294" s="1"/>
      <c r="D294" s="1"/>
      <c r="E294" s="1"/>
      <c r="F294" s="1"/>
      <c r="G294" s="1"/>
      <c r="H294" s="1"/>
      <c r="I294" s="1"/>
      <c r="J294" s="1"/>
      <c r="K294" s="1"/>
      <c r="L294" s="1"/>
      <c r="M294" s="1"/>
      <c r="N294" s="1"/>
    </row>
    <row r="295" spans="3:14" ht="20.100000000000001" customHeight="1" x14ac:dyDescent="0.2">
      <c r="C295" s="1"/>
      <c r="D295" s="1"/>
      <c r="E295" s="1"/>
      <c r="F295" s="1"/>
      <c r="G295" s="1"/>
      <c r="H295" s="1"/>
      <c r="I295" s="1"/>
      <c r="J295" s="1"/>
      <c r="K295" s="1"/>
      <c r="L295" s="1"/>
      <c r="M295" s="1"/>
      <c r="N295" s="1"/>
    </row>
    <row r="296" spans="3:14" ht="20.100000000000001" customHeight="1" x14ac:dyDescent="0.2">
      <c r="C296" s="1"/>
      <c r="D296" s="1"/>
      <c r="E296" s="1"/>
      <c r="F296" s="1"/>
      <c r="G296" s="1"/>
      <c r="H296" s="1"/>
      <c r="I296" s="1"/>
      <c r="J296" s="1"/>
      <c r="K296" s="1"/>
      <c r="L296" s="1"/>
      <c r="M296" s="1"/>
      <c r="N296" s="1"/>
    </row>
    <row r="297" spans="3:14" ht="20.100000000000001" customHeight="1" x14ac:dyDescent="0.2">
      <c r="C297" s="1"/>
      <c r="D297" s="1"/>
      <c r="E297" s="1"/>
      <c r="F297" s="1"/>
      <c r="G297" s="1"/>
      <c r="H297" s="1"/>
      <c r="I297" s="1"/>
      <c r="J297" s="1"/>
      <c r="K297" s="1"/>
      <c r="L297" s="1"/>
      <c r="M297" s="1"/>
      <c r="N297" s="1"/>
    </row>
    <row r="298" spans="3:14" ht="20.100000000000001" customHeight="1" x14ac:dyDescent="0.2">
      <c r="C298" s="1"/>
      <c r="D298" s="1"/>
      <c r="E298" s="1"/>
      <c r="F298" s="1"/>
      <c r="G298" s="1"/>
      <c r="H298" s="1"/>
      <c r="I298" s="1"/>
      <c r="J298" s="1"/>
      <c r="K298" s="1"/>
      <c r="L298" s="1"/>
      <c r="M298" s="1"/>
      <c r="N298" s="1"/>
    </row>
    <row r="299" spans="3:14" ht="20.100000000000001" customHeight="1" x14ac:dyDescent="0.2">
      <c r="C299" s="1"/>
      <c r="D299" s="1"/>
      <c r="E299" s="1"/>
      <c r="F299" s="1"/>
      <c r="G299" s="1"/>
      <c r="H299" s="1"/>
      <c r="I299" s="1"/>
      <c r="J299" s="1"/>
      <c r="K299" s="1"/>
      <c r="L299" s="1"/>
      <c r="M299" s="1"/>
      <c r="N299" s="1"/>
    </row>
    <row r="300" spans="3:14" ht="20.100000000000001" customHeight="1" x14ac:dyDescent="0.2">
      <c r="C300" s="1"/>
      <c r="D300" s="1"/>
      <c r="E300" s="1"/>
      <c r="F300" s="1"/>
      <c r="G300" s="1"/>
      <c r="H300" s="1"/>
      <c r="I300" s="1"/>
      <c r="J300" s="1"/>
      <c r="K300" s="1"/>
      <c r="L300" s="1"/>
      <c r="M300" s="1"/>
      <c r="N300" s="1"/>
    </row>
    <row r="301" spans="3:14" ht="20.100000000000001" customHeight="1" x14ac:dyDescent="0.2">
      <c r="C301" s="1"/>
      <c r="D301" s="1"/>
      <c r="E301" s="1"/>
      <c r="F301" s="1"/>
      <c r="G301" s="1"/>
      <c r="H301" s="1"/>
      <c r="I301" s="1"/>
      <c r="J301" s="1"/>
      <c r="K301" s="1"/>
      <c r="L301" s="1"/>
      <c r="M301" s="1"/>
      <c r="N301" s="1"/>
    </row>
    <row r="302" spans="3:14" ht="20.100000000000001" customHeight="1" x14ac:dyDescent="0.2">
      <c r="C302" s="1"/>
      <c r="D302" s="1"/>
      <c r="E302" s="1"/>
      <c r="F302" s="1"/>
      <c r="G302" s="1"/>
      <c r="H302" s="1"/>
      <c r="I302" s="1"/>
      <c r="J302" s="1"/>
      <c r="K302" s="1"/>
      <c r="L302" s="1"/>
      <c r="M302" s="1"/>
      <c r="N302" s="1"/>
    </row>
    <row r="303" spans="3:14" ht="20.100000000000001" customHeight="1" x14ac:dyDescent="0.2">
      <c r="C303" s="1"/>
      <c r="D303" s="1"/>
      <c r="E303" s="1"/>
      <c r="F303" s="1"/>
      <c r="G303" s="1"/>
      <c r="H303" s="1"/>
      <c r="I303" s="1"/>
      <c r="J303" s="1"/>
      <c r="K303" s="1"/>
      <c r="L303" s="1"/>
      <c r="M303" s="1"/>
      <c r="N303" s="1"/>
    </row>
    <row r="304" spans="3:14" ht="20.100000000000001" customHeight="1" x14ac:dyDescent="0.2">
      <c r="C304" s="1"/>
      <c r="D304" s="1"/>
      <c r="E304" s="1"/>
      <c r="F304" s="1"/>
      <c r="G304" s="1"/>
      <c r="H304" s="1"/>
      <c r="I304" s="1"/>
      <c r="J304" s="1"/>
      <c r="K304" s="1"/>
      <c r="L304" s="1"/>
      <c r="M304" s="1"/>
      <c r="N304" s="1"/>
    </row>
    <row r="305" spans="3:14" ht="20.100000000000001" customHeight="1" x14ac:dyDescent="0.2">
      <c r="C305" s="1"/>
      <c r="D305" s="1"/>
      <c r="E305" s="1"/>
      <c r="F305" s="1"/>
      <c r="G305" s="1"/>
      <c r="H305" s="1"/>
      <c r="I305" s="1"/>
      <c r="J305" s="1"/>
      <c r="K305" s="1"/>
      <c r="L305" s="1"/>
      <c r="M305" s="1"/>
      <c r="N305" s="1"/>
    </row>
    <row r="306" spans="3:14" ht="20.100000000000001" customHeight="1" x14ac:dyDescent="0.2">
      <c r="C306" s="1"/>
      <c r="D306" s="1"/>
      <c r="E306" s="1"/>
      <c r="F306" s="1"/>
      <c r="G306" s="1"/>
      <c r="H306" s="1"/>
      <c r="I306" s="1"/>
      <c r="J306" s="1"/>
      <c r="K306" s="1"/>
      <c r="L306" s="1"/>
      <c r="M306" s="1"/>
      <c r="N306" s="1"/>
    </row>
    <row r="307" spans="3:14" ht="20.100000000000001" customHeight="1" x14ac:dyDescent="0.2">
      <c r="C307" s="1"/>
      <c r="D307" s="1"/>
      <c r="E307" s="1"/>
      <c r="F307" s="1"/>
      <c r="G307" s="1"/>
      <c r="H307" s="1"/>
      <c r="I307" s="1"/>
      <c r="J307" s="1"/>
      <c r="K307" s="1"/>
      <c r="L307" s="1"/>
      <c r="M307" s="1"/>
      <c r="N307" s="1"/>
    </row>
    <row r="308" spans="3:14" ht="20.100000000000001" customHeight="1" x14ac:dyDescent="0.2">
      <c r="C308" s="1"/>
      <c r="D308" s="1"/>
      <c r="E308" s="1"/>
      <c r="F308" s="1"/>
      <c r="G308" s="1"/>
      <c r="H308" s="1"/>
      <c r="I308" s="1"/>
      <c r="J308" s="1"/>
      <c r="K308" s="1"/>
      <c r="L308" s="1"/>
      <c r="M308" s="1"/>
      <c r="N308" s="1"/>
    </row>
    <row r="309" spans="3:14" ht="20.100000000000001" customHeight="1" x14ac:dyDescent="0.2">
      <c r="C309" s="1"/>
      <c r="D309" s="1"/>
      <c r="E309" s="1"/>
      <c r="F309" s="1"/>
      <c r="G309" s="1"/>
      <c r="H309" s="1"/>
      <c r="I309" s="1"/>
      <c r="J309" s="1"/>
      <c r="K309" s="1"/>
      <c r="L309" s="1"/>
      <c r="M309" s="1"/>
      <c r="N309" s="1"/>
    </row>
    <row r="310" spans="3:14" ht="20.100000000000001" customHeight="1" x14ac:dyDescent="0.2">
      <c r="C310" s="1"/>
      <c r="D310" s="1"/>
      <c r="E310" s="1"/>
      <c r="F310" s="1"/>
      <c r="G310" s="1"/>
      <c r="H310" s="1"/>
      <c r="I310" s="1"/>
      <c r="J310" s="1"/>
      <c r="K310" s="1"/>
      <c r="L310" s="1"/>
      <c r="M310" s="1"/>
      <c r="N310" s="1"/>
    </row>
    <row r="311" spans="3:14" ht="20.100000000000001" customHeight="1" x14ac:dyDescent="0.2">
      <c r="C311" s="1"/>
      <c r="D311" s="1"/>
      <c r="E311" s="1"/>
      <c r="F311" s="1"/>
      <c r="G311" s="1"/>
      <c r="H311" s="1"/>
      <c r="I311" s="1"/>
      <c r="J311" s="1"/>
      <c r="K311" s="1"/>
      <c r="L311" s="1"/>
      <c r="M311" s="1"/>
      <c r="N311" s="1"/>
    </row>
    <row r="312" spans="3:14" ht="20.100000000000001" customHeight="1" x14ac:dyDescent="0.2">
      <c r="C312" s="1"/>
      <c r="D312" s="1"/>
      <c r="E312" s="1"/>
      <c r="F312" s="1"/>
      <c r="G312" s="1"/>
      <c r="H312" s="1"/>
      <c r="I312" s="1"/>
      <c r="J312" s="1"/>
      <c r="K312" s="1"/>
      <c r="L312" s="1"/>
      <c r="M312" s="1"/>
      <c r="N312" s="1"/>
    </row>
    <row r="313" spans="3:14" ht="20.100000000000001" customHeight="1" x14ac:dyDescent="0.2">
      <c r="C313" s="1"/>
      <c r="D313" s="1"/>
      <c r="E313" s="1"/>
      <c r="F313" s="1"/>
      <c r="G313" s="1"/>
      <c r="H313" s="1"/>
      <c r="I313" s="1"/>
      <c r="J313" s="1"/>
      <c r="K313" s="1"/>
      <c r="L313" s="1"/>
      <c r="M313" s="1"/>
      <c r="N313" s="1"/>
    </row>
    <row r="314" spans="3:14" ht="20.100000000000001" customHeight="1" x14ac:dyDescent="0.2">
      <c r="C314" s="1"/>
      <c r="D314" s="1"/>
      <c r="E314" s="1"/>
      <c r="F314" s="1"/>
      <c r="G314" s="1"/>
      <c r="H314" s="1"/>
      <c r="I314" s="1"/>
      <c r="J314" s="1"/>
      <c r="K314" s="1"/>
      <c r="L314" s="1"/>
      <c r="M314" s="1"/>
      <c r="N314" s="1"/>
    </row>
    <row r="315" spans="3:14" ht="20.100000000000001" customHeight="1" x14ac:dyDescent="0.2">
      <c r="C315" s="1"/>
      <c r="D315" s="1"/>
      <c r="E315" s="1"/>
      <c r="F315" s="1"/>
      <c r="G315" s="1"/>
      <c r="H315" s="1"/>
      <c r="I315" s="1"/>
      <c r="J315" s="1"/>
      <c r="K315" s="1"/>
      <c r="L315" s="1"/>
      <c r="M315" s="1"/>
      <c r="N315" s="1"/>
    </row>
    <row r="316" spans="3:14" ht="20.100000000000001" customHeight="1" x14ac:dyDescent="0.2">
      <c r="C316" s="1"/>
      <c r="D316" s="1"/>
      <c r="E316" s="1"/>
      <c r="F316" s="1"/>
      <c r="G316" s="1"/>
      <c r="H316" s="1"/>
      <c r="I316" s="1"/>
      <c r="J316" s="1"/>
      <c r="K316" s="1"/>
      <c r="L316" s="1"/>
      <c r="M316" s="1"/>
      <c r="N316" s="1"/>
    </row>
    <row r="317" spans="3:14" ht="20.100000000000001" customHeight="1" x14ac:dyDescent="0.2">
      <c r="C317" s="1"/>
      <c r="D317" s="1"/>
      <c r="E317" s="1"/>
      <c r="F317" s="1"/>
      <c r="G317" s="1"/>
      <c r="H317" s="1"/>
      <c r="I317" s="1"/>
      <c r="J317" s="1"/>
      <c r="K317" s="1"/>
      <c r="L317" s="1"/>
      <c r="M317" s="1"/>
      <c r="N317" s="1"/>
    </row>
    <row r="318" spans="3:14" ht="20.100000000000001" customHeight="1" x14ac:dyDescent="0.2">
      <c r="C318" s="1"/>
      <c r="D318" s="1"/>
      <c r="E318" s="1"/>
      <c r="F318" s="1"/>
      <c r="G318" s="1"/>
      <c r="H318" s="1"/>
      <c r="I318" s="1"/>
      <c r="J318" s="1"/>
      <c r="K318" s="1"/>
      <c r="L318" s="1"/>
      <c r="M318" s="1"/>
      <c r="N318" s="1"/>
    </row>
    <row r="319" spans="3:14" ht="20.100000000000001" customHeight="1" x14ac:dyDescent="0.2">
      <c r="C319" s="1"/>
      <c r="D319" s="1"/>
      <c r="E319" s="1"/>
      <c r="F319" s="1"/>
      <c r="G319" s="1"/>
      <c r="H319" s="1"/>
      <c r="I319" s="1"/>
      <c r="J319" s="1"/>
      <c r="K319" s="1"/>
      <c r="L319" s="1"/>
      <c r="M319" s="1"/>
      <c r="N319" s="1"/>
    </row>
    <row r="320" spans="3:14" ht="20.100000000000001" customHeight="1" x14ac:dyDescent="0.2">
      <c r="C320" s="1"/>
      <c r="D320" s="1"/>
      <c r="E320" s="1"/>
      <c r="F320" s="1"/>
      <c r="G320" s="1"/>
      <c r="H320" s="1"/>
      <c r="I320" s="1"/>
      <c r="J320" s="1"/>
      <c r="K320" s="1"/>
      <c r="L320" s="1"/>
      <c r="M320" s="1"/>
      <c r="N320" s="1"/>
    </row>
    <row r="321" spans="3:14" ht="20.100000000000001" customHeight="1" x14ac:dyDescent="0.2">
      <c r="C321" s="1"/>
      <c r="D321" s="1"/>
      <c r="E321" s="1"/>
      <c r="F321" s="1"/>
      <c r="G321" s="1"/>
      <c r="H321" s="1"/>
      <c r="I321" s="1"/>
      <c r="J321" s="1"/>
      <c r="K321" s="1"/>
      <c r="L321" s="1"/>
      <c r="M321" s="1"/>
      <c r="N321" s="1"/>
    </row>
    <row r="322" spans="3:14" ht="20.100000000000001" customHeight="1" x14ac:dyDescent="0.2">
      <c r="C322" s="1"/>
      <c r="D322" s="1"/>
      <c r="E322" s="1"/>
      <c r="F322" s="1"/>
      <c r="G322" s="1"/>
      <c r="H322" s="1"/>
      <c r="I322" s="1"/>
      <c r="J322" s="1"/>
      <c r="K322" s="1"/>
      <c r="L322" s="1"/>
      <c r="M322" s="1"/>
      <c r="N322" s="1"/>
    </row>
    <row r="323" spans="3:14" ht="20.100000000000001" customHeight="1" x14ac:dyDescent="0.2">
      <c r="C323" s="1"/>
      <c r="D323" s="1"/>
      <c r="E323" s="1"/>
      <c r="F323" s="1"/>
      <c r="G323" s="1"/>
      <c r="H323" s="1"/>
      <c r="I323" s="1"/>
      <c r="J323" s="1"/>
      <c r="K323" s="1"/>
      <c r="L323" s="1"/>
      <c r="M323" s="1"/>
      <c r="N323" s="1"/>
    </row>
    <row r="324" spans="3:14" ht="20.100000000000001" customHeight="1" x14ac:dyDescent="0.2">
      <c r="C324" s="1"/>
      <c r="D324" s="1"/>
      <c r="E324" s="1"/>
      <c r="F324" s="1"/>
      <c r="G324" s="1"/>
      <c r="H324" s="1"/>
      <c r="I324" s="1"/>
      <c r="J324" s="1"/>
      <c r="K324" s="1"/>
      <c r="L324" s="1"/>
      <c r="M324" s="1"/>
      <c r="N324" s="1"/>
    </row>
    <row r="325" spans="3:14" ht="20.100000000000001" customHeight="1" x14ac:dyDescent="0.2">
      <c r="C325" s="1"/>
      <c r="D325" s="1"/>
      <c r="E325" s="1"/>
      <c r="F325" s="1"/>
      <c r="G325" s="1"/>
      <c r="H325" s="1"/>
      <c r="I325" s="1"/>
      <c r="J325" s="1"/>
      <c r="K325" s="1"/>
      <c r="L325" s="1"/>
      <c r="M325" s="1"/>
      <c r="N325" s="1"/>
    </row>
    <row r="326" spans="3:14" ht="20.100000000000001" customHeight="1" x14ac:dyDescent="0.2">
      <c r="C326" s="1"/>
      <c r="D326" s="1"/>
      <c r="E326" s="1"/>
      <c r="F326" s="1"/>
      <c r="G326" s="1"/>
      <c r="H326" s="1"/>
      <c r="I326" s="1"/>
      <c r="J326" s="1"/>
      <c r="K326" s="1"/>
      <c r="L326" s="1"/>
      <c r="M326" s="1"/>
      <c r="N326" s="1"/>
    </row>
    <row r="327" spans="3:14" ht="20.100000000000001" customHeight="1" x14ac:dyDescent="0.2">
      <c r="C327" s="1"/>
      <c r="D327" s="1"/>
      <c r="E327" s="1"/>
      <c r="F327" s="1"/>
      <c r="G327" s="1"/>
      <c r="H327" s="1"/>
      <c r="I327" s="1"/>
      <c r="J327" s="1"/>
      <c r="K327" s="1"/>
      <c r="L327" s="1"/>
      <c r="M327" s="1"/>
      <c r="N327" s="1"/>
    </row>
    <row r="328" spans="3:14" ht="20.100000000000001" customHeight="1" x14ac:dyDescent="0.2">
      <c r="C328" s="1"/>
      <c r="D328" s="1"/>
      <c r="E328" s="1"/>
      <c r="F328" s="1"/>
      <c r="G328" s="1"/>
      <c r="H328" s="1"/>
      <c r="I328" s="1"/>
      <c r="J328" s="1"/>
      <c r="K328" s="1"/>
      <c r="L328" s="1"/>
      <c r="M328" s="1"/>
      <c r="N328" s="1"/>
    </row>
    <row r="329" spans="3:14" ht="20.100000000000001" customHeight="1" x14ac:dyDescent="0.2">
      <c r="C329" s="1"/>
      <c r="D329" s="1"/>
      <c r="E329" s="1"/>
      <c r="F329" s="1"/>
      <c r="G329" s="1"/>
      <c r="H329" s="1"/>
      <c r="I329" s="1"/>
      <c r="J329" s="1"/>
      <c r="K329" s="1"/>
      <c r="L329" s="1"/>
      <c r="M329" s="1"/>
      <c r="N329" s="1"/>
    </row>
    <row r="330" spans="3:14" ht="20.100000000000001" customHeight="1" x14ac:dyDescent="0.2">
      <c r="C330" s="1"/>
      <c r="D330" s="1"/>
      <c r="E330" s="1"/>
      <c r="F330" s="1"/>
      <c r="G330" s="1"/>
      <c r="H330" s="1"/>
      <c r="I330" s="1"/>
      <c r="J330" s="1"/>
      <c r="K330" s="1"/>
      <c r="L330" s="1"/>
      <c r="M330" s="1"/>
      <c r="N330" s="1"/>
    </row>
    <row r="331" spans="3:14" ht="20.100000000000001" customHeight="1" x14ac:dyDescent="0.2">
      <c r="C331" s="1"/>
      <c r="D331" s="1"/>
      <c r="E331" s="1"/>
      <c r="F331" s="1"/>
      <c r="G331" s="1"/>
      <c r="H331" s="1"/>
      <c r="I331" s="1"/>
      <c r="J331" s="1"/>
      <c r="K331" s="1"/>
      <c r="L331" s="1"/>
      <c r="M331" s="1"/>
      <c r="N331" s="1"/>
    </row>
    <row r="332" spans="3:14" ht="20.100000000000001" customHeight="1" x14ac:dyDescent="0.2">
      <c r="C332" s="1"/>
      <c r="D332" s="1"/>
      <c r="E332" s="1"/>
      <c r="F332" s="1"/>
      <c r="G332" s="1"/>
      <c r="H332" s="1"/>
      <c r="I332" s="1"/>
      <c r="J332" s="1"/>
      <c r="K332" s="1"/>
      <c r="L332" s="1"/>
      <c r="M332" s="1"/>
      <c r="N332" s="1"/>
    </row>
    <row r="333" spans="3:14" ht="20.100000000000001" customHeight="1" x14ac:dyDescent="0.2">
      <c r="C333" s="1"/>
      <c r="D333" s="1"/>
      <c r="E333" s="1"/>
      <c r="F333" s="1"/>
      <c r="G333" s="1"/>
      <c r="H333" s="1"/>
      <c r="I333" s="1"/>
      <c r="J333" s="1"/>
      <c r="K333" s="1"/>
      <c r="L333" s="1"/>
      <c r="M333" s="1"/>
      <c r="N333" s="1"/>
    </row>
    <row r="334" spans="3:14" ht="20.100000000000001" customHeight="1" x14ac:dyDescent="0.2">
      <c r="C334" s="1"/>
      <c r="D334" s="1"/>
      <c r="E334" s="1"/>
      <c r="F334" s="1"/>
      <c r="G334" s="1"/>
      <c r="H334" s="1"/>
      <c r="I334" s="1"/>
      <c r="J334" s="1"/>
      <c r="K334" s="1"/>
      <c r="L334" s="1"/>
      <c r="M334" s="1"/>
      <c r="N334" s="1"/>
    </row>
    <row r="335" spans="3:14" ht="20.100000000000001" customHeight="1" x14ac:dyDescent="0.2">
      <c r="C335" s="1"/>
      <c r="D335" s="1"/>
      <c r="E335" s="1"/>
      <c r="F335" s="1"/>
      <c r="G335" s="1"/>
      <c r="H335" s="1"/>
      <c r="I335" s="1"/>
      <c r="J335" s="1"/>
      <c r="K335" s="1"/>
      <c r="L335" s="1"/>
      <c r="M335" s="1"/>
      <c r="N335" s="1"/>
    </row>
    <row r="336" spans="3:14" ht="20.100000000000001" customHeight="1" x14ac:dyDescent="0.2">
      <c r="C336" s="1"/>
      <c r="D336" s="1"/>
      <c r="E336" s="1"/>
      <c r="F336" s="1"/>
      <c r="G336" s="1"/>
      <c r="H336" s="1"/>
      <c r="I336" s="1"/>
      <c r="J336" s="1"/>
      <c r="K336" s="1"/>
      <c r="L336" s="1"/>
      <c r="M336" s="1"/>
      <c r="N336" s="1"/>
    </row>
    <row r="337" spans="3:14" ht="20.100000000000001" customHeight="1" x14ac:dyDescent="0.2">
      <c r="C337" s="1"/>
      <c r="D337" s="1"/>
      <c r="E337" s="1"/>
      <c r="F337" s="1"/>
      <c r="G337" s="1"/>
      <c r="H337" s="1"/>
      <c r="I337" s="1"/>
      <c r="J337" s="1"/>
      <c r="K337" s="1"/>
      <c r="L337" s="1"/>
      <c r="M337" s="1"/>
      <c r="N337" s="1"/>
    </row>
    <row r="338" spans="3:14" ht="20.100000000000001" customHeight="1" x14ac:dyDescent="0.2">
      <c r="C338" s="1"/>
      <c r="D338" s="1"/>
      <c r="E338" s="1"/>
      <c r="F338" s="1"/>
      <c r="G338" s="1"/>
      <c r="H338" s="1"/>
      <c r="I338" s="1"/>
      <c r="J338" s="1"/>
      <c r="K338" s="1"/>
      <c r="L338" s="1"/>
      <c r="M338" s="1"/>
      <c r="N338" s="1"/>
    </row>
    <row r="339" spans="3:14" ht="20.100000000000001" customHeight="1" x14ac:dyDescent="0.2">
      <c r="C339" s="1"/>
      <c r="D339" s="1"/>
      <c r="E339" s="1"/>
      <c r="F339" s="1"/>
      <c r="G339" s="1"/>
      <c r="H339" s="1"/>
      <c r="I339" s="1"/>
      <c r="J339" s="1"/>
      <c r="K339" s="1"/>
      <c r="L339" s="1"/>
      <c r="M339" s="1"/>
      <c r="N339" s="1"/>
    </row>
    <row r="340" spans="3:14" ht="20.100000000000001" customHeight="1" x14ac:dyDescent="0.2">
      <c r="C340" s="1"/>
      <c r="D340" s="1"/>
      <c r="E340" s="1"/>
      <c r="F340" s="1"/>
      <c r="G340" s="1"/>
      <c r="H340" s="1"/>
      <c r="I340" s="1"/>
      <c r="J340" s="1"/>
      <c r="K340" s="1"/>
      <c r="L340" s="1"/>
      <c r="M340" s="1"/>
      <c r="N340" s="1"/>
    </row>
    <row r="341" spans="3:14" ht="20.100000000000001" customHeight="1" x14ac:dyDescent="0.2">
      <c r="C341" s="1"/>
      <c r="D341" s="1"/>
      <c r="E341" s="1"/>
      <c r="F341" s="1"/>
      <c r="G341" s="1"/>
      <c r="H341" s="1"/>
      <c r="I341" s="1"/>
      <c r="J341" s="1"/>
      <c r="K341" s="1"/>
      <c r="L341" s="1"/>
      <c r="M341" s="1"/>
      <c r="N341" s="1"/>
    </row>
    <row r="342" spans="3:14" ht="20.100000000000001" customHeight="1" x14ac:dyDescent="0.2">
      <c r="C342" s="1"/>
      <c r="D342" s="1"/>
      <c r="E342" s="1"/>
      <c r="F342" s="1"/>
      <c r="G342" s="1"/>
      <c r="H342" s="1"/>
      <c r="I342" s="1"/>
      <c r="J342" s="1"/>
      <c r="K342" s="1"/>
      <c r="L342" s="1"/>
      <c r="M342" s="1"/>
      <c r="N342" s="1"/>
    </row>
    <row r="343" spans="3:14" ht="20.100000000000001" customHeight="1" x14ac:dyDescent="0.2">
      <c r="C343" s="1"/>
      <c r="D343" s="1"/>
      <c r="E343" s="1"/>
      <c r="F343" s="1"/>
      <c r="G343" s="1"/>
      <c r="H343" s="1"/>
      <c r="I343" s="1"/>
      <c r="J343" s="1"/>
      <c r="K343" s="1"/>
      <c r="L343" s="1"/>
      <c r="M343" s="1"/>
      <c r="N343" s="1"/>
    </row>
    <row r="344" spans="3:14" ht="20.100000000000001" customHeight="1" x14ac:dyDescent="0.2">
      <c r="C344" s="1"/>
      <c r="D344" s="1"/>
      <c r="E344" s="1"/>
      <c r="F344" s="1"/>
      <c r="G344" s="1"/>
      <c r="H344" s="1"/>
      <c r="I344" s="1"/>
      <c r="J344" s="1"/>
      <c r="K344" s="1"/>
      <c r="L344" s="1"/>
      <c r="M344" s="1"/>
      <c r="N344" s="1"/>
    </row>
    <row r="345" spans="3:14" ht="20.100000000000001" customHeight="1" x14ac:dyDescent="0.2">
      <c r="C345" s="1"/>
      <c r="D345" s="1"/>
      <c r="E345" s="1"/>
      <c r="F345" s="1"/>
      <c r="G345" s="1"/>
      <c r="H345" s="1"/>
      <c r="I345" s="1"/>
      <c r="J345" s="1"/>
      <c r="K345" s="1"/>
      <c r="L345" s="1"/>
      <c r="M345" s="1"/>
      <c r="N345" s="1"/>
    </row>
    <row r="346" spans="3:14" ht="20.100000000000001" customHeight="1" x14ac:dyDescent="0.2">
      <c r="C346" s="1"/>
      <c r="D346" s="1"/>
      <c r="E346" s="1"/>
      <c r="F346" s="1"/>
      <c r="G346" s="1"/>
      <c r="H346" s="1"/>
      <c r="I346" s="1"/>
      <c r="J346" s="1"/>
      <c r="K346" s="1"/>
      <c r="L346" s="1"/>
      <c r="M346" s="1"/>
      <c r="N346" s="1"/>
    </row>
    <row r="347" spans="3:14" ht="20.100000000000001" customHeight="1" x14ac:dyDescent="0.2">
      <c r="C347" s="1"/>
      <c r="D347" s="1"/>
      <c r="E347" s="1"/>
      <c r="F347" s="1"/>
      <c r="G347" s="1"/>
      <c r="H347" s="1"/>
      <c r="I347" s="1"/>
      <c r="J347" s="1"/>
      <c r="K347" s="1"/>
      <c r="L347" s="1"/>
      <c r="M347" s="1"/>
      <c r="N347" s="1"/>
    </row>
    <row r="348" spans="3:14" ht="20.100000000000001" customHeight="1" x14ac:dyDescent="0.2">
      <c r="C348" s="1"/>
      <c r="D348" s="1"/>
      <c r="E348" s="1"/>
      <c r="F348" s="1"/>
      <c r="G348" s="1"/>
      <c r="H348" s="1"/>
      <c r="I348" s="1"/>
      <c r="J348" s="1"/>
      <c r="K348" s="1"/>
      <c r="L348" s="1"/>
      <c r="M348" s="1"/>
      <c r="N348" s="1"/>
    </row>
    <row r="349" spans="3:14" ht="20.100000000000001" customHeight="1" x14ac:dyDescent="0.2">
      <c r="C349" s="1"/>
      <c r="D349" s="1"/>
      <c r="E349" s="1"/>
      <c r="F349" s="1"/>
      <c r="G349" s="1"/>
      <c r="H349" s="1"/>
      <c r="I349" s="1"/>
      <c r="J349" s="1"/>
      <c r="K349" s="1"/>
      <c r="L349" s="1"/>
      <c r="M349" s="1"/>
      <c r="N349" s="1"/>
    </row>
    <row r="350" spans="3:14" ht="20.100000000000001" customHeight="1" x14ac:dyDescent="0.2">
      <c r="C350" s="1"/>
      <c r="D350" s="1"/>
      <c r="E350" s="1"/>
      <c r="F350" s="1"/>
      <c r="G350" s="1"/>
      <c r="H350" s="1"/>
      <c r="I350" s="1"/>
      <c r="J350" s="1"/>
      <c r="K350" s="1"/>
      <c r="L350" s="1"/>
      <c r="M350" s="1"/>
      <c r="N350" s="1"/>
    </row>
    <row r="351" spans="3:14" ht="20.100000000000001" customHeight="1" x14ac:dyDescent="0.2">
      <c r="C351" s="1"/>
      <c r="D351" s="1"/>
      <c r="E351" s="1"/>
      <c r="F351" s="1"/>
      <c r="G351" s="1"/>
      <c r="H351" s="1"/>
      <c r="I351" s="1"/>
      <c r="J351" s="1"/>
      <c r="K351" s="1"/>
      <c r="L351" s="1"/>
      <c r="M351" s="1"/>
      <c r="N351" s="1"/>
    </row>
    <row r="352" spans="3:14" ht="20.100000000000001" customHeight="1" x14ac:dyDescent="0.2">
      <c r="C352" s="1"/>
      <c r="D352" s="1"/>
      <c r="E352" s="1"/>
      <c r="F352" s="1"/>
      <c r="G352" s="1"/>
      <c r="H352" s="1"/>
      <c r="I352" s="1"/>
      <c r="J352" s="1"/>
      <c r="K352" s="1"/>
      <c r="L352" s="1"/>
      <c r="M352" s="1"/>
      <c r="N352" s="1"/>
    </row>
    <row r="353" spans="3:14" ht="20.100000000000001" customHeight="1" x14ac:dyDescent="0.2">
      <c r="C353" s="1"/>
      <c r="D353" s="1"/>
      <c r="E353" s="1"/>
      <c r="F353" s="1"/>
      <c r="G353" s="1"/>
      <c r="H353" s="1"/>
      <c r="I353" s="1"/>
      <c r="J353" s="1"/>
      <c r="K353" s="1"/>
      <c r="L353" s="1"/>
      <c r="M353" s="1"/>
      <c r="N353" s="1"/>
    </row>
    <row r="354" spans="3:14" ht="20.100000000000001" customHeight="1" x14ac:dyDescent="0.2">
      <c r="C354" s="1"/>
      <c r="D354" s="1"/>
      <c r="E354" s="1"/>
      <c r="F354" s="1"/>
      <c r="G354" s="1"/>
      <c r="H354" s="1"/>
      <c r="I354" s="1"/>
      <c r="J354" s="1"/>
      <c r="K354" s="1"/>
      <c r="L354" s="1"/>
      <c r="M354" s="1"/>
      <c r="N354" s="1"/>
    </row>
    <row r="355" spans="3:14" ht="20.100000000000001" customHeight="1" x14ac:dyDescent="0.2">
      <c r="C355" s="1"/>
      <c r="D355" s="1"/>
      <c r="E355" s="1"/>
      <c r="F355" s="1"/>
      <c r="G355" s="1"/>
      <c r="H355" s="1"/>
      <c r="I355" s="1"/>
      <c r="J355" s="1"/>
      <c r="K355" s="1"/>
      <c r="L355" s="1"/>
      <c r="M355" s="1"/>
      <c r="N355" s="1"/>
    </row>
    <row r="356" spans="3:14" ht="20.100000000000001" customHeight="1" x14ac:dyDescent="0.2">
      <c r="C356" s="1"/>
      <c r="D356" s="1"/>
      <c r="E356" s="1"/>
      <c r="F356" s="1"/>
      <c r="G356" s="1"/>
      <c r="H356" s="1"/>
      <c r="I356" s="1"/>
      <c r="J356" s="1"/>
      <c r="K356" s="1"/>
      <c r="L356" s="1"/>
      <c r="M356" s="1"/>
      <c r="N356" s="1"/>
    </row>
    <row r="357" spans="3:14" ht="20.100000000000001" customHeight="1" x14ac:dyDescent="0.2">
      <c r="C357" s="1"/>
      <c r="D357" s="1"/>
      <c r="E357" s="1"/>
      <c r="F357" s="1"/>
      <c r="G357" s="1"/>
      <c r="H357" s="1"/>
      <c r="I357" s="1"/>
      <c r="J357" s="1"/>
      <c r="K357" s="1"/>
      <c r="L357" s="1"/>
      <c r="M357" s="1"/>
      <c r="N357" s="1"/>
    </row>
    <row r="358" spans="3:14" ht="20.100000000000001" customHeight="1" x14ac:dyDescent="0.2">
      <c r="C358" s="1"/>
      <c r="D358" s="1"/>
      <c r="E358" s="1"/>
      <c r="F358" s="1"/>
      <c r="G358" s="1"/>
      <c r="H358" s="1"/>
      <c r="I358" s="1"/>
      <c r="J358" s="1"/>
      <c r="K358" s="1"/>
      <c r="L358" s="1"/>
      <c r="M358" s="1"/>
      <c r="N358" s="1"/>
    </row>
    <row r="359" spans="3:14" ht="20.100000000000001" customHeight="1" x14ac:dyDescent="0.2">
      <c r="C359" s="1"/>
      <c r="D359" s="1"/>
      <c r="E359" s="1"/>
      <c r="F359" s="1"/>
      <c r="G359" s="1"/>
      <c r="H359" s="1"/>
      <c r="I359" s="1"/>
      <c r="J359" s="1"/>
      <c r="K359" s="1"/>
      <c r="L359" s="1"/>
      <c r="M359" s="1"/>
      <c r="N359" s="1"/>
    </row>
    <row r="360" spans="3:14" ht="20.100000000000001" customHeight="1" x14ac:dyDescent="0.2">
      <c r="C360" s="1"/>
      <c r="D360" s="1"/>
      <c r="E360" s="1"/>
      <c r="F360" s="1"/>
      <c r="G360" s="1"/>
      <c r="H360" s="1"/>
      <c r="I360" s="1"/>
      <c r="J360" s="1"/>
      <c r="K360" s="1"/>
      <c r="L360" s="1"/>
      <c r="M360" s="1"/>
      <c r="N360" s="1"/>
    </row>
    <row r="361" spans="3:14" ht="20.100000000000001" customHeight="1" x14ac:dyDescent="0.2">
      <c r="C361" s="1"/>
      <c r="D361" s="1"/>
      <c r="E361" s="1"/>
      <c r="F361" s="1"/>
      <c r="G361" s="1"/>
      <c r="H361" s="1"/>
      <c r="I361" s="1"/>
      <c r="J361" s="1"/>
      <c r="K361" s="1"/>
      <c r="L361" s="1"/>
      <c r="M361" s="1"/>
      <c r="N361" s="1"/>
    </row>
    <row r="362" spans="3:14" ht="20.100000000000001" customHeight="1" x14ac:dyDescent="0.2">
      <c r="C362" s="1"/>
      <c r="D362" s="1"/>
      <c r="E362" s="1"/>
      <c r="F362" s="1"/>
      <c r="G362" s="1"/>
      <c r="H362" s="1"/>
      <c r="I362" s="1"/>
      <c r="J362" s="1"/>
      <c r="K362" s="1"/>
      <c r="L362" s="1"/>
      <c r="M362" s="1"/>
      <c r="N362" s="1"/>
    </row>
    <row r="363" spans="3:14" ht="20.100000000000001" customHeight="1" x14ac:dyDescent="0.2">
      <c r="C363" s="1"/>
      <c r="D363" s="1"/>
      <c r="E363" s="1"/>
      <c r="F363" s="1"/>
      <c r="G363" s="1"/>
      <c r="H363" s="1"/>
      <c r="I363" s="1"/>
      <c r="J363" s="1"/>
      <c r="K363" s="1"/>
      <c r="L363" s="1"/>
      <c r="M363" s="1"/>
      <c r="N363" s="1"/>
    </row>
    <row r="364" spans="3:14" ht="20.100000000000001" customHeight="1" x14ac:dyDescent="0.2">
      <c r="C364" s="1"/>
      <c r="D364" s="1"/>
      <c r="E364" s="1"/>
      <c r="F364" s="1"/>
      <c r="G364" s="1"/>
      <c r="H364" s="1"/>
      <c r="I364" s="1"/>
      <c r="J364" s="1"/>
      <c r="K364" s="1"/>
      <c r="L364" s="1"/>
      <c r="M364" s="1"/>
      <c r="N364" s="1"/>
    </row>
    <row r="365" spans="3:14" ht="20.100000000000001" customHeight="1" x14ac:dyDescent="0.2">
      <c r="C365" s="1"/>
      <c r="D365" s="1"/>
      <c r="E365" s="1"/>
      <c r="F365" s="1"/>
      <c r="G365" s="1"/>
      <c r="H365" s="1"/>
      <c r="I365" s="1"/>
      <c r="J365" s="1"/>
      <c r="K365" s="1"/>
      <c r="L365" s="1"/>
      <c r="M365" s="1"/>
      <c r="N365" s="1"/>
    </row>
    <row r="366" spans="3:14" ht="20.100000000000001" customHeight="1" x14ac:dyDescent="0.2">
      <c r="C366" s="1"/>
      <c r="D366" s="1"/>
      <c r="E366" s="1"/>
      <c r="F366" s="1"/>
      <c r="G366" s="1"/>
      <c r="H366" s="1"/>
      <c r="I366" s="1"/>
      <c r="J366" s="1"/>
      <c r="K366" s="1"/>
      <c r="L366" s="1"/>
      <c r="M366" s="1"/>
      <c r="N366" s="1"/>
    </row>
    <row r="367" spans="3:14" ht="20.100000000000001" customHeight="1" x14ac:dyDescent="0.2">
      <c r="C367" s="1"/>
      <c r="D367" s="1"/>
      <c r="E367" s="1"/>
      <c r="F367" s="1"/>
      <c r="G367" s="1"/>
      <c r="H367" s="1"/>
      <c r="I367" s="1"/>
      <c r="J367" s="1"/>
      <c r="K367" s="1"/>
      <c r="L367" s="1"/>
      <c r="M367" s="1"/>
      <c r="N367" s="1"/>
    </row>
    <row r="368" spans="3:14" ht="20.100000000000001" customHeight="1" x14ac:dyDescent="0.2">
      <c r="C368" s="1"/>
      <c r="D368" s="1"/>
      <c r="E368" s="1"/>
      <c r="F368" s="1"/>
      <c r="G368" s="1"/>
      <c r="H368" s="1"/>
      <c r="I368" s="1"/>
      <c r="J368" s="1"/>
      <c r="K368" s="1"/>
      <c r="L368" s="1"/>
      <c r="M368" s="1"/>
      <c r="N368" s="1"/>
    </row>
    <row r="369" spans="3:14" ht="20.100000000000001" customHeight="1" x14ac:dyDescent="0.2">
      <c r="C369" s="1"/>
      <c r="D369" s="1"/>
      <c r="E369" s="1"/>
      <c r="F369" s="1"/>
      <c r="G369" s="1"/>
      <c r="H369" s="1"/>
      <c r="I369" s="1"/>
      <c r="J369" s="1"/>
      <c r="K369" s="1"/>
      <c r="L369" s="1"/>
      <c r="M369" s="1"/>
      <c r="N369" s="1"/>
    </row>
    <row r="370" spans="3:14" ht="20.100000000000001" customHeight="1" x14ac:dyDescent="0.2">
      <c r="C370" s="1"/>
      <c r="D370" s="1"/>
      <c r="E370" s="1"/>
      <c r="F370" s="1"/>
      <c r="G370" s="1"/>
      <c r="H370" s="1"/>
      <c r="I370" s="1"/>
      <c r="J370" s="1"/>
      <c r="K370" s="1"/>
      <c r="L370" s="1"/>
      <c r="M370" s="1"/>
      <c r="N370" s="1"/>
    </row>
    <row r="371" spans="3:14" ht="20.100000000000001" customHeight="1" x14ac:dyDescent="0.2">
      <c r="C371" s="1"/>
      <c r="D371" s="1"/>
      <c r="E371" s="1"/>
      <c r="F371" s="1"/>
      <c r="G371" s="1"/>
      <c r="H371" s="1"/>
      <c r="I371" s="1"/>
      <c r="J371" s="1"/>
      <c r="K371" s="1"/>
      <c r="L371" s="1"/>
      <c r="M371" s="1"/>
      <c r="N371" s="1"/>
    </row>
    <row r="372" spans="3:14" ht="20.100000000000001" customHeight="1" x14ac:dyDescent="0.2">
      <c r="C372" s="1"/>
      <c r="D372" s="1"/>
      <c r="E372" s="1"/>
      <c r="F372" s="1"/>
      <c r="G372" s="1"/>
      <c r="H372" s="1"/>
      <c r="I372" s="1"/>
      <c r="J372" s="1"/>
      <c r="K372" s="1"/>
      <c r="L372" s="1"/>
      <c r="M372" s="1"/>
      <c r="N372" s="1"/>
    </row>
    <row r="373" spans="3:14" ht="20.100000000000001" customHeight="1" x14ac:dyDescent="0.2">
      <c r="C373" s="1"/>
      <c r="D373" s="1"/>
      <c r="E373" s="1"/>
      <c r="F373" s="1"/>
      <c r="G373" s="1"/>
      <c r="H373" s="1"/>
      <c r="I373" s="1"/>
      <c r="J373" s="1"/>
      <c r="K373" s="1"/>
      <c r="L373" s="1"/>
      <c r="M373" s="1"/>
      <c r="N373" s="1"/>
    </row>
    <row r="374" spans="3:14" ht="20.100000000000001" customHeight="1" x14ac:dyDescent="0.2">
      <c r="C374" s="1"/>
      <c r="D374" s="1"/>
      <c r="E374" s="1"/>
      <c r="F374" s="1"/>
      <c r="G374" s="1"/>
      <c r="H374" s="1"/>
      <c r="I374" s="1"/>
      <c r="J374" s="1"/>
      <c r="K374" s="1"/>
      <c r="L374" s="1"/>
      <c r="M374" s="1"/>
      <c r="N374" s="1"/>
    </row>
    <row r="375" spans="3:14" ht="20.100000000000001" customHeight="1" x14ac:dyDescent="0.2">
      <c r="C375" s="1"/>
      <c r="D375" s="1"/>
      <c r="E375" s="1"/>
      <c r="F375" s="1"/>
      <c r="G375" s="1"/>
      <c r="H375" s="1"/>
      <c r="I375" s="1"/>
      <c r="J375" s="1"/>
      <c r="K375" s="1"/>
      <c r="L375" s="1"/>
      <c r="M375" s="1"/>
      <c r="N375" s="1"/>
    </row>
    <row r="376" spans="3:14" ht="20.100000000000001" customHeight="1" x14ac:dyDescent="0.2">
      <c r="C376" s="1"/>
      <c r="D376" s="1"/>
      <c r="E376" s="1"/>
      <c r="F376" s="1"/>
      <c r="G376" s="1"/>
      <c r="H376" s="1"/>
      <c r="I376" s="1"/>
      <c r="J376" s="1"/>
      <c r="K376" s="1"/>
      <c r="L376" s="1"/>
      <c r="M376" s="1"/>
      <c r="N376" s="1"/>
    </row>
    <row r="377" spans="3:14" ht="20.100000000000001" customHeight="1" x14ac:dyDescent="0.2">
      <c r="C377" s="1"/>
      <c r="D377" s="1"/>
      <c r="E377" s="1"/>
      <c r="F377" s="1"/>
      <c r="G377" s="1"/>
      <c r="H377" s="1"/>
      <c r="I377" s="1"/>
      <c r="J377" s="1"/>
      <c r="K377" s="1"/>
      <c r="L377" s="1"/>
      <c r="M377" s="1"/>
      <c r="N377" s="1"/>
    </row>
    <row r="378" spans="3:14" ht="20.100000000000001" customHeight="1" x14ac:dyDescent="0.2">
      <c r="C378" s="1"/>
      <c r="D378" s="1"/>
      <c r="E378" s="1"/>
      <c r="F378" s="1"/>
      <c r="G378" s="1"/>
      <c r="H378" s="1"/>
      <c r="I378" s="1"/>
      <c r="J378" s="1"/>
      <c r="K378" s="1"/>
      <c r="L378" s="1"/>
      <c r="M378" s="1"/>
      <c r="N378" s="1"/>
    </row>
    <row r="379" spans="3:14" ht="20.100000000000001" customHeight="1" x14ac:dyDescent="0.2">
      <c r="C379" s="1"/>
      <c r="D379" s="1"/>
      <c r="E379" s="1"/>
      <c r="F379" s="1"/>
      <c r="G379" s="1"/>
      <c r="H379" s="1"/>
      <c r="I379" s="1"/>
      <c r="J379" s="1"/>
      <c r="K379" s="1"/>
      <c r="L379" s="1"/>
      <c r="M379" s="1"/>
      <c r="N379" s="1"/>
    </row>
    <row r="380" spans="3:14" ht="20.100000000000001" customHeight="1" x14ac:dyDescent="0.2">
      <c r="C380" s="1"/>
      <c r="D380" s="1"/>
      <c r="E380" s="1"/>
      <c r="F380" s="1"/>
      <c r="G380" s="1"/>
      <c r="H380" s="1"/>
      <c r="I380" s="1"/>
      <c r="J380" s="1"/>
      <c r="K380" s="1"/>
      <c r="L380" s="1"/>
      <c r="M380" s="1"/>
      <c r="N380" s="1"/>
    </row>
    <row r="381" spans="3:14" ht="20.100000000000001" customHeight="1" x14ac:dyDescent="0.2">
      <c r="C381" s="1"/>
      <c r="D381" s="1"/>
      <c r="E381" s="1"/>
      <c r="F381" s="1"/>
      <c r="G381" s="1"/>
      <c r="H381" s="1"/>
      <c r="I381" s="1"/>
      <c r="J381" s="1"/>
      <c r="K381" s="1"/>
      <c r="L381" s="1"/>
      <c r="M381" s="1"/>
      <c r="N381" s="1"/>
    </row>
    <row r="382" spans="3:14" ht="20.100000000000001" customHeight="1" x14ac:dyDescent="0.2">
      <c r="C382" s="1"/>
      <c r="D382" s="1"/>
      <c r="E382" s="1"/>
      <c r="F382" s="1"/>
      <c r="G382" s="1"/>
      <c r="H382" s="1"/>
      <c r="I382" s="1"/>
      <c r="J382" s="1"/>
      <c r="K382" s="1"/>
      <c r="L382" s="1"/>
      <c r="M382" s="1"/>
      <c r="N382" s="1"/>
    </row>
    <row r="383" spans="3:14" ht="20.100000000000001" customHeight="1" x14ac:dyDescent="0.2">
      <c r="C383" s="1"/>
      <c r="D383" s="1"/>
      <c r="E383" s="1"/>
      <c r="F383" s="1"/>
      <c r="G383" s="1"/>
      <c r="H383" s="1"/>
      <c r="I383" s="1"/>
      <c r="J383" s="1"/>
      <c r="K383" s="1"/>
      <c r="L383" s="1"/>
      <c r="M383" s="1"/>
      <c r="N383" s="1"/>
    </row>
    <row r="384" spans="3:14" ht="20.100000000000001" customHeight="1" x14ac:dyDescent="0.2">
      <c r="C384" s="1"/>
      <c r="D384" s="1"/>
      <c r="E384" s="1"/>
      <c r="F384" s="1"/>
      <c r="G384" s="1"/>
      <c r="H384" s="1"/>
      <c r="I384" s="1"/>
      <c r="J384" s="1"/>
      <c r="K384" s="1"/>
      <c r="L384" s="1"/>
      <c r="M384" s="1"/>
      <c r="N384" s="1"/>
    </row>
    <row r="385" spans="3:14" ht="20.100000000000001" customHeight="1" x14ac:dyDescent="0.2">
      <c r="C385" s="1"/>
      <c r="D385" s="1"/>
      <c r="E385" s="1"/>
      <c r="F385" s="1"/>
      <c r="G385" s="1"/>
      <c r="H385" s="1"/>
      <c r="I385" s="1"/>
      <c r="J385" s="1"/>
      <c r="K385" s="1"/>
      <c r="L385" s="1"/>
      <c r="M385" s="1"/>
      <c r="N385" s="1"/>
    </row>
    <row r="386" spans="3:14" ht="20.100000000000001" customHeight="1" x14ac:dyDescent="0.2">
      <c r="C386" s="1"/>
      <c r="D386" s="1"/>
      <c r="E386" s="1"/>
      <c r="F386" s="1"/>
      <c r="G386" s="1"/>
      <c r="H386" s="1"/>
      <c r="I386" s="1"/>
      <c r="J386" s="1"/>
      <c r="K386" s="1"/>
      <c r="L386" s="1"/>
      <c r="M386" s="1"/>
      <c r="N386" s="1"/>
    </row>
    <row r="387" spans="3:14" ht="20.100000000000001" customHeight="1" x14ac:dyDescent="0.2">
      <c r="C387" s="1"/>
      <c r="D387" s="1"/>
      <c r="E387" s="1"/>
      <c r="F387" s="1"/>
      <c r="G387" s="1"/>
      <c r="H387" s="1"/>
      <c r="I387" s="1"/>
      <c r="J387" s="1"/>
      <c r="K387" s="1"/>
      <c r="L387" s="1"/>
      <c r="M387" s="1"/>
      <c r="N387" s="1"/>
    </row>
    <row r="388" spans="3:14" ht="20.100000000000001" customHeight="1" x14ac:dyDescent="0.2">
      <c r="C388" s="1"/>
      <c r="D388" s="1"/>
      <c r="E388" s="1"/>
      <c r="F388" s="1"/>
      <c r="G388" s="1"/>
      <c r="H388" s="1"/>
      <c r="I388" s="1"/>
      <c r="J388" s="1"/>
      <c r="K388" s="1"/>
      <c r="L388" s="1"/>
      <c r="M388" s="1"/>
      <c r="N388" s="1"/>
    </row>
    <row r="389" spans="3:14" ht="20.100000000000001" customHeight="1" x14ac:dyDescent="0.2">
      <c r="C389" s="1"/>
      <c r="D389" s="1"/>
      <c r="E389" s="1"/>
      <c r="F389" s="1"/>
      <c r="G389" s="1"/>
      <c r="H389" s="1"/>
      <c r="I389" s="1"/>
      <c r="J389" s="1"/>
      <c r="K389" s="1"/>
      <c r="L389" s="1"/>
      <c r="M389" s="1"/>
      <c r="N389" s="1"/>
    </row>
    <row r="390" spans="3:14" ht="20.100000000000001" customHeight="1" x14ac:dyDescent="0.2">
      <c r="C390" s="1"/>
      <c r="D390" s="1"/>
      <c r="E390" s="1"/>
      <c r="F390" s="1"/>
      <c r="G390" s="1"/>
      <c r="H390" s="1"/>
      <c r="I390" s="1"/>
      <c r="J390" s="1"/>
      <c r="K390" s="1"/>
      <c r="L390" s="1"/>
      <c r="M390" s="1"/>
      <c r="N390" s="1"/>
    </row>
    <row r="391" spans="3:14" ht="20.100000000000001" customHeight="1" x14ac:dyDescent="0.2">
      <c r="C391" s="1"/>
      <c r="D391" s="1"/>
      <c r="E391" s="1"/>
      <c r="F391" s="1"/>
      <c r="G391" s="1"/>
      <c r="H391" s="1"/>
      <c r="I391" s="1"/>
      <c r="J391" s="1"/>
      <c r="K391" s="1"/>
      <c r="L391" s="1"/>
      <c r="M391" s="1"/>
      <c r="N391" s="1"/>
    </row>
    <row r="392" spans="3:14" ht="20.100000000000001" customHeight="1" x14ac:dyDescent="0.2">
      <c r="C392" s="1"/>
      <c r="D392" s="1"/>
      <c r="E392" s="1"/>
      <c r="F392" s="1"/>
      <c r="G392" s="1"/>
      <c r="H392" s="1"/>
      <c r="I392" s="1"/>
      <c r="J392" s="1"/>
      <c r="K392" s="1"/>
      <c r="L392" s="1"/>
      <c r="M392" s="1"/>
      <c r="N392" s="1"/>
    </row>
    <row r="393" spans="3:14" ht="20.100000000000001" customHeight="1" x14ac:dyDescent="0.2">
      <c r="C393" s="1"/>
      <c r="D393" s="1"/>
      <c r="E393" s="1"/>
      <c r="F393" s="1"/>
      <c r="G393" s="1"/>
      <c r="H393" s="1"/>
      <c r="I393" s="1"/>
      <c r="J393" s="1"/>
      <c r="K393" s="1"/>
      <c r="L393" s="1"/>
      <c r="M393" s="1"/>
      <c r="N393" s="1"/>
    </row>
    <row r="394" spans="3:14" ht="20.100000000000001" customHeight="1" x14ac:dyDescent="0.2">
      <c r="C394" s="1"/>
      <c r="D394" s="1"/>
      <c r="E394" s="1"/>
      <c r="F394" s="1"/>
      <c r="G394" s="1"/>
      <c r="H394" s="1"/>
      <c r="I394" s="1"/>
      <c r="J394" s="1"/>
      <c r="K394" s="1"/>
      <c r="L394" s="1"/>
      <c r="M394" s="1"/>
      <c r="N394" s="1"/>
    </row>
    <row r="395" spans="3:14" ht="20.100000000000001" customHeight="1" x14ac:dyDescent="0.2">
      <c r="C395" s="1"/>
      <c r="D395" s="1"/>
      <c r="E395" s="1"/>
      <c r="F395" s="1"/>
      <c r="G395" s="1"/>
      <c r="H395" s="1"/>
      <c r="I395" s="1"/>
      <c r="J395" s="1"/>
      <c r="K395" s="1"/>
      <c r="L395" s="1"/>
      <c r="M395" s="1"/>
      <c r="N395" s="1"/>
    </row>
    <row r="396" spans="3:14" ht="20.100000000000001" customHeight="1" x14ac:dyDescent="0.2">
      <c r="C396" s="1"/>
      <c r="D396" s="1"/>
      <c r="E396" s="1"/>
      <c r="F396" s="1"/>
      <c r="G396" s="1"/>
      <c r="H396" s="1"/>
      <c r="I396" s="1"/>
      <c r="J396" s="1"/>
      <c r="K396" s="1"/>
      <c r="L396" s="1"/>
      <c r="M396" s="1"/>
      <c r="N396" s="1"/>
    </row>
    <row r="397" spans="3:14" ht="20.100000000000001" customHeight="1" x14ac:dyDescent="0.2">
      <c r="C397" s="1"/>
      <c r="D397" s="1"/>
      <c r="E397" s="1"/>
      <c r="F397" s="1"/>
      <c r="G397" s="1"/>
      <c r="H397" s="1"/>
      <c r="I397" s="1"/>
      <c r="J397" s="1"/>
      <c r="K397" s="1"/>
      <c r="L397" s="1"/>
      <c r="M397" s="1"/>
      <c r="N397" s="1"/>
    </row>
    <row r="398" spans="3:14" ht="20.100000000000001" customHeight="1" x14ac:dyDescent="0.2">
      <c r="C398" s="1"/>
      <c r="D398" s="1"/>
      <c r="E398" s="1"/>
      <c r="F398" s="1"/>
      <c r="G398" s="1"/>
      <c r="H398" s="1"/>
      <c r="I398" s="1"/>
      <c r="J398" s="1"/>
      <c r="K398" s="1"/>
      <c r="L398" s="1"/>
      <c r="M398" s="1"/>
      <c r="N398" s="1"/>
    </row>
    <row r="399" spans="3:14" ht="20.100000000000001" customHeight="1" x14ac:dyDescent="0.2">
      <c r="C399" s="1"/>
      <c r="D399" s="1"/>
      <c r="E399" s="1"/>
      <c r="F399" s="1"/>
      <c r="G399" s="1"/>
      <c r="H399" s="1"/>
      <c r="I399" s="1"/>
      <c r="J399" s="1"/>
      <c r="K399" s="1"/>
      <c r="L399" s="1"/>
      <c r="M399" s="1"/>
      <c r="N399" s="1"/>
    </row>
    <row r="400" spans="3:14" ht="20.100000000000001" customHeight="1" x14ac:dyDescent="0.2">
      <c r="C400" s="1"/>
      <c r="D400" s="1"/>
      <c r="E400" s="1"/>
      <c r="F400" s="1"/>
      <c r="G400" s="1"/>
      <c r="H400" s="1"/>
      <c r="I400" s="1"/>
      <c r="J400" s="1"/>
      <c r="K400" s="1"/>
      <c r="L400" s="1"/>
      <c r="M400" s="1"/>
      <c r="N400" s="1"/>
    </row>
    <row r="401" spans="3:14" ht="20.100000000000001" customHeight="1" x14ac:dyDescent="0.2">
      <c r="C401" s="1"/>
      <c r="D401" s="1"/>
      <c r="E401" s="1"/>
      <c r="F401" s="1"/>
      <c r="G401" s="1"/>
      <c r="H401" s="1"/>
      <c r="I401" s="1"/>
      <c r="J401" s="1"/>
      <c r="K401" s="1"/>
      <c r="L401" s="1"/>
      <c r="M401" s="1"/>
      <c r="N401" s="1"/>
    </row>
    <row r="402" spans="3:14" ht="20.100000000000001" customHeight="1" x14ac:dyDescent="0.2">
      <c r="C402" s="1"/>
      <c r="D402" s="1"/>
      <c r="E402" s="1"/>
      <c r="F402" s="1"/>
      <c r="G402" s="1"/>
      <c r="H402" s="1"/>
      <c r="I402" s="1"/>
      <c r="J402" s="1"/>
      <c r="K402" s="1"/>
      <c r="L402" s="1"/>
      <c r="M402" s="1"/>
      <c r="N402" s="1"/>
    </row>
    <row r="403" spans="3:14" ht="20.100000000000001" customHeight="1" x14ac:dyDescent="0.2">
      <c r="C403" s="1"/>
      <c r="D403" s="1"/>
      <c r="E403" s="1"/>
      <c r="F403" s="1"/>
      <c r="G403" s="1"/>
      <c r="H403" s="1"/>
      <c r="I403" s="1"/>
      <c r="J403" s="1"/>
      <c r="K403" s="1"/>
      <c r="L403" s="1"/>
      <c r="M403" s="1"/>
      <c r="N403" s="1"/>
    </row>
    <row r="404" spans="3:14" ht="20.100000000000001" customHeight="1" x14ac:dyDescent="0.2">
      <c r="C404" s="1"/>
      <c r="D404" s="1"/>
      <c r="E404" s="1"/>
      <c r="F404" s="1"/>
      <c r="G404" s="1"/>
      <c r="H404" s="1"/>
      <c r="I404" s="1"/>
      <c r="J404" s="1"/>
      <c r="K404" s="1"/>
      <c r="L404" s="1"/>
      <c r="M404" s="1"/>
      <c r="N404" s="1"/>
    </row>
    <row r="405" spans="3:14" ht="20.100000000000001" customHeight="1" x14ac:dyDescent="0.2">
      <c r="C405" s="1"/>
      <c r="D405" s="1"/>
      <c r="E405" s="1"/>
      <c r="F405" s="1"/>
      <c r="G405" s="1"/>
      <c r="H405" s="1"/>
      <c r="I405" s="1"/>
      <c r="J405" s="1"/>
      <c r="K405" s="1"/>
      <c r="L405" s="1"/>
      <c r="M405" s="1"/>
      <c r="N405" s="1"/>
    </row>
    <row r="406" spans="3:14" ht="20.100000000000001" customHeight="1" x14ac:dyDescent="0.2">
      <c r="C406" s="1"/>
      <c r="D406" s="1"/>
      <c r="E406" s="1"/>
      <c r="F406" s="1"/>
      <c r="G406" s="1"/>
      <c r="H406" s="1"/>
      <c r="I406" s="1"/>
      <c r="J406" s="1"/>
      <c r="K406" s="1"/>
      <c r="L406" s="1"/>
      <c r="M406" s="1"/>
      <c r="N406" s="1"/>
    </row>
    <row r="407" spans="3:14" ht="20.100000000000001" customHeight="1" x14ac:dyDescent="0.2">
      <c r="C407" s="1"/>
      <c r="D407" s="1"/>
      <c r="E407" s="1"/>
      <c r="F407" s="1"/>
      <c r="G407" s="1"/>
      <c r="H407" s="1"/>
      <c r="I407" s="1"/>
      <c r="J407" s="1"/>
      <c r="K407" s="1"/>
      <c r="L407" s="1"/>
      <c r="M407" s="1"/>
      <c r="N407" s="1"/>
    </row>
    <row r="408" spans="3:14" ht="20.100000000000001" customHeight="1" x14ac:dyDescent="0.2">
      <c r="C408" s="1"/>
      <c r="D408" s="1"/>
      <c r="E408" s="1"/>
      <c r="F408" s="1"/>
      <c r="G408" s="1"/>
      <c r="H408" s="1"/>
      <c r="I408" s="1"/>
      <c r="J408" s="1"/>
      <c r="K408" s="1"/>
      <c r="L408" s="1"/>
      <c r="M408" s="1"/>
      <c r="N408" s="1"/>
    </row>
    <row r="409" spans="3:14" ht="20.100000000000001" customHeight="1" x14ac:dyDescent="0.2">
      <c r="C409" s="1"/>
      <c r="D409" s="1"/>
      <c r="E409" s="1"/>
      <c r="F409" s="1"/>
      <c r="G409" s="1"/>
      <c r="H409" s="1"/>
      <c r="I409" s="1"/>
      <c r="J409" s="1"/>
      <c r="K409" s="1"/>
      <c r="L409" s="1"/>
      <c r="M409" s="1"/>
      <c r="N409" s="1"/>
    </row>
    <row r="410" spans="3:14" ht="20.100000000000001" customHeight="1" x14ac:dyDescent="0.2">
      <c r="C410" s="1"/>
      <c r="D410" s="1"/>
      <c r="E410" s="1"/>
      <c r="F410" s="1"/>
      <c r="G410" s="1"/>
      <c r="H410" s="1"/>
      <c r="I410" s="1"/>
      <c r="J410" s="1"/>
      <c r="K410" s="1"/>
      <c r="L410" s="1"/>
      <c r="M410" s="1"/>
      <c r="N410" s="1"/>
    </row>
    <row r="411" spans="3:14" ht="20.100000000000001" customHeight="1" x14ac:dyDescent="0.2">
      <c r="C411" s="1"/>
      <c r="D411" s="1"/>
      <c r="E411" s="1"/>
      <c r="F411" s="1"/>
      <c r="G411" s="1"/>
      <c r="H411" s="1"/>
      <c r="I411" s="1"/>
      <c r="J411" s="1"/>
      <c r="K411" s="1"/>
      <c r="L411" s="1"/>
      <c r="M411" s="1"/>
      <c r="N411" s="1"/>
    </row>
    <row r="412" spans="3:14" ht="20.100000000000001" customHeight="1" x14ac:dyDescent="0.2">
      <c r="C412" s="1"/>
      <c r="D412" s="1"/>
      <c r="E412" s="1"/>
      <c r="F412" s="1"/>
      <c r="G412" s="1"/>
      <c r="H412" s="1"/>
      <c r="I412" s="1"/>
      <c r="J412" s="1"/>
      <c r="K412" s="1"/>
      <c r="L412" s="1"/>
      <c r="M412" s="1"/>
      <c r="N412" s="1"/>
    </row>
    <row r="413" spans="3:14" ht="20.100000000000001" customHeight="1" x14ac:dyDescent="0.2">
      <c r="C413" s="1"/>
      <c r="D413" s="1"/>
      <c r="E413" s="1"/>
      <c r="F413" s="1"/>
      <c r="G413" s="1"/>
      <c r="H413" s="1"/>
      <c r="I413" s="1"/>
      <c r="J413" s="1"/>
      <c r="K413" s="1"/>
      <c r="L413" s="1"/>
      <c r="M413" s="1"/>
      <c r="N413" s="1"/>
    </row>
    <row r="414" spans="3:14" ht="20.100000000000001" customHeight="1" x14ac:dyDescent="0.2">
      <c r="C414" s="1"/>
      <c r="D414" s="1"/>
      <c r="E414" s="1"/>
      <c r="F414" s="1"/>
      <c r="G414" s="1"/>
      <c r="H414" s="1"/>
      <c r="I414" s="1"/>
      <c r="J414" s="1"/>
      <c r="K414" s="1"/>
      <c r="L414" s="1"/>
      <c r="M414" s="1"/>
      <c r="N414" s="1"/>
    </row>
    <row r="415" spans="3:14" ht="20.100000000000001" customHeight="1" x14ac:dyDescent="0.2">
      <c r="C415" s="1"/>
      <c r="D415" s="1"/>
      <c r="E415" s="1"/>
      <c r="F415" s="1"/>
      <c r="G415" s="1"/>
      <c r="H415" s="1"/>
      <c r="I415" s="1"/>
      <c r="J415" s="1"/>
      <c r="K415" s="1"/>
      <c r="L415" s="1"/>
      <c r="M415" s="1"/>
      <c r="N415" s="1"/>
    </row>
    <row r="416" spans="3:14" ht="20.100000000000001" customHeight="1" x14ac:dyDescent="0.2">
      <c r="C416" s="1"/>
      <c r="D416" s="1"/>
      <c r="E416" s="1"/>
      <c r="F416" s="1"/>
      <c r="G416" s="1"/>
      <c r="H416" s="1"/>
      <c r="I416" s="1"/>
      <c r="J416" s="1"/>
      <c r="K416" s="1"/>
      <c r="L416" s="1"/>
      <c r="M416" s="1"/>
      <c r="N416" s="1"/>
    </row>
    <row r="417" spans="3:14" ht="20.100000000000001" customHeight="1" x14ac:dyDescent="0.2">
      <c r="C417" s="1"/>
      <c r="D417" s="1"/>
      <c r="E417" s="1"/>
      <c r="F417" s="1"/>
      <c r="G417" s="1"/>
      <c r="H417" s="1"/>
      <c r="I417" s="1"/>
      <c r="J417" s="1"/>
      <c r="K417" s="1"/>
      <c r="L417" s="1"/>
      <c r="M417" s="1"/>
      <c r="N417" s="1"/>
    </row>
    <row r="418" spans="3:14" ht="20.100000000000001" customHeight="1" x14ac:dyDescent="0.2">
      <c r="C418" s="1"/>
      <c r="D418" s="1"/>
      <c r="E418" s="1"/>
      <c r="F418" s="1"/>
      <c r="G418" s="1"/>
      <c r="H418" s="1"/>
      <c r="I418" s="1"/>
      <c r="J418" s="1"/>
      <c r="K418" s="1"/>
      <c r="L418" s="1"/>
      <c r="M418" s="1"/>
      <c r="N418" s="1"/>
    </row>
    <row r="419" spans="3:14" ht="20.100000000000001" customHeight="1" x14ac:dyDescent="0.2">
      <c r="C419" s="1"/>
      <c r="D419" s="1"/>
      <c r="E419" s="1"/>
      <c r="F419" s="1"/>
      <c r="G419" s="1"/>
      <c r="H419" s="1"/>
      <c r="I419" s="1"/>
      <c r="J419" s="1"/>
      <c r="K419" s="1"/>
      <c r="L419" s="1"/>
      <c r="M419" s="1"/>
      <c r="N419" s="1"/>
    </row>
    <row r="420" spans="3:14" ht="20.100000000000001" customHeight="1" x14ac:dyDescent="0.2">
      <c r="C420" s="1"/>
      <c r="D420" s="1"/>
      <c r="E420" s="1"/>
      <c r="F420" s="1"/>
      <c r="G420" s="1"/>
      <c r="H420" s="1"/>
      <c r="I420" s="1"/>
      <c r="J420" s="1"/>
      <c r="K420" s="1"/>
      <c r="L420" s="1"/>
      <c r="M420" s="1"/>
      <c r="N420" s="1"/>
    </row>
    <row r="421" spans="3:14" ht="20.100000000000001" customHeight="1" x14ac:dyDescent="0.2">
      <c r="C421" s="1"/>
      <c r="D421" s="1"/>
      <c r="E421" s="1"/>
      <c r="F421" s="1"/>
      <c r="G421" s="1"/>
      <c r="H421" s="1"/>
      <c r="I421" s="1"/>
      <c r="J421" s="1"/>
      <c r="K421" s="1"/>
      <c r="L421" s="1"/>
      <c r="M421" s="1"/>
      <c r="N421" s="1"/>
    </row>
    <row r="422" spans="3:14" ht="20.100000000000001" customHeight="1" x14ac:dyDescent="0.2">
      <c r="C422" s="1"/>
      <c r="D422" s="1"/>
      <c r="E422" s="1"/>
      <c r="F422" s="1"/>
      <c r="G422" s="1"/>
      <c r="H422" s="1"/>
      <c r="I422" s="1"/>
      <c r="J422" s="1"/>
      <c r="K422" s="1"/>
      <c r="L422" s="1"/>
      <c r="M422" s="1"/>
      <c r="N422" s="1"/>
    </row>
    <row r="423" spans="3:14" ht="20.100000000000001" customHeight="1" x14ac:dyDescent="0.2">
      <c r="C423" s="1"/>
      <c r="D423" s="1"/>
      <c r="E423" s="1"/>
      <c r="F423" s="1"/>
      <c r="G423" s="1"/>
      <c r="H423" s="1"/>
      <c r="I423" s="1"/>
      <c r="J423" s="1"/>
      <c r="K423" s="1"/>
      <c r="L423" s="1"/>
      <c r="M423" s="1"/>
      <c r="N423" s="1"/>
    </row>
    <row r="424" spans="3:14" ht="20.100000000000001" customHeight="1" x14ac:dyDescent="0.2">
      <c r="C424" s="1"/>
      <c r="D424" s="1"/>
      <c r="E424" s="1"/>
      <c r="F424" s="1"/>
      <c r="G424" s="1"/>
      <c r="H424" s="1"/>
      <c r="I424" s="1"/>
      <c r="J424" s="1"/>
      <c r="K424" s="1"/>
      <c r="L424" s="1"/>
      <c r="M424" s="1"/>
      <c r="N424" s="1"/>
    </row>
    <row r="425" spans="3:14" ht="20.100000000000001" customHeight="1" x14ac:dyDescent="0.2">
      <c r="C425" s="1"/>
      <c r="D425" s="1"/>
      <c r="E425" s="1"/>
      <c r="F425" s="1"/>
      <c r="G425" s="1"/>
      <c r="H425" s="1"/>
      <c r="I425" s="1"/>
      <c r="J425" s="1"/>
      <c r="K425" s="1"/>
      <c r="L425" s="1"/>
      <c r="M425" s="1"/>
      <c r="N425" s="1"/>
    </row>
    <row r="426" spans="3:14" ht="20.100000000000001" customHeight="1" x14ac:dyDescent="0.2">
      <c r="C426" s="1"/>
      <c r="D426" s="1"/>
      <c r="E426" s="1"/>
      <c r="F426" s="1"/>
      <c r="G426" s="1"/>
      <c r="H426" s="1"/>
      <c r="I426" s="1"/>
      <c r="J426" s="1"/>
      <c r="K426" s="1"/>
      <c r="L426" s="1"/>
      <c r="M426" s="1"/>
      <c r="N426" s="1"/>
    </row>
    <row r="427" spans="3:14" ht="20.100000000000001" customHeight="1" x14ac:dyDescent="0.2">
      <c r="C427" s="1"/>
      <c r="D427" s="1"/>
      <c r="E427" s="1"/>
      <c r="F427" s="1"/>
      <c r="G427" s="1"/>
      <c r="H427" s="1"/>
      <c r="I427" s="1"/>
      <c r="J427" s="1"/>
      <c r="K427" s="1"/>
      <c r="L427" s="1"/>
      <c r="M427" s="1"/>
      <c r="N427" s="1"/>
    </row>
    <row r="428" spans="3:14" ht="20.100000000000001" customHeight="1" x14ac:dyDescent="0.2">
      <c r="C428" s="1"/>
      <c r="D428" s="1"/>
      <c r="E428" s="1"/>
      <c r="F428" s="1"/>
      <c r="G428" s="1"/>
      <c r="H428" s="1"/>
      <c r="I428" s="1"/>
      <c r="J428" s="1"/>
      <c r="K428" s="1"/>
      <c r="L428" s="1"/>
      <c r="M428" s="1"/>
      <c r="N428" s="1"/>
    </row>
    <row r="429" spans="3:14" ht="20.100000000000001" customHeight="1" x14ac:dyDescent="0.2">
      <c r="C429" s="1"/>
      <c r="D429" s="1"/>
      <c r="E429" s="1"/>
      <c r="F429" s="1"/>
      <c r="G429" s="1"/>
      <c r="H429" s="1"/>
      <c r="I429" s="1"/>
      <c r="J429" s="1"/>
      <c r="K429" s="1"/>
      <c r="L429" s="1"/>
      <c r="M429" s="1"/>
      <c r="N429" s="1"/>
    </row>
    <row r="430" spans="3:14" ht="20.100000000000001" customHeight="1" x14ac:dyDescent="0.2">
      <c r="C430" s="1"/>
      <c r="D430" s="1"/>
      <c r="E430" s="1"/>
      <c r="F430" s="1"/>
      <c r="G430" s="1"/>
      <c r="H430" s="1"/>
      <c r="I430" s="1"/>
      <c r="J430" s="1"/>
      <c r="K430" s="1"/>
      <c r="L430" s="1"/>
      <c r="M430" s="1"/>
      <c r="N430" s="1"/>
    </row>
    <row r="431" spans="3:14" ht="20.100000000000001" customHeight="1" x14ac:dyDescent="0.2">
      <c r="C431" s="1"/>
      <c r="D431" s="1"/>
      <c r="E431" s="1"/>
      <c r="F431" s="1"/>
      <c r="G431" s="1"/>
      <c r="H431" s="1"/>
      <c r="I431" s="1"/>
      <c r="J431" s="1"/>
      <c r="K431" s="1"/>
      <c r="L431" s="1"/>
      <c r="M431" s="1"/>
      <c r="N431" s="1"/>
    </row>
    <row r="432" spans="3:14" ht="20.100000000000001" customHeight="1" x14ac:dyDescent="0.2">
      <c r="C432" s="1"/>
      <c r="D432" s="1"/>
      <c r="E432" s="1"/>
      <c r="F432" s="1"/>
      <c r="G432" s="1"/>
      <c r="H432" s="1"/>
      <c r="I432" s="1"/>
      <c r="J432" s="1"/>
      <c r="K432" s="1"/>
      <c r="L432" s="1"/>
      <c r="M432" s="1"/>
      <c r="N432" s="1"/>
    </row>
    <row r="433" spans="3:14" ht="20.100000000000001" customHeight="1" x14ac:dyDescent="0.2">
      <c r="C433" s="1"/>
      <c r="D433" s="1"/>
      <c r="E433" s="1"/>
      <c r="F433" s="1"/>
      <c r="G433" s="1"/>
      <c r="H433" s="1"/>
      <c r="I433" s="1"/>
      <c r="J433" s="1"/>
      <c r="K433" s="1"/>
      <c r="L433" s="1"/>
      <c r="M433" s="1"/>
      <c r="N433" s="1"/>
    </row>
    <row r="434" spans="3:14" ht="20.100000000000001" customHeight="1" x14ac:dyDescent="0.2">
      <c r="C434" s="1"/>
      <c r="D434" s="1"/>
      <c r="E434" s="1"/>
      <c r="F434" s="1"/>
      <c r="G434" s="1"/>
      <c r="H434" s="1"/>
      <c r="I434" s="1"/>
      <c r="J434" s="1"/>
      <c r="K434" s="1"/>
      <c r="L434" s="1"/>
      <c r="M434" s="1"/>
      <c r="N434" s="1"/>
    </row>
    <row r="435" spans="3:14" ht="20.100000000000001" customHeight="1" x14ac:dyDescent="0.2">
      <c r="C435" s="1"/>
      <c r="D435" s="1"/>
      <c r="E435" s="1"/>
      <c r="F435" s="1"/>
      <c r="G435" s="1"/>
      <c r="H435" s="1"/>
      <c r="I435" s="1"/>
      <c r="J435" s="1"/>
      <c r="K435" s="1"/>
      <c r="L435" s="1"/>
      <c r="M435" s="1"/>
      <c r="N435" s="1"/>
    </row>
    <row r="436" spans="3:14" ht="20.100000000000001" customHeight="1" x14ac:dyDescent="0.2">
      <c r="C436" s="1"/>
      <c r="D436" s="1"/>
      <c r="E436" s="1"/>
      <c r="F436" s="1"/>
      <c r="G436" s="1"/>
      <c r="H436" s="1"/>
      <c r="I436" s="1"/>
      <c r="J436" s="1"/>
      <c r="K436" s="1"/>
      <c r="L436" s="1"/>
      <c r="M436" s="1"/>
      <c r="N436" s="1"/>
    </row>
    <row r="437" spans="3:14" ht="20.100000000000001" customHeight="1" x14ac:dyDescent="0.2">
      <c r="C437" s="1"/>
      <c r="D437" s="1"/>
      <c r="E437" s="1"/>
      <c r="F437" s="1"/>
      <c r="G437" s="1"/>
      <c r="H437" s="1"/>
      <c r="I437" s="1"/>
      <c r="J437" s="1"/>
      <c r="K437" s="1"/>
      <c r="L437" s="1"/>
      <c r="M437" s="1"/>
      <c r="N437" s="1"/>
    </row>
    <row r="438" spans="3:14" ht="20.100000000000001" customHeight="1" x14ac:dyDescent="0.2">
      <c r="C438" s="1"/>
      <c r="D438" s="1"/>
      <c r="E438" s="1"/>
      <c r="F438" s="1"/>
      <c r="G438" s="1"/>
      <c r="H438" s="1"/>
      <c r="I438" s="1"/>
      <c r="J438" s="1"/>
      <c r="K438" s="1"/>
      <c r="L438" s="1"/>
      <c r="M438" s="1"/>
      <c r="N438" s="1"/>
    </row>
    <row r="439" spans="3:14" ht="20.100000000000001" customHeight="1" x14ac:dyDescent="0.2">
      <c r="C439" s="1"/>
      <c r="D439" s="1"/>
      <c r="E439" s="1"/>
      <c r="F439" s="1"/>
      <c r="G439" s="1"/>
      <c r="H439" s="1"/>
      <c r="I439" s="1"/>
      <c r="J439" s="1"/>
      <c r="K439" s="1"/>
      <c r="L439" s="1"/>
      <c r="M439" s="1"/>
      <c r="N439" s="1"/>
    </row>
    <row r="440" spans="3:14" ht="20.100000000000001" customHeight="1" x14ac:dyDescent="0.2">
      <c r="C440" s="1"/>
      <c r="D440" s="1"/>
      <c r="E440" s="1"/>
      <c r="F440" s="1"/>
      <c r="G440" s="1"/>
      <c r="H440" s="1"/>
      <c r="I440" s="1"/>
      <c r="J440" s="1"/>
      <c r="K440" s="1"/>
      <c r="L440" s="1"/>
      <c r="M440" s="1"/>
      <c r="N440" s="1"/>
    </row>
    <row r="441" spans="3:14" ht="20.100000000000001" customHeight="1" x14ac:dyDescent="0.2">
      <c r="C441" s="1"/>
      <c r="D441" s="1"/>
      <c r="E441" s="1"/>
      <c r="F441" s="1"/>
      <c r="G441" s="1"/>
      <c r="H441" s="1"/>
      <c r="I441" s="1"/>
      <c r="J441" s="1"/>
      <c r="K441" s="1"/>
      <c r="L441" s="1"/>
      <c r="M441" s="1"/>
      <c r="N441" s="1"/>
    </row>
    <row r="442" spans="3:14" ht="20.100000000000001" customHeight="1" x14ac:dyDescent="0.2">
      <c r="C442" s="1"/>
      <c r="D442" s="1"/>
      <c r="E442" s="1"/>
      <c r="F442" s="1"/>
      <c r="G442" s="1"/>
      <c r="H442" s="1"/>
      <c r="I442" s="1"/>
      <c r="J442" s="1"/>
      <c r="K442" s="1"/>
      <c r="L442" s="1"/>
      <c r="M442" s="1"/>
      <c r="N442" s="1"/>
    </row>
    <row r="443" spans="3:14" ht="20.100000000000001" customHeight="1" x14ac:dyDescent="0.2">
      <c r="C443" s="1"/>
      <c r="D443" s="1"/>
      <c r="E443" s="1"/>
      <c r="F443" s="1"/>
      <c r="G443" s="1"/>
      <c r="H443" s="1"/>
      <c r="I443" s="1"/>
      <c r="J443" s="1"/>
      <c r="K443" s="1"/>
      <c r="L443" s="1"/>
      <c r="M443" s="1"/>
      <c r="N443" s="1"/>
    </row>
    <row r="444" spans="3:14" ht="20.100000000000001" customHeight="1" x14ac:dyDescent="0.2">
      <c r="C444" s="1"/>
      <c r="D444" s="1"/>
      <c r="E444" s="1"/>
      <c r="F444" s="1"/>
      <c r="G444" s="1"/>
      <c r="H444" s="1"/>
      <c r="I444" s="1"/>
      <c r="J444" s="1"/>
      <c r="K444" s="1"/>
      <c r="L444" s="1"/>
      <c r="M444" s="1"/>
      <c r="N444" s="1"/>
    </row>
    <row r="445" spans="3:14" ht="20.100000000000001" customHeight="1" x14ac:dyDescent="0.2">
      <c r="C445" s="1"/>
      <c r="D445" s="1"/>
      <c r="E445" s="1"/>
      <c r="F445" s="1"/>
      <c r="G445" s="1"/>
      <c r="H445" s="1"/>
      <c r="I445" s="1"/>
      <c r="J445" s="1"/>
      <c r="K445" s="1"/>
      <c r="L445" s="1"/>
      <c r="M445" s="1"/>
      <c r="N445"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1"/>
  <sheetViews>
    <sheetView showGridLines="0" zoomScaleNormal="100" workbookViewId="0">
      <pane xSplit="1" topLeftCell="B1" activePane="topRight" state="frozenSplit"/>
      <selection pane="topRight" activeCell="A67" sqref="A67"/>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30" customHeight="1" x14ac:dyDescent="0.35">
      <c r="A1" s="10" t="e" vm="1">
        <v>#VALUE!</v>
      </c>
      <c r="C1" s="27" t="s">
        <v>146</v>
      </c>
      <c r="D1" s="21"/>
      <c r="E1" s="21"/>
      <c r="F1" s="21"/>
      <c r="G1" s="21"/>
      <c r="H1" s="21"/>
      <c r="I1" s="21"/>
      <c r="J1" s="21"/>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87</v>
      </c>
      <c r="E5" s="24"/>
      <c r="F5" s="24"/>
      <c r="G5" s="24"/>
    </row>
    <row r="6" spans="1:10" ht="20.100000000000001" customHeight="1" x14ac:dyDescent="0.2">
      <c r="A6" s="5" t="str">
        <f>HYPERLINK("#'Results'!A1", "Results")</f>
        <v>Results</v>
      </c>
      <c r="D6" s="31"/>
      <c r="E6" s="24"/>
      <c r="F6" s="24"/>
      <c r="G6" s="24"/>
    </row>
    <row r="7" spans="1:10" ht="20.100000000000001" customHeight="1" x14ac:dyDescent="0.2">
      <c r="D7" s="1" t="s">
        <v>88</v>
      </c>
      <c r="E7" s="33" t="s">
        <v>89</v>
      </c>
      <c r="F7" s="16"/>
      <c r="G7" s="24"/>
    </row>
    <row r="8" spans="1:10" ht="20.100000000000001" customHeight="1" x14ac:dyDescent="0.2">
      <c r="D8" s="12" t="s">
        <v>90</v>
      </c>
      <c r="E8" s="33" t="s">
        <v>91</v>
      </c>
      <c r="F8" s="24"/>
      <c r="G8" s="24"/>
    </row>
    <row r="9" spans="1:10" ht="20.100000000000001" customHeight="1" x14ac:dyDescent="0.2">
      <c r="A9" s="7" t="s">
        <v>0</v>
      </c>
      <c r="D9" s="24"/>
      <c r="E9" s="24"/>
      <c r="F9" s="24"/>
      <c r="G9" s="24"/>
    </row>
    <row r="10" spans="1:10" ht="20.100000000000001" customHeight="1" x14ac:dyDescent="0.2">
      <c r="A10" s="100" t="str">
        <f>HYPERLINK("#'Input - Enterprise'!A1", "Enterprise")</f>
        <v>Enterprise</v>
      </c>
      <c r="D10" s="35" t="s">
        <v>92</v>
      </c>
      <c r="E10" s="36"/>
      <c r="F10" s="37"/>
      <c r="G10" s="38"/>
    </row>
    <row r="11" spans="1:10" ht="20.100000000000001" customHeight="1" x14ac:dyDescent="0.2">
      <c r="A11" s="5" t="str">
        <f>HYPERLINK("#'Input - Site'!A1", "Site")</f>
        <v>Site</v>
      </c>
      <c r="D11" s="24"/>
      <c r="E11" s="24"/>
      <c r="F11" s="24"/>
      <c r="G11" s="24"/>
    </row>
    <row r="12" spans="1:10" ht="20.100000000000001" customHeight="1" x14ac:dyDescent="0.2">
      <c r="A12" s="5" t="str">
        <f>HYPERLINK("#'Input - Dairy'!A1", "Dairy")</f>
        <v>Dairy</v>
      </c>
      <c r="D12" s="12" t="s">
        <v>15</v>
      </c>
      <c r="E12" s="14">
        <v>45292</v>
      </c>
      <c r="F12" s="16" t="s">
        <v>93</v>
      </c>
      <c r="G12" s="24"/>
    </row>
    <row r="13" spans="1:10" ht="20.100000000000001" customHeight="1" x14ac:dyDescent="0.2">
      <c r="A13" s="5" t="str">
        <f>HYPERLINK("#'Input - Livestock sales'!A1", "Livestock sales")</f>
        <v>Livestock sales</v>
      </c>
      <c r="D13" s="12" t="s">
        <v>16</v>
      </c>
      <c r="E13" s="40">
        <f>DATE(YEAR(E12)+1,MONTH(E12),DAY(E12))-1</f>
        <v>45657</v>
      </c>
      <c r="F13" s="16" t="s">
        <v>94</v>
      </c>
      <c r="G13" s="24"/>
    </row>
    <row r="14" spans="1:10" ht="20.100000000000001" customHeight="1" x14ac:dyDescent="0.2">
      <c r="A14" s="5" t="str">
        <f>HYPERLINK("#'Input - Dairy cattle purchases'!A1", "Dairy cattle purchases")</f>
        <v>Dairy cattle purchases</v>
      </c>
      <c r="F14" s="24"/>
      <c r="G14" s="24"/>
    </row>
    <row r="15" spans="1:10" ht="20.100000000000001" customHeight="1" x14ac:dyDescent="0.2">
      <c r="A15" s="5" t="str">
        <f>HYPERLINK("#'Input - Pasture'!A1", "Pasture")</f>
        <v>Pasture</v>
      </c>
    </row>
    <row r="16" spans="1:10" ht="20.100000000000001" customHeight="1" x14ac:dyDescent="0.2">
      <c r="A16" s="5" t="str">
        <f>HYPERLINK("#'Input - Fert Prod System'!A1", "Fert Prod System")</f>
        <v>Fert Prod System</v>
      </c>
      <c r="D16" s="2" t="s">
        <v>17</v>
      </c>
    </row>
    <row r="17" spans="1:6" ht="20.100000000000001" customHeight="1" x14ac:dyDescent="0.2">
      <c r="A17" s="5" t="str">
        <f>HYPERLINK("#'Input - Fertiliser'!A1", "Fertiliser")</f>
        <v>Fertiliser</v>
      </c>
    </row>
    <row r="18" spans="1:6" ht="20.100000000000001" customHeight="1" x14ac:dyDescent="0.2">
      <c r="A18" s="5" t="str">
        <f>HYPERLINK("#'Input - Fuel'!A1", "Fuel")</f>
        <v>Fuel</v>
      </c>
      <c r="D18" s="1" t="s">
        <v>12</v>
      </c>
      <c r="E18" s="14">
        <v>45231</v>
      </c>
      <c r="F18" s="16" t="s">
        <v>93</v>
      </c>
    </row>
    <row r="19" spans="1:6" ht="20.100000000000001" customHeight="1" x14ac:dyDescent="0.2">
      <c r="A19" s="5" t="str">
        <f>HYPERLINK("#'Input - Electricity'!A1", "Electricity")</f>
        <v>Electricity</v>
      </c>
      <c r="D19" s="1" t="s">
        <v>13</v>
      </c>
      <c r="E19" s="14">
        <v>45747</v>
      </c>
      <c r="F19" s="16" t="s">
        <v>93</v>
      </c>
    </row>
    <row r="20" spans="1:6" ht="20.100000000000001" customHeight="1" x14ac:dyDescent="0.2">
      <c r="A20" s="5" t="str">
        <f>HYPERLINK("#'Input - Common farm inputs'!A1", "Common farm inputs")</f>
        <v>Common farm inputs</v>
      </c>
      <c r="D20" s="1" t="s">
        <v>14</v>
      </c>
      <c r="E20" s="15">
        <f>DATEDIF(E18,E19+1,"m")</f>
        <v>17</v>
      </c>
      <c r="F20" s="16" t="s">
        <v>116</v>
      </c>
    </row>
    <row r="21" spans="1:6" ht="20.100000000000001" customHeight="1" x14ac:dyDescent="0.2">
      <c r="A21" s="5" t="str">
        <f>HYPERLINK("#'Input - Crop pasture farm input'!A1", "Crop pasture farm input")</f>
        <v>Crop pasture farm input</v>
      </c>
    </row>
    <row r="22" spans="1:6" ht="20.100000000000001" customHeight="1" x14ac:dyDescent="0.2">
      <c r="A22" s="5" t="str">
        <f>HYPERLINK("#'Input - Livestock farm Inputs'!A1", "Livestock farm Inputs")</f>
        <v>Livestock farm Inputs</v>
      </c>
      <c r="D22" s="1" t="s">
        <v>18</v>
      </c>
      <c r="E22" s="77">
        <f>SUM(Table_Input_LivestockSales[Total liveweight sold])*10^-3</f>
        <v>5</v>
      </c>
      <c r="F22" s="16" t="s">
        <v>19</v>
      </c>
    </row>
    <row r="23" spans="1:6" ht="20.100000000000001" customHeight="1" x14ac:dyDescent="0.2">
      <c r="A23" s="5" t="str">
        <f>HYPERLINK("#'Input - Freight'!A1", "Freight")</f>
        <v>Freight</v>
      </c>
      <c r="D23" s="1" t="s">
        <v>181</v>
      </c>
      <c r="E23" s="77" t="str" cm="1">
        <f t="array" ref="E23">X_Cell_Dairy_MilkProductionUnit</f>
        <v>Litres of milk</v>
      </c>
      <c r="F23" s="16"/>
    </row>
    <row r="24" spans="1:6" ht="20.100000000000001" customHeight="1" x14ac:dyDescent="0.2">
      <c r="A24" s="5" t="str">
        <f>HYPERLINK("#'Input - Solid waste'!A1", "Solid waste")</f>
        <v>Solid waste</v>
      </c>
      <c r="D24" s="1" t="s">
        <v>180</v>
      </c>
      <c r="E24" s="77" cm="1">
        <f t="array" ref="E24">X_Cell_Dairy_MilkProductionAmount*365*IF(E23="Milk solds", 1, 1.03)</f>
        <v>7519</v>
      </c>
      <c r="F24" s="16" t="str">
        <f>E23</f>
        <v>Litres of milk</v>
      </c>
    </row>
    <row r="25" spans="1:6" ht="20.100000000000001" customHeight="1" x14ac:dyDescent="0.2">
      <c r="A25" s="5" t="str">
        <f>HYPERLINK("#'Input - Manure sent off-site'!A1", "Manure sent off-site")</f>
        <v>Manure sent off-site</v>
      </c>
      <c r="D25" s="1" t="s">
        <v>183</v>
      </c>
      <c r="E25" s="75">
        <v>1</v>
      </c>
      <c r="F25" s="16" t="s">
        <v>19</v>
      </c>
    </row>
    <row r="26" spans="1:6" ht="20.100000000000001" customHeight="1" x14ac:dyDescent="0.2">
      <c r="A26" s="5" t="str">
        <f>HYPERLINK("#'Input - Refrigerants'!A1", "Refrigerants")</f>
        <v>Refrigerants</v>
      </c>
      <c r="D26" s="1" t="s">
        <v>237</v>
      </c>
      <c r="E26" s="75">
        <v>1</v>
      </c>
      <c r="F26" s="16" t="s">
        <v>19</v>
      </c>
    </row>
    <row r="27" spans="1:6" ht="20.100000000000001" customHeight="1" x14ac:dyDescent="0.2">
      <c r="A27" s="5" t="str">
        <f>HYPERLINK("#'Input - Data quality'!A1", "Data quality")</f>
        <v>Data quality</v>
      </c>
    </row>
    <row r="28" spans="1:6" ht="20.100000000000001" customHeight="1" x14ac:dyDescent="0.2">
      <c r="D28" s="1" t="s">
        <v>182</v>
      </c>
      <c r="E28" s="18">
        <v>0.8</v>
      </c>
      <c r="F28" s="16" t="s">
        <v>147</v>
      </c>
    </row>
    <row r="29" spans="1:6" ht="20.100000000000001" customHeight="1" x14ac:dyDescent="0.2">
      <c r="D29" s="1" t="s">
        <v>148</v>
      </c>
      <c r="E29" s="18">
        <v>0.15</v>
      </c>
      <c r="F29" s="16" t="s">
        <v>147</v>
      </c>
    </row>
    <row r="30" spans="1:6" ht="20.100000000000001" customHeight="1" x14ac:dyDescent="0.2">
      <c r="A30" s="6" t="s">
        <v>2</v>
      </c>
      <c r="D30" s="1" t="s">
        <v>149</v>
      </c>
      <c r="E30" s="18">
        <v>0.05</v>
      </c>
      <c r="F30" s="16" t="s">
        <v>147</v>
      </c>
    </row>
    <row r="31" spans="1:6" ht="20.100000000000001" customHeight="1" x14ac:dyDescent="0.2">
      <c r="A31" s="5" t="str">
        <f>HYPERLINK("#'3.3.1.1-2 Enteric Methane'!A1", "3.3.1.1-2 Enteric methane")</f>
        <v>3.3.1.1-2 Enteric methane</v>
      </c>
    </row>
    <row r="32" spans="1:6" ht="20.100000000000001" customHeight="1" x14ac:dyDescent="0.2">
      <c r="A32" s="5" t="str">
        <f>HYPERLINK("#'4.3.1.1-2 Methane'!A1", "4.3.1.1-2 Manure methane")</f>
        <v>4.3.1.1-2 Manure methane</v>
      </c>
    </row>
    <row r="33" spans="1:7" ht="20.100000000000001" customHeight="1" x14ac:dyDescent="0.2">
      <c r="A33" s="5" t="str">
        <f>HYPERLINK("#'4.3.1.3-4 Direct N20'!A1", "4.3.1.3-4 Direct N20")</f>
        <v>4.3.1.3-4 Direct N20</v>
      </c>
    </row>
    <row r="34" spans="1:7" ht="20.100000000000001" customHeight="1" x14ac:dyDescent="0.2">
      <c r="A34" s="5" t="str">
        <f>HYPERLINK("#'4.3.1.5 Atmos deposition'!A1", "4.3.1.5 Atmos deposition")</f>
        <v>4.3.1.5 Atmos deposition</v>
      </c>
      <c r="D34" s="2" t="s">
        <v>266</v>
      </c>
    </row>
    <row r="35" spans="1:7" ht="20.100000000000001" customHeight="1" x14ac:dyDescent="0.2">
      <c r="A35" s="5" t="str">
        <f>HYPERLINK("#'4.3.1.6-7 Leaching and runoff'!A1", "4.3.1.6-7 Leaching &amp; runoff")</f>
        <v>4.3.1.6-7 Leaching &amp; runoff</v>
      </c>
    </row>
    <row r="36" spans="1:7" ht="20.100000000000001" customHeight="1" x14ac:dyDescent="0.2">
      <c r="A36" s="5" t="str">
        <f>HYPERLINK("#'4.3.1.8 Manure applied to soils'!A1", "4.3.1.8 Manure applied to soils")</f>
        <v>4.3.1.8 Manure applied to soils</v>
      </c>
    </row>
    <row r="37" spans="1:7" ht="20.100000000000001" customHeight="1" x14ac:dyDescent="0.2">
      <c r="A37" s="5" t="str">
        <f>HYPERLINK("#'4.3.1.9 Soil direct N2O'!A1", "4.3.1.9 Soil direct N2O")</f>
        <v>4.3.1.9 Soil direct N2O</v>
      </c>
      <c r="D37" s="78" t="str">
        <f>"Carbon captured from " &amp; TEXT(X_Cell_Site_StartDate, "d mmmm yyyy") &amp; " to " &amp; TEXT(X_Cell_Site_EndDate, "d, mmmm, yyyy") &amp; " from environmental plantings"</f>
        <v>Carbon captured from 1 January 2024 to 31, December, 2024 from environmental plantings</v>
      </c>
    </row>
    <row r="38" spans="1:7" ht="20.100000000000001" customHeight="1" x14ac:dyDescent="0.2">
      <c r="A38" s="5" t="str">
        <f>HYPERLINK("#'4.3.1.10-11 Soil Atmos Dep'!A1", "4.3.1.10-11 Soil Atmos Deposition")</f>
        <v>4.3.1.10-11 Soil Atmos Deposition</v>
      </c>
    </row>
    <row r="39" spans="1:7" ht="20.100000000000001" customHeight="1" x14ac:dyDescent="0.2">
      <c r="A39" s="5" t="str">
        <f>HYPERLINK("#'4.3.1.12-13 Soil leach runoff'!A1", "4.3.1.12-13 Soil leach &amp; runoff")</f>
        <v>4.3.1.12-13 Soil leach &amp; runoff</v>
      </c>
      <c r="D39" s="19" t="s">
        <v>267</v>
      </c>
      <c r="E39" s="19" t="s">
        <v>268</v>
      </c>
      <c r="F39" s="19" t="s">
        <v>269</v>
      </c>
      <c r="G39" s="81" t="s">
        <v>270</v>
      </c>
    </row>
    <row r="40" spans="1:7" ht="20.100000000000001" customHeight="1" x14ac:dyDescent="0.2">
      <c r="A40" s="5" t="str">
        <f>HYPERLINK("#'5.1.1.1-2 Inorganic fert N2O'!A1", "5.1.1.1-2 Inorganic fert N2O")</f>
        <v>5.1.1.1-2 Inorganic fert N2O</v>
      </c>
      <c r="D40" s="33"/>
      <c r="E40" s="75"/>
      <c r="F40" s="18"/>
      <c r="G40" s="1">
        <f>Table_Input_Enterprise_PlantingRemovals[[#This Row],[Total removed CO2]]*Table_Input_Enterprise_PlantingRemovals[[#This Row],[Percent allocated to this enterprise]]</f>
        <v>0</v>
      </c>
    </row>
    <row r="41" spans="1:7" ht="20.100000000000001" customHeight="1" x14ac:dyDescent="0.2">
      <c r="A41" s="5" t="str">
        <f>HYPERLINK("#'5.1.1.3-4 Inorganic fert CO2'!A1", "5.1.1.3-4 Inorganic fert CO2")</f>
        <v>5.1.1.3-4 Inorganic fert CO2</v>
      </c>
    </row>
    <row r="42" spans="1:7" ht="20.100000000000001" customHeight="1" x14ac:dyDescent="0.2">
      <c r="A42" s="5" t="str">
        <f>HYPERLINK("#'5.2.1.1-2 Organic Fert N2O'!A1", "5.2.1.1-2 Organic fert N2O")</f>
        <v>5.2.1.1-2 Organic fert N2O</v>
      </c>
    </row>
    <row r="43" spans="1:7" ht="20.100000000000001" customHeight="1" x14ac:dyDescent="0.2">
      <c r="A43" s="5" t="str">
        <f>HYPERLINK("#'5.3.1.1-2 Lime CO2'!A1", "5.3.1.1-2 Lime CO2")</f>
        <v>5.3.1.1-2 Lime CO2</v>
      </c>
    </row>
    <row r="44" spans="1:7" ht="20.100000000000001" customHeight="1" x14ac:dyDescent="0.2">
      <c r="A44" s="5" t="str">
        <f>HYPERLINK("#'5.4.1.1-4 Atmos deposition'!A1", "5.4.1.1-4 Atmos. deposition")</f>
        <v>5.4.1.1-4 Atmos. deposition</v>
      </c>
      <c r="D44" s="2" t="s">
        <v>271</v>
      </c>
    </row>
    <row r="45" spans="1:7" ht="20.100000000000001" customHeight="1" x14ac:dyDescent="0.2">
      <c r="A45" s="5" t="str">
        <f>HYPERLINK("#'5.5.1.1-2 Leaching and runoff'!A1", "5.5.1.1-2 Leaching &amp; runoff")</f>
        <v>5.5.1.1-2 Leaching &amp; runoff</v>
      </c>
    </row>
    <row r="46" spans="1:7" ht="20.100000000000001" customHeight="1" x14ac:dyDescent="0.2">
      <c r="A46" s="5" t="str">
        <f>HYPERLINK("#'6.2.1.1-2 Pasture residue N2O'!A1", "6.2.1.1-2 Pasture residue N2O")</f>
        <v>6.2.1.1-2 Pasture residue N2O</v>
      </c>
      <c r="D46" s="78"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2023 to 31 March 2025</v>
      </c>
    </row>
    <row r="47" spans="1:7" ht="20.100000000000001" customHeight="1" x14ac:dyDescent="0.2">
      <c r="A47" s="5" t="str">
        <f>HYPERLINK("#'6.3.1.1-2 Leach runoff pasture'!A1", "6.3.1.1-2 Leach &amp; runoff (pasture)")</f>
        <v>6.3.1.1-2 Leach &amp; runoff (pasture)</v>
      </c>
    </row>
    <row r="48" spans="1:7" ht="20.100000000000001" customHeight="1" x14ac:dyDescent="0.2">
      <c r="A48" s="5" t="str">
        <f>HYPERLINK("#'8.1.1.1-2 Transport fuel'!A1", "8.1.1.1-2 Transport fuel")</f>
        <v>8.1.1.1-2 Transport fuel</v>
      </c>
      <c r="D48" s="79" t="str" cm="1">
        <f t="array" ref="D48">"There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row>
    <row r="49" spans="1:7" ht="20.100000000000001" customHeight="1" x14ac:dyDescent="0.2">
      <c r="A49" s="5" t="str">
        <f>HYPERLINK("#'8.2.1.1-2 Stationary fuel'!A1", "8.2.1.1-2 Stationary fuel")</f>
        <v>8.2.1.1-2 Stationary fuel</v>
      </c>
      <c r="D49" s="1" t="s">
        <v>272</v>
      </c>
    </row>
    <row r="50" spans="1:7" ht="20.100000000000001" customHeight="1" x14ac:dyDescent="0.2">
      <c r="A50" s="5" t="str">
        <f>HYPERLINK("#'9.1.1.1-2 Refrigerant use'!A1", "9.1.1.1-2 Refrigerant use")</f>
        <v>9.1.1.1-2 Refrigerant use</v>
      </c>
    </row>
    <row r="51" spans="1:7" ht="20.100000000000001" customHeight="1" x14ac:dyDescent="0.2">
      <c r="A51" s="5" t="str">
        <f>HYPERLINK("#'10.1.1-2 Solid waste treatment'!A1", "10.1.1.1-2 Solid waste")</f>
        <v>10.1.1.1-2 Solid waste</v>
      </c>
      <c r="D51" s="81" t="s">
        <v>115</v>
      </c>
      <c r="E51" s="81" t="s">
        <v>9</v>
      </c>
      <c r="F51" s="81" t="s">
        <v>10</v>
      </c>
    </row>
    <row r="52" spans="1:7" ht="20.100000000000001" customHeight="1" x14ac:dyDescent="0.2">
      <c r="A52" s="5" t="str">
        <f>HYPERLINK("#'14.1.1-2 Purchased electricity'!A1", "14.1.1-2 Purchased electricity")</f>
        <v>14.1.1-2 Purchased electricity</v>
      </c>
      <c r="D52" s="1" t="str" cm="1">
        <f t="array" ref="D52:D54">Common_InputFunctions.getOverlappingReportingPeriods(X_Cell_Enterprise_ProductionTimeframeStart,X_Cell_Enterprise_ProductionTimeframeEnd,X_Cell_Site_StartDate)</f>
        <v>01 Jan 2023 to 31 Dec 2023</v>
      </c>
      <c r="E52" s="75" t="str">
        <f>IF(ISBLANK($D52), 0, IF(ISNUMBER(SEARCH("reporting", $D52)), Result_Enterprise_Gross_Method1, "Enter value"))</f>
        <v>Enter value</v>
      </c>
      <c r="F52" s="75" t="str">
        <f>IF(ISBLANK($D52), 0, IF(ISNUMBER(SEARCH("reporting", $D52)), Result_Enterprise_Gross_Method2, "Enter value"))</f>
        <v>Enter value</v>
      </c>
      <c r="G52" s="9" t="s">
        <v>6</v>
      </c>
    </row>
    <row r="53" spans="1:7" ht="20.100000000000001" customHeight="1" x14ac:dyDescent="0.2">
      <c r="A53" s="5" t="str">
        <f>HYPERLINK("#'15 Scope 3'!A1", "15 Scope 3")</f>
        <v>15 Scope 3</v>
      </c>
      <c r="D53" s="1" t="str">
        <v>01 Jan 2024 to 31 Dec 2024 (This reporting cycle)</v>
      </c>
      <c r="E53" s="75">
        <f ca="1">IF(ISBLANK($D53), 0, IF(ISNUMBER(SEARCH("reporting", $D53)), Result_Enterprise_Gross_Method1, "Enter value"))</f>
        <v>5038.9537048098873</v>
      </c>
      <c r="F53" s="75">
        <f ca="1">IF(ISBLANK($D53), 0, IF(ISNUMBER(SEARCH("reporting", $D53)), Result_Enterprise_Gross_Method2, "Enter value"))</f>
        <v>7753.9955020961625</v>
      </c>
      <c r="G53" s="9" t="s">
        <v>6</v>
      </c>
    </row>
    <row r="54" spans="1:7" ht="20.100000000000001" customHeight="1" x14ac:dyDescent="0.2">
      <c r="A54" s="5" t="str">
        <f>HYPERLINK("#'Calcs - Manure sent off-site'!A1", "Calcs - Manure sent off-site")</f>
        <v>Calcs - Manure sent off-site</v>
      </c>
      <c r="D54" s="1" t="str">
        <v>01 Jan 2025 to 31 Dec 2025</v>
      </c>
      <c r="E54" s="75" t="str">
        <f>IF(ISBLANK($D54), 0, IF(ISNUMBER(SEARCH("reporting", $D54)), Result_Enterprise_Gross_Method1, "Enter value"))</f>
        <v>Enter value</v>
      </c>
      <c r="F54" s="75" t="str">
        <f>IF(ISBLANK($D54), 0, IF(ISNUMBER(SEARCH("reporting", $D54)), Result_Enterprise_Gross_Method2, "Enter value"))</f>
        <v>Enter value</v>
      </c>
      <c r="G54" s="9" t="s">
        <v>6</v>
      </c>
    </row>
    <row r="55" spans="1:7" ht="20.100000000000001" customHeight="1" x14ac:dyDescent="0.2">
      <c r="E55" s="75">
        <f>IF(ISBLANK($D55), 0, IF(ISNUMBER(SEARCH("reporting", $D55)), Result_Enterprise_Gross_Method1, "Enter value"))</f>
        <v>0</v>
      </c>
      <c r="F55" s="75">
        <f>IF(ISBLANK($D55), 0, IF(ISNUMBER(SEARCH("reporting", $D55)), Result_Enterprise_Gross_Method2, "Enter value"))</f>
        <v>0</v>
      </c>
      <c r="G55" s="9" t="s">
        <v>6</v>
      </c>
    </row>
    <row r="56" spans="1:7" ht="20.100000000000001" customHeight="1" x14ac:dyDescent="0.2">
      <c r="E56" s="75">
        <f>IF(ISBLANK($D56), 0, IF(ISNUMBER(SEARCH("reporting", $D56)), Result_Enterprise_Gross_Method1, "Enter value"))</f>
        <v>0</v>
      </c>
      <c r="F56" s="75">
        <f>IF(ISBLANK($D56), 0, IF(ISNUMBER(SEARCH("reporting", $D56)), Result_Enterprise_Gross_Method2, "Enter value"))</f>
        <v>0</v>
      </c>
      <c r="G56" s="9" t="s">
        <v>6</v>
      </c>
    </row>
    <row r="57" spans="1:7" ht="20.100000000000001" customHeight="1" x14ac:dyDescent="0.2">
      <c r="A57" s="82" t="s">
        <v>1</v>
      </c>
      <c r="D57" s="92" t="s">
        <v>127</v>
      </c>
      <c r="E57" s="88">
        <f ca="1">SUM(E52:E56)</f>
        <v>5038.9537048098873</v>
      </c>
      <c r="F57" s="88">
        <f ca="1">SUM(F52:F56)</f>
        <v>7753.9955020961625</v>
      </c>
      <c r="G57" s="93" t="s">
        <v>6</v>
      </c>
    </row>
    <row r="58" spans="1:7" ht="20.100000000000001" customHeight="1" x14ac:dyDescent="0.2">
      <c r="A58" s="5" t="str">
        <f>HYPERLINK("#'Constants - Dairy'!A1", "Constants - Dairy")</f>
        <v>Constants - Dairy</v>
      </c>
    </row>
    <row r="59" spans="1:7" ht="20.100000000000001" customHeight="1" x14ac:dyDescent="0.2">
      <c r="A59" s="5" t="str">
        <f>HYPERLINK("#'Constants - Ag Residue'!A1", "Constants - Ag residue")</f>
        <v>Constants - Ag residue</v>
      </c>
    </row>
    <row r="60" spans="1:7" ht="20.100000000000001" customHeight="1" x14ac:dyDescent="0.2">
      <c r="A60" s="5" t="str">
        <f>HYPERLINK("#'Constants - Common Livestock'!A1", "Constants - Common Livestock")</f>
        <v>Constants - Common Livestock</v>
      </c>
    </row>
    <row r="61" spans="1:7" ht="20.100000000000001" customHeight="1" x14ac:dyDescent="0.2">
      <c r="A61" s="5" t="str">
        <f>HYPERLINK("#'Constants - Electricity'!A1", "Constants - Electricity")</f>
        <v>Constants - Electricity</v>
      </c>
    </row>
    <row r="62" spans="1:7" ht="20.100000000000001" customHeight="1" x14ac:dyDescent="0.2">
      <c r="A62" s="5" t="str">
        <f>HYPERLINK("#'Constants - Fertiliser'!A1", "Constants - Fertiliser")</f>
        <v>Constants - Fertiliser</v>
      </c>
      <c r="D62" s="78"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2023 and 31 March 2025</v>
      </c>
    </row>
    <row r="63" spans="1:7" ht="20.100000000000001" customHeight="1" x14ac:dyDescent="0.2">
      <c r="A63" s="5" t="str">
        <f>HYPERLINK("#'Constants - Fuel'!A1", "Constants - Fuel")</f>
        <v>Constants - Fuel</v>
      </c>
    </row>
    <row r="64" spans="1:7" ht="20.100000000000001" customHeight="1" x14ac:dyDescent="0.2">
      <c r="A64" s="5" t="str">
        <f>HYPERLINK("#'Constants - Scope 3'!A1", "Constants - Scope 3")</f>
        <v>Constants - Scope 3</v>
      </c>
      <c r="D64" s="81" t="s">
        <v>115</v>
      </c>
      <c r="E64" s="81" t="s">
        <v>125</v>
      </c>
      <c r="F64" s="81"/>
    </row>
    <row r="65" spans="1:7" ht="20.100000000000001" customHeight="1" x14ac:dyDescent="0.2">
      <c r="A65" s="5" t="str">
        <f>HYPERLINK("#'Constants - Common'!A1", "Constants - Common")</f>
        <v>Constants - Common</v>
      </c>
      <c r="D65" s="1" t="str" cm="1">
        <f t="array" ref="D65:D67">Common_InputFunctions.getOverlappingReportingPeriods(X_Cell_Enterprise_ProductionTimeframeStart,X_Cell_Enterprise_ProductionTimeframeEnd,X_Cell_Site_StartDate)</f>
        <v>01 Jan 2023 to 31 Dec 2023</v>
      </c>
      <c r="E65" s="75" t="str">
        <f>IF(ISBLANK($D65), 0, IF(ISNUMBER(SEARCH("reporting", $D65)), SUM(Table_Input_Enterprise_PlantingRemovals[Removal allocated to this enterprise]), "Enter value"))</f>
        <v>Enter value</v>
      </c>
      <c r="F65" s="9" t="s">
        <v>126</v>
      </c>
    </row>
    <row r="66" spans="1:7" ht="20.100000000000001" customHeight="1" x14ac:dyDescent="0.2">
      <c r="A66" s="5" t="str">
        <f>HYPERLINK("#'Constants - Refrigerants'!A1", "Constants - Refrigerants")</f>
        <v>Constants - Refrigerants</v>
      </c>
      <c r="D66" s="1" t="str">
        <v>01 Jan 2024 to 31 Dec 2024 (This reporting cycle)</v>
      </c>
      <c r="E66" s="75">
        <f>IF(ISBLANK($D66), 0, IF(ISNUMBER(SEARCH("reporting", $D66)), SUM(Table_Input_Enterprise_PlantingRemovals[Removal allocated to this enterprise]), "Enter value"))</f>
        <v>0</v>
      </c>
      <c r="F66" s="9" t="s">
        <v>126</v>
      </c>
    </row>
    <row r="67" spans="1:7" ht="20.100000000000001" customHeight="1" x14ac:dyDescent="0.2">
      <c r="A67" s="5" t="str">
        <f>HYPERLINK("#'Constants - Solid Waste'!A1", "Constants - Solid Waste")</f>
        <v>Constants - Solid Waste</v>
      </c>
      <c r="D67" s="1" t="str">
        <v>01 Jan 2025 to 31 Dec 2025</v>
      </c>
      <c r="E67" s="75" t="str">
        <f>IF(ISBLANK($D67), 0, IF(ISNUMBER(SEARCH("reporting", $D67)), SUM(Table_Input_Enterprise_PlantingRemovals[Removal allocated to this enterprise]), "Enter value"))</f>
        <v>Enter value</v>
      </c>
      <c r="F67" s="9" t="s">
        <v>126</v>
      </c>
    </row>
    <row r="68" spans="1:7" ht="20.100000000000001" customHeight="1" x14ac:dyDescent="0.2">
      <c r="A68" s="5" t="str">
        <f>HYPERLINK("#'Acknowledgements'!A1", "Acknowledgements")</f>
        <v>Acknowledgements</v>
      </c>
      <c r="E68" s="75">
        <f>IF(ISBLANK($D68), 0, IF(ISNUMBER(SEARCH("reporting", $D68)), SUM(Table_Input_Enterprise_PlantingRemovals[Removal allocated to this enterprise]), "Enter value"))</f>
        <v>0</v>
      </c>
      <c r="F68" s="9" t="s">
        <v>126</v>
      </c>
    </row>
    <row r="69" spans="1:7" ht="20.100000000000001" customHeight="1" x14ac:dyDescent="0.2">
      <c r="E69" s="75">
        <f>IF(ISBLANK($D69), 0, IF(ISNUMBER(SEARCH("reporting", $D69)), SUM(Table_Input_Enterprise_PlantingRemovals[Removal allocated to this enterprise]), "Enter value"))</f>
        <v>0</v>
      </c>
      <c r="F69" s="9" t="s">
        <v>126</v>
      </c>
    </row>
    <row r="70" spans="1:7" ht="20.100000000000001" customHeight="1" x14ac:dyDescent="0.2">
      <c r="D70" s="92" t="s">
        <v>128</v>
      </c>
      <c r="E70" s="88">
        <f>SUM(E65:E69)</f>
        <v>0</v>
      </c>
      <c r="F70" s="93" t="s">
        <v>126</v>
      </c>
    </row>
    <row r="73" spans="1:7" ht="20.100000000000001" customHeight="1" x14ac:dyDescent="0.2">
      <c r="D73" s="78"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2023 to 31 March 2025</v>
      </c>
    </row>
    <row r="75" spans="1:7" ht="20.100000000000001" customHeight="1" x14ac:dyDescent="0.2">
      <c r="D75" s="81" t="s">
        <v>115</v>
      </c>
      <c r="E75" s="81" t="s">
        <v>9</v>
      </c>
      <c r="F75" s="81" t="s">
        <v>10</v>
      </c>
    </row>
    <row r="76" spans="1:7" ht="20.100000000000001" customHeight="1" x14ac:dyDescent="0.2">
      <c r="D76" s="1" t="str" cm="1">
        <f t="array" ref="D76:D78">Common_InputFunctions.getOverlappingReportingPeriods(X_Cell_Enterprise_ProductionTimeframeStart,X_Cell_Enterprise_ProductionTimeframeEnd,X_Cell_Site_StartDate)</f>
        <v>01 Jan 2023 to 31 Dec 2023</v>
      </c>
      <c r="E76" s="75" t="str">
        <f>IF(ISBLANK($D76), 0, IF(ISNUMBER(SEARCH("reporting", $D76)), E52-$E$65, "Enter value"))</f>
        <v>Enter value</v>
      </c>
      <c r="F76" s="75" t="str">
        <f>IF(ISBLANK($D76), 0, IF(ISNUMBER(SEARCH("reporting", $D76)), F52-$E$65, "Enter value"))</f>
        <v>Enter value</v>
      </c>
      <c r="G76" s="9" t="s">
        <v>6</v>
      </c>
    </row>
    <row r="77" spans="1:7" ht="20.100000000000001" customHeight="1" x14ac:dyDescent="0.2">
      <c r="D77" s="1" t="str">
        <v>01 Jan 2024 to 31 Dec 2024 (This reporting cycle)</v>
      </c>
      <c r="E77" s="75">
        <f ca="1">IF(ISBLANK($D77), 0, IF(ISNUMBER(SEARCH("reporting", $D77)), E53-$E$66, "Enter value"))</f>
        <v>5038.9537048098873</v>
      </c>
      <c r="F77" s="75">
        <f ca="1">IF(ISBLANK($D77), 0, IF(ISNUMBER(SEARCH("reporting", $D77)), F53-$E$66, "Enter value"))</f>
        <v>7753.9955020961625</v>
      </c>
      <c r="G77" s="9" t="s">
        <v>6</v>
      </c>
    </row>
    <row r="78" spans="1:7" ht="20.100000000000001" customHeight="1" x14ac:dyDescent="0.2">
      <c r="D78" s="1" t="str">
        <v>01 Jan 2025 to 31 Dec 2025</v>
      </c>
      <c r="E78" s="75" t="str">
        <f>IF(ISBLANK($D78), 0, IF(ISNUMBER(SEARCH("reporting", $D78)), E54-$E$67, "Enter value"))</f>
        <v>Enter value</v>
      </c>
      <c r="F78" s="75" t="str">
        <f>IF(ISBLANK($D78), 0, IF(ISNUMBER(SEARCH("reporting", $D78)), F54-$E$67, "Enter value"))</f>
        <v>Enter value</v>
      </c>
      <c r="G78" s="9" t="s">
        <v>6</v>
      </c>
    </row>
    <row r="79" spans="1:7" ht="20.100000000000001" customHeight="1" x14ac:dyDescent="0.2">
      <c r="A79" s="129" t="str">
        <f>HYPERLINK("#A1", "▲ Back to top")</f>
        <v>▲ Back to top</v>
      </c>
      <c r="E79" s="75">
        <f>IF(ISBLANK($D79), 0, IF(ISNUMBER(SEARCH("reporting", $D79)), E55-$E$68, "Enter value"))</f>
        <v>0</v>
      </c>
      <c r="F79" s="75">
        <f>IF(ISBLANK($D79), 0, IF(ISNUMBER(SEARCH("reporting", $D79)), F55-$E$68, "Enter value"))</f>
        <v>0</v>
      </c>
      <c r="G79" s="9" t="s">
        <v>6</v>
      </c>
    </row>
    <row r="80" spans="1:7" ht="20.100000000000001" customHeight="1" x14ac:dyDescent="0.2">
      <c r="E80" s="75">
        <f>IF(ISBLANK($D80), 0, IF(ISNUMBER(SEARCH("reporting", $D80)), E56-$E$69, "Enter value"))</f>
        <v>0</v>
      </c>
      <c r="F80" s="75">
        <f>IF(ISBLANK($D80), 0, IF(ISNUMBER(SEARCH("reporting", $D80)), F56-$E$69, "Enter value"))</f>
        <v>0</v>
      </c>
      <c r="G80" s="9" t="s">
        <v>6</v>
      </c>
    </row>
    <row r="81" spans="4:7" ht="20.100000000000001" customHeight="1" x14ac:dyDescent="0.2">
      <c r="D81" s="92" t="s">
        <v>127</v>
      </c>
      <c r="E81" s="88">
        <f ca="1">SUM(E76:E80)</f>
        <v>5038.9537048098873</v>
      </c>
      <c r="F81" s="88">
        <f ca="1">SUM(F76:F80)</f>
        <v>7753.9955020961625</v>
      </c>
      <c r="G81" s="93" t="s">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79" sqref="A79"/>
    </sheetView>
  </sheetViews>
  <sheetFormatPr defaultColWidth="9.140625" defaultRowHeight="20.100000000000001" customHeight="1" x14ac:dyDescent="0.2"/>
  <cols>
    <col min="1" max="1" width="36.7109375" style="4" customWidth="1"/>
    <col min="2" max="2" width="4.7109375" style="21" customWidth="1"/>
    <col min="3" max="3" width="4.7109375" style="24" customWidth="1"/>
    <col min="4" max="4" width="60.7109375" style="24" customWidth="1"/>
    <col min="5" max="5" width="50.7109375" style="24" customWidth="1"/>
    <col min="6" max="11" width="28.7109375" style="24" customWidth="1"/>
    <col min="12" max="25" width="28.7109375" style="21" customWidth="1"/>
    <col min="26" max="27" width="9.140625" style="21"/>
    <col min="28" max="16384" width="9.140625" style="24"/>
  </cols>
  <sheetData>
    <row r="1" spans="1:24" s="21" customFormat="1" ht="30" customHeight="1" x14ac:dyDescent="0.35">
      <c r="A1" s="10" t="e" vm="1">
        <v>#VALUE!</v>
      </c>
      <c r="C1" s="27" t="s">
        <v>86</v>
      </c>
    </row>
    <row r="2" spans="1:24" s="21" customFormat="1" ht="20.100000000000001" customHeight="1" x14ac:dyDescent="0.2">
      <c r="A2"/>
      <c r="C2" s="3"/>
      <c r="D2" s="3"/>
      <c r="E2" s="3"/>
      <c r="F2" s="3"/>
      <c r="G2" s="3"/>
      <c r="H2" s="3"/>
      <c r="I2" s="3"/>
      <c r="J2" s="3"/>
    </row>
    <row r="3" spans="1:24" ht="20.100000000000001" customHeight="1" x14ac:dyDescent="0.2">
      <c r="A3" s="5" t="str">
        <f>HYPERLINK("#'Home'!A1", "Home")</f>
        <v>Home</v>
      </c>
      <c r="C3" s="28"/>
      <c r="D3" s="28"/>
      <c r="E3" s="28"/>
      <c r="F3" s="28"/>
      <c r="G3" s="28"/>
      <c r="H3" s="28"/>
      <c r="I3" s="28"/>
      <c r="J3" s="28"/>
      <c r="K3" s="28"/>
      <c r="M3" s="23"/>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c r="C4" s="29"/>
      <c r="D4" s="29"/>
      <c r="E4" s="29"/>
      <c r="F4" s="29"/>
      <c r="G4" s="29"/>
      <c r="H4" s="29"/>
      <c r="I4" s="29"/>
      <c r="J4" s="29"/>
      <c r="K4" s="29"/>
    </row>
    <row r="5" spans="1:24" ht="20.100000000000001" customHeight="1" x14ac:dyDescent="0.2">
      <c r="A5" s="5" t="str">
        <f>HYPERLINK("#'Results - Product EI'!A1", "Results - Product Emissions Intensity")</f>
        <v>Results - Product Emissions Intensity</v>
      </c>
      <c r="D5" s="2" t="s">
        <v>95</v>
      </c>
      <c r="N5" s="30"/>
    </row>
    <row r="6" spans="1:24" ht="20.100000000000001" customHeight="1" x14ac:dyDescent="0.2">
      <c r="A6" s="5" t="str">
        <f>HYPERLINK("#'Results'!A1", "Results")</f>
        <v>Results</v>
      </c>
      <c r="N6" s="32"/>
    </row>
    <row r="7" spans="1:24" ht="20.100000000000001" customHeight="1" x14ac:dyDescent="0.2">
      <c r="A7"/>
      <c r="D7" s="42" t="s">
        <v>96</v>
      </c>
      <c r="E7" s="43"/>
      <c r="F7" s="43"/>
      <c r="G7" s="44"/>
    </row>
    <row r="8" spans="1:24" ht="20.100000000000001" customHeight="1" x14ac:dyDescent="0.2">
      <c r="A8"/>
      <c r="D8" s="45" t="s">
        <v>97</v>
      </c>
      <c r="E8" s="46"/>
      <c r="F8" s="46"/>
      <c r="G8" s="47"/>
    </row>
    <row r="9" spans="1:24" ht="20.100000000000001" customHeight="1" x14ac:dyDescent="0.2">
      <c r="A9" s="7" t="s">
        <v>0</v>
      </c>
      <c r="D9" s="1"/>
      <c r="E9" s="48"/>
      <c r="F9" s="16"/>
      <c r="N9" s="34"/>
    </row>
    <row r="10" spans="1:24" ht="20.100000000000001" customHeight="1" x14ac:dyDescent="0.2">
      <c r="A10" s="5" t="str">
        <f>HYPERLINK("#'Input - Enterprise'!A1", "Enterprise")</f>
        <v>Enterprise</v>
      </c>
      <c r="D10" s="1" t="s">
        <v>98</v>
      </c>
      <c r="E10" s="13" t="s">
        <v>99</v>
      </c>
      <c r="F10" s="16" t="s">
        <v>100</v>
      </c>
      <c r="N10" s="34"/>
    </row>
    <row r="11" spans="1:24" ht="20.100000000000001" customHeight="1" x14ac:dyDescent="0.2">
      <c r="A11" s="100" t="str">
        <f>HYPERLINK("#'Input - Site'!A1", "Site")</f>
        <v>Site</v>
      </c>
      <c r="D11" s="1" t="s">
        <v>101</v>
      </c>
      <c r="E11" s="13" t="s">
        <v>102</v>
      </c>
      <c r="F11" s="16" t="s">
        <v>100</v>
      </c>
      <c r="G11" s="1"/>
      <c r="N11" s="39"/>
    </row>
    <row r="12" spans="1:24" ht="20.100000000000001" customHeight="1" x14ac:dyDescent="0.2">
      <c r="A12" s="5" t="str">
        <f>HYPERLINK("#'Input - Dairy'!A1", "Dairy")</f>
        <v>Dairy</v>
      </c>
      <c r="D12" s="1" t="s">
        <v>103</v>
      </c>
      <c r="E12" s="13" t="s">
        <v>104</v>
      </c>
      <c r="F12" s="16" t="s">
        <v>100</v>
      </c>
    </row>
    <row r="13" spans="1:24" ht="20.100000000000001" customHeight="1" x14ac:dyDescent="0.2">
      <c r="A13" s="5" t="str">
        <f>HYPERLINK("#'Input - Livestock sales'!A1", "Livestock sales")</f>
        <v>Livestock sales</v>
      </c>
      <c r="D13" s="1" t="s">
        <v>36</v>
      </c>
      <c r="E13" s="33">
        <v>307.7</v>
      </c>
      <c r="F13" s="16" t="s">
        <v>105</v>
      </c>
      <c r="N13" s="41"/>
      <c r="O13" s="41"/>
    </row>
    <row r="14" spans="1:24" ht="20.100000000000001" customHeight="1" x14ac:dyDescent="0.2">
      <c r="A14" s="5" t="str">
        <f>HYPERLINK("#'Input - Dairy cattle purchases'!A1", "Dairy cattle purchases")</f>
        <v>Dairy cattle purchases</v>
      </c>
      <c r="D14" s="1" t="s">
        <v>106</v>
      </c>
      <c r="E14" s="33">
        <v>18</v>
      </c>
      <c r="F14" s="16" t="s">
        <v>107</v>
      </c>
      <c r="N14" s="41"/>
      <c r="O14" s="41"/>
    </row>
    <row r="15" spans="1:24" ht="20.100000000000001" customHeight="1" x14ac:dyDescent="0.2">
      <c r="A15" s="5" t="str">
        <f>HYPERLINK("#'Input - Pasture'!A1", "Pasture")</f>
        <v>Pasture</v>
      </c>
      <c r="D15" s="1" t="s">
        <v>108</v>
      </c>
      <c r="E15" s="33">
        <v>601</v>
      </c>
      <c r="F15" s="16" t="s">
        <v>109</v>
      </c>
      <c r="N15" s="41"/>
      <c r="O15" s="41"/>
    </row>
    <row r="16" spans="1:24" ht="20.100000000000001" customHeight="1" x14ac:dyDescent="0.2">
      <c r="A16" s="5" t="str">
        <f>HYPERLINK("#'Input - Fert Prod System'!A1", "Fert Prod System")</f>
        <v>Fert Prod System</v>
      </c>
      <c r="D16" s="12" t="s">
        <v>110</v>
      </c>
      <c r="E16" s="33">
        <v>1326</v>
      </c>
      <c r="F16" s="16" t="s">
        <v>109</v>
      </c>
      <c r="N16" s="41"/>
      <c r="O16" s="41"/>
    </row>
    <row r="17" spans="1:25" ht="20.100000000000001" customHeight="1" x14ac:dyDescent="0.2">
      <c r="A17" s="5" t="str">
        <f>HYPERLINK("#'Input - Fertiliser'!A1", "Fertiliser")</f>
        <v>Fertiliser</v>
      </c>
      <c r="D17" s="1" t="s">
        <v>111</v>
      </c>
      <c r="E17" s="33">
        <v>7</v>
      </c>
      <c r="F17" s="16" t="s">
        <v>112</v>
      </c>
    </row>
    <row r="18" spans="1:25" ht="20.100000000000001" customHeight="1" x14ac:dyDescent="0.2">
      <c r="A18" s="5" t="str">
        <f>HYPERLINK("#'Input - Fuel'!A1", "Fuel")</f>
        <v>Fuel</v>
      </c>
      <c r="D18" s="12" t="s">
        <v>113</v>
      </c>
      <c r="E18" s="15">
        <f>E15/E16</f>
        <v>0.45324283559577677</v>
      </c>
      <c r="F18" s="16"/>
    </row>
    <row r="19" spans="1:25" ht="20.100000000000001" customHeight="1" x14ac:dyDescent="0.2">
      <c r="A19" s="5" t="str">
        <f>HYPERLINK("#'Input - Electricity'!A1", "Electricity")</f>
        <v>Electricity</v>
      </c>
      <c r="D19" s="12" t="s">
        <v>64</v>
      </c>
      <c r="E19" s="15" t="str">
        <f>Common_InputFunctions.Utility_LookupItemFromMinMax(E15,Table_SourceData_RainfallZones[Min rainfall],Table_SourceData_RainfallZones[Max rainfall],Table_SourceData_RainfallZones[Rainfall Zone])</f>
        <v>High rainfall</v>
      </c>
      <c r="G19" s="49"/>
      <c r="N19" s="30"/>
    </row>
    <row r="20" spans="1:25" ht="20.100000000000001" customHeight="1" x14ac:dyDescent="0.2">
      <c r="A20" s="5" t="str">
        <f>HYPERLINK("#'Input - Common farm inputs'!A1", "Common farm inputs")</f>
        <v>Common farm inputs</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8"/>
      <c r="N20" s="32"/>
    </row>
    <row r="21" spans="1:25" ht="20.100000000000001" customHeight="1" x14ac:dyDescent="0.2">
      <c r="A21" s="5" t="str">
        <f>HYPERLINK("#'Input - Crop pasture farm input'!A1", "Crop pasture farm input")</f>
        <v>Crop pasture farm input</v>
      </c>
      <c r="D21" s="1" t="s">
        <v>114</v>
      </c>
      <c r="E21" s="15" t="str">
        <f>Common_InputFunctions.Utility_LookupValueInTable($E$20,Table_SourceData_WetDryZones[Climate zone],Table_SourceData_WetDryZones[Wet or Dry Zone])</f>
        <v>Dry climate zone</v>
      </c>
      <c r="F21" s="1"/>
      <c r="G21" s="48"/>
    </row>
    <row r="22" spans="1:25" ht="20.100000000000001" customHeight="1" x14ac:dyDescent="0.2">
      <c r="A22" s="5" t="str">
        <f>HYPERLINK("#'Input - Livestock farm Inputs'!A1", "Livestock farm Inputs")</f>
        <v>Livestock farm Inputs</v>
      </c>
      <c r="D22" s="1" t="s">
        <v>68</v>
      </c>
      <c r="E22" s="15" t="str">
        <f>Common_InputFunctions.Utility_LookupItemFromMinMax(E14,Table_SourceData_TemperatureZones[Min MAT],Table_SourceData_TemperatureZones[Max MAT],Table_SourceData_TemperatureZones[Temperature Zone])</f>
        <v>Temperate</v>
      </c>
      <c r="G22" s="52"/>
    </row>
    <row r="23" spans="1:25" ht="20.100000000000001" customHeight="1" x14ac:dyDescent="0.2">
      <c r="A23" s="5" t="str">
        <f>HYPERLINK("#'Input - Freight'!A1", "Freight")</f>
        <v>Freight</v>
      </c>
    </row>
    <row r="24" spans="1:25" ht="20.100000000000001" customHeight="1" x14ac:dyDescent="0.2">
      <c r="A24" s="5" t="str">
        <f>HYPERLINK("#'Input - Solid waste'!A1", "Solid waste")</f>
        <v>Solid waste</v>
      </c>
    </row>
    <row r="25" spans="1:25" ht="20.100000000000001" customHeight="1" x14ac:dyDescent="0.2">
      <c r="A25" s="5" t="str">
        <f>HYPERLINK("#'Input - Manure sent off-site'!A1", "Manure sent off-site")</f>
        <v>Manure sent off-site</v>
      </c>
      <c r="N25" s="32"/>
    </row>
    <row r="26" spans="1:25" ht="20.100000000000001" customHeight="1" x14ac:dyDescent="0.2">
      <c r="A26" s="5" t="str">
        <f>HYPERLINK("#'Input - Refrigerants'!A1", "Refrigerants")</f>
        <v>Refrigerants</v>
      </c>
    </row>
    <row r="27" spans="1:25" ht="20.100000000000001" customHeight="1" x14ac:dyDescent="0.2">
      <c r="A27" s="5" t="str">
        <f>HYPERLINK("#'Input - Data quality'!A1", "Data quality")</f>
        <v>Data quality</v>
      </c>
    </row>
    <row r="28" spans="1:25" ht="20.100000000000001" customHeight="1" x14ac:dyDescent="0.2">
      <c r="A28"/>
    </row>
    <row r="29" spans="1:25" ht="20.100000000000001" customHeight="1" x14ac:dyDescent="0.2">
      <c r="A29"/>
    </row>
    <row r="30" spans="1:25" ht="20.100000000000001" customHeight="1" x14ac:dyDescent="0.2">
      <c r="A30" s="6" t="s">
        <v>2</v>
      </c>
      <c r="L30" s="50"/>
      <c r="M30" s="50"/>
      <c r="N30" s="50"/>
      <c r="O30" s="50"/>
      <c r="P30" s="50"/>
      <c r="Q30" s="50"/>
      <c r="R30" s="50"/>
      <c r="S30" s="50"/>
      <c r="T30" s="50"/>
      <c r="U30" s="50"/>
      <c r="V30" s="50"/>
      <c r="W30" s="50"/>
      <c r="X30" s="50"/>
      <c r="Y30" s="50"/>
    </row>
    <row r="31" spans="1:25" ht="20.100000000000001" customHeight="1" x14ac:dyDescent="0.2">
      <c r="A31" s="5" t="str">
        <f>HYPERLINK("#'3.3.1.1-2 Enteric Methane'!A1", "3.3.1.1-2 Enteric methane")</f>
        <v>3.3.1.1-2 Enteric methane</v>
      </c>
      <c r="L31" s="51"/>
      <c r="M31" s="51"/>
      <c r="N31" s="51"/>
      <c r="O31" s="51"/>
      <c r="P31" s="51"/>
      <c r="Q31" s="51"/>
      <c r="R31" s="51"/>
      <c r="S31" s="51"/>
      <c r="T31" s="51"/>
      <c r="U31" s="51"/>
      <c r="V31" s="51"/>
      <c r="W31" s="51"/>
      <c r="X31" s="51"/>
      <c r="Y31" s="51"/>
    </row>
    <row r="32" spans="1:25" ht="20.100000000000001" customHeight="1" x14ac:dyDescent="0.2">
      <c r="A32" s="5" t="str">
        <f>HYPERLINK("#'4.3.1.1-2 Methane'!A1", "4.3.1.1-2 Manure methane")</f>
        <v>4.3.1.1-2 Manure methane</v>
      </c>
      <c r="L32" s="51"/>
      <c r="M32" s="51"/>
      <c r="N32" s="51"/>
      <c r="O32" s="51"/>
      <c r="P32" s="51"/>
      <c r="Q32" s="51"/>
      <c r="R32" s="51"/>
      <c r="S32" s="51"/>
      <c r="T32" s="51"/>
      <c r="U32" s="51"/>
      <c r="V32" s="51"/>
      <c r="W32" s="51"/>
      <c r="X32" s="51"/>
      <c r="Y32" s="51"/>
    </row>
    <row r="33" spans="1:25" ht="20.100000000000001" customHeight="1" x14ac:dyDescent="0.2">
      <c r="A33" s="5" t="str">
        <f>HYPERLINK("#'4.3.1.3-4 Direct N20'!A1", "4.3.1.3-4 Direct N20")</f>
        <v>4.3.1.3-4 Direct N20</v>
      </c>
      <c r="L33" s="51"/>
      <c r="M33" s="51"/>
      <c r="N33" s="51"/>
      <c r="O33" s="51"/>
      <c r="P33" s="51"/>
      <c r="Q33" s="51"/>
      <c r="R33" s="51"/>
      <c r="S33" s="51"/>
      <c r="T33" s="51"/>
      <c r="U33" s="51"/>
      <c r="V33" s="51"/>
      <c r="W33" s="51"/>
      <c r="X33" s="51"/>
      <c r="Y33" s="51"/>
    </row>
    <row r="34" spans="1:25" ht="20.100000000000001" customHeight="1" x14ac:dyDescent="0.2">
      <c r="A34" s="5" t="str">
        <f>HYPERLINK("#'4.3.1.5 Atmos deposition'!A1", "4.3.1.5 Atmos deposition")</f>
        <v>4.3.1.5 Atmos deposition</v>
      </c>
      <c r="J34" s="53"/>
      <c r="K34" s="54"/>
      <c r="L34" s="51"/>
      <c r="M34" s="51"/>
      <c r="N34" s="51"/>
      <c r="O34" s="51"/>
      <c r="P34" s="51"/>
      <c r="Q34" s="51"/>
      <c r="R34" s="51"/>
      <c r="S34" s="51"/>
      <c r="T34" s="51"/>
      <c r="U34" s="51"/>
      <c r="V34" s="51"/>
      <c r="W34" s="51"/>
      <c r="X34" s="51"/>
      <c r="Y34" s="51"/>
    </row>
    <row r="35" spans="1:25" ht="20.100000000000001" customHeight="1" x14ac:dyDescent="0.2">
      <c r="A35" s="5" t="str">
        <f>HYPERLINK("#'4.3.1.6-7 Leaching and runoff'!A1", "4.3.1.6-7 Leaching &amp; runoff")</f>
        <v>4.3.1.6-7 Leaching &amp; runoff</v>
      </c>
      <c r="J35" s="53"/>
      <c r="K35" s="54"/>
      <c r="L35" s="51"/>
      <c r="M35" s="51"/>
      <c r="N35" s="51"/>
      <c r="O35" s="51"/>
      <c r="P35" s="51"/>
      <c r="Q35" s="51"/>
      <c r="R35" s="51"/>
      <c r="S35" s="51"/>
      <c r="T35" s="51"/>
      <c r="U35" s="51"/>
      <c r="V35" s="51"/>
      <c r="W35" s="51"/>
      <c r="X35" s="51"/>
      <c r="Y35" s="51"/>
    </row>
    <row r="36" spans="1:25" ht="20.100000000000001" customHeight="1" x14ac:dyDescent="0.2">
      <c r="A36" s="5" t="str">
        <f>HYPERLINK("#'4.3.1.8 Manure applied to soils'!A1", "4.3.1.8 Manure applied to soils")</f>
        <v>4.3.1.8 Manure applied to soils</v>
      </c>
      <c r="D36" s="55"/>
      <c r="E36" s="55"/>
      <c r="F36" s="56"/>
      <c r="G36" s="53"/>
      <c r="H36" s="53"/>
      <c r="I36" s="57"/>
      <c r="J36" s="53"/>
      <c r="K36" s="54"/>
      <c r="L36" s="51"/>
      <c r="M36" s="51"/>
      <c r="N36" s="51"/>
      <c r="O36" s="51"/>
      <c r="P36" s="51"/>
      <c r="Q36" s="51"/>
      <c r="R36" s="51"/>
      <c r="S36" s="51"/>
      <c r="T36" s="51"/>
      <c r="U36" s="51"/>
      <c r="V36" s="51"/>
      <c r="W36" s="51"/>
      <c r="X36" s="51"/>
      <c r="Y36" s="51"/>
    </row>
    <row r="37" spans="1:25" ht="20.100000000000001" customHeight="1" x14ac:dyDescent="0.2">
      <c r="A37" s="5" t="str">
        <f>HYPERLINK("#'4.3.1.9 Soil direct N2O'!A1", "4.3.1.9 Soil direct N2O")</f>
        <v>4.3.1.9 Soil direct N2O</v>
      </c>
      <c r="D37" s="55"/>
      <c r="E37" s="55"/>
      <c r="F37" s="56"/>
      <c r="G37" s="53"/>
      <c r="H37" s="53"/>
      <c r="I37" s="57"/>
      <c r="J37" s="53"/>
      <c r="K37" s="54"/>
      <c r="L37" s="51"/>
      <c r="M37" s="51"/>
      <c r="N37" s="51"/>
      <c r="O37" s="51"/>
      <c r="P37" s="51"/>
      <c r="Q37" s="51"/>
      <c r="R37" s="51"/>
      <c r="S37" s="51"/>
      <c r="T37" s="51"/>
      <c r="U37" s="51"/>
      <c r="V37" s="51"/>
      <c r="W37" s="51"/>
      <c r="X37" s="51"/>
      <c r="Y37" s="51"/>
    </row>
    <row r="38" spans="1:25" ht="20.100000000000001" customHeight="1" x14ac:dyDescent="0.2">
      <c r="A38" s="5" t="str">
        <f>HYPERLINK("#'4.3.1.10-11 Soil Atmos Dep'!A1", "4.3.1.10-11 Soil Atmos Deposition")</f>
        <v>4.3.1.10-11 Soil Atmos Deposition</v>
      </c>
      <c r="D38" s="55"/>
      <c r="E38" s="55"/>
      <c r="F38" s="56"/>
      <c r="G38" s="53"/>
      <c r="H38" s="53"/>
      <c r="I38" s="57"/>
      <c r="J38" s="53"/>
      <c r="K38" s="54"/>
      <c r="L38" s="51"/>
      <c r="M38" s="51"/>
      <c r="N38" s="51"/>
      <c r="O38" s="51"/>
      <c r="P38" s="51"/>
      <c r="Q38" s="51"/>
      <c r="R38" s="51"/>
      <c r="S38" s="51"/>
      <c r="T38" s="51"/>
      <c r="U38" s="51"/>
      <c r="V38" s="51"/>
      <c r="W38" s="51"/>
      <c r="X38" s="51"/>
      <c r="Y38" s="51"/>
    </row>
    <row r="39" spans="1:25" ht="20.100000000000001" customHeight="1" x14ac:dyDescent="0.2">
      <c r="A39" s="5" t="str">
        <f>HYPERLINK("#'4.3.1.12-13 Soil leach runoff'!A1", "4.3.1.12-13 Soil leach &amp; runoff")</f>
        <v>4.3.1.12-13 Soil leach &amp; runoff</v>
      </c>
      <c r="D39" s="55"/>
      <c r="E39" s="55"/>
      <c r="F39" s="56"/>
      <c r="G39" s="53"/>
      <c r="H39" s="53"/>
      <c r="I39" s="57"/>
      <c r="J39" s="53"/>
      <c r="K39" s="54"/>
      <c r="L39" s="51"/>
      <c r="M39" s="51"/>
      <c r="N39" s="51"/>
      <c r="O39" s="51"/>
      <c r="P39" s="51"/>
      <c r="Q39" s="51"/>
      <c r="R39" s="51"/>
      <c r="S39" s="51"/>
      <c r="T39" s="51"/>
      <c r="U39" s="51"/>
      <c r="V39" s="51"/>
      <c r="W39" s="51"/>
      <c r="X39" s="51"/>
      <c r="Y39" s="51"/>
    </row>
    <row r="40" spans="1:25" ht="20.100000000000001" customHeight="1" x14ac:dyDescent="0.2">
      <c r="A40" s="5" t="str">
        <f>HYPERLINK("#'5.1.1.1-2 Inorganic fert N2O'!A1", "5.1.1.1-2 Inorganic fert N2O")</f>
        <v>5.1.1.1-2 Inorganic fert N2O</v>
      </c>
      <c r="D40" s="58"/>
      <c r="E40" s="58"/>
      <c r="F40" s="58"/>
      <c r="G40" s="59"/>
      <c r="H40" s="60"/>
      <c r="I40" s="60"/>
      <c r="J40" s="60"/>
      <c r="K40" s="60"/>
      <c r="L40" s="61"/>
      <c r="M40" s="61"/>
      <c r="N40" s="61"/>
      <c r="O40" s="61"/>
      <c r="P40" s="61"/>
      <c r="Q40" s="61"/>
      <c r="R40" s="61"/>
      <c r="S40" s="61"/>
      <c r="T40" s="61"/>
      <c r="U40" s="61"/>
      <c r="V40" s="61"/>
      <c r="W40" s="61"/>
      <c r="X40" s="61"/>
      <c r="Y40" s="61"/>
    </row>
    <row r="41" spans="1:25" ht="20.100000000000001" customHeight="1" x14ac:dyDescent="0.2">
      <c r="A41" s="5" t="str">
        <f>HYPERLINK("#'5.1.1.3-4 Inorganic fert CO2'!A1", "5.1.1.3-4 Inorganic fert CO2")</f>
        <v>5.1.1.3-4 Inorganic fert CO2</v>
      </c>
    </row>
    <row r="42" spans="1:25" ht="20.100000000000001" customHeight="1" x14ac:dyDescent="0.2">
      <c r="A42" s="5" t="str">
        <f>HYPERLINK("#'5.2.1.1-2 Organic Fert N2O'!A1", "5.2.1.1-2 Organic fert N2O")</f>
        <v>5.2.1.1-2 Organic fert N2O</v>
      </c>
    </row>
    <row r="43" spans="1:25" ht="20.100000000000001" customHeight="1" x14ac:dyDescent="0.2">
      <c r="A43" s="5" t="str">
        <f>HYPERLINK("#'5.3.1.1-2 Lime CO2'!A1", "5.3.1.1-2 Lime CO2")</f>
        <v>5.3.1.1-2 Lime CO2</v>
      </c>
    </row>
    <row r="44" spans="1:25" ht="20.100000000000001" customHeight="1" x14ac:dyDescent="0.2">
      <c r="A44" s="5" t="str">
        <f>HYPERLINK("#'5.4.1.1-4 Atmos deposition'!A1", "5.4.1.1-4 Atmos. deposition")</f>
        <v>5.4.1.1-4 Atmos. deposition</v>
      </c>
    </row>
    <row r="45" spans="1:25" ht="20.100000000000001" customHeight="1" x14ac:dyDescent="0.2">
      <c r="A45" s="5" t="str">
        <f>HYPERLINK("#'5.5.1.1-2 Leaching and runoff'!A1", "5.5.1.1-2 Leaching &amp; runoff")</f>
        <v>5.5.1.1-2 Leaching &amp; runoff</v>
      </c>
      <c r="D45" s="2"/>
    </row>
    <row r="46" spans="1:25" ht="20.100000000000001" customHeight="1" x14ac:dyDescent="0.2">
      <c r="A46" s="5" t="str">
        <f>HYPERLINK("#'6.2.1.1-2 Pasture residue N2O'!A1", "6.2.1.1-2 Pasture residue N2O")</f>
        <v>6.2.1.1-2 Pasture residue N2O</v>
      </c>
      <c r="D46" s="2"/>
    </row>
    <row r="47" spans="1:25" ht="20.100000000000001" customHeight="1" x14ac:dyDescent="0.2">
      <c r="A47" s="5" t="str">
        <f>HYPERLINK("#'6.3.1.1-2 Leach runoff pasture'!A1", "6.3.1.1-2 Leach &amp; runoff (pasture)")</f>
        <v>6.3.1.1-2 Leach &amp; runoff (pasture)</v>
      </c>
      <c r="D47" s="62"/>
      <c r="E47" s="62"/>
      <c r="F47" s="62"/>
      <c r="G47" s="62"/>
      <c r="H47" s="62"/>
    </row>
    <row r="48" spans="1:25" ht="20.100000000000001" customHeight="1" x14ac:dyDescent="0.2">
      <c r="A48" s="5" t="str">
        <f>HYPERLINK("#'8.1.1.1-2 Transport fuel'!A1", "8.1.1.1-2 Transport fuel")</f>
        <v>8.1.1.1-2 Transport fuel</v>
      </c>
      <c r="D48" s="63"/>
      <c r="E48" s="63"/>
      <c r="F48" s="64"/>
      <c r="G48" s="64"/>
      <c r="H48" s="63"/>
    </row>
    <row r="49" spans="1:8" ht="20.100000000000001" customHeight="1" x14ac:dyDescent="0.2">
      <c r="A49" s="5" t="str">
        <f>HYPERLINK("#'8.2.1.1-2 Stationary fuel'!A1", "8.2.1.1-2 Stationary fuel")</f>
        <v>8.2.1.1-2 Stationary fuel</v>
      </c>
      <c r="D49" s="63"/>
      <c r="E49" s="63"/>
      <c r="F49" s="64"/>
      <c r="G49" s="64"/>
      <c r="H49" s="63"/>
    </row>
    <row r="50" spans="1:8" ht="20.100000000000001" customHeight="1" x14ac:dyDescent="0.2">
      <c r="A50" s="5" t="str">
        <f>HYPERLINK("#'9.1.1.1-2 Refrigerant use'!A1", "9.1.1.1-2 Refrigerant use")</f>
        <v>9.1.1.1-2 Refrigerant use</v>
      </c>
      <c r="D50" s="63"/>
      <c r="E50" s="63"/>
      <c r="F50" s="64"/>
      <c r="G50" s="64"/>
      <c r="H50" s="63"/>
    </row>
    <row r="51" spans="1:8" ht="20.100000000000001" customHeight="1" x14ac:dyDescent="0.2">
      <c r="A51" s="5" t="str">
        <f>HYPERLINK("#'10.1.1-2 Solid waste treatment'!A1", "10.1.1.1-2 Solid waste")</f>
        <v>10.1.1.1-2 Solid waste</v>
      </c>
      <c r="D51" s="65"/>
      <c r="E51" s="66"/>
      <c r="F51" s="66"/>
      <c r="G51" s="66"/>
      <c r="H51" s="67"/>
    </row>
    <row r="52" spans="1:8" ht="20.100000000000001" customHeight="1" x14ac:dyDescent="0.2">
      <c r="A52" s="5" t="str">
        <f>HYPERLINK("#'14.1.1-2 Purchased electricity'!A1", "14.1.1-2 Purchased electricity")</f>
        <v>14.1.1-2 Purchased electricity</v>
      </c>
    </row>
    <row r="53" spans="1:8" ht="20.100000000000001" customHeight="1" x14ac:dyDescent="0.2">
      <c r="A53" s="5" t="str">
        <f>HYPERLINK("#'15 Scope 3'!A1", "15 Scope 3")</f>
        <v>15 Scope 3</v>
      </c>
    </row>
    <row r="54" spans="1:8" ht="20.100000000000001" customHeight="1" x14ac:dyDescent="0.2">
      <c r="A54" s="5" t="str">
        <f>HYPERLINK("#'Calcs - Manure sent off-site'!A1", "Calcs - Manure sent off-site")</f>
        <v>Calcs - Manure sent off-site</v>
      </c>
      <c r="G54" s="68"/>
    </row>
    <row r="55" spans="1:8" ht="20.100000000000001" customHeight="1" x14ac:dyDescent="0.2">
      <c r="A55"/>
      <c r="D55" s="2"/>
    </row>
    <row r="56" spans="1:8" ht="20.100000000000001" customHeight="1" x14ac:dyDescent="0.2">
      <c r="A56"/>
    </row>
    <row r="57" spans="1:8" ht="20.100000000000001" customHeight="1" x14ac:dyDescent="0.2">
      <c r="A57" s="82" t="s">
        <v>1</v>
      </c>
      <c r="D57" s="69"/>
      <c r="F57" s="70"/>
    </row>
    <row r="58" spans="1:8" ht="20.100000000000001" customHeight="1" x14ac:dyDescent="0.2">
      <c r="A58" s="5" t="str">
        <f>HYPERLINK("#'Constants - Dairy'!A1", "Constants - Dairy")</f>
        <v>Constants - Dairy</v>
      </c>
      <c r="D58" s="1"/>
      <c r="E58" s="71"/>
    </row>
    <row r="59" spans="1:8" ht="20.100000000000001" customHeight="1" x14ac:dyDescent="0.2">
      <c r="A59" s="5" t="str">
        <f>HYPERLINK("#'Constants - Ag Residue'!A1", "Constants - Ag residue")</f>
        <v>Constants - Ag residue</v>
      </c>
      <c r="D59" s="1"/>
      <c r="E59" s="71"/>
    </row>
    <row r="60" spans="1:8" ht="20.100000000000001" customHeight="1" x14ac:dyDescent="0.2">
      <c r="A60" s="5" t="str">
        <f>HYPERLINK("#'Constants - Common Livestock'!A1", "Constants - Common Livestock")</f>
        <v>Constants - Common Livestock</v>
      </c>
      <c r="D60" s="1"/>
      <c r="E60" s="72"/>
    </row>
    <row r="61" spans="1:8" ht="20.100000000000001" customHeight="1" x14ac:dyDescent="0.2">
      <c r="A61" s="5" t="str">
        <f>HYPERLINK("#'Constants - Electricity'!A1", "Constants - Electricity")</f>
        <v>Constants - Electricity</v>
      </c>
      <c r="D61" s="1"/>
    </row>
    <row r="62" spans="1:8" ht="20.100000000000001" customHeight="1" x14ac:dyDescent="0.2">
      <c r="A62" s="5" t="str">
        <f>HYPERLINK("#'Constants - Fertiliser'!A1", "Constants - Fertiliser")</f>
        <v>Constants - Fertiliser</v>
      </c>
    </row>
    <row r="63" spans="1:8" ht="20.100000000000001" customHeight="1" x14ac:dyDescent="0.2">
      <c r="A63" s="5" t="str">
        <f>HYPERLINK("#'Constants - Fuel'!A1", "Constants - Fuel")</f>
        <v>Constants - Fuel</v>
      </c>
      <c r="D63" s="69"/>
    </row>
    <row r="64" spans="1:8" ht="20.100000000000001" customHeight="1" x14ac:dyDescent="0.2">
      <c r="A64" s="5" t="str">
        <f>HYPERLINK("#'Constants - Scope 3'!A1", "Constants - Scope 3")</f>
        <v>Constants - Scope 3</v>
      </c>
      <c r="D64" s="1"/>
      <c r="E64" s="71"/>
    </row>
    <row r="65" spans="1:9" ht="20.100000000000001" customHeight="1" x14ac:dyDescent="0.2">
      <c r="A65" s="5" t="str">
        <f>HYPERLINK("#'Constants - Common'!A1", "Constants - Common")</f>
        <v>Constants - Common</v>
      </c>
      <c r="D65" s="1"/>
      <c r="E65" s="71"/>
    </row>
    <row r="66" spans="1:9" ht="20.100000000000001" customHeight="1" x14ac:dyDescent="0.2">
      <c r="A66" s="5" t="str">
        <f>HYPERLINK("#'Constants - Refrigerants'!A1", "Constants - Refrigerants")</f>
        <v>Constants - Refrigerants</v>
      </c>
      <c r="D66" s="1"/>
      <c r="E66" s="72"/>
    </row>
    <row r="67" spans="1:9" ht="20.100000000000001" customHeight="1" x14ac:dyDescent="0.2">
      <c r="A67" s="5" t="str">
        <f>HYPERLINK("#'Constants - Solid Waste'!A1", "Constants - Solid Waste")</f>
        <v>Constants - Solid Waste</v>
      </c>
    </row>
    <row r="68" spans="1:9" ht="20.100000000000001" customHeight="1" x14ac:dyDescent="0.2">
      <c r="A68" s="5" t="str">
        <f>HYPERLINK("#'Acknowledgements'!A1", "Acknowledgements")</f>
        <v>Acknowledgements</v>
      </c>
    </row>
    <row r="69" spans="1:9" ht="20.100000000000001" customHeight="1" x14ac:dyDescent="0.2">
      <c r="A69"/>
      <c r="D69" s="73"/>
      <c r="E69" s="73"/>
      <c r="F69" s="73"/>
      <c r="G69" s="73"/>
      <c r="H69" s="73"/>
      <c r="I69" s="73"/>
    </row>
    <row r="70" spans="1:9" ht="20.100000000000001" customHeight="1" x14ac:dyDescent="0.2">
      <c r="A70"/>
      <c r="D70" s="73"/>
      <c r="E70" s="73"/>
      <c r="F70" s="73"/>
      <c r="G70" s="73"/>
      <c r="H70" s="73"/>
      <c r="I70" s="73"/>
    </row>
    <row r="71" spans="1:9" ht="20.100000000000001" customHeight="1" x14ac:dyDescent="0.2">
      <c r="A71"/>
      <c r="D71" s="73"/>
      <c r="E71" s="73"/>
      <c r="F71" s="73"/>
      <c r="G71" s="73"/>
      <c r="H71" s="73"/>
      <c r="I71" s="73"/>
    </row>
    <row r="72" spans="1:9" ht="20.100000000000001" customHeight="1" x14ac:dyDescent="0.2">
      <c r="A72"/>
      <c r="D72" s="73"/>
      <c r="E72" s="73"/>
      <c r="F72" s="73"/>
      <c r="G72" s="73"/>
      <c r="H72" s="73"/>
      <c r="I72" s="73"/>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4"/>
    </row>
    <row r="79" spans="1:9" ht="20.100000000000001" customHeight="1" x14ac:dyDescent="0.2">
      <c r="A79"/>
      <c r="D79" s="74"/>
    </row>
    <row r="80" spans="1:9" ht="20.100000000000001" customHeight="1" x14ac:dyDescent="0.2">
      <c r="A80"/>
      <c r="D80" s="74"/>
    </row>
    <row r="81" spans="1:4" ht="20.100000000000001" customHeight="1" x14ac:dyDescent="0.2">
      <c r="A81"/>
      <c r="D81" s="74"/>
    </row>
    <row r="82" spans="1:4" ht="20.100000000000001" customHeight="1" x14ac:dyDescent="0.2">
      <c r="A82"/>
      <c r="D82" s="74"/>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29FF-2A9B-449A-A85D-B39528B68672}">
  <sheetPr>
    <tabColor theme="5" tint="-0.249977111117893"/>
  </sheetPr>
  <dimension ref="A1:X17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98" customWidth="1"/>
    <col min="18" max="23" width="30.7109375" style="98" customWidth="1"/>
    <col min="24" max="24" width="4.7109375" style="98" customWidth="1"/>
  </cols>
  <sheetData>
    <row r="1" spans="1:24" s="10" customFormat="1" ht="30" customHeight="1" x14ac:dyDescent="0.35">
      <c r="A1" s="10" t="e" vm="1">
        <v>#VALUE!</v>
      </c>
      <c r="C1" s="10" t="s">
        <v>326</v>
      </c>
      <c r="P1" s="98"/>
      <c r="Q1" s="98"/>
      <c r="R1" s="98"/>
      <c r="S1" s="98"/>
      <c r="T1" s="98"/>
      <c r="U1" s="98"/>
      <c r="V1" s="98"/>
      <c r="W1" s="98"/>
      <c r="X1" s="98"/>
    </row>
    <row r="2" spans="1:24" s="3" customFormat="1" ht="20.100000000000001" customHeight="1" x14ac:dyDescent="0.2">
      <c r="A2"/>
      <c r="P2" s="98"/>
      <c r="Q2" s="98"/>
      <c r="R2" s="98"/>
      <c r="S2" s="98"/>
      <c r="T2" s="98"/>
      <c r="U2" s="98"/>
      <c r="V2" s="98"/>
      <c r="W2" s="98"/>
      <c r="X2" s="98"/>
    </row>
    <row r="3" spans="1:24" ht="20.100000000000001" customHeight="1" x14ac:dyDescent="0.2">
      <c r="A3" s="5" t="str">
        <f>HYPERLINK("#'Home'!A1", "Home")</f>
        <v>Home</v>
      </c>
      <c r="C3" s="28"/>
      <c r="D3" s="28"/>
      <c r="E3" s="28"/>
      <c r="F3" s="28"/>
      <c r="G3" s="28"/>
      <c r="H3" s="28"/>
      <c r="I3" s="28"/>
      <c r="J3" s="28"/>
      <c r="K3" s="28"/>
      <c r="L3" s="28"/>
      <c r="M3" s="28"/>
      <c r="N3" s="28"/>
      <c r="O3" s="28"/>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
        <v>327</v>
      </c>
      <c r="O5" s="24"/>
      <c r="S5" s="21"/>
    </row>
    <row r="6" spans="1:24" ht="20.100000000000001" customHeight="1" x14ac:dyDescent="0.2">
      <c r="A6" s="5" t="str">
        <f>HYPERLINK("#'Results'!A1", "Results")</f>
        <v>Results</v>
      </c>
      <c r="O6" s="24"/>
      <c r="S6" s="21"/>
    </row>
    <row r="7" spans="1:24" ht="20.100000000000001" customHeight="1" x14ac:dyDescent="0.2">
      <c r="D7" s="1" t="s">
        <v>328</v>
      </c>
      <c r="E7" s="13" t="s">
        <v>329</v>
      </c>
      <c r="F7" s="16" t="s">
        <v>100</v>
      </c>
      <c r="O7" s="24"/>
      <c r="S7" s="21"/>
    </row>
    <row r="8" spans="1:24" ht="20.100000000000001" customHeight="1" x14ac:dyDescent="0.2">
      <c r="O8" s="24"/>
      <c r="S8" s="21"/>
    </row>
    <row r="9" spans="1:24" ht="20.100000000000001" customHeight="1" x14ac:dyDescent="0.2">
      <c r="A9" s="7" t="s">
        <v>0</v>
      </c>
      <c r="D9" s="99"/>
      <c r="E9" s="81" t="s">
        <v>330</v>
      </c>
      <c r="F9" s="81" t="s">
        <v>331</v>
      </c>
      <c r="G9" s="81" t="s">
        <v>332</v>
      </c>
      <c r="H9" s="81" t="s">
        <v>333</v>
      </c>
      <c r="I9" s="81" t="s">
        <v>334</v>
      </c>
      <c r="S9" s="21"/>
    </row>
    <row r="10" spans="1:24" ht="20.100000000000001" customHeight="1" x14ac:dyDescent="0.2">
      <c r="A10" s="5" t="str">
        <f>HYPERLINK("#'Input - Enterprise'!A1", "Enterprise")</f>
        <v>Enterprise</v>
      </c>
      <c r="D10" s="1" t="str">
        <f>"Average number of head between " &amp; TEXT(X_Cell_Site_StartDate, "dd mmm yy") &amp; " and " &amp; TEXT(X_Cell_Site_EndDate, "dd mmm yy")</f>
        <v>Average number of head between 01 Jan 24 and 31 Dec 24</v>
      </c>
      <c r="E10" s="101">
        <v>100</v>
      </c>
      <c r="F10" s="101">
        <v>100</v>
      </c>
      <c r="G10" s="101">
        <v>100</v>
      </c>
      <c r="H10" s="101">
        <v>100</v>
      </c>
      <c r="I10" s="101">
        <v>100</v>
      </c>
      <c r="J10" s="16" t="s">
        <v>335</v>
      </c>
      <c r="K10" s="16"/>
      <c r="L10" s="16"/>
      <c r="M10" s="16"/>
      <c r="N10" s="16"/>
      <c r="S10" s="21"/>
    </row>
    <row r="11" spans="1:24" ht="20.100000000000001" customHeight="1" x14ac:dyDescent="0.2">
      <c r="A11" s="5" t="str">
        <f>HYPERLINK("#'Input - Site'!A1", "Site")</f>
        <v>Site</v>
      </c>
      <c r="S11" s="21"/>
    </row>
    <row r="12" spans="1:24" ht="20.100000000000001" customHeight="1" x14ac:dyDescent="0.2">
      <c r="A12" s="100" t="str">
        <f>HYPERLINK("#'Input - Dairy'!A1", "Dairy")</f>
        <v>Dairy</v>
      </c>
      <c r="D12" s="78" t="s">
        <v>336</v>
      </c>
      <c r="S12" s="21"/>
    </row>
    <row r="13" spans="1:24" ht="20.100000000000001" customHeight="1" x14ac:dyDescent="0.2">
      <c r="A13" s="5" t="str">
        <f>HYPERLINK("#'Input - Livestock sales'!A1", "Livestock sales")</f>
        <v>Livestock sales</v>
      </c>
      <c r="D13" s="99" t="s">
        <v>337</v>
      </c>
      <c r="E13" s="81" t="s">
        <v>330</v>
      </c>
      <c r="F13" s="81" t="s">
        <v>331</v>
      </c>
      <c r="G13" s="81" t="s">
        <v>332</v>
      </c>
      <c r="H13" s="81" t="s">
        <v>333</v>
      </c>
      <c r="I13" s="81" t="s">
        <v>334</v>
      </c>
      <c r="S13" s="41"/>
    </row>
    <row r="14" spans="1:24" ht="20.100000000000001" customHeight="1" x14ac:dyDescent="0.2">
      <c r="A14" s="5" t="str">
        <f>HYPERLINK("#'Input - Dairy cattle purchases'!A1", "Dairy cattle purchases")</f>
        <v>Dairy cattle purchases</v>
      </c>
      <c r="D14" s="1" t="s">
        <v>338</v>
      </c>
      <c r="E14" s="15">
        <f>Common_InputFunctions.Utility_LookupValueInTableNumber(X_Cell_Dairy_Breed, Table_SourceData_Dairy_WjCowsHeifers[Breed],Table_SourceData_Dairy_WjCowsHeifers[Milking cows])</f>
        <v>550</v>
      </c>
      <c r="F14" s="15">
        <f>Common_InputFunctions.Utility_LookupValueInTableNumber(X_Cell_Dairy_Breed, Table_SourceData_Dairy_WjCowsHeifers[Breed],Table_SourceData_Dairy_WjCowsHeifers[Heifers &gt; 1])</f>
        <v>380</v>
      </c>
      <c r="G14" s="15">
        <f>Common_InputFunctions.Utility_LookupValueInTableNumber(X_Cell_Dairy_Breed, Table_SourceData_Dairy_WjCowsHeifers[Breed],Table_SourceData_Dairy_WjCowsHeifers[Heifers &lt; 1 (weaned)])</f>
        <v>155</v>
      </c>
      <c r="H14" s="15" cm="1">
        <f t="array" ref="H14">Table_SourceData_Dairy_WjBulls[Bulls &gt; 1]</f>
        <v>600</v>
      </c>
      <c r="I14" s="15" cm="1">
        <f t="array" ref="I14">Table_SourceData_Dairy_WjBulls[Bulls &lt; 1 (weaned)]</f>
        <v>225</v>
      </c>
      <c r="J14" s="16" t="s">
        <v>339</v>
      </c>
      <c r="K14" s="16"/>
      <c r="L14" s="16"/>
      <c r="M14" s="16"/>
      <c r="N14" s="16"/>
      <c r="S14" s="41"/>
    </row>
    <row r="15" spans="1:24" ht="20.100000000000001" customHeight="1" x14ac:dyDescent="0.2">
      <c r="A15" s="5" t="str">
        <f>HYPERLINK("#'Input - Pasture'!A1", "Pasture")</f>
        <v>Pasture</v>
      </c>
      <c r="D15" s="1" t="s">
        <v>340</v>
      </c>
      <c r="E15" s="15" cm="1">
        <f t="array" ref="E15">Table_SourceData_Dairy_LWGj[Milking cows]</f>
        <v>1.6E-2</v>
      </c>
      <c r="F15" s="15" cm="1">
        <f t="array" ref="F15">Table_SourceData_Dairy_LWGj[Heifers &gt; 1]</f>
        <v>0.6</v>
      </c>
      <c r="G15" s="15" cm="1">
        <f t="array" ref="G15">Table_SourceData_Dairy_LWGj[Heifers &lt; 1 (weaned)]</f>
        <v>0.56999999999999995</v>
      </c>
      <c r="H15" s="15" cm="1">
        <f t="array" ref="H15">Table_SourceData_Dairy_LWGj[Bulls &gt; 1]</f>
        <v>0.1</v>
      </c>
      <c r="I15" s="15" cm="1">
        <f t="array" ref="I15">Table_SourceData_Dairy_LWGj[Bulls &lt; 1 (weaned)]</f>
        <v>0.8</v>
      </c>
      <c r="J15" s="16" t="s">
        <v>341</v>
      </c>
      <c r="K15" s="16"/>
      <c r="L15" s="16"/>
      <c r="M15" s="16"/>
      <c r="N15" s="16"/>
      <c r="S15" s="41"/>
    </row>
    <row r="16" spans="1:24" ht="20.100000000000001" customHeight="1" x14ac:dyDescent="0.2">
      <c r="A16" s="5" t="str">
        <f>HYPERLINK("#'Input - Fert Prod System'!A1", "Fert Prod System")</f>
        <v>Fert Prod System</v>
      </c>
      <c r="S16" s="41"/>
    </row>
    <row r="17" spans="1:19" ht="20.100000000000001" customHeight="1" x14ac:dyDescent="0.2">
      <c r="A17" s="5" t="str">
        <f>HYPERLINK("#'Input - Fertiliser'!A1", "Fertiliser")</f>
        <v>Fertiliser</v>
      </c>
      <c r="D17" s="99" t="s">
        <v>342</v>
      </c>
      <c r="E17" s="81" t="s">
        <v>330</v>
      </c>
      <c r="F17" s="81" t="s">
        <v>331</v>
      </c>
      <c r="G17" s="81" t="s">
        <v>332</v>
      </c>
      <c r="H17" s="81" t="s">
        <v>333</v>
      </c>
      <c r="I17" s="81" t="s">
        <v>334</v>
      </c>
      <c r="S17" s="21"/>
    </row>
    <row r="18" spans="1:19" ht="20.100000000000001" customHeight="1" x14ac:dyDescent="0.2">
      <c r="A18" s="5" t="str">
        <f>HYPERLINK("#'Input - Fuel'!A1", "Fuel")</f>
        <v>Fuel</v>
      </c>
      <c r="D18" s="1" t="s">
        <v>338</v>
      </c>
      <c r="E18" s="75">
        <f>Common_InputFunctions.Utility_LookupValueInTableNumber(X_Cell_Dairy_Breed, Table_SourceData_Dairy_WjCowsHeifers[Breed],Table_SourceData_Dairy_WjCowsHeifers[Milking cows])</f>
        <v>550</v>
      </c>
      <c r="F18" s="75">
        <f>Common_InputFunctions.Utility_LookupValueInTableNumber(X_Cell_Dairy_Breed, Table_SourceData_Dairy_WjCowsHeifers[Breed],Table_SourceData_Dairy_WjCowsHeifers[Heifers &gt; 1])</f>
        <v>380</v>
      </c>
      <c r="G18" s="75">
        <f>Common_InputFunctions.Utility_LookupValueInTableNumber(X_Cell_Dairy_Breed, Table_SourceData_Dairy_WjCowsHeifers[Breed],Table_SourceData_Dairy_WjCowsHeifers[Heifers &lt; 1 (weaned)])</f>
        <v>155</v>
      </c>
      <c r="H18" s="75" cm="1">
        <f t="array" ref="H18">Table_SourceData_Dairy_WjBulls[Bulls &gt; 1]</f>
        <v>600</v>
      </c>
      <c r="I18" s="75" cm="1">
        <f t="array" ref="I18">Table_SourceData_Dairy_WjBulls[Bulls &lt; 1 (weaned)]</f>
        <v>225</v>
      </c>
      <c r="J18" s="16" t="s">
        <v>339</v>
      </c>
      <c r="K18" s="16"/>
      <c r="L18" s="16"/>
      <c r="M18" s="16"/>
      <c r="N18" s="16"/>
      <c r="S18" s="21"/>
    </row>
    <row r="19" spans="1:19" ht="20.100000000000001" customHeight="1" x14ac:dyDescent="0.2">
      <c r="A19" s="5" t="str">
        <f>HYPERLINK("#'Input - Electricity'!A1", "Electricity")</f>
        <v>Electricity</v>
      </c>
      <c r="D19" s="1" t="s">
        <v>340</v>
      </c>
      <c r="E19" s="75" cm="1">
        <f t="array" ref="E19">Table_SourceData_Dairy_LWGj[Milking cows]</f>
        <v>1.6E-2</v>
      </c>
      <c r="F19" s="75" cm="1">
        <f t="array" ref="F19">Table_SourceData_Dairy_LWGj[Heifers &gt; 1]</f>
        <v>0.6</v>
      </c>
      <c r="G19" s="75" cm="1">
        <f t="array" ref="G19">Table_SourceData_Dairy_LWGj[Heifers &lt; 1 (weaned)]</f>
        <v>0.56999999999999995</v>
      </c>
      <c r="H19" s="75" cm="1">
        <f t="array" ref="H19">Table_SourceData_Dairy_LWGj[Bulls &gt; 1]</f>
        <v>0.1</v>
      </c>
      <c r="I19" s="75" cm="1">
        <f t="array" ref="I19">Table_SourceData_Dairy_LWGj[Bulls &lt; 1 (weaned)]</f>
        <v>0.8</v>
      </c>
      <c r="J19" s="16" t="s">
        <v>341</v>
      </c>
      <c r="K19" s="16"/>
      <c r="L19" s="16"/>
      <c r="M19" s="16"/>
      <c r="N19" s="16"/>
      <c r="S19" s="21"/>
    </row>
    <row r="20" spans="1:19" ht="20.100000000000001" customHeight="1" x14ac:dyDescent="0.2">
      <c r="A20" s="5" t="str">
        <f>HYPERLINK("#'Input - Common farm inputs'!A1", "Common farm inputs")</f>
        <v>Common farm inputs</v>
      </c>
      <c r="S20" s="21"/>
    </row>
    <row r="21" spans="1:19" ht="20.100000000000001" customHeight="1" x14ac:dyDescent="0.2">
      <c r="A21" s="5" t="str">
        <f>HYPERLINK("#'Input - Crop pasture farm input'!A1", "Crop pasture farm input")</f>
        <v>Crop pasture farm input</v>
      </c>
      <c r="D21" s="78" t="s">
        <v>343</v>
      </c>
      <c r="S21" s="21"/>
    </row>
    <row r="22" spans="1:19" ht="20.100000000000001" customHeight="1" x14ac:dyDescent="0.2">
      <c r="A22" s="5" t="str">
        <f>HYPERLINK("#'Input - Livestock farm Inputs'!A1", "Livestock farm Inputs")</f>
        <v>Livestock farm Inputs</v>
      </c>
      <c r="S22" s="21"/>
    </row>
    <row r="23" spans="1:19" ht="20.100000000000001" customHeight="1" x14ac:dyDescent="0.2">
      <c r="A23" s="5" t="str">
        <f>HYPERLINK("#'Input - Freight'!A1", "Freight")</f>
        <v>Freight</v>
      </c>
      <c r="D23" s="99" t="s">
        <v>337</v>
      </c>
      <c r="E23" s="81" t="s">
        <v>330</v>
      </c>
      <c r="F23" s="81" t="s">
        <v>331</v>
      </c>
      <c r="G23" s="81" t="s">
        <v>332</v>
      </c>
      <c r="H23" s="81" t="s">
        <v>333</v>
      </c>
      <c r="I23" s="81" t="s">
        <v>334</v>
      </c>
      <c r="S23" s="21"/>
    </row>
    <row r="24" spans="1:19" ht="20.100000000000001" customHeight="1" x14ac:dyDescent="0.2">
      <c r="A24" s="5" t="str">
        <f>HYPERLINK("#'Input - Solid waste'!A1", "Solid waste")</f>
        <v>Solid waste</v>
      </c>
      <c r="D24" s="1" t="str">
        <f>"Average duration of stay between " &amp; TEXT(X_Cell_Site_StartDate, "dd mmm yy") &amp; " and " &amp; TEXT(X_Cell_Site_EndDate, "dd mmm yy") &amp; " weaned livestock"</f>
        <v>Average duration of stay between 01 Jan 24 and 31 Dec 24 weaned livestock</v>
      </c>
      <c r="E24" s="15" cm="1">
        <f t="array" ref="E24">Common_InputFunctions.Utility_LookupValueInTableNumber(E23,Table_SourceData_Dairy_Duration[Animal class j],Table_SourceData_Dairy_Duration[Duration (weaned)])</f>
        <v>365</v>
      </c>
      <c r="F24" s="15" cm="1">
        <f t="array" ref="F24">Common_InputFunctions.Utility_LookupValueInTableNumber(F23,Table_SourceData_Dairy_Duration[Animal class j],Table_SourceData_Dairy_Duration[Duration (weaned)])</f>
        <v>365</v>
      </c>
      <c r="G24" s="15" cm="1">
        <f t="array" ref="G24">Common_InputFunctions.Utility_LookupValueInTableNumber(G23,Table_SourceData_Dairy_Duration[Animal class j],Table_SourceData_Dairy_Duration[Duration (weaned)])</f>
        <v>281</v>
      </c>
      <c r="H24" s="15" cm="1">
        <f t="array" ref="H24">Common_InputFunctions.Utility_LookupValueInTableNumber(H23,Table_SourceData_Dairy_Duration[Animal class j],Table_SourceData_Dairy_Duration[Duration (weaned)])</f>
        <v>365</v>
      </c>
      <c r="I24" s="15" cm="1">
        <f t="array" ref="I24">Common_InputFunctions.Utility_LookupValueInTableNumber(I23,Table_SourceData_Dairy_Duration[Animal class j],Table_SourceData_Dairy_Duration[Duration (weaned)])</f>
        <v>281</v>
      </c>
      <c r="J24" s="16" t="s">
        <v>112</v>
      </c>
      <c r="K24" s="16"/>
      <c r="L24" s="16"/>
      <c r="M24" s="16"/>
      <c r="N24" s="16"/>
      <c r="S24" s="21"/>
    </row>
    <row r="25" spans="1:19" ht="20.100000000000001" customHeight="1" x14ac:dyDescent="0.2">
      <c r="A25" s="5" t="str">
        <f>HYPERLINK("#'Input - Manure sent off-site'!A1", "Manure sent off-site")</f>
        <v>Manure sent off-site</v>
      </c>
      <c r="D25" s="1" t="str">
        <f>"Average duration of stay between " &amp; TEXT(X_Cell_Site_StartDate, "dd mmm yy") &amp; " and " &amp; TEXT(X_Cell_Site_EndDate, "dd mmm yy") &amp; " pre-weaned livestock"</f>
        <v>Average duration of stay between 01 Jan 24 and 31 Dec 24 pre-weaned livestock</v>
      </c>
      <c r="E25" s="15" cm="1">
        <f t="array" ref="E25">Common_InputFunctions.Utility_LookupValueInTableNumber(E23,Table_SourceData_Dairy_Duration[Animal class j],Table_SourceData_Dairy_Duration[Duration (pre-weaned)])</f>
        <v>0</v>
      </c>
      <c r="F25" s="15" cm="1">
        <f t="array" ref="F25">Common_InputFunctions.Utility_LookupValueInTableNumber(F23,Table_SourceData_Dairy_Duration[Animal class j],Table_SourceData_Dairy_Duration[Duration (pre-weaned)])</f>
        <v>0</v>
      </c>
      <c r="G25" s="15" cm="1">
        <f t="array" ref="G25">Common_InputFunctions.Utility_LookupValueInTableNumber(G23,Table_SourceData_Dairy_Duration[Animal class j],Table_SourceData_Dairy_Duration[Duration (pre-weaned)])</f>
        <v>84</v>
      </c>
      <c r="H25" s="15" cm="1">
        <f t="array" ref="H25">Common_InputFunctions.Utility_LookupValueInTableNumber(H23,Table_SourceData_Dairy_Duration[Animal class j],Table_SourceData_Dairy_Duration[Duration (pre-weaned)])</f>
        <v>0</v>
      </c>
      <c r="I25" s="15" cm="1">
        <f t="array" ref="I25">Common_InputFunctions.Utility_LookupValueInTableNumber(I23,Table_SourceData_Dairy_Duration[Animal class j],Table_SourceData_Dairy_Duration[Duration (pre-weaned)])</f>
        <v>84</v>
      </c>
      <c r="J25" s="16" t="s">
        <v>112</v>
      </c>
      <c r="K25" s="16"/>
      <c r="L25" s="16"/>
      <c r="M25" s="16"/>
      <c r="N25" s="16"/>
      <c r="S25" s="21"/>
    </row>
    <row r="26" spans="1:19" ht="20.100000000000001" customHeight="1" x14ac:dyDescent="0.2">
      <c r="A26" s="5" t="str">
        <f>HYPERLINK("#'Input - Refrigerants'!A1", "Refrigerants")</f>
        <v>Refrigerants</v>
      </c>
      <c r="S26" s="21"/>
    </row>
    <row r="27" spans="1:19" ht="20.100000000000001" customHeight="1" x14ac:dyDescent="0.2">
      <c r="A27" s="5" t="str">
        <f>HYPERLINK("#'Input - Data quality'!A1", "Data quality")</f>
        <v>Data quality</v>
      </c>
      <c r="D27" s="99" t="s">
        <v>342</v>
      </c>
      <c r="E27" s="81" t="s">
        <v>330</v>
      </c>
      <c r="F27" s="81" t="s">
        <v>331</v>
      </c>
      <c r="G27" s="81" t="s">
        <v>332</v>
      </c>
      <c r="H27" s="81" t="s">
        <v>333</v>
      </c>
      <c r="I27" s="81" t="s">
        <v>334</v>
      </c>
      <c r="S27" s="21"/>
    </row>
    <row r="28" spans="1:19" ht="20.100000000000001" customHeight="1" x14ac:dyDescent="0.2">
      <c r="D28" s="1" t="str">
        <f>"Average duration of stay between " &amp; TEXT(X_Cell_Site_StartDate, "dd mmm yy") &amp; " and " &amp; TEXT(X_Cell_Site_EndDate, "dd mmm yy") &amp; " weaned livestock"</f>
        <v>Average duration of stay between 01 Jan 24 and 31 Dec 24 weaned livestock</v>
      </c>
      <c r="E28" s="75" cm="1">
        <f t="array" ref="E28">Common_InputFunctions.Utility_LookupValueInTableNumber(E27,Table_SourceData_Dairy_Duration[Animal class j],Table_SourceData_Dairy_Duration[Duration (weaned)])</f>
        <v>365</v>
      </c>
      <c r="F28" s="75" cm="1">
        <f t="array" ref="F28">Common_InputFunctions.Utility_LookupValueInTableNumber(F27,Table_SourceData_Dairy_Duration[Animal class j],Table_SourceData_Dairy_Duration[Duration (weaned)])</f>
        <v>365</v>
      </c>
      <c r="G28" s="75" cm="1">
        <f t="array" ref="G28">Common_InputFunctions.Utility_LookupValueInTableNumber(G27,Table_SourceData_Dairy_Duration[Animal class j],Table_SourceData_Dairy_Duration[Duration (weaned)])</f>
        <v>281</v>
      </c>
      <c r="H28" s="75" cm="1">
        <f t="array" ref="H28">Common_InputFunctions.Utility_LookupValueInTableNumber(H27,Table_SourceData_Dairy_Duration[Animal class j],Table_SourceData_Dairy_Duration[Duration (weaned)])</f>
        <v>365</v>
      </c>
      <c r="I28" s="75" cm="1">
        <f t="array" ref="I28">Common_InputFunctions.Utility_LookupValueInTableNumber(I27,Table_SourceData_Dairy_Duration[Animal class j],Table_SourceData_Dairy_Duration[Duration (weaned)])</f>
        <v>281</v>
      </c>
      <c r="J28" s="16" t="s">
        <v>112</v>
      </c>
      <c r="K28" s="16"/>
      <c r="L28" s="16"/>
      <c r="M28" s="16"/>
      <c r="N28" s="16"/>
      <c r="S28" s="21"/>
    </row>
    <row r="29" spans="1:19" ht="20.100000000000001" customHeight="1" x14ac:dyDescent="0.2">
      <c r="D29" s="1" t="str">
        <f>"Average duration of stay between " &amp; TEXT(X_Cell_Site_StartDate, "dd mmm yy") &amp; " and " &amp; TEXT(X_Cell_Site_EndDate, "dd mmm yy") &amp; " pre-weaned livestock"</f>
        <v>Average duration of stay between 01 Jan 24 and 31 Dec 24 pre-weaned livestock</v>
      </c>
      <c r="E29" s="15">
        <f>365-E28</f>
        <v>0</v>
      </c>
      <c r="F29" s="15">
        <f t="shared" ref="F29:I29" si="0">365-F28</f>
        <v>0</v>
      </c>
      <c r="G29" s="15">
        <f t="shared" si="0"/>
        <v>84</v>
      </c>
      <c r="H29" s="15">
        <f t="shared" si="0"/>
        <v>0</v>
      </c>
      <c r="I29" s="15">
        <f t="shared" si="0"/>
        <v>84</v>
      </c>
      <c r="J29" s="16" t="s">
        <v>112</v>
      </c>
      <c r="K29" s="16"/>
      <c r="L29" s="16"/>
      <c r="M29" s="16"/>
      <c r="N29" s="16"/>
      <c r="S29" s="21"/>
    </row>
    <row r="30" spans="1:19" ht="20.100000000000001" customHeight="1" x14ac:dyDescent="0.2">
      <c r="A30" s="6" t="s">
        <v>2</v>
      </c>
      <c r="S30" s="21"/>
    </row>
    <row r="31" spans="1:19" ht="20.100000000000001" customHeight="1" x14ac:dyDescent="0.2">
      <c r="A31" s="5" t="str">
        <f>HYPERLINK("#'3.3.1.1-2 Enteric Methane'!A1", "3.3.1.1-2 Enteric methane")</f>
        <v>3.3.1.1-2 Enteric methane</v>
      </c>
      <c r="S31" s="21"/>
    </row>
    <row r="32" spans="1:19" ht="20.100000000000001" customHeight="1" x14ac:dyDescent="0.2">
      <c r="A32" s="5" t="str">
        <f>HYPERLINK("#'4.3.1.1-2 Methane'!A1", "4.3.1.1-2 Manure methane")</f>
        <v>4.3.1.1-2 Manure methane</v>
      </c>
      <c r="C32" s="88"/>
      <c r="D32" s="88"/>
      <c r="E32" s="88"/>
      <c r="F32" s="88"/>
      <c r="G32" s="88"/>
      <c r="H32" s="88"/>
      <c r="I32" s="88"/>
      <c r="J32" s="88"/>
      <c r="K32" s="88"/>
      <c r="L32" s="88"/>
      <c r="M32" s="88"/>
      <c r="N32" s="88"/>
      <c r="O32" s="88"/>
      <c r="S32" s="21"/>
    </row>
    <row r="33" spans="1:19" ht="20.100000000000001" customHeight="1" x14ac:dyDescent="0.2">
      <c r="A33" s="5" t="str">
        <f>HYPERLINK("#'4.3.1.3-4 Direct N20'!A1", "4.3.1.3-4 Direct N20")</f>
        <v>4.3.1.3-4 Direct N20</v>
      </c>
      <c r="D33" s="2" t="s">
        <v>344</v>
      </c>
      <c r="S33" s="21"/>
    </row>
    <row r="34" spans="1:19" ht="20.100000000000001" customHeight="1" x14ac:dyDescent="0.2">
      <c r="A34" s="5" t="str">
        <f>HYPERLINK("#'4.3.1.5 Atmos deposition'!A1", "4.3.1.5 Atmos deposition")</f>
        <v>4.3.1.5 Atmos deposition</v>
      </c>
      <c r="D34" s="78"/>
      <c r="S34" s="21"/>
    </row>
    <row r="35" spans="1:19" ht="20.100000000000001" customHeight="1" x14ac:dyDescent="0.2">
      <c r="A35" s="5" t="str">
        <f>HYPERLINK("#'4.3.1.6-7 Leaching and runoff'!A1", "4.3.1.6-7 Leaching &amp; runoff")</f>
        <v>4.3.1.6-7 Leaching &amp; runoff</v>
      </c>
      <c r="D35" s="99" t="s">
        <v>337</v>
      </c>
      <c r="E35" s="81" t="s">
        <v>330</v>
      </c>
      <c r="F35" s="81" t="s">
        <v>331</v>
      </c>
      <c r="G35" s="81" t="s">
        <v>332</v>
      </c>
      <c r="H35" s="81" t="s">
        <v>333</v>
      </c>
      <c r="I35" s="81" t="s">
        <v>334</v>
      </c>
      <c r="S35" s="21"/>
    </row>
    <row r="36" spans="1:19" ht="20.100000000000001" customHeight="1" x14ac:dyDescent="0.2">
      <c r="A36" s="5" t="str">
        <f>HYPERLINK("#'4.3.1.8 Manure applied to soils'!A1", "4.3.1.8 Manure applied to soils")</f>
        <v>4.3.1.8 Manure applied to soils</v>
      </c>
      <c r="D36" s="1" t="s">
        <v>345</v>
      </c>
      <c r="E36" s="15">
        <f>SourceData_Dairy_DryMatterDigestibility_Data</f>
        <v>0.75</v>
      </c>
      <c r="F36" s="15">
        <f>SourceData_Dairy_DryMatterDigestibility_Data</f>
        <v>0.75</v>
      </c>
      <c r="G36" s="15">
        <f>SourceData_Dairy_DryMatterDigestibility_Data</f>
        <v>0.75</v>
      </c>
      <c r="H36" s="15">
        <f>SourceData_Dairy_DryMatterDigestibility_Data</f>
        <v>0.75</v>
      </c>
      <c r="I36" s="15">
        <f>SourceData_Dairy_DryMatterDigestibility_Data</f>
        <v>0.75</v>
      </c>
      <c r="J36" s="16" t="s">
        <v>346</v>
      </c>
      <c r="K36" s="16"/>
      <c r="L36" s="16"/>
      <c r="M36" s="16"/>
      <c r="N36" s="16"/>
      <c r="S36" s="21"/>
    </row>
    <row r="37" spans="1:19" ht="20.100000000000001" customHeight="1" x14ac:dyDescent="0.2">
      <c r="A37" s="5" t="str">
        <f>HYPERLINK("#'4.3.1.9 Soil direct N2O'!A1", "4.3.1.9 Soil direct N2O")</f>
        <v>4.3.1.9 Soil direct N2O</v>
      </c>
      <c r="D37" s="1" t="s">
        <v>347</v>
      </c>
      <c r="E37" s="15">
        <f>SourceData_Dairy_CrudeProtein_Data</f>
        <v>0.2</v>
      </c>
      <c r="F37" s="15">
        <f>SourceData_Dairy_CrudeProtein_Data</f>
        <v>0.2</v>
      </c>
      <c r="G37" s="15">
        <f>SourceData_Dairy_CrudeProtein_Data</f>
        <v>0.2</v>
      </c>
      <c r="H37" s="15">
        <f>SourceData_Dairy_CrudeProtein_Data</f>
        <v>0.2</v>
      </c>
      <c r="I37" s="15">
        <f>SourceData_Dairy_CrudeProtein_Data</f>
        <v>0.2</v>
      </c>
      <c r="J37" s="16" t="s">
        <v>346</v>
      </c>
      <c r="L37" s="16"/>
      <c r="M37" s="16"/>
      <c r="N37" s="16"/>
      <c r="S37" s="21"/>
    </row>
    <row r="38" spans="1:19" ht="20.100000000000001" customHeight="1" x14ac:dyDescent="0.2">
      <c r="A38" s="5" t="str">
        <f>HYPERLINK("#'4.3.1.10-11 Soil Atmos Dep'!A1", "4.3.1.10-11 Soil Atmos Deposition")</f>
        <v>4.3.1.10-11 Soil Atmos Deposition</v>
      </c>
      <c r="M38" s="16"/>
      <c r="N38" s="16"/>
      <c r="S38" s="21"/>
    </row>
    <row r="39" spans="1:19" ht="20.100000000000001" customHeight="1" x14ac:dyDescent="0.2">
      <c r="A39" s="5" t="str">
        <f>HYPERLINK("#'4.3.1.12-13 Soil leach runoff'!A1", "4.3.1.12-13 Soil leach &amp; runoff")</f>
        <v>4.3.1.12-13 Soil leach &amp; runoff</v>
      </c>
      <c r="D39" s="99" t="s">
        <v>342</v>
      </c>
      <c r="E39" s="81" t="s">
        <v>330</v>
      </c>
      <c r="F39" s="81" t="s">
        <v>331</v>
      </c>
      <c r="G39" s="81" t="s">
        <v>332</v>
      </c>
      <c r="H39" s="81" t="s">
        <v>333</v>
      </c>
      <c r="I39" s="81" t="s">
        <v>334</v>
      </c>
      <c r="S39" s="21"/>
    </row>
    <row r="40" spans="1:19" ht="20.100000000000001" customHeight="1" x14ac:dyDescent="0.2">
      <c r="A40" s="5" t="str">
        <f>HYPERLINK("#'5.1.1.1-2 Inorganic fert N2O'!A1", "5.1.1.1-2 Inorganic fert N2O")</f>
        <v>5.1.1.1-2 Inorganic fert N2O</v>
      </c>
      <c r="D40" s="1" t="s">
        <v>345</v>
      </c>
      <c r="E40" s="75">
        <f>SourceData_Dairy_DryMatterDigestibility_Data</f>
        <v>0.75</v>
      </c>
      <c r="F40" s="75">
        <f>SourceData_Dairy_DryMatterDigestibility_Data</f>
        <v>0.75</v>
      </c>
      <c r="G40" s="75">
        <f>SourceData_Dairy_DryMatterDigestibility_Data</f>
        <v>0.75</v>
      </c>
      <c r="H40" s="75">
        <f>SourceData_Dairy_DryMatterDigestibility_Data</f>
        <v>0.75</v>
      </c>
      <c r="I40" s="75">
        <f>SourceData_Dairy_DryMatterDigestibility_Data</f>
        <v>0.75</v>
      </c>
      <c r="J40" s="16" t="s">
        <v>346</v>
      </c>
      <c r="K40" s="16"/>
      <c r="S40" s="21"/>
    </row>
    <row r="41" spans="1:19" ht="20.100000000000001" customHeight="1" x14ac:dyDescent="0.2">
      <c r="A41" s="5" t="str">
        <f>HYPERLINK("#'5.1.1.3-4 Inorganic fert CO2'!A1", "5.1.1.3-4 Inorganic fert CO2")</f>
        <v>5.1.1.3-4 Inorganic fert CO2</v>
      </c>
      <c r="D41" s="1" t="s">
        <v>347</v>
      </c>
      <c r="E41" s="75">
        <f>SourceData_Dairy_CrudeProtein_Data</f>
        <v>0.2</v>
      </c>
      <c r="F41" s="75">
        <f>SourceData_Dairy_CrudeProtein_Data</f>
        <v>0.2</v>
      </c>
      <c r="G41" s="75">
        <f>SourceData_Dairy_CrudeProtein_Data</f>
        <v>0.2</v>
      </c>
      <c r="H41" s="75">
        <f>SourceData_Dairy_CrudeProtein_Data</f>
        <v>0.2</v>
      </c>
      <c r="I41" s="75">
        <f>SourceData_Dairy_CrudeProtein_Data</f>
        <v>0.2</v>
      </c>
      <c r="J41" s="16" t="s">
        <v>346</v>
      </c>
      <c r="L41" s="16"/>
      <c r="S41" s="21"/>
    </row>
    <row r="42" spans="1:19" ht="20.100000000000001" customHeight="1" x14ac:dyDescent="0.2">
      <c r="A42" s="5" t="str">
        <f>HYPERLINK("#'5.2.1.1-2 Organic Fert N2O'!A1", "5.2.1.1-2 Organic fert N2O")</f>
        <v>5.2.1.1-2 Organic fert N2O</v>
      </c>
      <c r="L42" s="16"/>
      <c r="M42" s="16"/>
      <c r="N42" s="16"/>
      <c r="S42" s="21"/>
    </row>
    <row r="43" spans="1:19" ht="20.100000000000001" customHeight="1" x14ac:dyDescent="0.2">
      <c r="A43" s="5" t="str">
        <f>HYPERLINK("#'5.3.1.1-2 Lime CO2'!A1", "5.3.1.1-2 Lime CO2")</f>
        <v>5.3.1.1-2 Lime CO2</v>
      </c>
      <c r="S43" s="21"/>
    </row>
    <row r="44" spans="1:19" ht="20.100000000000001" customHeight="1" x14ac:dyDescent="0.2">
      <c r="A44" s="5" t="str">
        <f>HYPERLINK("#'5.4.1.1-4 Atmos deposition'!A1", "5.4.1.1-4 Atmos. deposition")</f>
        <v>5.4.1.1-4 Atmos. deposition</v>
      </c>
      <c r="C44" s="88"/>
      <c r="D44" s="88"/>
      <c r="E44" s="88"/>
      <c r="F44" s="88"/>
      <c r="G44" s="88"/>
      <c r="H44" s="88"/>
      <c r="I44" s="88"/>
      <c r="J44" s="88"/>
      <c r="K44" s="88"/>
      <c r="L44" s="88"/>
      <c r="M44" s="88"/>
      <c r="N44" s="88"/>
      <c r="O44" s="88"/>
      <c r="S44" s="21"/>
    </row>
    <row r="45" spans="1:19" ht="20.100000000000001" customHeight="1" x14ac:dyDescent="0.2">
      <c r="A45" s="5" t="str">
        <f>HYPERLINK("#'5.5.1.1-2 Leaching and runoff'!A1", "5.5.1.1-2 Leaching &amp; runoff")</f>
        <v>5.5.1.1-2 Leaching &amp; runoff</v>
      </c>
      <c r="D45" s="2" t="s">
        <v>348</v>
      </c>
      <c r="E45" s="24"/>
      <c r="F45" s="24"/>
      <c r="G45" s="24"/>
      <c r="H45" s="24"/>
      <c r="I45" s="24"/>
      <c r="J45" s="24"/>
      <c r="K45" s="24"/>
      <c r="L45" s="24"/>
      <c r="M45" s="24"/>
      <c r="N45" s="24"/>
      <c r="S45" s="21"/>
    </row>
    <row r="46" spans="1:19" ht="20.100000000000001" customHeight="1" x14ac:dyDescent="0.2">
      <c r="A46" s="5" t="str">
        <f>HYPERLINK("#'6.2.1.1-2 Pasture residue N2O'!A1", "6.2.1.1-2 Pasture residue N2O")</f>
        <v>6.2.1.1-2 Pasture residue N2O</v>
      </c>
      <c r="G46" s="2"/>
      <c r="H46" s="2"/>
      <c r="I46" s="2"/>
      <c r="J46" s="102"/>
      <c r="K46" s="102"/>
      <c r="L46" s="102"/>
      <c r="M46" s="102"/>
      <c r="N46" s="102"/>
      <c r="S46" s="21"/>
    </row>
    <row r="47" spans="1:19" ht="20.100000000000001" customHeight="1" x14ac:dyDescent="0.2">
      <c r="A47" s="5" t="str">
        <f>HYPERLINK("#'6.3.1.1-2 Leach runoff pasture'!A1", "6.3.1.1-2 Leach &amp; runoff (pasture)")</f>
        <v>6.3.1.1-2 Leach &amp; runoff (pasture)</v>
      </c>
      <c r="D47" s="1" t="s">
        <v>349</v>
      </c>
      <c r="E47" s="13" t="s">
        <v>350</v>
      </c>
      <c r="F47" s="16" t="s">
        <v>100</v>
      </c>
      <c r="S47" s="21"/>
    </row>
    <row r="48" spans="1:19" ht="20.100000000000001" customHeight="1" x14ac:dyDescent="0.2">
      <c r="A48" s="5" t="str">
        <f>HYPERLINK("#'8.1.1.1-2 Transport fuel'!A1", "8.1.1.1-2 Transport fuel")</f>
        <v>8.1.1.1-2 Transport fuel</v>
      </c>
      <c r="S48" s="21"/>
    </row>
    <row r="49" spans="1:19" ht="20.100000000000001" customHeight="1" x14ac:dyDescent="0.2">
      <c r="A49" s="5" t="str">
        <f>HYPERLINK("#'8.2.1.1-2 Stationary fuel'!A1", "8.2.1.1-2 Stationary fuel")</f>
        <v>8.2.1.1-2 Stationary fuel</v>
      </c>
      <c r="E49" s="81" t="s">
        <v>330</v>
      </c>
      <c r="S49" s="21"/>
    </row>
    <row r="50" spans="1:19" ht="20.100000000000001" customHeight="1" x14ac:dyDescent="0.2">
      <c r="A50" s="5" t="str">
        <f>HYPERLINK("#'9.1.1.1-2 Refrigerant use'!A1", "9.1.1.1-2 Refrigerant use")</f>
        <v>9.1.1.1-2 Refrigerant use</v>
      </c>
      <c r="D50" s="1" t="s">
        <v>351</v>
      </c>
      <c r="E50" s="75">
        <v>20</v>
      </c>
      <c r="F50" s="16" t="str">
        <f>IF(X_Cell_Dairy_MilkProductionUnit="Litres of milk", "litres/head/day", "kg milk solids/head/day")</f>
        <v>litres/head/day</v>
      </c>
      <c r="S50" s="21"/>
    </row>
    <row r="51" spans="1:19" ht="20.100000000000001" customHeight="1" x14ac:dyDescent="0.2">
      <c r="A51" s="5" t="str">
        <f>HYPERLINK("#'10.1.1-2 Solid waste treatment'!A1", "10.1.1.1-2 Solid waste")</f>
        <v>10.1.1.1-2 Solid waste</v>
      </c>
      <c r="E51" s="2"/>
      <c r="F51" s="2"/>
      <c r="S51" s="21"/>
    </row>
    <row r="52" spans="1:19" ht="20.100000000000001" customHeight="1" x14ac:dyDescent="0.2">
      <c r="A52" s="5" t="str">
        <f>HYPERLINK("#'14.1.1-2 Purchased electricity'!A1", "14.1.1-2 Purchased electricity")</f>
        <v>14.1.1-2 Purchased electricity</v>
      </c>
      <c r="D52" s="76" t="s">
        <v>352</v>
      </c>
      <c r="E52" s="81" t="s">
        <v>353</v>
      </c>
      <c r="F52" s="81" t="s">
        <v>354</v>
      </c>
      <c r="S52" s="21"/>
    </row>
    <row r="53" spans="1:19" ht="20.100000000000001" customHeight="1" x14ac:dyDescent="0.2">
      <c r="A53" s="5" t="str">
        <f>HYPERLINK("#'15 Scope 3'!A1", "15 Scope 3")</f>
        <v>15 Scope 3</v>
      </c>
      <c r="D53" s="1" t="s">
        <v>355</v>
      </c>
      <c r="E53" s="103">
        <f>SourceData_Dairy_FatContentInMilk_Data/100</f>
        <v>0.04</v>
      </c>
      <c r="F53" s="104">
        <f>SourceData_Dairy_FatContentInMilk_Data/100</f>
        <v>0.04</v>
      </c>
      <c r="G53" s="16" t="s">
        <v>147</v>
      </c>
      <c r="S53" s="21"/>
    </row>
    <row r="54" spans="1:19" ht="20.100000000000001" customHeight="1" x14ac:dyDescent="0.2">
      <c r="A54" s="5" t="str">
        <f>HYPERLINK("#'Calcs - Manure sent off-site'!A1", "Calcs - Manure sent off-site")</f>
        <v>Calcs - Manure sent off-site</v>
      </c>
      <c r="D54" s="1" t="s">
        <v>356</v>
      </c>
      <c r="E54" s="103">
        <f>SourceData_Dairy_ProteinContentInMilk_Data/100</f>
        <v>3.3000000000000002E-2</v>
      </c>
      <c r="F54" s="104">
        <f>SourceData_Dairy_ProteinContentInMilk_Data/100</f>
        <v>3.3000000000000002E-2</v>
      </c>
      <c r="G54" s="16" t="s">
        <v>147</v>
      </c>
      <c r="S54" s="21"/>
    </row>
    <row r="55" spans="1:19" ht="20.100000000000001" customHeight="1" x14ac:dyDescent="0.2">
      <c r="S55" s="21"/>
    </row>
    <row r="56" spans="1:19" ht="20.100000000000001" customHeight="1" x14ac:dyDescent="0.2">
      <c r="S56" s="21"/>
    </row>
    <row r="57" spans="1:19" ht="20.100000000000001" customHeight="1" x14ac:dyDescent="0.2">
      <c r="A57" s="82" t="s">
        <v>1</v>
      </c>
      <c r="C57" s="88"/>
      <c r="D57" s="88"/>
      <c r="E57" s="88"/>
      <c r="F57" s="88"/>
      <c r="G57" s="88"/>
      <c r="H57" s="88"/>
      <c r="I57" s="88"/>
      <c r="J57" s="88"/>
      <c r="K57" s="88"/>
      <c r="L57" s="88"/>
      <c r="M57" s="88"/>
      <c r="N57" s="88"/>
      <c r="O57" s="88"/>
      <c r="S57" s="21"/>
    </row>
    <row r="58" spans="1:19" ht="20.100000000000001" customHeight="1" x14ac:dyDescent="0.2">
      <c r="A58" s="5" t="str">
        <f>HYPERLINK("#'Constants - Dairy'!A1", "Constants - Dairy")</f>
        <v>Constants - Dairy</v>
      </c>
      <c r="D58" s="2" t="s">
        <v>357</v>
      </c>
      <c r="S58" s="21"/>
    </row>
    <row r="59" spans="1:19" ht="20.100000000000001" customHeight="1" x14ac:dyDescent="0.2">
      <c r="A59" s="5" t="str">
        <f>HYPERLINK("#'Constants - Ag Residue'!A1", "Constants - Ag residue")</f>
        <v>Constants - Ag residue</v>
      </c>
      <c r="D59" s="78" t="s">
        <v>358</v>
      </c>
      <c r="S59" s="21"/>
    </row>
    <row r="60" spans="1:19" ht="20.100000000000001" customHeight="1" x14ac:dyDescent="0.2">
      <c r="A60" s="5" t="str">
        <f>HYPERLINK("#'Constants - Common Livestock'!A1", "Constants - Common Livestock")</f>
        <v>Constants - Common Livestock</v>
      </c>
      <c r="D60" s="1" t="s">
        <v>359</v>
      </c>
      <c r="E60" s="13" t="s">
        <v>360</v>
      </c>
      <c r="F60" s="16" t="s">
        <v>100</v>
      </c>
      <c r="O60" s="24"/>
      <c r="S60" s="21"/>
    </row>
    <row r="61" spans="1:19" ht="20.100000000000001" customHeight="1" x14ac:dyDescent="0.2">
      <c r="A61" s="5" t="str">
        <f>HYPERLINK("#'Constants - Electricity'!A1", "Constants - Electricity")</f>
        <v>Constants - Electricity</v>
      </c>
      <c r="O61" s="24"/>
      <c r="S61" s="21"/>
    </row>
    <row r="62" spans="1:19" ht="20.100000000000001" customHeight="1" x14ac:dyDescent="0.2">
      <c r="A62" s="5" t="str">
        <f>HYPERLINK("#'Constants - Fertiliser'!A1", "Constants - Fertiliser")</f>
        <v>Constants - Fertiliser</v>
      </c>
      <c r="D62" s="99" t="s">
        <v>337</v>
      </c>
      <c r="E62" s="81" t="s">
        <v>330</v>
      </c>
      <c r="F62" s="81" t="s">
        <v>331</v>
      </c>
      <c r="G62" s="81" t="s">
        <v>332</v>
      </c>
      <c r="H62" s="81" t="s">
        <v>333</v>
      </c>
      <c r="I62" s="81" t="s">
        <v>334</v>
      </c>
      <c r="O62" s="24"/>
      <c r="S62" s="21"/>
    </row>
    <row r="63" spans="1:19" ht="20.100000000000001" customHeight="1" x14ac:dyDescent="0.2">
      <c r="A63" s="5" t="str">
        <f>HYPERLINK("#'Constants - Fuel'!A1", "Constants - Fuel")</f>
        <v>Constants - Fuel</v>
      </c>
      <c r="D63" s="1" t="s">
        <v>162</v>
      </c>
      <c r="E63" s="103">
        <f>Common_InputFunctions.Utility_LookupValueInTableNumber(X_Cell_Dairy_ProductionSystemTemplate, Table_SourceData_Dairy_ProductionSystemTemplates[Area],Table_SourceData_Dairy_ProductionSystemTemplates[Pasture])</f>
        <v>0.53400000000000003</v>
      </c>
      <c r="F63" s="103">
        <f>Common_InputFunctions.Utility_LookupValueInTableNumber(X_Cell_Dairy_ProductionSystemTemplate, Table_SourceData_Dairy_ProductionSystemTemplates[Area],Table_SourceData_Dairy_ProductionSystemTemplates[Pasture])</f>
        <v>0.53400000000000003</v>
      </c>
      <c r="G63" s="103">
        <f>Common_InputFunctions.Utility_LookupValueInTableNumber(X_Cell_Dairy_ProductionSystemTemplate, Table_SourceData_Dairy_ProductionSystemTemplates[Area],Table_SourceData_Dairy_ProductionSystemTemplates[Pasture])</f>
        <v>0.53400000000000003</v>
      </c>
      <c r="H63" s="103">
        <f>Common_InputFunctions.Utility_LookupValueInTableNumber(X_Cell_Dairy_ProductionSystemTemplate, Table_SourceData_Dairy_ProductionSystemTemplates[Area],Table_SourceData_Dairy_ProductionSystemTemplates[Pasture])</f>
        <v>0.53400000000000003</v>
      </c>
      <c r="I63" s="103">
        <f>Common_InputFunctions.Utility_LookupValueInTableNumber(X_Cell_Dairy_ProductionSystemTemplate, Table_SourceData_Dairy_ProductionSystemTemplates[Area],Table_SourceData_Dairy_ProductionSystemTemplates[Pasture])</f>
        <v>0.53400000000000003</v>
      </c>
      <c r="J63" s="16" t="s">
        <v>361</v>
      </c>
      <c r="K63" s="16"/>
      <c r="L63" s="16"/>
      <c r="M63" s="16"/>
      <c r="N63" s="16"/>
      <c r="O63" s="24"/>
      <c r="S63" s="21"/>
    </row>
    <row r="64" spans="1:19" ht="20.100000000000001" customHeight="1" x14ac:dyDescent="0.2">
      <c r="A64" s="5" t="str">
        <f>HYPERLINK("#'Constants - Scope 3'!A1", "Constants - Scope 3")</f>
        <v>Constants - Scope 3</v>
      </c>
      <c r="D64" s="1" t="s">
        <v>362</v>
      </c>
      <c r="E64" s="103">
        <f>Common_InputFunctions.Utility_LookupValueInTableNumber(X_Cell_Dairy_ProductionSystemTemplate, Table_SourceData_Dairy_ProductionSystemTemplates[Area],Table_SourceData_Dairy_ProductionSystemTemplates[Milking shed])</f>
        <v>0.11</v>
      </c>
      <c r="F64" s="103">
        <f>Common_InputFunctions.Utility_LookupValueInTableNumber(X_Cell_Dairy_ProductionSystemTemplate, Table_SourceData_Dairy_ProductionSystemTemplates[Area],Table_SourceData_Dairy_ProductionSystemTemplates[Milking shed])</f>
        <v>0.11</v>
      </c>
      <c r="G64" s="103">
        <f>Common_InputFunctions.Utility_LookupValueInTableNumber(X_Cell_Dairy_ProductionSystemTemplate, Table_SourceData_Dairy_ProductionSystemTemplates[Area],Table_SourceData_Dairy_ProductionSystemTemplates[Milking shed])</f>
        <v>0.11</v>
      </c>
      <c r="H64" s="103">
        <f>Common_InputFunctions.Utility_LookupValueInTableNumber(X_Cell_Dairy_ProductionSystemTemplate, Table_SourceData_Dairy_ProductionSystemTemplates[Area],Table_SourceData_Dairy_ProductionSystemTemplates[Milking shed])</f>
        <v>0.11</v>
      </c>
      <c r="I64" s="103">
        <f>Common_InputFunctions.Utility_LookupValueInTableNumber(X_Cell_Dairy_ProductionSystemTemplate, Table_SourceData_Dairy_ProductionSystemTemplates[Area],Table_SourceData_Dairy_ProductionSystemTemplates[Milking shed])</f>
        <v>0.11</v>
      </c>
      <c r="J64" s="16" t="s">
        <v>361</v>
      </c>
      <c r="K64" s="16"/>
      <c r="L64" s="16"/>
      <c r="M64" s="16"/>
      <c r="N64" s="16"/>
      <c r="O64" s="24"/>
      <c r="S64" s="21"/>
    </row>
    <row r="65" spans="1:19" ht="20.100000000000001" customHeight="1" x14ac:dyDescent="0.2">
      <c r="A65" s="5" t="str">
        <f>HYPERLINK("#'Constants - Common'!A1", "Constants - Common")</f>
        <v>Constants - Common</v>
      </c>
      <c r="D65" s="1" t="s">
        <v>363</v>
      </c>
      <c r="E65" s="103">
        <f>Common_InputFunctions.Utility_LookupValueInTableNumber(X_Cell_Dairy_ProductionSystemTemplate, Table_SourceData_Dairy_ProductionSystemTemplates[Area],Table_SourceData_Dairy_ProductionSystemTemplates[Feedpad])</f>
        <v>0.35599999999999998</v>
      </c>
      <c r="F65" s="103">
        <f>Common_InputFunctions.Utility_LookupValueInTableNumber(X_Cell_Dairy_ProductionSystemTemplate, Table_SourceData_Dairy_ProductionSystemTemplates[Area],Table_SourceData_Dairy_ProductionSystemTemplates[Feedpad])</f>
        <v>0.35599999999999998</v>
      </c>
      <c r="G65" s="103">
        <f>Common_InputFunctions.Utility_LookupValueInTableNumber(X_Cell_Dairy_ProductionSystemTemplate, Table_SourceData_Dairy_ProductionSystemTemplates[Area],Table_SourceData_Dairy_ProductionSystemTemplates[Feedpad])</f>
        <v>0.35599999999999998</v>
      </c>
      <c r="H65" s="103">
        <f>Common_InputFunctions.Utility_LookupValueInTableNumber(X_Cell_Dairy_ProductionSystemTemplate, Table_SourceData_Dairy_ProductionSystemTemplates[Area],Table_SourceData_Dairy_ProductionSystemTemplates[Feedpad])</f>
        <v>0.35599999999999998</v>
      </c>
      <c r="I65" s="103">
        <f>Common_InputFunctions.Utility_LookupValueInTableNumber(X_Cell_Dairy_ProductionSystemTemplate, Table_SourceData_Dairy_ProductionSystemTemplates[Area],Table_SourceData_Dairy_ProductionSystemTemplates[Feedpad])</f>
        <v>0.35599999999999998</v>
      </c>
      <c r="J65" s="16" t="s">
        <v>361</v>
      </c>
      <c r="K65" s="16"/>
      <c r="L65" s="16"/>
      <c r="M65" s="16"/>
      <c r="N65" s="16"/>
      <c r="O65" s="24"/>
    </row>
    <row r="66" spans="1:19" ht="20.100000000000001" customHeight="1" x14ac:dyDescent="0.2">
      <c r="A66" s="5" t="str">
        <f>HYPERLINK("#'Constants - Refrigerants'!A1", "Constants - Refrigerants")</f>
        <v>Constants - Refrigerants</v>
      </c>
      <c r="O66" s="24"/>
    </row>
    <row r="67" spans="1:19" ht="20.100000000000001" customHeight="1" x14ac:dyDescent="0.2">
      <c r="A67" s="5" t="str">
        <f>HYPERLINK("#'Constants - Solid Waste'!A1", "Constants - Solid Waste")</f>
        <v>Constants - Solid Waste</v>
      </c>
      <c r="D67" s="99" t="s">
        <v>342</v>
      </c>
      <c r="E67" s="81" t="s">
        <v>330</v>
      </c>
      <c r="F67" s="81" t="s">
        <v>331</v>
      </c>
      <c r="G67" s="81" t="s">
        <v>332</v>
      </c>
      <c r="H67" s="81" t="s">
        <v>333</v>
      </c>
      <c r="I67" s="81" t="s">
        <v>334</v>
      </c>
      <c r="O67" s="24"/>
    </row>
    <row r="68" spans="1:19" ht="20.100000000000001" customHeight="1" x14ac:dyDescent="0.2">
      <c r="A68" s="5" t="str">
        <f>HYPERLINK("#'Acknowledgements'!A1", "Acknowledgements")</f>
        <v>Acknowledgements</v>
      </c>
      <c r="D68" s="1" t="s">
        <v>162</v>
      </c>
      <c r="E68" s="105">
        <f>Common_InputFunctions.Utility_LookupValueInTableNumber(X_Cell_Dairy_ProductionSystemTemplate, Table_SourceData_Dairy_ProductionSystemTemplates[Area],Table_SourceData_Dairy_ProductionSystemTemplates[Pasture])</f>
        <v>0.53400000000000003</v>
      </c>
      <c r="F68" s="105">
        <f>Common_InputFunctions.Utility_LookupValueInTableNumber(X_Cell_Dairy_ProductionSystemTemplate, Table_SourceData_Dairy_ProductionSystemTemplates[Area],Table_SourceData_Dairy_ProductionSystemTemplates[Pasture])</f>
        <v>0.53400000000000003</v>
      </c>
      <c r="G68" s="105">
        <f>Common_InputFunctions.Utility_LookupValueInTableNumber(X_Cell_Dairy_ProductionSystemTemplate, Table_SourceData_Dairy_ProductionSystemTemplates[Area],Table_SourceData_Dairy_ProductionSystemTemplates[Pasture])</f>
        <v>0.53400000000000003</v>
      </c>
      <c r="H68" s="105">
        <f>Common_InputFunctions.Utility_LookupValueInTableNumber(X_Cell_Dairy_ProductionSystemTemplate, Table_SourceData_Dairy_ProductionSystemTemplates[Area],Table_SourceData_Dairy_ProductionSystemTemplates[Pasture])</f>
        <v>0.53400000000000003</v>
      </c>
      <c r="I68" s="105">
        <f>Common_InputFunctions.Utility_LookupValueInTableNumber(X_Cell_Dairy_ProductionSystemTemplate, Table_SourceData_Dairy_ProductionSystemTemplates[Area],Table_SourceData_Dairy_ProductionSystemTemplates[Pasture])</f>
        <v>0.53400000000000003</v>
      </c>
      <c r="J68" s="16" t="s">
        <v>361</v>
      </c>
      <c r="K68" s="16"/>
      <c r="L68" s="16"/>
      <c r="M68" s="16"/>
      <c r="N68" s="16"/>
      <c r="O68" s="24"/>
    </row>
    <row r="69" spans="1:19" ht="20.100000000000001" customHeight="1" x14ac:dyDescent="0.2">
      <c r="D69" s="1" t="s">
        <v>362</v>
      </c>
      <c r="E69" s="105">
        <f>Common_InputFunctions.Utility_LookupValueInTableNumber(X_Cell_Dairy_ProductionSystemTemplate, Table_SourceData_Dairy_ProductionSystemTemplates[Area],Table_SourceData_Dairy_ProductionSystemTemplates[Milking shed])</f>
        <v>0.11</v>
      </c>
      <c r="F69" s="105">
        <f>Common_InputFunctions.Utility_LookupValueInTableNumber(X_Cell_Dairy_ProductionSystemTemplate, Table_SourceData_Dairy_ProductionSystemTemplates[Area],Table_SourceData_Dairy_ProductionSystemTemplates[Milking shed])</f>
        <v>0.11</v>
      </c>
      <c r="G69" s="105">
        <f>Common_InputFunctions.Utility_LookupValueInTableNumber(X_Cell_Dairy_ProductionSystemTemplate, Table_SourceData_Dairy_ProductionSystemTemplates[Area],Table_SourceData_Dairy_ProductionSystemTemplates[Milking shed])</f>
        <v>0.11</v>
      </c>
      <c r="H69" s="105">
        <f>Common_InputFunctions.Utility_LookupValueInTableNumber(X_Cell_Dairy_ProductionSystemTemplate, Table_SourceData_Dairy_ProductionSystemTemplates[Area],Table_SourceData_Dairy_ProductionSystemTemplates[Milking shed])</f>
        <v>0.11</v>
      </c>
      <c r="I69" s="105">
        <f>Common_InputFunctions.Utility_LookupValueInTableNumber(X_Cell_Dairy_ProductionSystemTemplate, Table_SourceData_Dairy_ProductionSystemTemplates[Area],Table_SourceData_Dairy_ProductionSystemTemplates[Milking shed])</f>
        <v>0.11</v>
      </c>
      <c r="J69" s="16" t="s">
        <v>361</v>
      </c>
      <c r="K69" s="16"/>
      <c r="L69" s="16"/>
      <c r="M69" s="16"/>
      <c r="N69" s="16"/>
      <c r="O69" s="24"/>
    </row>
    <row r="70" spans="1:19" ht="20.100000000000001" customHeight="1" x14ac:dyDescent="0.2">
      <c r="D70" s="1" t="s">
        <v>363</v>
      </c>
      <c r="E70" s="105">
        <f>Common_InputFunctions.Utility_LookupValueInTableNumber(X_Cell_Dairy_ProductionSystemTemplate, Table_SourceData_Dairy_ProductionSystemTemplates[Area],Table_SourceData_Dairy_ProductionSystemTemplates[Feedpad])</f>
        <v>0.35599999999999998</v>
      </c>
      <c r="F70" s="105">
        <f>Common_InputFunctions.Utility_LookupValueInTableNumber(X_Cell_Dairy_ProductionSystemTemplate, Table_SourceData_Dairy_ProductionSystemTemplates[Area],Table_SourceData_Dairy_ProductionSystemTemplates[Feedpad])</f>
        <v>0.35599999999999998</v>
      </c>
      <c r="G70" s="105">
        <f>Common_InputFunctions.Utility_LookupValueInTableNumber(X_Cell_Dairy_ProductionSystemTemplate, Table_SourceData_Dairy_ProductionSystemTemplates[Area],Table_SourceData_Dairy_ProductionSystemTemplates[Feedpad])</f>
        <v>0.35599999999999998</v>
      </c>
      <c r="H70" s="105">
        <f>Common_InputFunctions.Utility_LookupValueInTableNumber(X_Cell_Dairy_ProductionSystemTemplate, Table_SourceData_Dairy_ProductionSystemTemplates[Area],Table_SourceData_Dairy_ProductionSystemTemplates[Feedpad])</f>
        <v>0.35599999999999998</v>
      </c>
      <c r="I70" s="105">
        <f>Common_InputFunctions.Utility_LookupValueInTableNumber(X_Cell_Dairy_ProductionSystemTemplate, Table_SourceData_Dairy_ProductionSystemTemplates[Area],Table_SourceData_Dairy_ProductionSystemTemplates[Feedpad])</f>
        <v>0.35599999999999998</v>
      </c>
      <c r="J70" s="16" t="s">
        <v>361</v>
      </c>
      <c r="K70" s="16"/>
      <c r="L70" s="16"/>
      <c r="M70" s="16"/>
      <c r="N70" s="16"/>
      <c r="O70" s="24"/>
    </row>
    <row r="71" spans="1:19" ht="20.100000000000001" customHeight="1" x14ac:dyDescent="0.2">
      <c r="E71" s="106"/>
      <c r="O71" s="24"/>
    </row>
    <row r="73" spans="1:19" ht="20.100000000000001" customHeight="1" x14ac:dyDescent="0.2">
      <c r="C73" s="88"/>
      <c r="D73" s="88"/>
      <c r="E73" s="88"/>
      <c r="F73" s="88"/>
      <c r="G73" s="88"/>
      <c r="H73" s="88"/>
      <c r="I73" s="88"/>
      <c r="J73" s="88"/>
      <c r="K73" s="88"/>
      <c r="L73" s="88"/>
      <c r="M73" s="88"/>
      <c r="N73" s="88"/>
      <c r="O73" s="88"/>
    </row>
    <row r="74" spans="1:19" ht="20.100000000000001" customHeight="1" x14ac:dyDescent="0.2">
      <c r="D74" s="2" t="s">
        <v>364</v>
      </c>
      <c r="F74" s="107"/>
    </row>
    <row r="75" spans="1:19" ht="20.100000000000001" customHeight="1" x14ac:dyDescent="0.2">
      <c r="D75" s="78" t="str">
        <f>"From " &amp; $D$64</f>
        <v>From Milking shed</v>
      </c>
      <c r="O75" s="24"/>
    </row>
    <row r="76" spans="1:19" ht="20.100000000000001" customHeight="1" x14ac:dyDescent="0.2">
      <c r="O76" s="24"/>
    </row>
    <row r="77" spans="1:19" ht="20.100000000000001" customHeight="1" x14ac:dyDescent="0.2">
      <c r="D77" s="108" t="s">
        <v>365</v>
      </c>
      <c r="E77" s="81" t="s">
        <v>330</v>
      </c>
      <c r="F77" s="81" t="s">
        <v>331</v>
      </c>
      <c r="G77" s="81" t="s">
        <v>332</v>
      </c>
      <c r="H77" s="81" t="s">
        <v>333</v>
      </c>
      <c r="I77" s="81" t="s">
        <v>334</v>
      </c>
      <c r="J77" s="109" t="s">
        <v>366</v>
      </c>
      <c r="K77" s="109"/>
      <c r="L77" s="99" t="s">
        <v>367</v>
      </c>
      <c r="M77" s="99"/>
      <c r="N77" s="81"/>
      <c r="O77" s="24"/>
    </row>
    <row r="78" spans="1:19" ht="20.100000000000001" customHeight="1" x14ac:dyDescent="0.2">
      <c r="L78" s="110" t="s">
        <v>368</v>
      </c>
      <c r="M78" s="110" t="s">
        <v>369</v>
      </c>
      <c r="N78" s="110" t="s">
        <v>370</v>
      </c>
      <c r="O78" s="24"/>
    </row>
    <row r="79" spans="1:19" ht="20.100000000000001" customHeight="1" x14ac:dyDescent="0.2">
      <c r="A79" s="129" t="str">
        <f>HYPERLINK("#A1", "▲ Back to top")</f>
        <v>▲ Back to top</v>
      </c>
      <c r="D79" s="76" t="str">
        <f>'Constants - Dairy'!$D$8</f>
        <v>Anaerobic lagoon</v>
      </c>
      <c r="E79" s="18">
        <v>0.25</v>
      </c>
      <c r="F79" s="18">
        <v>0.25</v>
      </c>
      <c r="G79" s="18">
        <v>0.25</v>
      </c>
      <c r="H79" s="18">
        <v>0.25</v>
      </c>
      <c r="I79" s="18">
        <v>0.25</v>
      </c>
      <c r="J79" s="16" t="s">
        <v>361</v>
      </c>
      <c r="K79" s="16"/>
      <c r="L79" s="18">
        <v>0.25</v>
      </c>
      <c r="M79" s="18">
        <v>0.25</v>
      </c>
      <c r="N79" s="111">
        <f>1-SUM(L79:M79)</f>
        <v>0.5</v>
      </c>
      <c r="O79" s="24"/>
    </row>
    <row r="80" spans="1:19" ht="20.100000000000001" customHeight="1" x14ac:dyDescent="0.2">
      <c r="D80" s="112" t="str">
        <f>"Were solids separated from " &amp; D79 &amp; "?"</f>
        <v>Were solids separated from Anaerobic lagoon?</v>
      </c>
      <c r="E80" s="13" t="s">
        <v>371</v>
      </c>
      <c r="O80" s="24"/>
      <c r="S80" s="21"/>
    </row>
    <row r="81" spans="4:19" ht="20.100000000000001" customHeight="1" x14ac:dyDescent="0.2">
      <c r="D81" s="112" t="str">
        <f>"Percent solids separated from " &amp; D79 &amp; " (Method 1)"</f>
        <v>Percent solids separated from Anaerobic lagoon (Method 1)</v>
      </c>
      <c r="E81" s="111">
        <f>IF(X_Cell_Dairy_Stage1MMS_1_AnaerobicLagoon_SolidsSeparated="Yes", 20%, 0)</f>
        <v>0.2</v>
      </c>
      <c r="O81" s="24"/>
      <c r="S81" s="21"/>
    </row>
    <row r="82" spans="4:19" ht="20.100000000000001" customHeight="1" x14ac:dyDescent="0.2">
      <c r="D82" s="112" t="str">
        <f>"Percent solids separated from " &amp; D79 &amp; " (Method 2)"</f>
        <v>Percent solids separated from Anaerobic lagoon (Method 2)</v>
      </c>
      <c r="E82" s="18">
        <v>0.2</v>
      </c>
      <c r="O82" s="24"/>
      <c r="S82" s="21"/>
    </row>
    <row r="83" spans="4:19" ht="20.100000000000001" customHeight="1" x14ac:dyDescent="0.2">
      <c r="S83" s="21"/>
    </row>
    <row r="84" spans="4:19" ht="20.100000000000001" customHeight="1" x14ac:dyDescent="0.2">
      <c r="D84" s="76" t="str">
        <f>'Constants - Dairy'!$D$9</f>
        <v>Sump and dispersal system</v>
      </c>
      <c r="E84" s="18">
        <v>0.25</v>
      </c>
      <c r="F84" s="18">
        <v>0.25</v>
      </c>
      <c r="G84" s="18">
        <v>0.25</v>
      </c>
      <c r="H84" s="18">
        <v>0.25</v>
      </c>
      <c r="I84" s="18">
        <v>0.25</v>
      </c>
      <c r="J84" s="16" t="s">
        <v>361</v>
      </c>
      <c r="K84" s="16"/>
      <c r="L84" s="18">
        <v>0.25</v>
      </c>
      <c r="M84" s="18">
        <v>0.25</v>
      </c>
      <c r="N84" s="111">
        <f t="shared" ref="N84" si="1">1-SUM(L84:M84)</f>
        <v>0.5</v>
      </c>
      <c r="S84" s="21"/>
    </row>
    <row r="85" spans="4:19" ht="20.100000000000001" customHeight="1" x14ac:dyDescent="0.2">
      <c r="D85" s="112" t="str">
        <f>"Were solids separated from " &amp; D84 &amp; "?"</f>
        <v>Were solids separated from Sump and dispersal system?</v>
      </c>
      <c r="E85" s="13" t="s">
        <v>371</v>
      </c>
      <c r="S85" s="21"/>
    </row>
    <row r="86" spans="4:19" ht="20.100000000000001" customHeight="1" x14ac:dyDescent="0.2">
      <c r="D86" s="112" t="str">
        <f>"Percent solids separated from " &amp; D84 &amp; " (Method 1)"</f>
        <v>Percent solids separated from Sump and dispersal system (Method 1)</v>
      </c>
      <c r="E86" s="111">
        <f>IF(X_Cell_Dairy_Stage1MMS_1_SumpAndDispersal_SolidsSeparated="Yes", 20%, 0)</f>
        <v>0.2</v>
      </c>
      <c r="S86" s="21"/>
    </row>
    <row r="87" spans="4:19" ht="20.100000000000001" customHeight="1" x14ac:dyDescent="0.2">
      <c r="D87" s="112" t="str">
        <f>"Percent solids separated from " &amp; D84 &amp; " (Method 2)"</f>
        <v>Percent solids separated from Sump and dispersal system (Method 2)</v>
      </c>
      <c r="E87" s="18">
        <v>0.2</v>
      </c>
      <c r="S87" s="21"/>
    </row>
    <row r="88" spans="4:19" ht="20.100000000000001" customHeight="1" x14ac:dyDescent="0.2">
      <c r="S88" s="21"/>
    </row>
    <row r="89" spans="4:19" ht="20.100000000000001" customHeight="1" x14ac:dyDescent="0.2">
      <c r="D89" s="76" t="str">
        <f>'Constants - Dairy'!$D$10</f>
        <v>Drains to paddock</v>
      </c>
      <c r="E89" s="18">
        <v>0.25</v>
      </c>
      <c r="F89" s="18">
        <v>0.25</v>
      </c>
      <c r="G89" s="18">
        <v>0.25</v>
      </c>
      <c r="H89" s="18">
        <v>0.25</v>
      </c>
      <c r="I89" s="18">
        <v>0.25</v>
      </c>
      <c r="J89" s="16" t="s">
        <v>361</v>
      </c>
      <c r="K89" s="16"/>
      <c r="L89" s="18">
        <v>0.25</v>
      </c>
      <c r="M89" s="18">
        <v>0.25</v>
      </c>
      <c r="N89" s="111">
        <f>1-SUM(L89:M89)</f>
        <v>0.5</v>
      </c>
      <c r="S89" s="21"/>
    </row>
    <row r="90" spans="4:19" ht="20.100000000000001" customHeight="1" x14ac:dyDescent="0.2">
      <c r="D90" s="112" t="str">
        <f>"Were solids separated from " &amp; D89 &amp; "?"</f>
        <v>Were solids separated from Drains to paddock?</v>
      </c>
      <c r="E90" s="13" t="s">
        <v>371</v>
      </c>
      <c r="S90" s="21"/>
    </row>
    <row r="91" spans="4:19" ht="20.100000000000001" customHeight="1" x14ac:dyDescent="0.2">
      <c r="D91" s="112" t="str">
        <f>"Percent solids separated from " &amp; D89 &amp; " (Method 1)"</f>
        <v>Percent solids separated from Drains to paddock (Method 1)</v>
      </c>
      <c r="E91" s="111">
        <f>IF(X_Cell_Dairy_Stage1MMS_1_DrainsToPaddock_SolidsSeparated="Yes", 20%, 0)</f>
        <v>0.2</v>
      </c>
      <c r="S91" s="21"/>
    </row>
    <row r="92" spans="4:19" ht="20.100000000000001" customHeight="1" x14ac:dyDescent="0.2">
      <c r="D92" s="112" t="str">
        <f>"Percent solids separated from " &amp; D89 &amp; " (Method 2)"</f>
        <v>Percent solids separated from Drains to paddock (Method 2)</v>
      </c>
      <c r="E92" s="18">
        <v>0.2</v>
      </c>
      <c r="S92" s="21"/>
    </row>
    <row r="93" spans="4:19" ht="20.100000000000001" customHeight="1" x14ac:dyDescent="0.2">
      <c r="S93" s="21"/>
    </row>
    <row r="94" spans="4:19" ht="20.100000000000001" customHeight="1" x14ac:dyDescent="0.2">
      <c r="D94" s="76" t="str">
        <f>'Constants - Dairy'!$D$11 &amp; " (before solid separation)"</f>
        <v>Solid storage (before solid separation)</v>
      </c>
      <c r="E94" s="18">
        <v>0.25</v>
      </c>
      <c r="F94" s="18">
        <v>0.25</v>
      </c>
      <c r="G94" s="18">
        <v>0.25</v>
      </c>
      <c r="H94" s="18">
        <v>0.25</v>
      </c>
      <c r="I94" s="18">
        <v>0.25</v>
      </c>
      <c r="J94" s="16" t="s">
        <v>361</v>
      </c>
      <c r="K94" s="16"/>
      <c r="L94" s="18">
        <v>0.25</v>
      </c>
      <c r="M94" s="18">
        <v>0.25</v>
      </c>
      <c r="N94" s="111">
        <f t="shared" ref="N94" si="2">1-SUM(L94:M94)</f>
        <v>0.5</v>
      </c>
      <c r="S94" s="21"/>
    </row>
    <row r="95" spans="4:19" ht="20.100000000000001" customHeight="1" x14ac:dyDescent="0.2">
      <c r="D95" s="1" t="s">
        <v>372</v>
      </c>
      <c r="E95" s="111">
        <f>E94+(E79*X_Cell_Dairy_Stage1MMS_1_AnaerobicLagoon_AmountSeparated_Method1)+(E84*X_Cell_Dairy_Stage1MMS_1_SumpAndDispersal_AmountSeparated_Method1)+(E89*X_Cell_Dairy_Stage1MMS_1_DrainsToPaddock_AmountSeparated_Method1)</f>
        <v>0.39999999999999997</v>
      </c>
      <c r="F95" s="111">
        <f>F94+(F79*X_Cell_Dairy_Stage1MMS_1_AnaerobicLagoon_AmountSeparated_Method1)+(F84*X_Cell_Dairy_Stage1MMS_1_SumpAndDispersal_AmountSeparated_Method1)+(F89*X_Cell_Dairy_Stage1MMS_1_DrainsToPaddock_AmountSeparated_Method1)</f>
        <v>0.39999999999999997</v>
      </c>
      <c r="G95" s="111">
        <f>G94+(G79*X_Cell_Dairy_Stage1MMS_1_AnaerobicLagoon_AmountSeparated_Method1)+(G84*X_Cell_Dairy_Stage1MMS_1_SumpAndDispersal_AmountSeparated_Method1)+(G89*X_Cell_Dairy_Stage1MMS_1_DrainsToPaddock_AmountSeparated_Method1)</f>
        <v>0.39999999999999997</v>
      </c>
      <c r="H95" s="111">
        <f>H94+(H79*X_Cell_Dairy_Stage1MMS_1_AnaerobicLagoon_AmountSeparated_Method1)+(H84*X_Cell_Dairy_Stage1MMS_1_SumpAndDispersal_AmountSeparated_Method1)+(H89*X_Cell_Dairy_Stage1MMS_1_DrainsToPaddock_AmountSeparated_Method1)</f>
        <v>0.39999999999999997</v>
      </c>
      <c r="I95" s="111">
        <f>I94+(I79*X_Cell_Dairy_Stage1MMS_1_AnaerobicLagoon_AmountSeparated_Method1)+(I84*X_Cell_Dairy_Stage1MMS_1_SumpAndDispersal_AmountSeparated_Method1)+(I89*X_Cell_Dairy_Stage1MMS_1_DrainsToPaddock_AmountSeparated_Method1)</f>
        <v>0.39999999999999997</v>
      </c>
      <c r="J95" s="16" t="s">
        <v>361</v>
      </c>
      <c r="K95" s="16"/>
      <c r="L95" s="16"/>
      <c r="M95" s="16"/>
      <c r="N95" s="16"/>
      <c r="S95" s="21"/>
    </row>
    <row r="96" spans="4:19" ht="20.100000000000001" customHeight="1" x14ac:dyDescent="0.2">
      <c r="D96" s="1" t="s">
        <v>373</v>
      </c>
      <c r="E96" s="111">
        <f>E94+(E79*X_Cell_Dairy_Stage1MMS_1_AnaerobicLagoon_AmountSeparated_Method2)+(E84*X_Cell_Dairy_Stage1MMS_1_SumpAndDispersal_AmountSeparated_Method2)+(E89*X_Cell_Dairy_Stage1MMS_1_DrainsToPaddock_AmountSeparated_Method2)</f>
        <v>0.39999999999999997</v>
      </c>
      <c r="F96" s="111">
        <f>F94+(F79*X_Cell_Dairy_Stage1MMS_1_AnaerobicLagoon_AmountSeparated_Method2)+(F84*X_Cell_Dairy_Stage1MMS_1_SumpAndDispersal_AmountSeparated_Method2)+(F89*X_Cell_Dairy_Stage1MMS_1_DrainsToPaddock_AmountSeparated_Method2)</f>
        <v>0.39999999999999997</v>
      </c>
      <c r="G96" s="111">
        <f>G94+(G79*X_Cell_Dairy_Stage1MMS_1_AnaerobicLagoon_AmountSeparated_Method2)+(G84*X_Cell_Dairy_Stage1MMS_1_SumpAndDispersal_AmountSeparated_Method2)+(G89*X_Cell_Dairy_Stage1MMS_1_DrainsToPaddock_AmountSeparated_Method2)</f>
        <v>0.39999999999999997</v>
      </c>
      <c r="H96" s="111">
        <f>H94+(H79*X_Cell_Dairy_Stage1MMS_1_AnaerobicLagoon_AmountSeparated_Method2)+(H84*X_Cell_Dairy_Stage1MMS_1_SumpAndDispersal_AmountSeparated_Method2)+(H89*X_Cell_Dairy_Stage1MMS_1_DrainsToPaddock_AmountSeparated_Method2)</f>
        <v>0.39999999999999997</v>
      </c>
      <c r="I96" s="111">
        <f>I94+(I79*X_Cell_Dairy_Stage1MMS_1_AnaerobicLagoon_AmountSeparated_Method2)+(I84*X_Cell_Dairy_Stage1MMS_1_SumpAndDispersal_AmountSeparated_Method2)+(I89*X_Cell_Dairy_Stage1MMS_1_DrainsToPaddock_AmountSeparated_Method2)</f>
        <v>0.39999999999999997</v>
      </c>
      <c r="J96" s="16" t="s">
        <v>361</v>
      </c>
      <c r="K96" s="16"/>
      <c r="S96" s="21"/>
    </row>
    <row r="97" spans="1:19" ht="20.100000000000001" customHeight="1" x14ac:dyDescent="0.2">
      <c r="F97" s="16"/>
      <c r="S97" s="21"/>
    </row>
    <row r="98" spans="1:19" ht="20.100000000000001" customHeight="1" x14ac:dyDescent="0.2">
      <c r="F98" s="113"/>
      <c r="S98" s="21"/>
    </row>
    <row r="99" spans="1:19" ht="20.100000000000001" customHeight="1" x14ac:dyDescent="0.2">
      <c r="D99" s="78" t="str">
        <f>"From " &amp; $D$65</f>
        <v>From Feed pad</v>
      </c>
      <c r="S99" s="21"/>
    </row>
    <row r="100" spans="1:19" ht="20.100000000000001" customHeight="1" x14ac:dyDescent="0.2">
      <c r="S100" s="21"/>
    </row>
    <row r="101" spans="1:19" ht="20.100000000000001" customHeight="1" x14ac:dyDescent="0.2">
      <c r="D101" s="114" t="s">
        <v>365</v>
      </c>
      <c r="E101" s="81" t="s">
        <v>330</v>
      </c>
      <c r="F101" s="81" t="s">
        <v>331</v>
      </c>
      <c r="G101" s="81" t="s">
        <v>332</v>
      </c>
      <c r="H101" s="81" t="s">
        <v>333</v>
      </c>
      <c r="I101" s="81" t="s">
        <v>334</v>
      </c>
      <c r="J101" s="109" t="s">
        <v>366</v>
      </c>
      <c r="K101" s="109"/>
      <c r="L101" s="99" t="s">
        <v>367</v>
      </c>
      <c r="M101" s="99"/>
      <c r="N101" s="81"/>
      <c r="S101" s="21"/>
    </row>
    <row r="102" spans="1:19" ht="20.100000000000001" customHeight="1" x14ac:dyDescent="0.2">
      <c r="D102" s="115"/>
      <c r="L102" s="110" t="s">
        <v>368</v>
      </c>
      <c r="M102" s="110" t="s">
        <v>369</v>
      </c>
      <c r="N102" s="110" t="s">
        <v>370</v>
      </c>
      <c r="S102" s="21"/>
    </row>
    <row r="103" spans="1:19" ht="20.100000000000001" customHeight="1" x14ac:dyDescent="0.2">
      <c r="D103" s="116" t="str">
        <f>'Constants - Dairy'!$D$8</f>
        <v>Anaerobic lagoon</v>
      </c>
      <c r="E103" s="18">
        <v>0.25</v>
      </c>
      <c r="F103" s="18">
        <v>0.25</v>
      </c>
      <c r="G103" s="18">
        <v>0.25</v>
      </c>
      <c r="H103" s="18">
        <v>0.25</v>
      </c>
      <c r="I103" s="18">
        <v>0.25</v>
      </c>
      <c r="J103" s="16" t="s">
        <v>361</v>
      </c>
      <c r="K103" s="16"/>
      <c r="L103" s="18">
        <v>0.25</v>
      </c>
      <c r="M103" s="18">
        <v>0.25</v>
      </c>
      <c r="N103" s="111">
        <f>1-SUM(L103:M103)</f>
        <v>0.5</v>
      </c>
      <c r="S103" s="21"/>
    </row>
    <row r="104" spans="1:19" ht="20.100000000000001" customHeight="1" x14ac:dyDescent="0.2">
      <c r="D104" s="117" t="str">
        <f>"Were solids separated from " &amp; D103 &amp; "?"</f>
        <v>Were solids separated from Anaerobic lagoon?</v>
      </c>
      <c r="E104" s="13" t="s">
        <v>374</v>
      </c>
      <c r="S104" s="21"/>
    </row>
    <row r="105" spans="1:19" ht="20.100000000000001" customHeight="1" x14ac:dyDescent="0.2">
      <c r="D105" s="117" t="str">
        <f>"Percent solids separated from " &amp; D103 &amp; " (Method 1)"</f>
        <v>Percent solids separated from Anaerobic lagoon (Method 1)</v>
      </c>
      <c r="E105" s="111">
        <f>IF(X_Cell_Dairy_Stage1MMS_2_AnaerobicLagoon_SolidsSeparated="Yes", 20%, 0)</f>
        <v>0</v>
      </c>
      <c r="S105" s="21"/>
    </row>
    <row r="106" spans="1:19" ht="20.100000000000001" customHeight="1" x14ac:dyDescent="0.2">
      <c r="D106" s="117" t="str">
        <f>"Percent solids separated from " &amp; D103 &amp; " (Method 2)"</f>
        <v>Percent solids separated from Anaerobic lagoon (Method 2)</v>
      </c>
      <c r="E106" s="18">
        <f>IF(X_Cell_Dairy_Stage1MMS_2_AnaerobicLagoon_SolidsSeparated="Yes", 20%, 0)</f>
        <v>0</v>
      </c>
      <c r="S106" s="21"/>
    </row>
    <row r="108" spans="1:19" ht="20.100000000000001" customHeight="1" x14ac:dyDescent="0.2">
      <c r="D108" s="116" t="str">
        <f>'Constants - Dairy'!$D$9</f>
        <v>Sump and dispersal system</v>
      </c>
      <c r="E108" s="18">
        <v>0.25</v>
      </c>
      <c r="F108" s="18">
        <v>0.25</v>
      </c>
      <c r="G108" s="18">
        <v>0.25</v>
      </c>
      <c r="H108" s="18">
        <v>0.25</v>
      </c>
      <c r="I108" s="18">
        <v>0.25</v>
      </c>
      <c r="J108" s="16" t="s">
        <v>361</v>
      </c>
      <c r="K108" s="16"/>
      <c r="L108" s="18">
        <v>0.25</v>
      </c>
      <c r="M108" s="18">
        <v>0.25</v>
      </c>
      <c r="N108" s="111">
        <f t="shared" ref="N108" si="3">1-SUM(L108:M108)</f>
        <v>0.5</v>
      </c>
    </row>
    <row r="109" spans="1:19" ht="20.100000000000001" customHeight="1" x14ac:dyDescent="0.2">
      <c r="A109" s="129" t="str">
        <f>HYPERLINK("#A1", "▲ Back to top")</f>
        <v>▲ Back to top</v>
      </c>
      <c r="D109" s="117" t="str">
        <f>"Were solids separated from " &amp; D108 &amp; "?"</f>
        <v>Were solids separated from Sump and dispersal system?</v>
      </c>
      <c r="E109" s="13" t="s">
        <v>371</v>
      </c>
    </row>
    <row r="110" spans="1:19" ht="20.100000000000001" customHeight="1" x14ac:dyDescent="0.2">
      <c r="D110" s="117" t="str">
        <f>"Percent solids separated from " &amp; D108 &amp; " (Method 1)"</f>
        <v>Percent solids separated from Sump and dispersal system (Method 1)</v>
      </c>
      <c r="E110" s="111">
        <f>IF(X_Cell_Dairy_Stage1MMS_2_SumpAndDispersal_SolidsSeparated="Yes", 20%, 0)</f>
        <v>0.2</v>
      </c>
    </row>
    <row r="111" spans="1:19" ht="20.100000000000001" customHeight="1" x14ac:dyDescent="0.2">
      <c r="D111" s="117" t="str">
        <f>"Percent solids separated from " &amp; D108 &amp; " (Method 2)"</f>
        <v>Percent solids separated from Sump and dispersal system (Method 2)</v>
      </c>
      <c r="E111" s="18">
        <f>IF(X_Cell_Dairy_Stage1MMS_2_SumpAndDispersal_SolidsSeparated="Yes", 20%, 0)</f>
        <v>0.2</v>
      </c>
    </row>
    <row r="113" spans="4:14" ht="20.100000000000001" customHeight="1" x14ac:dyDescent="0.2">
      <c r="D113" s="116" t="str">
        <f>'Constants - Dairy'!$D$10</f>
        <v>Drains to paddock</v>
      </c>
      <c r="E113" s="18">
        <v>0.25</v>
      </c>
      <c r="F113" s="18">
        <v>0.25</v>
      </c>
      <c r="G113" s="18">
        <v>0.25</v>
      </c>
      <c r="H113" s="18">
        <v>0.25</v>
      </c>
      <c r="I113" s="18">
        <v>0.25</v>
      </c>
      <c r="J113" s="16" t="s">
        <v>361</v>
      </c>
      <c r="K113" s="16"/>
      <c r="L113" s="18">
        <v>0.25</v>
      </c>
      <c r="M113" s="18">
        <v>0.25</v>
      </c>
      <c r="N113" s="111">
        <f>1-SUM(L113:M113)</f>
        <v>0.5</v>
      </c>
    </row>
    <row r="114" spans="4:14" ht="20.100000000000001" customHeight="1" x14ac:dyDescent="0.2">
      <c r="D114" s="117" t="str">
        <f>"Were solids separated from " &amp; D113 &amp; "?"</f>
        <v>Were solids separated from Drains to paddock?</v>
      </c>
      <c r="E114" s="13" t="s">
        <v>371</v>
      </c>
    </row>
    <row r="115" spans="4:14" ht="20.100000000000001" customHeight="1" x14ac:dyDescent="0.2">
      <c r="D115" s="117" t="str">
        <f>"Percent solids separated from " &amp; D113 &amp; " (Method 1)"</f>
        <v>Percent solids separated from Drains to paddock (Method 1)</v>
      </c>
      <c r="E115" s="111">
        <f>IF(X_Cell_Dairy_Stage1MMS_2_DrainsToPaddock_SolidsSeparated="Yes", 20%, 0)</f>
        <v>0.2</v>
      </c>
    </row>
    <row r="116" spans="4:14" ht="20.100000000000001" customHeight="1" x14ac:dyDescent="0.2">
      <c r="D116" s="117" t="str">
        <f>"Percent solids separated from " &amp; D113 &amp; " (Method 2)"</f>
        <v>Percent solids separated from Drains to paddock (Method 2)</v>
      </c>
      <c r="E116" s="18">
        <f>IF(X_Cell_Dairy_Stage1MMS_2_DrainsToPaddock_SolidsSeparated="Yes", 20%, 0)</f>
        <v>0.2</v>
      </c>
    </row>
    <row r="118" spans="4:14" ht="20.100000000000001" customHeight="1" x14ac:dyDescent="0.2">
      <c r="D118" s="116" t="str">
        <f>'Constants - Dairy'!$D$11 &amp; " (before solid separation)"</f>
        <v>Solid storage (before solid separation)</v>
      </c>
      <c r="E118" s="18">
        <v>0.25</v>
      </c>
      <c r="F118" s="18">
        <v>0.25</v>
      </c>
      <c r="G118" s="18">
        <v>0.25</v>
      </c>
      <c r="H118" s="18">
        <v>0.25</v>
      </c>
      <c r="I118" s="18">
        <v>0.25</v>
      </c>
      <c r="J118" s="16" t="s">
        <v>361</v>
      </c>
      <c r="K118" s="16"/>
      <c r="L118" s="18">
        <v>0.25</v>
      </c>
      <c r="M118" s="18">
        <v>0.25</v>
      </c>
      <c r="N118" s="111">
        <f>1-SUM(L118:M118)</f>
        <v>0.5</v>
      </c>
    </row>
    <row r="119" spans="4:14" ht="20.100000000000001" customHeight="1" x14ac:dyDescent="0.2">
      <c r="D119" s="115" t="s">
        <v>372</v>
      </c>
      <c r="E119" s="111">
        <f>E118+(E103*X_Cell_Dairy_Stage1MMS_2_AnaerobicLagoon_AmountSeparated_Method1)+(E108*X_Cell_Dairy_Stage1MMS_2_SumpAndDispersal_AmountSeparated_Method1)+(E113*X_Cell_Dairy_Stage1MMS_2_DrainsToPaddock_AmountSeparated_Method1)</f>
        <v>0.35</v>
      </c>
      <c r="F119" s="111">
        <f>F118+(F103*X_Cell_Dairy_Stage1MMS_2_AnaerobicLagoon_AmountSeparated_Method1)+(F108*X_Cell_Dairy_Stage1MMS_2_SumpAndDispersal_AmountSeparated_Method1)+(F113*X_Cell_Dairy_Stage1MMS_2_DrainsToPaddock_AmountSeparated_Method1)</f>
        <v>0.35</v>
      </c>
      <c r="G119" s="111">
        <f>G118+(G103*X_Cell_Dairy_Stage1MMS_2_AnaerobicLagoon_AmountSeparated_Method1)+(G108*X_Cell_Dairy_Stage1MMS_2_SumpAndDispersal_AmountSeparated_Method1)+(G113*X_Cell_Dairy_Stage1MMS_2_DrainsToPaddock_AmountSeparated_Method1)</f>
        <v>0.35</v>
      </c>
      <c r="H119" s="111">
        <f>H118+(H103*X_Cell_Dairy_Stage1MMS_2_AnaerobicLagoon_AmountSeparated_Method1)+(H108*X_Cell_Dairy_Stage1MMS_2_SumpAndDispersal_AmountSeparated_Method1)+(H113*X_Cell_Dairy_Stage1MMS_2_DrainsToPaddock_AmountSeparated_Method1)</f>
        <v>0.35</v>
      </c>
      <c r="I119" s="111">
        <f>I118+(I103*X_Cell_Dairy_Stage1MMS_2_AnaerobicLagoon_AmountSeparated_Method1)+(I108*X_Cell_Dairy_Stage1MMS_2_SumpAndDispersal_AmountSeparated_Method1)+(I113*X_Cell_Dairy_Stage1MMS_2_DrainsToPaddock_AmountSeparated_Method1)</f>
        <v>0.35</v>
      </c>
      <c r="J119" s="16" t="s">
        <v>361</v>
      </c>
      <c r="K119" s="16"/>
      <c r="L119" s="16"/>
      <c r="M119" s="16"/>
      <c r="N119" s="16"/>
    </row>
    <row r="120" spans="4:14" ht="20.100000000000001" customHeight="1" x14ac:dyDescent="0.2">
      <c r="D120" s="115" t="s">
        <v>373</v>
      </c>
      <c r="E120" s="111">
        <f>E118+(E103*X_Cell_Dairy_Stage1MMS_2_AnaerobicLagoon_AmountSeparated_Method2)+(E108*X_Cell_Dairy_Stage1MMS_2_SumpAndDispersal_AmountSeparated_Method2)+(E113*X_Cell_Dairy_Stage1MMS_2_DrainsToPaddock_AmountSeparated_Method2)</f>
        <v>0.35</v>
      </c>
      <c r="F120" s="111">
        <f>F118+(F103*X_Cell_Dairy_Stage1MMS_2_AnaerobicLagoon_AmountSeparated_Method2)+(F108*X_Cell_Dairy_Stage1MMS_2_SumpAndDispersal_AmountSeparated_Method2)+(F113*X_Cell_Dairy_Stage1MMS_2_DrainsToPaddock_AmountSeparated_Method2)</f>
        <v>0.35</v>
      </c>
      <c r="G120" s="111">
        <f>G118+(G103*X_Cell_Dairy_Stage1MMS_2_AnaerobicLagoon_AmountSeparated_Method2)+(G108*X_Cell_Dairy_Stage1MMS_2_SumpAndDispersal_AmountSeparated_Method2)+(G113*X_Cell_Dairy_Stage1MMS_2_DrainsToPaddock_AmountSeparated_Method2)</f>
        <v>0.35</v>
      </c>
      <c r="H120" s="111">
        <f>H118+(H103*X_Cell_Dairy_Stage1MMS_2_AnaerobicLagoon_AmountSeparated_Method2)+(H108*X_Cell_Dairy_Stage1MMS_2_SumpAndDispersal_AmountSeparated_Method2)+(H113*X_Cell_Dairy_Stage1MMS_2_DrainsToPaddock_AmountSeparated_Method2)</f>
        <v>0.35</v>
      </c>
      <c r="I120" s="111">
        <f>I118+(I103*X_Cell_Dairy_Stage1MMS_2_AnaerobicLagoon_AmountSeparated_Method2)+(I108*X_Cell_Dairy_Stage1MMS_2_SumpAndDispersal_AmountSeparated_Method2)+(I113*X_Cell_Dairy_Stage1MMS_2_DrainsToPaddock_AmountSeparated_Method2)</f>
        <v>0.35</v>
      </c>
      <c r="J120" s="16" t="s">
        <v>361</v>
      </c>
      <c r="K120" s="16"/>
    </row>
    <row r="123" spans="4:14" ht="20.100000000000001" customHeight="1" x14ac:dyDescent="0.2">
      <c r="D123" s="1" t="s">
        <v>375</v>
      </c>
      <c r="E123" s="13" t="s">
        <v>162</v>
      </c>
      <c r="F123" s="16" t="s">
        <v>100</v>
      </c>
    </row>
    <row r="124" spans="4:14" ht="20.100000000000001" customHeight="1" x14ac:dyDescent="0.2">
      <c r="E124" s="13" t="s">
        <v>376</v>
      </c>
      <c r="F124" s="16" t="s">
        <v>100</v>
      </c>
      <c r="L124" s="16"/>
      <c r="M124" s="16"/>
      <c r="N124" s="16"/>
    </row>
    <row r="142" spans="13:14" ht="20.100000000000001" customHeight="1" x14ac:dyDescent="0.2">
      <c r="M142" s="16"/>
      <c r="N142" s="16"/>
    </row>
    <row r="143" spans="13:14" ht="20.100000000000001" customHeight="1" x14ac:dyDescent="0.2">
      <c r="M143" s="16"/>
      <c r="N143" s="16"/>
    </row>
    <row r="144" spans="13:14" ht="20.100000000000001" customHeight="1" x14ac:dyDescent="0.2">
      <c r="M144" s="16"/>
      <c r="N144" s="16"/>
    </row>
    <row r="147" spans="13:14" ht="20.100000000000001" customHeight="1" x14ac:dyDescent="0.2">
      <c r="M147" s="16"/>
      <c r="N147" s="16"/>
    </row>
    <row r="148" spans="13:14" ht="20.100000000000001" customHeight="1" x14ac:dyDescent="0.2">
      <c r="M148" s="16"/>
      <c r="N148" s="16"/>
    </row>
    <row r="149" spans="13:14" ht="20.100000000000001" customHeight="1" x14ac:dyDescent="0.2">
      <c r="M149" s="16"/>
      <c r="N149" s="16"/>
    </row>
    <row r="152" spans="13:14" ht="20.100000000000001" customHeight="1" x14ac:dyDescent="0.2">
      <c r="M152" s="16"/>
      <c r="N152" s="16"/>
    </row>
    <row r="153" spans="13:14" ht="20.100000000000001" customHeight="1" x14ac:dyDescent="0.2">
      <c r="M153" s="16"/>
      <c r="N153" s="16"/>
    </row>
    <row r="154" spans="13:14" ht="20.100000000000001" customHeight="1" x14ac:dyDescent="0.2">
      <c r="M154" s="16"/>
      <c r="N154" s="16"/>
    </row>
    <row r="161" spans="13:14" ht="20.100000000000001" customHeight="1" x14ac:dyDescent="0.2">
      <c r="M161" s="16"/>
      <c r="N161" s="16"/>
    </row>
    <row r="162" spans="13:14" ht="20.100000000000001" customHeight="1" x14ac:dyDescent="0.2">
      <c r="M162" s="16"/>
      <c r="N162" s="16"/>
    </row>
    <row r="163" spans="13:14" ht="20.100000000000001" customHeight="1" x14ac:dyDescent="0.2">
      <c r="M163" s="16"/>
      <c r="N163" s="16"/>
    </row>
    <row r="166" spans="13:14" ht="20.100000000000001" customHeight="1" x14ac:dyDescent="0.2">
      <c r="M166" s="16"/>
      <c r="N166" s="16"/>
    </row>
    <row r="167" spans="13:14" ht="20.100000000000001" customHeight="1" x14ac:dyDescent="0.2">
      <c r="M167" s="16"/>
      <c r="N167" s="16"/>
    </row>
    <row r="168" spans="13:14" ht="20.100000000000001" customHeight="1" x14ac:dyDescent="0.2">
      <c r="M168" s="16"/>
      <c r="N168" s="16"/>
    </row>
    <row r="171" spans="13:14" ht="20.100000000000001" customHeight="1" x14ac:dyDescent="0.2">
      <c r="M171" s="16"/>
      <c r="N171" s="16"/>
    </row>
    <row r="172" spans="13:14" ht="20.100000000000001" customHeight="1" x14ac:dyDescent="0.2">
      <c r="M172" s="16"/>
      <c r="N172" s="16"/>
    </row>
    <row r="173" spans="13:14" ht="20.100000000000001" customHeight="1" x14ac:dyDescent="0.2">
      <c r="M173" s="16"/>
      <c r="N173" s="16"/>
    </row>
    <row r="176" spans="13:14" ht="20.100000000000001" customHeight="1" x14ac:dyDescent="0.2">
      <c r="M176" s="16"/>
      <c r="N176" s="16"/>
    </row>
    <row r="177" spans="13:14" ht="20.100000000000001" customHeight="1" x14ac:dyDescent="0.2">
      <c r="M177" s="16"/>
      <c r="N177" s="16"/>
    </row>
    <row r="178" spans="13:14" ht="20.100000000000001" customHeight="1" x14ac:dyDescent="0.2">
      <c r="M178" s="16"/>
      <c r="N178" s="16"/>
    </row>
  </sheetData>
  <conditionalFormatting sqref="E10:N10 E24:N25 E28:N29 K36:L36 E36:J37 M36:N38 L37 K40 E40:J41 L41:L42 M42:N42 P43:Q43 J79:K79 J84:K84 F89 J89:K89 F94 J94:K96 L95:N95 F100 J103:K103 J108:K108 J113:K113 J118:K120 L119:N119 L124:N124">
    <cfRule type="cellIs" dxfId="98" priority="6" operator="lessThan">
      <formula>0</formula>
    </cfRule>
  </conditionalFormatting>
  <conditionalFormatting sqref="E14:N15">
    <cfRule type="cellIs" dxfId="97" priority="2" operator="lessThan">
      <formula>0</formula>
    </cfRule>
  </conditionalFormatting>
  <conditionalFormatting sqref="E18:N19">
    <cfRule type="cellIs" dxfId="96" priority="1" operator="lessThan">
      <formula>0</formula>
    </cfRule>
  </conditionalFormatting>
  <conditionalFormatting sqref="F97">
    <cfRule type="cellIs" dxfId="95" priority="3" operator="lessThan">
      <formula>0</formula>
    </cfRule>
  </conditionalFormatting>
  <conditionalFormatting sqref="J63:N65">
    <cfRule type="cellIs" dxfId="94" priority="5" operator="lessThan">
      <formula>0</formula>
    </cfRule>
  </conditionalFormatting>
  <conditionalFormatting sqref="J68:N70">
    <cfRule type="cellIs" dxfId="93" priority="4" operator="lessThan">
      <formula>0</formula>
    </cfRule>
  </conditionalFormatting>
  <dataValidations count="6">
    <dataValidation type="list" allowBlank="1" showInputMessage="1" showErrorMessage="1" sqref="E47" xr:uid="{2E65DBE7-C714-4B52-BDFB-E09E405AD231}">
      <formula1>"Litres of milk, Milk solids"</formula1>
    </dataValidation>
    <dataValidation type="list" allowBlank="1" showInputMessage="1" showErrorMessage="1" sqref="E7" xr:uid="{8DE0CB1D-D0B4-419B-869A-B9EFE39E79F6}">
      <formula1>INDIRECT("Table_SourceData_Dairy_WjCowsHeifers[Breed]")</formula1>
    </dataValidation>
    <dataValidation type="list" allowBlank="1" showInputMessage="1" showErrorMessage="1" sqref="E80 E85 E90 E104 E109 E114" xr:uid="{0196C7E9-7D88-4729-A925-0F635715507A}">
      <formula1>"Yes, No"</formula1>
    </dataValidation>
    <dataValidation type="list" allowBlank="1" showInputMessage="1" showErrorMessage="1" sqref="E60" xr:uid="{521D7000-DCFF-4AE5-8E8C-466A84E7990C}">
      <formula1>INDIRECT("Table_SourceData_Dairy_ProductionSystemTemplates[Area]")</formula1>
    </dataValidation>
    <dataValidation type="list" allowBlank="1" showInputMessage="1" showErrorMessage="1" sqref="E124" xr:uid="{2C0408C6-6B0C-49B8-9AEF-6E1AE69674FF}">
      <formula1>INDIRECT("Table_SourceData_Dairy_IrrigationMethods[Irrigation method]")</formula1>
    </dataValidation>
    <dataValidation type="list" allowBlank="1" showInputMessage="1" showErrorMessage="1" sqref="E123" xr:uid="{59661EC6-5183-4C48-B88D-BFB2174F4AAB}">
      <formula1>INDIRECT("Table_SourceData_Dairy_CropProdSystems[Production system]")</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1B67-59B8-47EB-891E-BAA3B5DA183C}">
  <sheetPr>
    <tabColor rgb="FFCC6600"/>
  </sheetPr>
  <dimension ref="A1:M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A1" s="10" t="e" vm="1">
        <v>#VALUE!</v>
      </c>
      <c r="C1" s="10" t="s">
        <v>172</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79" t="s">
        <v>173</v>
      </c>
    </row>
    <row r="6" spans="1:13" ht="20.100000000000001" customHeight="1" x14ac:dyDescent="0.2">
      <c r="A6" s="5" t="str">
        <f>HYPERLINK("#'Results'!A1", "Results")</f>
        <v>Results</v>
      </c>
      <c r="D6" s="19" t="s">
        <v>174</v>
      </c>
      <c r="E6" s="19" t="s">
        <v>175</v>
      </c>
      <c r="F6" s="19" t="s">
        <v>176</v>
      </c>
      <c r="G6" s="19" t="s">
        <v>177</v>
      </c>
      <c r="H6" s="19" t="s">
        <v>178</v>
      </c>
      <c r="I6" s="19" t="s">
        <v>179</v>
      </c>
    </row>
    <row r="7" spans="1:13" ht="20.100000000000001" customHeight="1" x14ac:dyDescent="0.2">
      <c r="D7" s="33"/>
      <c r="E7" s="13"/>
      <c r="F7" s="80">
        <v>45566</v>
      </c>
      <c r="G7" s="19">
        <v>10</v>
      </c>
      <c r="H7" s="19">
        <v>500</v>
      </c>
      <c r="I7" s="15">
        <f t="shared" ref="I7:I16" si="0">G7*H7</f>
        <v>5000</v>
      </c>
    </row>
    <row r="8" spans="1:13" ht="20.100000000000001" customHeight="1" x14ac:dyDescent="0.2">
      <c r="D8" s="33"/>
      <c r="E8" s="13"/>
      <c r="F8" s="80"/>
      <c r="G8" s="19"/>
      <c r="H8" s="19"/>
      <c r="I8" s="15">
        <f t="shared" si="0"/>
        <v>0</v>
      </c>
    </row>
    <row r="9" spans="1:13" ht="20.100000000000001" customHeight="1" x14ac:dyDescent="0.2">
      <c r="A9" s="7" t="s">
        <v>0</v>
      </c>
      <c r="D9" s="33"/>
      <c r="E9" s="13"/>
      <c r="F9" s="80"/>
      <c r="G9" s="19"/>
      <c r="H9" s="19"/>
      <c r="I9" s="15">
        <f t="shared" si="0"/>
        <v>0</v>
      </c>
    </row>
    <row r="10" spans="1:13" ht="20.100000000000001" customHeight="1" x14ac:dyDescent="0.2">
      <c r="A10" s="5" t="str">
        <f>HYPERLINK("#'Input - Enterprise'!A1", "Enterprise")</f>
        <v>Enterprise</v>
      </c>
      <c r="D10" s="33"/>
      <c r="E10" s="13"/>
      <c r="F10" s="80"/>
      <c r="G10" s="19"/>
      <c r="H10" s="19"/>
      <c r="I10" s="15">
        <f t="shared" si="0"/>
        <v>0</v>
      </c>
    </row>
    <row r="11" spans="1:13" ht="20.100000000000001" customHeight="1" x14ac:dyDescent="0.2">
      <c r="A11" s="5" t="str">
        <f>HYPERLINK("#'Input - Site'!A1", "Site")</f>
        <v>Site</v>
      </c>
      <c r="D11" s="33"/>
      <c r="E11" s="13"/>
      <c r="F11" s="80"/>
      <c r="G11" s="19"/>
      <c r="H11" s="19"/>
      <c r="I11" s="15">
        <f t="shared" si="0"/>
        <v>0</v>
      </c>
    </row>
    <row r="12" spans="1:13" ht="20.100000000000001" customHeight="1" x14ac:dyDescent="0.2">
      <c r="A12" s="5" t="str">
        <f>HYPERLINK("#'Input - Dairy'!A1", "Dairy")</f>
        <v>Dairy</v>
      </c>
      <c r="D12" s="33"/>
      <c r="E12" s="13"/>
      <c r="F12" s="80"/>
      <c r="G12" s="19"/>
      <c r="H12" s="19"/>
      <c r="I12" s="15">
        <f t="shared" si="0"/>
        <v>0</v>
      </c>
    </row>
    <row r="13" spans="1:13" ht="20.100000000000001" customHeight="1" x14ac:dyDescent="0.2">
      <c r="A13" s="100" t="str">
        <f>HYPERLINK("#'Input - Livestock sales'!A1", "Livestock sales")</f>
        <v>Livestock sales</v>
      </c>
      <c r="D13" s="33"/>
      <c r="E13" s="13"/>
      <c r="F13" s="80"/>
      <c r="G13" s="19"/>
      <c r="H13" s="19"/>
      <c r="I13" s="15">
        <f t="shared" si="0"/>
        <v>0</v>
      </c>
    </row>
    <row r="14" spans="1:13" ht="20.100000000000001" customHeight="1" x14ac:dyDescent="0.2">
      <c r="A14" s="5" t="str">
        <f>HYPERLINK("#'Input - Dairy cattle purchases'!A1", "Dairy cattle purchases")</f>
        <v>Dairy cattle purchases</v>
      </c>
      <c r="D14" s="33"/>
      <c r="E14" s="13"/>
      <c r="F14" s="80"/>
      <c r="G14" s="19"/>
      <c r="H14" s="19"/>
      <c r="I14" s="15">
        <f t="shared" si="0"/>
        <v>0</v>
      </c>
    </row>
    <row r="15" spans="1:13" ht="20.100000000000001" customHeight="1" x14ac:dyDescent="0.2">
      <c r="A15" s="5" t="str">
        <f>HYPERLINK("#'Input - Pasture'!A1", "Pasture")</f>
        <v>Pasture</v>
      </c>
      <c r="D15" s="33"/>
      <c r="E15" s="13"/>
      <c r="F15" s="80"/>
      <c r="G15" s="19"/>
      <c r="H15" s="19"/>
      <c r="I15" s="15">
        <f t="shared" si="0"/>
        <v>0</v>
      </c>
    </row>
    <row r="16" spans="1:13" ht="20.100000000000001" customHeight="1" x14ac:dyDescent="0.2">
      <c r="A16" s="5" t="str">
        <f>HYPERLINK("#'Input - Fert Prod System'!A1", "Fert Prod System")</f>
        <v>Fert Prod System</v>
      </c>
      <c r="D16" s="33"/>
      <c r="E16" s="13"/>
      <c r="F16" s="80"/>
      <c r="G16" s="19"/>
      <c r="H16" s="19"/>
      <c r="I16" s="15">
        <f t="shared" si="0"/>
        <v>0</v>
      </c>
    </row>
    <row r="17" spans="1:1" ht="20.100000000000001" customHeight="1" x14ac:dyDescent="0.2">
      <c r="A17" s="5" t="str">
        <f>HYPERLINK("#'Input - Fertiliser'!A1", "Fertiliser")</f>
        <v>Fertiliser</v>
      </c>
    </row>
    <row r="18" spans="1:1" ht="20.100000000000001" customHeight="1" x14ac:dyDescent="0.2">
      <c r="A18" s="5" t="str">
        <f>HYPERLINK("#'Input - Fuel'!A1", "Fuel")</f>
        <v>Fuel</v>
      </c>
    </row>
    <row r="19" spans="1:1" ht="20.100000000000001" customHeight="1" x14ac:dyDescent="0.2">
      <c r="A19" s="5" t="str">
        <f>HYPERLINK("#'Input - Electricity'!A1", "Electricity")</f>
        <v>Electricity</v>
      </c>
    </row>
    <row r="20" spans="1:1" ht="20.100000000000001" customHeight="1" x14ac:dyDescent="0.2">
      <c r="A20" s="5" t="str">
        <f>HYPERLINK("#'Input - Common farm inputs'!A1", "Common farm inputs")</f>
        <v>Common farm inputs</v>
      </c>
    </row>
    <row r="21" spans="1:1" ht="20.100000000000001" customHeight="1" x14ac:dyDescent="0.2">
      <c r="A21" s="5" t="str">
        <f>HYPERLINK("#'Input - Crop pasture farm input'!A1", "Crop pasture farm input")</f>
        <v>Crop pasture farm input</v>
      </c>
    </row>
    <row r="22" spans="1:1" ht="20.100000000000001" customHeight="1" x14ac:dyDescent="0.2">
      <c r="A22" s="5" t="str">
        <f>HYPERLINK("#'Input - Livestock farm Inputs'!A1", "Livestock farm Inputs")</f>
        <v>Livestock farm Inputs</v>
      </c>
    </row>
    <row r="23" spans="1:1" ht="20.100000000000001" customHeight="1" x14ac:dyDescent="0.2">
      <c r="A23" s="5" t="str">
        <f>HYPERLINK("#'Input - Freight'!A1", "Freight")</f>
        <v>Freight</v>
      </c>
    </row>
    <row r="24" spans="1:1" ht="20.100000000000001" customHeight="1" x14ac:dyDescent="0.2">
      <c r="A24" s="5" t="str">
        <f>HYPERLINK("#'Input - Solid waste'!A1", "Solid waste")</f>
        <v>Solid waste</v>
      </c>
    </row>
    <row r="25" spans="1:1" ht="20.100000000000001" customHeight="1" x14ac:dyDescent="0.2">
      <c r="A25" s="5" t="str">
        <f>HYPERLINK("#'Input - Manure sent off-site'!A1", "Manure sent off-site")</f>
        <v>Manure sent off-site</v>
      </c>
    </row>
    <row r="26" spans="1:1" ht="20.100000000000001" customHeight="1" x14ac:dyDescent="0.2">
      <c r="A26" s="5" t="str">
        <f>HYPERLINK("#'Input - Refrigerants'!A1", "Refrigerants")</f>
        <v>Refrigerants</v>
      </c>
    </row>
    <row r="27" spans="1:1" ht="20.100000000000001" customHeight="1" x14ac:dyDescent="0.2">
      <c r="A27" s="5" t="str">
        <f>HYPERLINK("#'Input - Data quality'!A1", "Data quality")</f>
        <v>Data quality</v>
      </c>
    </row>
    <row r="30" spans="1:1" ht="20.100000000000001" customHeight="1" x14ac:dyDescent="0.2">
      <c r="A30" s="6" t="s">
        <v>2</v>
      </c>
    </row>
    <row r="31" spans="1:1" ht="20.100000000000001" customHeight="1" x14ac:dyDescent="0.2">
      <c r="A31" s="5" t="str">
        <f>HYPERLINK("#'3.3.1.1-2 Enteric Methane'!A1", "3.3.1.1-2 Enteric methane")</f>
        <v>3.3.1.1-2 Enteric methane</v>
      </c>
    </row>
    <row r="32" spans="1:1"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5"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dataValidations disablePrompts="1" count="1">
    <dataValidation type="list" allowBlank="1" showInputMessage="1" showErrorMessage="1" sqref="E7:E16" xr:uid="{59D43099-548A-4C77-BC2D-53C0ECC78E95}">
      <formula1>INDIRECT("Table_LivestockClasses_Dairy[Livestock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9D72C-2228-4A65-A5CA-B02922980BF4}">
  <sheetPr>
    <tabColor theme="5" tint="-0.249977111117893"/>
  </sheetPr>
  <dimension ref="A1:J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5703125" customWidth="1"/>
    <col min="3" max="3" width="4.5703125" style="1" customWidth="1"/>
    <col min="4" max="9" width="30.5703125" style="1" customWidth="1"/>
    <col min="10" max="10" width="4.5703125" style="1" customWidth="1"/>
  </cols>
  <sheetData>
    <row r="1" spans="1:10" ht="30" customHeight="1" x14ac:dyDescent="0.35">
      <c r="A1" s="10" t="e" vm="1">
        <v>#VALUE!</v>
      </c>
      <c r="C1" s="10" t="s">
        <v>1184</v>
      </c>
      <c r="D1" s="10"/>
      <c r="E1" s="10"/>
      <c r="F1" s="10"/>
      <c r="G1" s="10"/>
      <c r="H1" s="10"/>
      <c r="I1" s="10"/>
      <c r="J1" s="10"/>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79" t="s">
        <v>1185</v>
      </c>
      <c r="E5" s="257"/>
      <c r="F5" s="257"/>
      <c r="G5" s="257"/>
      <c r="H5" s="257"/>
      <c r="I5" s="257"/>
    </row>
    <row r="6" spans="1:10" ht="20.100000000000001" customHeight="1" x14ac:dyDescent="0.2">
      <c r="A6" s="5" t="str">
        <f>HYPERLINK("#'Results'!A1", "Results")</f>
        <v>Results</v>
      </c>
      <c r="D6" s="258" t="s">
        <v>174</v>
      </c>
      <c r="E6" s="258" t="s">
        <v>175</v>
      </c>
      <c r="F6" s="258" t="s">
        <v>1186</v>
      </c>
      <c r="G6" s="258" t="s">
        <v>1187</v>
      </c>
      <c r="H6" s="258" t="s">
        <v>1188</v>
      </c>
      <c r="I6" s="258" t="s">
        <v>1189</v>
      </c>
    </row>
    <row r="7" spans="1:10" ht="20.100000000000001" customHeight="1" x14ac:dyDescent="0.2">
      <c r="D7" s="33" t="s">
        <v>1190</v>
      </c>
      <c r="E7" s="13" t="s">
        <v>622</v>
      </c>
      <c r="F7" s="13" t="s">
        <v>1191</v>
      </c>
      <c r="G7" s="75">
        <v>100</v>
      </c>
      <c r="H7" s="15"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130</v>
      </c>
      <c r="I7" s="75">
        <v>350</v>
      </c>
    </row>
    <row r="8" spans="1:10" ht="20.100000000000001" customHeight="1" x14ac:dyDescent="0.2">
      <c r="D8" s="33"/>
      <c r="E8" s="97" t="s">
        <v>330</v>
      </c>
      <c r="F8" s="13" t="s">
        <v>1192</v>
      </c>
      <c r="G8" s="75">
        <v>100</v>
      </c>
      <c r="H8" s="15"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540</v>
      </c>
      <c r="I8" s="75">
        <v>625</v>
      </c>
    </row>
    <row r="9" spans="1:10" ht="20.100000000000001" customHeight="1" x14ac:dyDescent="0.2">
      <c r="A9" s="7" t="s">
        <v>0</v>
      </c>
      <c r="D9" s="33"/>
      <c r="E9" s="97" t="s">
        <v>621</v>
      </c>
      <c r="F9" s="13" t="s">
        <v>1191</v>
      </c>
      <c r="G9" s="75"/>
      <c r="H9" s="15"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315</v>
      </c>
      <c r="I9" s="75"/>
    </row>
    <row r="10" spans="1:10" ht="20.100000000000001" customHeight="1" x14ac:dyDescent="0.2">
      <c r="A10" s="5" t="str">
        <f>HYPERLINK("#'Input - Enterprise'!A1", "Enterprise")</f>
        <v>Enterprise</v>
      </c>
      <c r="D10" s="33"/>
      <c r="E10" s="97"/>
      <c r="F10" s="13"/>
      <c r="G10" s="75"/>
      <c r="H10" s="15"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0" s="75"/>
    </row>
    <row r="11" spans="1:10" ht="20.100000000000001" customHeight="1" x14ac:dyDescent="0.2">
      <c r="A11" s="5" t="str">
        <f>HYPERLINK("#'Input - Site'!A1", "Site")</f>
        <v>Site</v>
      </c>
      <c r="D11" s="33"/>
      <c r="E11" s="97"/>
      <c r="F11" s="13"/>
      <c r="G11" s="75"/>
      <c r="H11" s="15"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1" s="75"/>
    </row>
    <row r="12" spans="1:10" ht="20.100000000000001" customHeight="1" x14ac:dyDescent="0.2">
      <c r="A12" s="5" t="str">
        <f>HYPERLINK("#'Input - Dairy'!A1", "Dairy")</f>
        <v>Dairy</v>
      </c>
      <c r="D12" s="33"/>
      <c r="E12" s="97"/>
      <c r="F12" s="13"/>
      <c r="G12" s="75"/>
      <c r="H12" s="15"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2" s="75"/>
    </row>
    <row r="13" spans="1:10" ht="20.100000000000001" customHeight="1" x14ac:dyDescent="0.2">
      <c r="A13" s="5" t="str">
        <f>HYPERLINK("#'Input - Livestock sales'!A1", "Livestock sales")</f>
        <v>Livestock sales</v>
      </c>
      <c r="D13" s="33"/>
      <c r="E13" s="97"/>
      <c r="F13" s="13"/>
      <c r="G13" s="75"/>
      <c r="H13" s="15"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3" s="75"/>
    </row>
    <row r="14" spans="1:10" ht="20.100000000000001" customHeight="1" x14ac:dyDescent="0.2">
      <c r="A14" s="100" t="str">
        <f>HYPERLINK("#'Input - Dairy cattle purchases'!A1", "Dairy cattle purchases")</f>
        <v>Dairy cattle purchases</v>
      </c>
      <c r="D14" s="33"/>
      <c r="E14" s="97"/>
      <c r="F14" s="13"/>
      <c r="G14" s="75"/>
      <c r="H14" s="15"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4" s="75"/>
    </row>
    <row r="15" spans="1:10" ht="20.100000000000001" customHeight="1" x14ac:dyDescent="0.2">
      <c r="A15" s="5" t="str">
        <f>HYPERLINK("#'Input - Pasture'!A1", "Pasture")</f>
        <v>Pasture</v>
      </c>
      <c r="D15" s="33"/>
      <c r="E15" s="97"/>
      <c r="F15" s="13"/>
      <c r="G15" s="75"/>
      <c r="H15" s="15"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5" s="75"/>
    </row>
    <row r="16" spans="1:10" ht="20.100000000000001" customHeight="1" x14ac:dyDescent="0.2">
      <c r="A16" s="5" t="str">
        <f>HYPERLINK("#'Input - Fert Prod System'!A1", "Fert Prod System")</f>
        <v>Fert Prod System</v>
      </c>
      <c r="D16" s="33"/>
      <c r="E16" s="97"/>
      <c r="F16" s="13"/>
      <c r="G16" s="75"/>
      <c r="H16" s="15"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6" s="75"/>
    </row>
    <row r="17" spans="1:1" ht="20.100000000000001" customHeight="1" x14ac:dyDescent="0.2">
      <c r="A17" s="5" t="str">
        <f>HYPERLINK("#'Input - Fertiliser'!A1", "Fertiliser")</f>
        <v>Fertiliser</v>
      </c>
    </row>
    <row r="18" spans="1:1" ht="20.100000000000001" customHeight="1" x14ac:dyDescent="0.2">
      <c r="A18" s="5" t="str">
        <f>HYPERLINK("#'Input - Fuel'!A1", "Fuel")</f>
        <v>Fuel</v>
      </c>
    </row>
    <row r="19" spans="1:1" ht="20.100000000000001" customHeight="1" x14ac:dyDescent="0.2">
      <c r="A19" s="5" t="str">
        <f>HYPERLINK("#'Input - Electricity'!A1", "Electricity")</f>
        <v>Electricity</v>
      </c>
    </row>
    <row r="20" spans="1:1" ht="20.100000000000001" customHeight="1" x14ac:dyDescent="0.2">
      <c r="A20" s="5" t="str">
        <f>HYPERLINK("#'Input - Common farm inputs'!A1", "Common farm inputs")</f>
        <v>Common farm inputs</v>
      </c>
    </row>
    <row r="21" spans="1:1" ht="20.100000000000001" customHeight="1" x14ac:dyDescent="0.2">
      <c r="A21" s="5" t="str">
        <f>HYPERLINK("#'Input - Crop pasture farm input'!A1", "Crop pasture farm input")</f>
        <v>Crop pasture farm input</v>
      </c>
    </row>
    <row r="22" spans="1:1" ht="20.100000000000001" customHeight="1" x14ac:dyDescent="0.2">
      <c r="A22" s="5" t="str">
        <f>HYPERLINK("#'Input - Livestock farm Inputs'!A1", "Livestock farm Inputs")</f>
        <v>Livestock farm Inputs</v>
      </c>
    </row>
    <row r="23" spans="1:1" ht="20.100000000000001" customHeight="1" x14ac:dyDescent="0.2">
      <c r="A23" s="5" t="str">
        <f>HYPERLINK("#'Input - Freight'!A1", "Freight")</f>
        <v>Freight</v>
      </c>
    </row>
    <row r="24" spans="1:1" ht="20.100000000000001" customHeight="1" x14ac:dyDescent="0.2">
      <c r="A24" s="5" t="str">
        <f>HYPERLINK("#'Input - Solid waste'!A1", "Solid waste")</f>
        <v>Solid waste</v>
      </c>
    </row>
    <row r="25" spans="1:1" ht="20.100000000000001" customHeight="1" x14ac:dyDescent="0.2">
      <c r="A25" s="5" t="str">
        <f>HYPERLINK("#'Input - Manure sent off-site'!A1", "Manure sent off-site")</f>
        <v>Manure sent off-site</v>
      </c>
    </row>
    <row r="26" spans="1:1" ht="20.100000000000001" customHeight="1" x14ac:dyDescent="0.2">
      <c r="A26" s="5" t="str">
        <f>HYPERLINK("#'Input - Refrigerants'!A1", "Refrigerants")</f>
        <v>Refrigerants</v>
      </c>
    </row>
    <row r="27" spans="1:1" ht="20.100000000000001" customHeight="1" x14ac:dyDescent="0.2">
      <c r="A27" s="5" t="str">
        <f>HYPERLINK("#'Input - Data quality'!A1", "Data quality")</f>
        <v>Data quality</v>
      </c>
    </row>
    <row r="30" spans="1:1" ht="20.100000000000001" customHeight="1" x14ac:dyDescent="0.2">
      <c r="A30" s="6" t="s">
        <v>2</v>
      </c>
    </row>
    <row r="31" spans="1:1" ht="20.100000000000001" customHeight="1" x14ac:dyDescent="0.2">
      <c r="A31" s="5" t="str">
        <f>HYPERLINK("#'3.3.1.1-2 Enteric Methane'!A1", "3.3.1.1-2 Enteric methane")</f>
        <v>3.3.1.1-2 Enteric methane</v>
      </c>
    </row>
    <row r="32" spans="1:1"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5"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dataValidations count="2">
    <dataValidation type="list" allowBlank="1" showInputMessage="1" showErrorMessage="1" sqref="E7:E16" xr:uid="{EC57DAC2-B80C-40D1-B887-859E8203A603}">
      <formula1>INDIRECT("Table_SourceData_Dairy_WjCowsHeifers[[#Headers],[Milking cows]:[Heifers &lt; 1 (weaned)]]")</formula1>
    </dataValidation>
    <dataValidation type="list" allowBlank="1" showInputMessage="1" showErrorMessage="1" sqref="F7:F16" xr:uid="{FFBB76D2-906A-41CA-B44A-8C2E5D3FCB95}">
      <formula1>INDIRECT("Table_SourceData_Dairy_WjCowsHeifers[Breed]")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B9B80-08FE-4C12-8463-D5CBE0D66BBE}">
  <sheetPr>
    <tabColor theme="5" tint="-0.249977111117893"/>
  </sheetPr>
  <dimension ref="A1:G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1123</v>
      </c>
      <c r="D1" s="10"/>
      <c r="E1" s="10"/>
      <c r="F1" s="10"/>
      <c r="G1" s="10"/>
    </row>
    <row r="2" spans="1:7" ht="20.100000000000001" customHeight="1" x14ac:dyDescent="0.2">
      <c r="C2" s="3"/>
      <c r="D2" s="3"/>
      <c r="E2" s="3"/>
      <c r="F2" s="3"/>
      <c r="G2" s="3"/>
    </row>
    <row r="3" spans="1:7" ht="20.100000000000001" customHeight="1" x14ac:dyDescent="0.2">
      <c r="A3" s="5" t="str">
        <f>HYPERLINK("#'Home'!A1", "Home")</f>
        <v>Home</v>
      </c>
      <c r="C3" s="28"/>
      <c r="D3" s="28"/>
      <c r="E3" s="28"/>
      <c r="F3" s="28"/>
      <c r="G3" s="28"/>
    </row>
    <row r="4" spans="1:7" ht="20.100000000000001" customHeight="1" x14ac:dyDescent="0.2">
      <c r="A4" s="5" t="str">
        <f>HYPERLINK("#'Results - Activity period'!A1", "Results - Activity period")</f>
        <v>Results - Activity period</v>
      </c>
    </row>
    <row r="5" spans="1:7" ht="20.100000000000001" customHeight="1" x14ac:dyDescent="0.2">
      <c r="A5" s="5" t="str">
        <f>HYPERLINK("#'Results - Product EI'!A1", "Results - Product Emissions Intensity")</f>
        <v>Results - Product Emissions Intensity</v>
      </c>
      <c r="D5" s="2" t="s">
        <v>643</v>
      </c>
    </row>
    <row r="6" spans="1:7" ht="20.100000000000001" customHeight="1" x14ac:dyDescent="0.2">
      <c r="A6" s="5" t="str">
        <f>HYPERLINK("#'Results'!A1", "Results")</f>
        <v>Results</v>
      </c>
    </row>
    <row r="7" spans="1:7" ht="20.100000000000001" customHeight="1" x14ac:dyDescent="0.2">
      <c r="D7" s="69" t="s">
        <v>1124</v>
      </c>
      <c r="E7" s="69"/>
      <c r="F7" s="69"/>
    </row>
    <row r="9" spans="1:7" ht="20.100000000000001" customHeight="1" x14ac:dyDescent="0.2">
      <c r="A9" s="7" t="s">
        <v>0</v>
      </c>
      <c r="D9" s="1" t="s">
        <v>1125</v>
      </c>
      <c r="E9" s="13" t="s">
        <v>1126</v>
      </c>
      <c r="F9" s="16" t="s">
        <v>1127</v>
      </c>
    </row>
    <row r="10" spans="1:7" ht="20.100000000000001" customHeight="1" x14ac:dyDescent="0.2">
      <c r="A10" s="5" t="str">
        <f>HYPERLINK("#'Input - Enterprise'!A1", "Enterprise")</f>
        <v>Enterprise</v>
      </c>
      <c r="D10" s="1" t="s">
        <v>63</v>
      </c>
      <c r="E10" s="13" t="s">
        <v>619</v>
      </c>
      <c r="F10" s="16" t="s">
        <v>1127</v>
      </c>
    </row>
    <row r="11" spans="1:7" ht="20.100000000000001" customHeight="1" x14ac:dyDescent="0.2">
      <c r="A11" s="5" t="str">
        <f>HYPERLINK("#'Input - Site'!A1", "Site")</f>
        <v>Site</v>
      </c>
    </row>
    <row r="12" spans="1:7" ht="20.100000000000001" customHeight="1" x14ac:dyDescent="0.2">
      <c r="A12" s="5" t="str">
        <f>HYPERLINK("#'Input - Dairy'!A1", "Dairy")</f>
        <v>Dairy</v>
      </c>
      <c r="D12" s="1" t="s">
        <v>1128</v>
      </c>
      <c r="E12" s="75">
        <v>1000</v>
      </c>
      <c r="F12" s="16" t="s">
        <v>1129</v>
      </c>
    </row>
    <row r="13" spans="1:7" ht="20.100000000000001" customHeight="1" x14ac:dyDescent="0.2">
      <c r="A13" s="5" t="str">
        <f>HYPERLINK("#'Input - Livestock sales'!A1", "Livestock sales")</f>
        <v>Livestock sales</v>
      </c>
    </row>
    <row r="14" spans="1:7" ht="20.100000000000001" customHeight="1" x14ac:dyDescent="0.2">
      <c r="A14" s="5" t="str">
        <f>HYPERLINK("#'Input - Dairy cattle purchases'!A1", "Dairy cattle purchases")</f>
        <v>Dairy cattle purchases</v>
      </c>
      <c r="D14" s="2" t="s">
        <v>1130</v>
      </c>
    </row>
    <row r="15" spans="1:7" ht="20.100000000000001" customHeight="1" x14ac:dyDescent="0.2">
      <c r="A15" s="100" t="str">
        <f>HYPERLINK("#'Input - Pasture'!A1", "Pasture")</f>
        <v>Pasture</v>
      </c>
    </row>
    <row r="16" spans="1:7" ht="20.100000000000001" customHeight="1" x14ac:dyDescent="0.2">
      <c r="A16" s="5" t="str">
        <f>HYPERLINK("#'Input - Fert Prod System'!A1", "Fert Prod System")</f>
        <v>Fert Prod System</v>
      </c>
      <c r="D16" s="251" t="s">
        <v>1131</v>
      </c>
      <c r="E16" s="43"/>
      <c r="F16" s="44"/>
    </row>
    <row r="17" spans="1:6" ht="20.100000000000001" customHeight="1" x14ac:dyDescent="0.2">
      <c r="A17" s="5" t="str">
        <f>HYPERLINK("#'Input - Fertiliser'!A1", "Fertiliser")</f>
        <v>Fertiliser</v>
      </c>
      <c r="D17" s="45" t="s">
        <v>1132</v>
      </c>
      <c r="E17" s="46"/>
      <c r="F17" s="47"/>
    </row>
    <row r="18" spans="1:6" ht="20.100000000000001" customHeight="1" x14ac:dyDescent="0.2">
      <c r="A18" s="5" t="str">
        <f>HYPERLINK("#'Input - Fuel'!A1", "Fuel")</f>
        <v>Fuel</v>
      </c>
    </row>
    <row r="19" spans="1:6" ht="20.100000000000001" customHeight="1" x14ac:dyDescent="0.2">
      <c r="A19" s="5" t="str">
        <f>HYPERLINK("#'Input - Electricity'!A1", "Electricity")</f>
        <v>Electricity</v>
      </c>
      <c r="D19" s="1" t="s">
        <v>1133</v>
      </c>
      <c r="E19" s="75">
        <f>_xlfn.XLOOKUP(X_Cell_Pasture_PastureType, Table_SourceData_PastureAttributes[Pasture type],Table_SourceData_PastureAttributes[Average Yield (t DM ha) Yp])</f>
        <v>8.34</v>
      </c>
      <c r="F19" s="16" t="s">
        <v>1134</v>
      </c>
    </row>
    <row r="20" spans="1:6" ht="20.100000000000001" customHeight="1" x14ac:dyDescent="0.2">
      <c r="A20" s="5" t="str">
        <f>HYPERLINK("#'Input - Common farm inputs'!A1", "Common farm inputs")</f>
        <v>Common farm inputs</v>
      </c>
      <c r="D20" s="1" t="s">
        <v>1135</v>
      </c>
      <c r="E20" s="15">
        <f>X_Cell_Pasture_AreaUnderPasture*X_Cell_Pasture_YieldPerHectare</f>
        <v>8340</v>
      </c>
      <c r="F20" s="16" t="s">
        <v>1136</v>
      </c>
    </row>
    <row r="21" spans="1:6" ht="20.100000000000001" customHeight="1" x14ac:dyDescent="0.2">
      <c r="A21" s="5" t="str">
        <f>HYPERLINK("#'Input - Crop pasture farm input'!A1", "Crop pasture farm input")</f>
        <v>Crop pasture farm input</v>
      </c>
    </row>
    <row r="22" spans="1:6" ht="20.100000000000001" customHeight="1" x14ac:dyDescent="0.2">
      <c r="A22" s="5" t="str">
        <f>HYPERLINK("#'Input - Livestock farm Inputs'!A1", "Livestock farm Inputs")</f>
        <v>Livestock farm Inputs</v>
      </c>
    </row>
    <row r="23" spans="1:6" ht="20.100000000000001" customHeight="1" x14ac:dyDescent="0.2">
      <c r="A23" s="5" t="str">
        <f>HYPERLINK("#'Input - Freight'!A1", "Freight")</f>
        <v>Freight</v>
      </c>
      <c r="D23" s="2" t="s">
        <v>1137</v>
      </c>
    </row>
    <row r="24" spans="1:6" ht="20.100000000000001" customHeight="1" x14ac:dyDescent="0.2">
      <c r="A24" s="5" t="str">
        <f>HYPERLINK("#'Input - Solid waste'!A1", "Solid waste")</f>
        <v>Solid waste</v>
      </c>
    </row>
    <row r="25" spans="1:6" ht="20.100000000000001" customHeight="1" x14ac:dyDescent="0.2">
      <c r="A25" s="5" t="str">
        <f>HYPERLINK("#'Input - Manure sent off-site'!A1", "Manure sent off-site")</f>
        <v>Manure sent off-site</v>
      </c>
      <c r="D25" s="1" t="s">
        <v>1138</v>
      </c>
      <c r="E25" s="75">
        <v>500</v>
      </c>
      <c r="F25" s="16" t="s">
        <v>1129</v>
      </c>
    </row>
    <row r="26" spans="1:6" ht="20.100000000000001" customHeight="1" x14ac:dyDescent="0.2">
      <c r="A26" s="5" t="str">
        <f>HYPERLINK("#'Input - Refrigerants'!A1", "Refrigerants")</f>
        <v>Refrigerants</v>
      </c>
    </row>
    <row r="27" spans="1:6" ht="20.100000000000001" customHeight="1" x14ac:dyDescent="0.2">
      <c r="A27" s="5" t="str">
        <f>HYPERLINK("#'Input - Data quality'!A1", "Data quality")</f>
        <v>Data quality</v>
      </c>
    </row>
    <row r="30" spans="1:6" ht="20.100000000000001" customHeight="1" x14ac:dyDescent="0.2">
      <c r="A30" s="6" t="s">
        <v>2</v>
      </c>
    </row>
    <row r="31" spans="1:6" ht="20.100000000000001" customHeight="1" x14ac:dyDescent="0.2">
      <c r="A31" s="5" t="str">
        <f>HYPERLINK("#'3.3.1.1-2 Enteric Methane'!A1", "3.3.1.1-2 Enteric methane")</f>
        <v>3.3.1.1-2 Enteric methane</v>
      </c>
    </row>
    <row r="32" spans="1:6"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5"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conditionalFormatting sqref="D16:G16">
    <cfRule type="expression" dxfId="92" priority="1">
      <formula>$D$24&gt;$D$11</formula>
    </cfRule>
  </conditionalFormatting>
  <dataValidations count="2">
    <dataValidation type="list" allowBlank="1" showInputMessage="1" showErrorMessage="1" sqref="E10" xr:uid="{45772BF5-1C87-41D6-84F7-E9400490E603}">
      <formula1>INDIRECT("Table_SourceData_Fertiliser_IrrigationMethods[Irrigation method]")</formula1>
    </dataValidation>
    <dataValidation type="list" allowBlank="1" showInputMessage="1" showErrorMessage="1" sqref="E9" xr:uid="{672D0912-0DFD-425C-8551-7C9C7DFD3E8D}">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158</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69" t="s">
        <v>163</v>
      </c>
      <c r="E5" s="69"/>
      <c r="F5" s="69"/>
      <c r="G5" s="69"/>
    </row>
    <row r="6" spans="1:11" ht="20.100000000000001" customHeight="1" x14ac:dyDescent="0.2">
      <c r="A6" s="5" t="str">
        <f>HYPERLINK("#'Results'!A1", "Results")</f>
        <v>Results</v>
      </c>
      <c r="F6" s="16"/>
    </row>
    <row r="7" spans="1:11" ht="20.100000000000001" customHeight="1" x14ac:dyDescent="0.2">
      <c r="D7" s="1" t="s">
        <v>159</v>
      </c>
      <c r="E7" s="15" t="s">
        <v>162</v>
      </c>
      <c r="F7" s="16"/>
    </row>
    <row r="8" spans="1:11" ht="20.100000000000001" customHeight="1" x14ac:dyDescent="0.2">
      <c r="D8" s="1" t="s">
        <v>160</v>
      </c>
      <c r="E8" s="15" t="s">
        <v>162</v>
      </c>
      <c r="F8" s="16"/>
    </row>
    <row r="9" spans="1:11" ht="20.100000000000001" customHeight="1" x14ac:dyDescent="0.2">
      <c r="A9" s="7" t="s">
        <v>0</v>
      </c>
      <c r="D9" s="1" t="s">
        <v>63</v>
      </c>
      <c r="E9" s="15" t="str" cm="1">
        <f t="array" ref="E9">X_Cell_Pasture_IrrigationMethod</f>
        <v>Surface irrigation</v>
      </c>
    </row>
    <row r="10" spans="1:11" ht="20.100000000000001" customHeight="1" x14ac:dyDescent="0.2">
      <c r="A10" s="5" t="str">
        <f>HYPERLINK("#'Input - Enterprise'!A1", "Enterprise")</f>
        <v>Enterprise</v>
      </c>
      <c r="D10" s="1" t="s">
        <v>161</v>
      </c>
      <c r="E10" s="15" cm="1">
        <f t="array" ref="E10">X_Cell_Pasture_AreaUnderPasture</f>
        <v>1000</v>
      </c>
    </row>
    <row r="11" spans="1:11" ht="20.100000000000001" customHeight="1" x14ac:dyDescent="0.2">
      <c r="A11" s="5" t="str">
        <f>HYPERLINK("#'Input - Site'!A1", "Site")</f>
        <v>Site</v>
      </c>
    </row>
    <row r="12" spans="1:11" ht="20.100000000000001" customHeight="1" x14ac:dyDescent="0.2">
      <c r="A12" s="5" t="str">
        <f>HYPERLINK("#'Input - Dairy'!A1", "Dairy")</f>
        <v>Dairy</v>
      </c>
    </row>
    <row r="13" spans="1:11" ht="20.100000000000001" customHeight="1" x14ac:dyDescent="0.2">
      <c r="A13" s="5" t="str">
        <f>HYPERLINK("#'Input - Livestock sales'!A1", "Livestock sales")</f>
        <v>Livestock sales</v>
      </c>
    </row>
    <row r="14" spans="1:11" ht="20.100000000000001" customHeight="1" x14ac:dyDescent="0.2">
      <c r="A14" s="5" t="str">
        <f>HYPERLINK("#'Input - Dairy cattle purchases'!A1", "Dairy cattle purchases")</f>
        <v>Dairy cattle purchases</v>
      </c>
    </row>
    <row r="15" spans="1:11" ht="20.100000000000001" customHeight="1" x14ac:dyDescent="0.2">
      <c r="A15" s="5" t="str">
        <f>HYPERLINK("#'Input - Pasture'!A1", "Pasture")</f>
        <v>Pasture</v>
      </c>
    </row>
    <row r="16" spans="1:11" ht="20.100000000000001" customHeight="1" x14ac:dyDescent="0.2">
      <c r="A16" s="100" t="str">
        <f>HYPERLINK("#'Input - Fert Prod System'!A1", "Fert Prod System")</f>
        <v>Fert Prod System</v>
      </c>
    </row>
    <row r="17" spans="1:1" ht="20.100000000000001" customHeight="1" x14ac:dyDescent="0.2">
      <c r="A17" s="5" t="str">
        <f>HYPERLINK("#'Input - Fertiliser'!A1", "Fertiliser")</f>
        <v>Fertiliser</v>
      </c>
    </row>
    <row r="18" spans="1:1" ht="20.100000000000001" customHeight="1" x14ac:dyDescent="0.2">
      <c r="A18" s="5" t="str">
        <f>HYPERLINK("#'Input - Fuel'!A1", "Fuel")</f>
        <v>Fuel</v>
      </c>
    </row>
    <row r="19" spans="1:1" ht="20.100000000000001" customHeight="1" x14ac:dyDescent="0.2">
      <c r="A19" s="5" t="str">
        <f>HYPERLINK("#'Input - Electricity'!A1", "Electricity")</f>
        <v>Electricity</v>
      </c>
    </row>
    <row r="20" spans="1:1" ht="20.100000000000001" customHeight="1" x14ac:dyDescent="0.2">
      <c r="A20" s="5" t="str">
        <f>HYPERLINK("#'Input - Common farm inputs'!A1", "Common farm inputs")</f>
        <v>Common farm inputs</v>
      </c>
    </row>
    <row r="21" spans="1:1" ht="20.100000000000001" customHeight="1" x14ac:dyDescent="0.2">
      <c r="A21" s="5" t="str">
        <f>HYPERLINK("#'Input - Crop pasture farm input'!A1", "Crop pasture farm input")</f>
        <v>Crop pasture farm input</v>
      </c>
    </row>
    <row r="22" spans="1:1" ht="20.100000000000001" customHeight="1" x14ac:dyDescent="0.2">
      <c r="A22" s="5" t="str">
        <f>HYPERLINK("#'Input - Livestock farm Inputs'!A1", "Livestock farm Inputs")</f>
        <v>Livestock farm Inputs</v>
      </c>
    </row>
    <row r="23" spans="1:1" ht="20.100000000000001" customHeight="1" x14ac:dyDescent="0.2">
      <c r="A23" s="5" t="str">
        <f>HYPERLINK("#'Input - Freight'!A1", "Freight")</f>
        <v>Freight</v>
      </c>
    </row>
    <row r="24" spans="1:1" ht="20.100000000000001" customHeight="1" x14ac:dyDescent="0.2">
      <c r="A24" s="5" t="str">
        <f>HYPERLINK("#'Input - Solid waste'!A1", "Solid waste")</f>
        <v>Solid waste</v>
      </c>
    </row>
    <row r="25" spans="1:1" ht="20.100000000000001" customHeight="1" x14ac:dyDescent="0.2">
      <c r="A25" s="5" t="str">
        <f>HYPERLINK("#'Input - Manure sent off-site'!A1", "Manure sent off-site")</f>
        <v>Manure sent off-site</v>
      </c>
    </row>
    <row r="26" spans="1:1" ht="20.100000000000001" customHeight="1" x14ac:dyDescent="0.2">
      <c r="A26" s="5" t="str">
        <f>HYPERLINK("#'Input - Refrigerants'!A1", "Refrigerants")</f>
        <v>Refrigerants</v>
      </c>
    </row>
    <row r="27" spans="1:1" ht="20.100000000000001" customHeight="1" x14ac:dyDescent="0.2">
      <c r="A27" s="5" t="str">
        <f>HYPERLINK("#'Input - Data quality'!A1", "Data quality")</f>
        <v>Data quality</v>
      </c>
    </row>
    <row r="30" spans="1:1" ht="20.100000000000001" customHeight="1" x14ac:dyDescent="0.2">
      <c r="A30" s="6" t="s">
        <v>2</v>
      </c>
    </row>
    <row r="31" spans="1:1" ht="20.100000000000001" customHeight="1" x14ac:dyDescent="0.2">
      <c r="A31" s="5" t="str">
        <f>HYPERLINK("#'3.3.1.1-2 Enteric Methane'!A1", "3.3.1.1-2 Enteric methane")</f>
        <v>3.3.1.1-2 Enteric methane</v>
      </c>
    </row>
    <row r="32" spans="1:1"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5"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BC3-0B96-4C72-9593-38B89811F8DE}">
  <sheetPr>
    <tabColor theme="5" tint="-0.249977111117893"/>
  </sheetPr>
  <dimension ref="A1:AA37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664</v>
      </c>
    </row>
    <row r="2" spans="1:27" s="3" customFormat="1" ht="20.100000000000001" customHeight="1" x14ac:dyDescent="0.2">
      <c r="A2"/>
    </row>
    <row r="3" spans="1:27" ht="20.100000000000001" customHeight="1" x14ac:dyDescent="0.2">
      <c r="A3" s="5" t="str">
        <f>HYPERLINK("#'Home'!A1", "Home")</f>
        <v>Home</v>
      </c>
      <c r="C3" s="28"/>
      <c r="D3" s="28"/>
      <c r="E3" s="28"/>
      <c r="F3" s="28"/>
      <c r="G3" s="28"/>
      <c r="H3" s="28"/>
      <c r="I3" s="28"/>
      <c r="J3" s="28"/>
      <c r="K3" s="28"/>
      <c r="L3" s="28"/>
      <c r="M3" s="28"/>
      <c r="N3" s="28"/>
      <c r="O3" s="28"/>
      <c r="P3" s="28"/>
      <c r="Q3" s="28"/>
      <c r="R3" s="28"/>
      <c r="S3" s="28"/>
      <c r="T3" s="28"/>
      <c r="U3" s="28"/>
      <c r="V3" s="28"/>
      <c r="W3" s="28"/>
      <c r="X3" s="28"/>
      <c r="Y3" s="28"/>
      <c r="Z3" s="28"/>
      <c r="AA3" s="28"/>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Emissions Intensity")</f>
        <v>Results - Product Emissions Intensity</v>
      </c>
      <c r="D5" s="2" t="s">
        <v>665</v>
      </c>
      <c r="E5" s="24"/>
      <c r="F5" s="24"/>
      <c r="G5" s="24"/>
      <c r="H5" s="24"/>
      <c r="I5" s="24"/>
      <c r="J5" s="24"/>
      <c r="K5" s="24"/>
      <c r="L5" s="24"/>
      <c r="M5" s="24"/>
    </row>
    <row r="6" spans="1:27" ht="20.100000000000001" customHeight="1" x14ac:dyDescent="0.2">
      <c r="A6" s="5" t="str">
        <f>HYPERLINK("#'Results'!A1", "Results")</f>
        <v>Results</v>
      </c>
      <c r="D6" s="8"/>
      <c r="E6" s="8"/>
      <c r="F6" s="8"/>
      <c r="G6" s="8"/>
      <c r="H6" s="8"/>
      <c r="I6" s="8"/>
      <c r="J6" s="8"/>
      <c r="K6" s="8"/>
      <c r="L6" s="8"/>
      <c r="M6" s="8"/>
    </row>
    <row r="7" spans="1:27" ht="20.100000000000001" customHeight="1" x14ac:dyDescent="0.2">
      <c r="D7" s="140" t="s">
        <v>666</v>
      </c>
      <c r="E7" s="43"/>
      <c r="F7" s="43"/>
      <c r="G7" s="43"/>
      <c r="H7" s="44"/>
      <c r="I7" s="145"/>
      <c r="J7" s="146"/>
      <c r="K7" s="146"/>
      <c r="L7" s="146"/>
      <c r="M7" s="146"/>
    </row>
    <row r="8" spans="1:27" ht="20.100000000000001" customHeight="1" x14ac:dyDescent="0.2">
      <c r="D8" s="45" t="s">
        <v>667</v>
      </c>
      <c r="E8" s="46"/>
      <c r="F8" s="46"/>
      <c r="G8" s="46"/>
      <c r="H8" s="47"/>
      <c r="I8" s="8"/>
      <c r="J8" s="8"/>
      <c r="K8" s="8"/>
      <c r="L8" s="8"/>
      <c r="M8" s="8"/>
    </row>
    <row r="9" spans="1:27" ht="20.100000000000001" customHeight="1" x14ac:dyDescent="0.2">
      <c r="A9" s="7" t="s">
        <v>0</v>
      </c>
      <c r="D9" s="8"/>
      <c r="E9" s="8"/>
      <c r="F9" s="8"/>
      <c r="G9" s="8"/>
      <c r="H9" s="8"/>
      <c r="I9" s="8"/>
      <c r="J9" s="8"/>
      <c r="K9" s="8"/>
      <c r="L9" s="8"/>
      <c r="M9" s="8"/>
    </row>
    <row r="10" spans="1:27" ht="20.100000000000001" customHeight="1" x14ac:dyDescent="0.2">
      <c r="A10" s="5" t="str">
        <f>HYPERLINK("#'Input - Enterprise'!A1", "Enterprise")</f>
        <v>Enterprise</v>
      </c>
      <c r="D10" s="78" t="s">
        <v>668</v>
      </c>
      <c r="E10" s="8"/>
      <c r="F10" s="8"/>
      <c r="G10" s="8"/>
      <c r="H10" s="8"/>
      <c r="I10" s="8"/>
      <c r="J10" s="8"/>
      <c r="K10" s="8"/>
      <c r="L10" s="8"/>
      <c r="M10" s="8"/>
    </row>
    <row r="11" spans="1:27" ht="20.100000000000001" customHeight="1" x14ac:dyDescent="0.2">
      <c r="A11" s="5" t="str">
        <f>HYPERLINK("#'Input - Site'!A1", "Site")</f>
        <v>Site</v>
      </c>
      <c r="D11" s="147" t="s">
        <v>669</v>
      </c>
      <c r="E11" s="148" t="s">
        <v>670</v>
      </c>
      <c r="F11" s="149" t="s">
        <v>671</v>
      </c>
      <c r="G11" s="148" t="s">
        <v>672</v>
      </c>
      <c r="H11" s="149" t="s">
        <v>673</v>
      </c>
      <c r="I11" s="148" t="s">
        <v>674</v>
      </c>
      <c r="J11" s="147" t="s">
        <v>675</v>
      </c>
      <c r="K11" s="147" t="s">
        <v>676</v>
      </c>
      <c r="L11" s="147" t="s">
        <v>677</v>
      </c>
      <c r="M11" s="147" t="s">
        <v>678</v>
      </c>
      <c r="N11" s="147" t="s">
        <v>679</v>
      </c>
      <c r="O11" s="147" t="s">
        <v>680</v>
      </c>
      <c r="P11" s="147" t="s">
        <v>681</v>
      </c>
      <c r="Q11" s="147" t="s">
        <v>682</v>
      </c>
      <c r="R11" s="147" t="s">
        <v>683</v>
      </c>
      <c r="S11" s="147" t="s">
        <v>684</v>
      </c>
      <c r="T11" s="147" t="s">
        <v>685</v>
      </c>
      <c r="U11" s="147" t="s">
        <v>686</v>
      </c>
      <c r="V11" s="147" t="s">
        <v>687</v>
      </c>
      <c r="W11" s="147" t="s">
        <v>688</v>
      </c>
      <c r="X11" s="147" t="s">
        <v>689</v>
      </c>
      <c r="Y11" s="147" t="s">
        <v>690</v>
      </c>
      <c r="Z11" s="147" t="s">
        <v>691</v>
      </c>
    </row>
    <row r="12" spans="1:27" ht="20.100000000000001" customHeight="1" x14ac:dyDescent="0.2">
      <c r="A12" s="5" t="str">
        <f>HYPERLINK("#'Input - Dairy'!A1", "Dairy")</f>
        <v>Dairy</v>
      </c>
      <c r="D12" s="150" t="s">
        <v>692</v>
      </c>
      <c r="E12" s="151">
        <v>100</v>
      </c>
      <c r="F12" s="15" t="str">
        <f>IFERROR(_xlfn.XLOOKUP(Table_Input_InorganicFertiliser_Brands[[#This Row],[Product (select)]],FertiliserProducts[Product],FertiliserProducts[Unit]), "kg")</f>
        <v>kg</v>
      </c>
      <c r="G12" s="151">
        <f t="shared" ref="G12" si="0">X_Cell_Fertiliser_AreaUnderCropping</f>
        <v>1000</v>
      </c>
      <c r="H12" s="152">
        <f>IFERROR(_xlfn.XLOOKUP(Table_Input_InorganicFertiliser_Brands[[#This Row],[Product (select)]],FertiliserProducts[Product],FertiliserProducts[Density]), 1)</f>
        <v>1</v>
      </c>
      <c r="I12" s="153">
        <f>(Table_Input_InorganicFertiliser_Brands[[#This Row],[Amount applied per hectare]]*Table_Input_InorganicFertiliser_Brands[[#This Row],[Density]])*Table_Input_InorganicFertiliser_Brands[[#This Row],[Application area (ha)]]</f>
        <v>100000</v>
      </c>
      <c r="J12" s="153"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53"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53" cm="1">
        <f t="array" ref="L12">Fertiliser_InputFunctions.Fertiliser_FertiliserProductLookup(Table_Input_InorganicFertiliser_Brands[[#This Row],[Product (select)]], Table_Input_InorganicFertiliser_Brands[[#Headers],[Ingredient 2]], FertiliserProducts[#Data], FertiliserProducts[Product], FertiliserProducts[#Headers])</f>
        <v>0</v>
      </c>
      <c r="M12" s="153"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0</v>
      </c>
      <c r="N12" s="153" cm="1">
        <f t="array" ref="N12">Fertiliser_InputFunctions.Fertiliser_FertiliserProductLookup(Table_Input_InorganicFertiliser_Brands[[#This Row],[Product (select)]], Table_Input_InorganicFertiliser_Brands[[#Headers],[Ingredient 3]], FertiliserProducts[#Data], FertiliserProducts[Product], FertiliserProducts[#Headers])</f>
        <v>0</v>
      </c>
      <c r="O12" s="153"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0</v>
      </c>
      <c r="P12" s="153" cm="1">
        <f t="array" ref="P12">Fertiliser_InputFunctions.Fertiliser_FertiliserProductLookup(Table_Input_InorganicFertiliser_Brands[[#This Row],[Product (select)]], Table_Input_InorganicFertiliser_Brands[[#Headers],[Ingredient 4]], FertiliserProducts[#Data], FertiliserProducts[Product], FertiliserProducts[#Headers])</f>
        <v>0</v>
      </c>
      <c r="Q12" s="153"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0</v>
      </c>
      <c r="R12" s="153" cm="1">
        <f t="array" ref="R12">Fertiliser_InputFunctions.Fertiliser_FertiliserProductLookup(Table_Input_InorganicFertiliser_Brands[[#This Row],[Product (select)]], Table_Input_InorganicFertiliser_Brands[[#Headers],[Ingredient 5]], FertiliserProducts[#Data], FertiliserProducts[Product], FertiliserProducts[#Headers])</f>
        <v>0</v>
      </c>
      <c r="S12" s="153"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0</v>
      </c>
      <c r="T12" s="153" cm="1">
        <f t="array" ref="T12">Fertiliser_InputFunctions.Fertiliser_FertiliserProductLookup(Table_Input_InorganicFertiliser_Brands[[#This Row],[Product (select)]], Table_Input_InorganicFertiliser_Brands[[#Headers],[Ingredient 6]], FertiliserProducts[#Data], FertiliserProducts[Product], FertiliserProducts[#Headers])</f>
        <v>0</v>
      </c>
      <c r="U12" s="153"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0</v>
      </c>
      <c r="V12"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53" cm="1">
        <f t="array" ref="W12">IFERROR(Fertiliser_InputFunctions.Fertiliser_FertiliserProductLookup(Table_Input_InorganicFertiliser_Brands[[#This Row],[Product (select)]], "N declared", FertiliserProducts[#Data], FertiliserProducts[Product], FertiliserProducts[#Headers])*0.01, 0)</f>
        <v>0.46</v>
      </c>
      <c r="X12"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53">
        <f>IFERROR(_xlfn.XLOOKUP(Table_Input_InorganicFertiliser_Brands[[#This Row],[Product (select)]],FertiliserProducts[Product],FertiliserProducts[Urea source]), "")</f>
        <v>0</v>
      </c>
      <c r="Z12" s="153">
        <f>IFERROR(_xlfn.XLOOKUP(Table_Input_InorganicFertiliser_Brands[[#This Row],[Product (select)]],FertiliserProducts[Product],FertiliserProducts[Ammonia source]), "")</f>
        <v>0</v>
      </c>
    </row>
    <row r="13" spans="1:27" ht="20.100000000000001" customHeight="1" x14ac:dyDescent="0.2">
      <c r="A13" s="5" t="str">
        <f>HYPERLINK("#'Input - Livestock sales'!A1", "Livestock sales")</f>
        <v>Livestock sales</v>
      </c>
      <c r="D13" s="150" t="s">
        <v>693</v>
      </c>
      <c r="E13" s="151">
        <v>100</v>
      </c>
      <c r="F13" s="15" t="str">
        <f>IFERROR(_xlfn.XLOOKUP(Table_Input_InorganicFertiliser_Brands[[#This Row],[Product (select)]],FertiliserProducts[Product],FertiliserProducts[Unit]), "kg")</f>
        <v>kg</v>
      </c>
      <c r="G13" s="151">
        <f t="shared" ref="G13" si="1">X_Cell_Fertiliser_AreaUnderCropping</f>
        <v>1000</v>
      </c>
      <c r="H13" s="152">
        <f>IFERROR(_xlfn.XLOOKUP(Table_Input_InorganicFertiliser_Brands[[#This Row],[Product (select)]],FertiliserProducts[Product],FertiliserProducts[Density]), 1)</f>
        <v>1</v>
      </c>
      <c r="I13" s="153">
        <f>(Table_Input_InorganicFertiliser_Brands[[#This Row],[Amount applied per hectare]]*Table_Input_InorganicFertiliser_Brands[[#This Row],[Density]])*Table_Input_InorganicFertiliser_Brands[[#This Row],[Application area (ha)]]</f>
        <v>100000</v>
      </c>
      <c r="J13" s="153"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53"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53"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53"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53"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53"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53"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53"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53"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53"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53"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53"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54" cm="1">
        <f t="array" ref="W13">IFERROR(Fertiliser_InputFunctions.Fertiliser_FertiliserProductLookup(Table_Input_InorganicFertiliser_Brands[[#This Row],[Product (select)]], "N declared", FertiliserProducts[#Data], FertiliserProducts[Product], FertiliserProducts[#Headers])*0.01, 0)</f>
        <v>0.24</v>
      </c>
      <c r="X13"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53">
        <f>IFERROR(_xlfn.XLOOKUP(Table_Input_InorganicFertiliser_Brands[[#This Row],[Product (select)]],FertiliserProducts[Product],FertiliserProducts[Urea source]), "")</f>
        <v>0</v>
      </c>
      <c r="Z13" s="153">
        <f>IFERROR(_xlfn.XLOOKUP(Table_Input_InorganicFertiliser_Brands[[#This Row],[Product (select)]],FertiliserProducts[Product],FertiliserProducts[Ammonia source]), "")</f>
        <v>0</v>
      </c>
    </row>
    <row r="14" spans="1:27" ht="20.100000000000001" customHeight="1" x14ac:dyDescent="0.2">
      <c r="A14" s="5" t="str">
        <f>HYPERLINK("#'Input - Dairy cattle purchases'!A1", "Dairy cattle purchases")</f>
        <v>Dairy cattle purchases</v>
      </c>
      <c r="D14" s="150" t="s">
        <v>694</v>
      </c>
      <c r="E14" s="151">
        <v>100</v>
      </c>
      <c r="F14" s="15" t="str">
        <f>IFERROR(_xlfn.XLOOKUP(Table_Input_InorganicFertiliser_Brands[[#This Row],[Product (select)]],FertiliserProducts[Product],FertiliserProducts[Unit]), "kg")</f>
        <v>kg</v>
      </c>
      <c r="G14" s="151">
        <f t="shared" ref="G14" si="2">X_Cell_Fertiliser_AreaUnderCropping</f>
        <v>1000</v>
      </c>
      <c r="H14" s="152">
        <f>IFERROR(_xlfn.XLOOKUP(Table_Input_InorganicFertiliser_Brands[[#This Row],[Product (select)]],FertiliserProducts[Product],FertiliserProducts[Density]), 1)</f>
        <v>1</v>
      </c>
      <c r="I14" s="153">
        <f>(Table_Input_InorganicFertiliser_Brands[[#This Row],[Amount applied per hectare]]*Table_Input_InorganicFertiliser_Brands[[#This Row],[Density]])*Table_Input_InorganicFertiliser_Brands[[#This Row],[Application area (ha)]]</f>
        <v>100000</v>
      </c>
      <c r="J14" s="153"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53"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53"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53"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53"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53"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53"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53"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53"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53"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53" cm="1">
        <f t="array" ref="T14">Fertiliser_InputFunctions.Fertiliser_FertiliserProductLookup(Table_Input_InorganicFertiliser_Brands[[#This Row],[Product (select)]], Table_Input_InorganicFertiliser_Brands[[#Headers],[Ingredient 6]], FertiliserProducts[#Data], FertiliserProducts[Product], FertiliserProducts[#Headers])</f>
        <v>0</v>
      </c>
      <c r="U14" s="153"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0</v>
      </c>
      <c r="V14"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54" cm="1">
        <f t="array" ref="W14">IFERROR(Fertiliser_InputFunctions.Fertiliser_FertiliserProductLookup(Table_Input_InorganicFertiliser_Brands[[#This Row],[Product (select)]], "N declared", FertiliserProducts[#Data], FertiliserProducts[Product], FertiliserProducts[#Headers])*0.01, 0)</f>
        <v>0.17899999999999999</v>
      </c>
      <c r="X14"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53">
        <f>IFERROR(_xlfn.XLOOKUP(Table_Input_InorganicFertiliser_Brands[[#This Row],[Product (select)]],FertiliserProducts[Product],FertiliserProducts[Urea source]), "")</f>
        <v>0</v>
      </c>
      <c r="Z14" s="153">
        <f>IFERROR(_xlfn.XLOOKUP(Table_Input_InorganicFertiliser_Brands[[#This Row],[Product (select)]],FertiliserProducts[Product],FertiliserProducts[Ammonia source]), "")</f>
        <v>0</v>
      </c>
    </row>
    <row r="15" spans="1:27" ht="20.100000000000001" customHeight="1" x14ac:dyDescent="0.2">
      <c r="A15" s="5" t="str">
        <f>HYPERLINK("#'Input - Pasture'!A1", "Pasture")</f>
        <v>Pasture</v>
      </c>
      <c r="D15" s="150"/>
      <c r="E15" s="151"/>
      <c r="F15" s="15" t="str">
        <f>IFERROR(_xlfn.XLOOKUP(Table_Input_InorganicFertiliser_Brands[[#This Row],[Product (select)]],FertiliserProducts[Product],FertiliserProducts[Unit]), "kg")</f>
        <v>kg</v>
      </c>
      <c r="G15" s="151">
        <f t="shared" ref="G15" si="3">X_Cell_Fertiliser_AreaUnderCropping</f>
        <v>1000</v>
      </c>
      <c r="H15" s="152">
        <f>IFERROR(_xlfn.XLOOKUP(Table_Input_InorganicFertiliser_Brands[[#This Row],[Product (select)]],FertiliserProducts[Product],FertiliserProducts[Density]), 1)</f>
        <v>1</v>
      </c>
      <c r="I15" s="153">
        <f>(Table_Input_InorganicFertiliser_Brands[[#This Row],[Amount applied per hectare]]*Table_Input_InorganicFertiliser_Brands[[#This Row],[Density]])*Table_Input_InorganicFertiliser_Brands[[#This Row],[Application area (ha)]]</f>
        <v>0</v>
      </c>
      <c r="J15" s="153"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53"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53"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53"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53"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53"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53"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53"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53"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53"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53"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53"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54" cm="1">
        <f t="array" ref="W15">IFERROR(Fertiliser_InputFunctions.Fertiliser_FertiliserProductLookup(Table_Input_InorganicFertiliser_Brands[[#This Row],[Product (select)]], "N declared", FertiliserProducts[#Data], FertiliserProducts[Product], FertiliserProducts[#Headers])*0.01, 0)</f>
        <v>0</v>
      </c>
      <c r="X15"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53" t="str">
        <f>IFERROR(_xlfn.XLOOKUP(Table_Input_InorganicFertiliser_Brands[[#This Row],[Product (select)]],FertiliserProducts[Product],FertiliserProducts[Urea source]), "")</f>
        <v/>
      </c>
      <c r="Z15" s="153" t="str">
        <f>IFERROR(_xlfn.XLOOKUP(Table_Input_InorganicFertiliser_Brands[[#This Row],[Product (select)]],FertiliserProducts[Product],FertiliserProducts[Ammonia source]), "")</f>
        <v/>
      </c>
    </row>
    <row r="16" spans="1:27" ht="20.100000000000001" customHeight="1" x14ac:dyDescent="0.2">
      <c r="A16" s="5" t="str">
        <f>HYPERLINK("#'Input - Fert Prod System'!A1", "Fert Prod System")</f>
        <v>Fert Prod System</v>
      </c>
      <c r="D16" s="150"/>
      <c r="E16" s="151"/>
      <c r="F16" s="15" t="str">
        <f>IFERROR(_xlfn.XLOOKUP(Table_Input_InorganicFertiliser_Brands[[#This Row],[Product (select)]],FertiliserProducts[Product],FertiliserProducts[Unit]), "kg")</f>
        <v>kg</v>
      </c>
      <c r="G16" s="151">
        <f t="shared" ref="G16" si="4">X_Cell_Fertiliser_AreaUnderCropping</f>
        <v>1000</v>
      </c>
      <c r="H16" s="152">
        <f>IFERROR(_xlfn.XLOOKUP(Table_Input_InorganicFertiliser_Brands[[#This Row],[Product (select)]],FertiliserProducts[Product],FertiliserProducts[Density]), 1)</f>
        <v>1</v>
      </c>
      <c r="I16" s="153">
        <f>(Table_Input_InorganicFertiliser_Brands[[#This Row],[Amount applied per hectare]]*Table_Input_InorganicFertiliser_Brands[[#This Row],[Density]])*Table_Input_InorganicFertiliser_Brands[[#This Row],[Application area (ha)]]</f>
        <v>0</v>
      </c>
      <c r="J16" s="153"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53"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53"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53"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53"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53"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53"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53"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53"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53"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53"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53"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54" cm="1">
        <f t="array" ref="W16">IFERROR(Fertiliser_InputFunctions.Fertiliser_FertiliserProductLookup(Table_Input_InorganicFertiliser_Brands[[#This Row],[Product (select)]], "N declared", FertiliserProducts[#Data], FertiliserProducts[Product], FertiliserProducts[#Headers])*0.01, 0)</f>
        <v>0</v>
      </c>
      <c r="X16"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53" t="str">
        <f>IFERROR(_xlfn.XLOOKUP(Table_Input_InorganicFertiliser_Brands[[#This Row],[Product (select)]],FertiliserProducts[Product],FertiliserProducts[Urea source]), "")</f>
        <v/>
      </c>
      <c r="Z16" s="153" t="str">
        <f>IFERROR(_xlfn.XLOOKUP(Table_Input_InorganicFertiliser_Brands[[#This Row],[Product (select)]],FertiliserProducts[Product],FertiliserProducts[Ammonia source]), "")</f>
        <v/>
      </c>
    </row>
    <row r="17" spans="1:26" ht="20.100000000000001" customHeight="1" x14ac:dyDescent="0.2">
      <c r="A17" s="100" t="str">
        <f>HYPERLINK("#'Input - Fertiliser'!A1", "Fertiliser")</f>
        <v>Fertiliser</v>
      </c>
      <c r="D17" s="150"/>
      <c r="E17" s="151"/>
      <c r="F17" s="15" t="str">
        <f>IFERROR(_xlfn.XLOOKUP(Table_Input_InorganicFertiliser_Brands[[#This Row],[Product (select)]],FertiliserProducts[Product],FertiliserProducts[Unit]), "kg")</f>
        <v>kg</v>
      </c>
      <c r="G17" s="151">
        <f t="shared" ref="G17" si="5">X_Cell_Fertiliser_AreaUnderCropping</f>
        <v>1000</v>
      </c>
      <c r="H17" s="152">
        <f>IFERROR(_xlfn.XLOOKUP(Table_Input_InorganicFertiliser_Brands[[#This Row],[Product (select)]],FertiliserProducts[Product],FertiliserProducts[Density]), 1)</f>
        <v>1</v>
      </c>
      <c r="I17" s="153">
        <f>(Table_Input_InorganicFertiliser_Brands[[#This Row],[Amount applied per hectare]]*Table_Input_InorganicFertiliser_Brands[[#This Row],[Density]])*Table_Input_InorganicFertiliser_Brands[[#This Row],[Application area (ha)]]</f>
        <v>0</v>
      </c>
      <c r="J17" s="153"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53"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53"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53"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53"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53"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53"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53"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53"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53"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53"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53"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54" cm="1">
        <f t="array" ref="W17">IFERROR(Fertiliser_InputFunctions.Fertiliser_FertiliserProductLookup(Table_Input_InorganicFertiliser_Brands[[#This Row],[Product (select)]], "N declared", FertiliserProducts[#Data], FertiliserProducts[Product], FertiliserProducts[#Headers])*0.01, 0)</f>
        <v>0</v>
      </c>
      <c r="X17"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53" t="str">
        <f>IFERROR(_xlfn.XLOOKUP(Table_Input_InorganicFertiliser_Brands[[#This Row],[Product (select)]],FertiliserProducts[Product],FertiliserProducts[Urea source]), "")</f>
        <v/>
      </c>
      <c r="Z17" s="153" t="str">
        <f>IFERROR(_xlfn.XLOOKUP(Table_Input_InorganicFertiliser_Brands[[#This Row],[Product (select)]],FertiliserProducts[Product],FertiliserProducts[Ammonia source]), "")</f>
        <v/>
      </c>
    </row>
    <row r="18" spans="1:26" ht="20.100000000000001" customHeight="1" x14ac:dyDescent="0.2">
      <c r="A18" s="5" t="str">
        <f>HYPERLINK("#'Input - Fuel'!A1", "Fuel")</f>
        <v>Fuel</v>
      </c>
      <c r="D18" s="150"/>
      <c r="E18" s="151"/>
      <c r="F18" s="15" t="str">
        <f>IFERROR(_xlfn.XLOOKUP(Table_Input_InorganicFertiliser_Brands[[#This Row],[Product (select)]],FertiliserProducts[Product],FertiliserProducts[Unit]), "kg")</f>
        <v>kg</v>
      </c>
      <c r="G18" s="151">
        <f t="shared" ref="G18" si="6">X_Cell_Fertiliser_AreaUnderCropping</f>
        <v>1000</v>
      </c>
      <c r="H18" s="152">
        <f>IFERROR(_xlfn.XLOOKUP(Table_Input_InorganicFertiliser_Brands[[#This Row],[Product (select)]],FertiliserProducts[Product],FertiliserProducts[Density]), 1)</f>
        <v>1</v>
      </c>
      <c r="I18" s="153">
        <f>(Table_Input_InorganicFertiliser_Brands[[#This Row],[Amount applied per hectare]]*Table_Input_InorganicFertiliser_Brands[[#This Row],[Density]])*Table_Input_InorganicFertiliser_Brands[[#This Row],[Application area (ha)]]</f>
        <v>0</v>
      </c>
      <c r="J18" s="153"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53"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53"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53"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53"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53"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53"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53"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53"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53"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53"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53"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54" cm="1">
        <f t="array" ref="W18">IFERROR(Fertiliser_InputFunctions.Fertiliser_FertiliserProductLookup(Table_Input_InorganicFertiliser_Brands[[#This Row],[Product (select)]], "N declared", FertiliserProducts[#Data], FertiliserProducts[Product], FertiliserProducts[#Headers])*0.01, 0)</f>
        <v>0</v>
      </c>
      <c r="X18"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53" t="str">
        <f>IFERROR(_xlfn.XLOOKUP(Table_Input_InorganicFertiliser_Brands[[#This Row],[Product (select)]],FertiliserProducts[Product],FertiliserProducts[Urea source]), "")</f>
        <v/>
      </c>
      <c r="Z18" s="153" t="str">
        <f>IFERROR(_xlfn.XLOOKUP(Table_Input_InorganicFertiliser_Brands[[#This Row],[Product (select)]],FertiliserProducts[Product],FertiliserProducts[Ammonia source]), "")</f>
        <v/>
      </c>
    </row>
    <row r="19" spans="1:26" ht="20.100000000000001" customHeight="1" x14ac:dyDescent="0.2">
      <c r="A19" s="5" t="str">
        <f>HYPERLINK("#'Input - Electricity'!A1", "Electricity")</f>
        <v>Electricity</v>
      </c>
      <c r="D19" s="150"/>
      <c r="E19" s="151"/>
      <c r="F19" s="15" t="str">
        <f>IFERROR(_xlfn.XLOOKUP(Table_Input_InorganicFertiliser_Brands[[#This Row],[Product (select)]],FertiliserProducts[Product],FertiliserProducts[Unit]), "kg")</f>
        <v>kg</v>
      </c>
      <c r="G19" s="151">
        <f t="shared" ref="G19" si="7">X_Cell_Fertiliser_AreaUnderCropping</f>
        <v>1000</v>
      </c>
      <c r="H19" s="152">
        <f>IFERROR(_xlfn.XLOOKUP(Table_Input_InorganicFertiliser_Brands[[#This Row],[Product (select)]],FertiliserProducts[Product],FertiliserProducts[Density]), 1)</f>
        <v>1</v>
      </c>
      <c r="I19" s="153">
        <f>(Table_Input_InorganicFertiliser_Brands[[#This Row],[Amount applied per hectare]]*Table_Input_InorganicFertiliser_Brands[[#This Row],[Density]])*Table_Input_InorganicFertiliser_Brands[[#This Row],[Application area (ha)]]</f>
        <v>0</v>
      </c>
      <c r="J19" s="153"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53"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53"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53"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53"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53"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53"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53"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53"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53"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53"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53"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54" cm="1">
        <f t="array" ref="W19">IFERROR(Fertiliser_InputFunctions.Fertiliser_FertiliserProductLookup(Table_Input_InorganicFertiliser_Brands[[#This Row],[Product (select)]], "N declared", FertiliserProducts[#Data], FertiliserProducts[Product], FertiliserProducts[#Headers])*0.01, 0)</f>
        <v>0</v>
      </c>
      <c r="X19"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53" t="str">
        <f>IFERROR(_xlfn.XLOOKUP(Table_Input_InorganicFertiliser_Brands[[#This Row],[Product (select)]],FertiliserProducts[Product],FertiliserProducts[Urea source]), "")</f>
        <v/>
      </c>
      <c r="Z19" s="153" t="str">
        <f>IFERROR(_xlfn.XLOOKUP(Table_Input_InorganicFertiliser_Brands[[#This Row],[Product (select)]],FertiliserProducts[Product],FertiliserProducts[Ammonia source]), "")</f>
        <v/>
      </c>
    </row>
    <row r="20" spans="1:26" ht="20.100000000000001" customHeight="1" x14ac:dyDescent="0.2">
      <c r="A20" s="5" t="str">
        <f>HYPERLINK("#'Input - Common farm inputs'!A1", "Common farm inputs")</f>
        <v>Common farm inputs</v>
      </c>
      <c r="D20" s="150"/>
      <c r="E20" s="151"/>
      <c r="F20" s="15" t="str">
        <f>IFERROR(_xlfn.XLOOKUP(Table_Input_InorganicFertiliser_Brands[[#This Row],[Product (select)]],FertiliserProducts[Product],FertiliserProducts[Unit]), "kg")</f>
        <v>kg</v>
      </c>
      <c r="G20" s="151">
        <f t="shared" ref="G20" si="8">X_Cell_Fertiliser_AreaUnderCropping</f>
        <v>1000</v>
      </c>
      <c r="H20" s="152">
        <f>IFERROR(_xlfn.XLOOKUP(Table_Input_InorganicFertiliser_Brands[[#This Row],[Product (select)]],FertiliserProducts[Product],FertiliserProducts[Density]), 1)</f>
        <v>1</v>
      </c>
      <c r="I20" s="153">
        <f>(Table_Input_InorganicFertiliser_Brands[[#This Row],[Amount applied per hectare]]*Table_Input_InorganicFertiliser_Brands[[#This Row],[Density]])*Table_Input_InorganicFertiliser_Brands[[#This Row],[Application area (ha)]]</f>
        <v>0</v>
      </c>
      <c r="J20" s="153"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53"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53"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53"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53"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53"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53"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53"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53"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53"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53"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53"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54" cm="1">
        <f t="array" ref="W20">IFERROR(Fertiliser_InputFunctions.Fertiliser_FertiliserProductLookup(Table_Input_InorganicFertiliser_Brands[[#This Row],[Product (select)]], "N declared", FertiliserProducts[#Data], FertiliserProducts[Product], FertiliserProducts[#Headers])*0.01, 0)</f>
        <v>0</v>
      </c>
      <c r="X20"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53" t="str">
        <f>IFERROR(_xlfn.XLOOKUP(Table_Input_InorganicFertiliser_Brands[[#This Row],[Product (select)]],FertiliserProducts[Product],FertiliserProducts[Urea source]), "")</f>
        <v/>
      </c>
      <c r="Z20" s="153" t="str">
        <f>IFERROR(_xlfn.XLOOKUP(Table_Input_InorganicFertiliser_Brands[[#This Row],[Product (select)]],FertiliserProducts[Product],FertiliserProducts[Ammonia source]), "")</f>
        <v/>
      </c>
    </row>
    <row r="21" spans="1:26" ht="20.100000000000001" customHeight="1" x14ac:dyDescent="0.2">
      <c r="A21" s="5" t="str">
        <f>HYPERLINK("#'Input - Crop pasture farm input'!A1", "Crop pasture farm input")</f>
        <v>Crop pasture farm input</v>
      </c>
      <c r="D21" s="150"/>
      <c r="E21" s="151"/>
      <c r="F21" s="15" t="str">
        <f>IFERROR(_xlfn.XLOOKUP(Table_Input_InorganicFertiliser_Brands[[#This Row],[Product (select)]],FertiliserProducts[Product],FertiliserProducts[Unit]), "kg")</f>
        <v>kg</v>
      </c>
      <c r="G21" s="151">
        <f t="shared" ref="G21" si="9">X_Cell_Fertiliser_AreaUnderCropping</f>
        <v>1000</v>
      </c>
      <c r="H21" s="152">
        <f>IFERROR(_xlfn.XLOOKUP(Table_Input_InorganicFertiliser_Brands[[#This Row],[Product (select)]],FertiliserProducts[Product],FertiliserProducts[Density]), 1)</f>
        <v>1</v>
      </c>
      <c r="I21" s="153">
        <f>(Table_Input_InorganicFertiliser_Brands[[#This Row],[Amount applied per hectare]]*Table_Input_InorganicFertiliser_Brands[[#This Row],[Density]])*Table_Input_InorganicFertiliser_Brands[[#This Row],[Application area (ha)]]</f>
        <v>0</v>
      </c>
      <c r="J21" s="153"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53"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53"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53"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53"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53"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53"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53"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53"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53"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53"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53"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54" cm="1">
        <f t="array" ref="W21">IFERROR(Fertiliser_InputFunctions.Fertiliser_FertiliserProductLookup(Table_Input_InorganicFertiliser_Brands[[#This Row],[Product (select)]], "N declared", FertiliserProducts[#Data], FertiliserProducts[Product], FertiliserProducts[#Headers])*0.01, 0)</f>
        <v>0</v>
      </c>
      <c r="X21"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53" t="str">
        <f>IFERROR(_xlfn.XLOOKUP(Table_Input_InorganicFertiliser_Brands[[#This Row],[Product (select)]],FertiliserProducts[Product],FertiliserProducts[Urea source]), "")</f>
        <v/>
      </c>
      <c r="Z21" s="153" t="str">
        <f>IFERROR(_xlfn.XLOOKUP(Table_Input_InorganicFertiliser_Brands[[#This Row],[Product (select)]],FertiliserProducts[Product],FertiliserProducts[Ammonia source]), "")</f>
        <v/>
      </c>
    </row>
    <row r="22" spans="1:26" ht="20.100000000000001" customHeight="1" x14ac:dyDescent="0.2">
      <c r="A22" s="5" t="str">
        <f>HYPERLINK("#'Input - Livestock farm Inputs'!A1", "Livestock farm Inputs")</f>
        <v>Livestock farm Inputs</v>
      </c>
      <c r="D22" s="155"/>
      <c r="E22" s="156"/>
      <c r="F22" s="157"/>
      <c r="G22" s="157"/>
      <c r="H22" s="157"/>
      <c r="I22" s="157"/>
      <c r="J22" s="158"/>
      <c r="K22" s="158"/>
      <c r="L22" s="159"/>
      <c r="M22" s="159"/>
      <c r="N22" s="160"/>
      <c r="O22" s="160"/>
      <c r="P22" s="160"/>
      <c r="Q22" s="160"/>
      <c r="R22" s="160"/>
      <c r="S22" s="160"/>
      <c r="T22" s="160"/>
      <c r="U22" s="160"/>
      <c r="V22" s="160"/>
      <c r="W22" s="160"/>
      <c r="X22" s="160"/>
    </row>
    <row r="23" spans="1:26" ht="20.100000000000001" customHeight="1" x14ac:dyDescent="0.2">
      <c r="A23" s="5" t="str">
        <f>HYPERLINK("#'Input - Freight'!A1", "Freight")</f>
        <v>Freight</v>
      </c>
      <c r="D23" s="161" t="s">
        <v>695</v>
      </c>
      <c r="E23" s="162"/>
      <c r="F23" s="162"/>
      <c r="G23" s="162"/>
      <c r="H23" s="162"/>
      <c r="I23" s="162"/>
      <c r="J23" s="162"/>
      <c r="K23" s="162"/>
      <c r="L23" s="162"/>
      <c r="M23" s="162"/>
      <c r="N23" s="160"/>
      <c r="O23" s="160"/>
      <c r="P23" s="160"/>
      <c r="Q23" s="160"/>
      <c r="R23" s="160"/>
      <c r="S23" s="160"/>
      <c r="T23" s="160"/>
      <c r="V23" s="160"/>
      <c r="W23" s="160"/>
      <c r="X23" s="160"/>
    </row>
    <row r="24" spans="1:26" ht="20.100000000000001" customHeight="1" x14ac:dyDescent="0.2">
      <c r="A24" s="5" t="str">
        <f>HYPERLINK("#'Input - Solid waste'!A1", "Solid waste")</f>
        <v>Solid waste</v>
      </c>
      <c r="D24" s="148" t="s">
        <v>696</v>
      </c>
      <c r="E24" s="148" t="s">
        <v>697</v>
      </c>
      <c r="F24" s="148" t="s">
        <v>672</v>
      </c>
      <c r="G24" s="148" t="s">
        <v>674</v>
      </c>
      <c r="H24" s="148" t="s">
        <v>698</v>
      </c>
      <c r="I24" s="148" t="s">
        <v>676</v>
      </c>
      <c r="J24" s="148" t="s">
        <v>677</v>
      </c>
      <c r="K24" s="148" t="s">
        <v>678</v>
      </c>
      <c r="L24" s="148" t="s">
        <v>679</v>
      </c>
      <c r="M24" s="148" t="s">
        <v>680</v>
      </c>
      <c r="N24" s="148" t="s">
        <v>681</v>
      </c>
      <c r="O24" s="148" t="s">
        <v>682</v>
      </c>
      <c r="P24" s="148" t="s">
        <v>689</v>
      </c>
      <c r="Q24" s="163" t="s">
        <v>699</v>
      </c>
      <c r="R24" s="163" t="s">
        <v>700</v>
      </c>
      <c r="S24" s="160"/>
      <c r="T24" s="160"/>
      <c r="V24" s="160"/>
      <c r="W24" s="160"/>
      <c r="X24" s="160"/>
    </row>
    <row r="25" spans="1:26" ht="20.100000000000001" customHeight="1" x14ac:dyDescent="0.2">
      <c r="A25" s="5" t="str">
        <f>HYPERLINK("#'Input - Manure sent off-site'!A1", "Manure sent off-site")</f>
        <v>Manure sent off-site</v>
      </c>
      <c r="D25" s="33" t="s">
        <v>701</v>
      </c>
      <c r="E25" s="148">
        <v>100</v>
      </c>
      <c r="F25" s="151">
        <f t="shared" ref="F25:F34" si="10">X_Cell_Fertiliser_AreaUnderCropping</f>
        <v>1000</v>
      </c>
      <c r="G25" s="153">
        <f>Table_Input_InorganicFertiliser_Custom[[#This Row],[Amount applied (kg / ha)]]*Table_Input_InorganicFertiliser_Custom[[#This Row],[Application area (ha)]]</f>
        <v>100000</v>
      </c>
      <c r="H25" s="164" t="s">
        <v>702</v>
      </c>
      <c r="I25" s="165">
        <v>0.5</v>
      </c>
      <c r="J25" s="164" t="s">
        <v>703</v>
      </c>
      <c r="K25" s="165">
        <v>0.2</v>
      </c>
      <c r="L25" s="164" t="s">
        <v>704</v>
      </c>
      <c r="M25" s="165">
        <v>0.2</v>
      </c>
      <c r="N25" s="166" t="s">
        <v>705</v>
      </c>
      <c r="O25" s="18">
        <v>0.1</v>
      </c>
      <c r="P25"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6"/>
      <c r="V25" s="160"/>
    </row>
    <row r="26" spans="1:26" ht="20.100000000000001" customHeight="1" x14ac:dyDescent="0.2">
      <c r="A26" s="5" t="str">
        <f>HYPERLINK("#'Input - Refrigerants'!A1", "Refrigerants")</f>
        <v>Refrigerants</v>
      </c>
      <c r="D26" s="33" t="s">
        <v>706</v>
      </c>
      <c r="E26" s="148">
        <v>100</v>
      </c>
      <c r="F26" s="151">
        <f t="shared" si="10"/>
        <v>1000</v>
      </c>
      <c r="G26" s="153">
        <f>Table_Input_InorganicFertiliser_Custom[[#This Row],[Amount applied (kg / ha)]]*Table_Input_InorganicFertiliser_Custom[[#This Row],[Application area (ha)]]</f>
        <v>100000</v>
      </c>
      <c r="H26" s="164" t="s">
        <v>692</v>
      </c>
      <c r="I26" s="167">
        <v>1</v>
      </c>
      <c r="J26" s="164"/>
      <c r="K26" s="167"/>
      <c r="L26" s="164"/>
      <c r="M26" s="167"/>
      <c r="N26" s="166"/>
      <c r="O26" s="18"/>
      <c r="P26"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60"/>
      <c r="W26" s="76"/>
    </row>
    <row r="27" spans="1:26" ht="20.100000000000001" customHeight="1" x14ac:dyDescent="0.2">
      <c r="A27" s="5" t="str">
        <f>HYPERLINK("#'Input - Data quality'!A1", "Data quality")</f>
        <v>Data quality</v>
      </c>
      <c r="D27" s="33" t="s">
        <v>707</v>
      </c>
      <c r="E27" s="148">
        <v>100</v>
      </c>
      <c r="F27" s="151">
        <f t="shared" si="10"/>
        <v>1000</v>
      </c>
      <c r="G27" s="153">
        <f>Table_Input_InorganicFertiliser_Custom[[#This Row],[Amount applied (kg / ha)]]*Table_Input_InorganicFertiliser_Custom[[#This Row],[Application area (ha)]]</f>
        <v>100000</v>
      </c>
      <c r="H27" s="164" t="s">
        <v>708</v>
      </c>
      <c r="I27" s="167">
        <v>0.5</v>
      </c>
      <c r="J27" s="164"/>
      <c r="K27" s="167"/>
      <c r="L27" s="164"/>
      <c r="M27" s="167"/>
      <c r="N27" s="166"/>
      <c r="O27" s="18"/>
      <c r="P27"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60"/>
    </row>
    <row r="28" spans="1:26" ht="20.100000000000001" customHeight="1" x14ac:dyDescent="0.2">
      <c r="D28" s="33"/>
      <c r="E28" s="148"/>
      <c r="F28" s="168">
        <f t="shared" si="10"/>
        <v>1000</v>
      </c>
      <c r="G28" s="153">
        <f>Table_Input_InorganicFertiliser_Custom[[#This Row],[Amount applied (kg / ha)]]*Table_Input_InorganicFertiliser_Custom[[#This Row],[Application area (ha)]]</f>
        <v>0</v>
      </c>
      <c r="H28" s="164"/>
      <c r="I28" s="167"/>
      <c r="J28" s="164"/>
      <c r="K28" s="167"/>
      <c r="L28" s="164"/>
      <c r="M28" s="167"/>
      <c r="N28" s="166"/>
      <c r="O28" s="18"/>
      <c r="P28"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6"/>
    </row>
    <row r="29" spans="1:26" ht="20.100000000000001" customHeight="1" x14ac:dyDescent="0.2">
      <c r="D29" s="33"/>
      <c r="E29" s="148"/>
      <c r="F29" s="168">
        <f t="shared" si="10"/>
        <v>1000</v>
      </c>
      <c r="G29" s="153">
        <f>Table_Input_InorganicFertiliser_Custom[[#This Row],[Amount applied (kg / ha)]]*Table_Input_InorganicFertiliser_Custom[[#This Row],[Application area (ha)]]</f>
        <v>0</v>
      </c>
      <c r="H29" s="164"/>
      <c r="I29" s="167"/>
      <c r="J29" s="164"/>
      <c r="K29" s="167"/>
      <c r="L29" s="164"/>
      <c r="M29" s="167"/>
      <c r="N29" s="166"/>
      <c r="O29" s="18"/>
      <c r="P29"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6" t="s">
        <v>2</v>
      </c>
      <c r="D30" s="33"/>
      <c r="E30" s="148"/>
      <c r="F30" s="168">
        <f t="shared" si="10"/>
        <v>1000</v>
      </c>
      <c r="G30" s="153">
        <f>Table_Input_InorganicFertiliser_Custom[[#This Row],[Amount applied (kg / ha)]]*Table_Input_InorganicFertiliser_Custom[[#This Row],[Application area (ha)]]</f>
        <v>0</v>
      </c>
      <c r="H30" s="164"/>
      <c r="I30" s="167"/>
      <c r="J30" s="164"/>
      <c r="K30" s="167"/>
      <c r="L30" s="164"/>
      <c r="M30" s="167"/>
      <c r="N30" s="166"/>
      <c r="O30" s="18"/>
      <c r="P30"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HYPERLINK("#'3.3.1.1-2 Enteric Methane'!A1", "3.3.1.1-2 Enteric methane")</f>
        <v>3.3.1.1-2 Enteric methane</v>
      </c>
      <c r="D31" s="33"/>
      <c r="E31" s="148"/>
      <c r="F31" s="168">
        <f t="shared" si="10"/>
        <v>1000</v>
      </c>
      <c r="G31" s="153">
        <f>Table_Input_InorganicFertiliser_Custom[[#This Row],[Amount applied (kg / ha)]]*Table_Input_InorganicFertiliser_Custom[[#This Row],[Application area (ha)]]</f>
        <v>0</v>
      </c>
      <c r="H31" s="164"/>
      <c r="I31" s="167"/>
      <c r="J31" s="164"/>
      <c r="K31" s="167"/>
      <c r="L31" s="164"/>
      <c r="M31" s="167"/>
      <c r="N31" s="166"/>
      <c r="O31" s="18"/>
      <c r="P31"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HYPERLINK("#'4.3.1.1-2 Methane'!A1", "4.3.1.1-2 Manure methane")</f>
        <v>4.3.1.1-2 Manure methane</v>
      </c>
      <c r="D32" s="33"/>
      <c r="E32" s="148"/>
      <c r="F32" s="168">
        <f t="shared" si="10"/>
        <v>1000</v>
      </c>
      <c r="G32" s="153">
        <f>Table_Input_InorganicFertiliser_Custom[[#This Row],[Amount applied (kg / ha)]]*Table_Input_InorganicFertiliser_Custom[[#This Row],[Application area (ha)]]</f>
        <v>0</v>
      </c>
      <c r="H32" s="164"/>
      <c r="I32" s="167"/>
      <c r="J32" s="164"/>
      <c r="K32" s="167"/>
      <c r="L32" s="164"/>
      <c r="M32" s="167"/>
      <c r="N32" s="166"/>
      <c r="O32" s="18"/>
      <c r="P32"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HYPERLINK("#'4.3.1.3-4 Direct N20'!A1", "4.3.1.3-4 Direct N20")</f>
        <v>4.3.1.3-4 Direct N20</v>
      </c>
      <c r="D33" s="33"/>
      <c r="E33" s="148"/>
      <c r="F33" s="168">
        <f t="shared" si="10"/>
        <v>1000</v>
      </c>
      <c r="G33" s="153">
        <f>Table_Input_InorganicFertiliser_Custom[[#This Row],[Amount applied (kg / ha)]]*Table_Input_InorganicFertiliser_Custom[[#This Row],[Application area (ha)]]</f>
        <v>0</v>
      </c>
      <c r="H33" s="164"/>
      <c r="I33" s="167"/>
      <c r="J33" s="164"/>
      <c r="K33" s="167"/>
      <c r="L33" s="164"/>
      <c r="M33" s="167"/>
      <c r="N33" s="166"/>
      <c r="O33" s="18"/>
      <c r="P33"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HYPERLINK("#'4.3.1.5 Atmos deposition'!A1", "4.3.1.5 Atmos deposition")</f>
        <v>4.3.1.5 Atmos deposition</v>
      </c>
      <c r="D34" s="33"/>
      <c r="E34" s="148"/>
      <c r="F34" s="168">
        <f t="shared" si="10"/>
        <v>1000</v>
      </c>
      <c r="G34" s="153">
        <f>Table_Input_InorganicFertiliser_Custom[[#This Row],[Amount applied (kg / ha)]]*Table_Input_InorganicFertiliser_Custom[[#This Row],[Application area (ha)]]</f>
        <v>0</v>
      </c>
      <c r="H34" s="164"/>
      <c r="I34" s="167"/>
      <c r="J34" s="164"/>
      <c r="K34" s="167"/>
      <c r="L34" s="164"/>
      <c r="M34" s="167"/>
      <c r="N34" s="166"/>
      <c r="O34" s="18"/>
      <c r="P34"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HYPERLINK("#'4.3.1.6-7 Leaching and runoff'!A1", "4.3.1.6-7 Leaching &amp; runoff")</f>
        <v>4.3.1.6-7 Leaching &amp; runoff</v>
      </c>
    </row>
    <row r="36" spans="1:27" ht="20.100000000000001" customHeight="1" x14ac:dyDescent="0.2">
      <c r="A36" s="5" t="str">
        <f>HYPERLINK("#'4.3.1.8 Manure applied to soils'!A1", "4.3.1.8 Manure applied to soils")</f>
        <v>4.3.1.8 Manure applied to soils</v>
      </c>
      <c r="D36" s="2" t="s">
        <v>709</v>
      </c>
      <c r="E36" s="24"/>
      <c r="F36" s="24"/>
      <c r="G36" s="24"/>
      <c r="H36" s="24"/>
      <c r="I36" s="24"/>
      <c r="J36" s="24"/>
      <c r="K36" s="8"/>
      <c r="L36" s="8"/>
      <c r="M36" s="8"/>
    </row>
    <row r="37" spans="1:27" ht="20.100000000000001" customHeight="1" x14ac:dyDescent="0.2">
      <c r="A37" s="5" t="str">
        <f>HYPERLINK("#'4.3.1.9 Soil direct N2O'!A1", "4.3.1.9 Soil direct N2O")</f>
        <v>4.3.1.9 Soil direct N2O</v>
      </c>
      <c r="D37" s="140" t="s">
        <v>710</v>
      </c>
      <c r="E37" s="43"/>
      <c r="F37" s="44"/>
      <c r="G37" s="140"/>
      <c r="H37" s="44"/>
      <c r="I37" s="24"/>
      <c r="J37" s="24"/>
      <c r="K37" s="8"/>
      <c r="L37" s="8"/>
      <c r="M37" s="24"/>
    </row>
    <row r="38" spans="1:27" ht="20.100000000000001" customHeight="1" x14ac:dyDescent="0.2">
      <c r="A38" s="5" t="str">
        <f>HYPERLINK("#'4.3.1.10-11 Soil Atmos Dep'!A1", "4.3.1.10-11 Soil Atmos Deposition")</f>
        <v>4.3.1.10-11 Soil Atmos Deposition</v>
      </c>
      <c r="C38" s="160"/>
      <c r="D38" s="169" t="s">
        <v>711</v>
      </c>
      <c r="E38" s="170"/>
      <c r="F38" s="171"/>
      <c r="G38" s="169"/>
      <c r="H38" s="171"/>
      <c r="I38" s="8"/>
      <c r="J38" s="8"/>
      <c r="K38" s="8"/>
      <c r="L38" s="8"/>
      <c r="M38" s="8"/>
    </row>
    <row r="39" spans="1:27" ht="20.100000000000001" customHeight="1" x14ac:dyDescent="0.2">
      <c r="A39" s="5" t="str">
        <f>HYPERLINK("#'4.3.1.12-13 Soil leach runoff'!A1", "4.3.1.12-13 Soil leach &amp; runoff")</f>
        <v>4.3.1.12-13 Soil leach &amp; runoff</v>
      </c>
      <c r="C39" s="160"/>
      <c r="D39" s="45" t="s">
        <v>667</v>
      </c>
      <c r="E39" s="46"/>
      <c r="F39" s="46"/>
      <c r="G39" s="46"/>
      <c r="H39" s="47"/>
      <c r="I39" s="8"/>
      <c r="J39" s="8"/>
      <c r="K39" s="8"/>
      <c r="L39" s="8"/>
      <c r="M39" s="24"/>
    </row>
    <row r="40" spans="1:27" s="172" customFormat="1" ht="20.100000000000001" customHeight="1" x14ac:dyDescent="0.2">
      <c r="A40" s="5" t="str">
        <f>HYPERLINK("#'5.1.1.1-2 Inorganic fert N2O'!A1", "5.1.1.1-2 Inorganic fert N2O")</f>
        <v>5.1.1.1-2 Inorganic fert N2O</v>
      </c>
      <c r="C40" s="1"/>
      <c r="D40" s="79" t="str">
        <f>IF(MAX(Table_Input_Lime[Total]) &gt; 1, "There can not be more than 100% ingredients in a product. Check the table below.", "")</f>
        <v/>
      </c>
      <c r="E40" s="1"/>
      <c r="F40" s="1"/>
      <c r="G40" s="1"/>
      <c r="H40" s="1"/>
      <c r="I40" s="1"/>
      <c r="J40" s="1"/>
      <c r="K40" s="1"/>
      <c r="L40" s="8"/>
      <c r="M40" s="24"/>
      <c r="N40" s="1"/>
      <c r="O40" s="1"/>
      <c r="P40" s="1"/>
      <c r="Q40" s="1"/>
      <c r="R40" s="1"/>
      <c r="S40" s="1"/>
      <c r="T40" s="1"/>
      <c r="U40" s="1"/>
      <c r="V40" s="1"/>
      <c r="W40" s="1"/>
      <c r="X40" s="1"/>
      <c r="Y40" s="1"/>
      <c r="Z40" s="1"/>
      <c r="AA40" s="1"/>
    </row>
    <row r="41" spans="1:27" s="172" customFormat="1" ht="20.100000000000001" customHeight="1" x14ac:dyDescent="0.2">
      <c r="A41" s="5" t="str">
        <f>HYPERLINK("#'5.1.1.3-4 Inorganic fert CO2'!A1", "5.1.1.3-4 Inorganic fert CO2")</f>
        <v>5.1.1.3-4 Inorganic fert CO2</v>
      </c>
      <c r="C41" s="1"/>
      <c r="D41" s="173" t="s">
        <v>131</v>
      </c>
      <c r="E41" s="173" t="s">
        <v>712</v>
      </c>
      <c r="F41" s="173" t="s">
        <v>672</v>
      </c>
      <c r="G41" s="173" t="s">
        <v>713</v>
      </c>
      <c r="H41" s="173" t="s">
        <v>714</v>
      </c>
      <c r="I41" s="173" t="s">
        <v>715</v>
      </c>
      <c r="J41" s="173" t="s">
        <v>716</v>
      </c>
      <c r="K41" s="173" t="s">
        <v>717</v>
      </c>
      <c r="L41" s="1"/>
      <c r="M41" s="1"/>
      <c r="N41" s="1"/>
      <c r="O41" s="1"/>
      <c r="P41" s="1"/>
      <c r="Q41" s="1"/>
      <c r="R41" s="1"/>
      <c r="S41" s="160"/>
      <c r="T41" s="1"/>
      <c r="U41" s="1"/>
      <c r="V41" s="1"/>
      <c r="W41" s="1"/>
      <c r="X41" s="1"/>
      <c r="Y41" s="1"/>
      <c r="Z41" s="1"/>
      <c r="AA41" s="1"/>
    </row>
    <row r="42" spans="1:27" ht="20.100000000000001" customHeight="1" x14ac:dyDescent="0.2">
      <c r="A42" s="5" t="str">
        <f>HYPERLINK("#'5.2.1.1-2 Organic Fert N2O'!A1", "5.2.1.1-2 Organic fert N2O")</f>
        <v>5.2.1.1-2 Organic fert N2O</v>
      </c>
      <c r="D42" s="174" t="s">
        <v>718</v>
      </c>
      <c r="E42" s="151">
        <v>1</v>
      </c>
      <c r="F42" s="151">
        <f>X_Cell_Fertiliser_AreaUnderCropping</f>
        <v>1000</v>
      </c>
      <c r="G42" s="153">
        <f>IFERROR(Table_Input_Lime[[#This Row],[Amount applied (t/hectare)]]*Table_Input_Lime[[#This Row],[Application area (ha)]], 0)</f>
        <v>1000</v>
      </c>
      <c r="H42" s="175">
        <v>0.8</v>
      </c>
      <c r="I42" s="175">
        <v>0.1</v>
      </c>
      <c r="J42" s="175">
        <v>0.1</v>
      </c>
      <c r="K42" s="176">
        <f>SUM(Table_Input_Lime[[#This Row],[Percent Lime CaCO3]:[Percent Gypsum]])</f>
        <v>1</v>
      </c>
      <c r="S42" s="160"/>
    </row>
    <row r="43" spans="1:27" ht="20.100000000000001" customHeight="1" x14ac:dyDescent="0.2">
      <c r="A43" s="5" t="str">
        <f>HYPERLINK("#'5.3.1.1-2 Lime CO2'!A1", "5.3.1.1-2 Lime CO2")</f>
        <v>5.3.1.1-2 Lime CO2</v>
      </c>
      <c r="D43" s="174" t="s">
        <v>719</v>
      </c>
      <c r="E43" s="151">
        <v>1</v>
      </c>
      <c r="F43" s="151">
        <f>X_Cell_Fertiliser_AreaUnderCropping</f>
        <v>1000</v>
      </c>
      <c r="G43" s="153">
        <f>IFERROR(Table_Input_Lime[[#This Row],[Amount applied (t/hectare)]]*Table_Input_Lime[[#This Row],[Application area (ha)]], 0)</f>
        <v>1000</v>
      </c>
      <c r="H43" s="175">
        <v>1</v>
      </c>
      <c r="I43" s="175"/>
      <c r="J43" s="175"/>
      <c r="K43" s="176">
        <f>SUM(Table_Input_Lime[[#This Row],[Percent Lime CaCO3]:[Percent Gypsum]])</f>
        <v>1</v>
      </c>
    </row>
    <row r="44" spans="1:27" ht="20.100000000000001" customHeight="1" x14ac:dyDescent="0.2">
      <c r="A44" s="5" t="str">
        <f>HYPERLINK("#'5.4.1.1-4 Atmos deposition'!A1", "5.4.1.1-4 Atmos. deposition")</f>
        <v>5.4.1.1-4 Atmos. deposition</v>
      </c>
      <c r="D44" s="174" t="s">
        <v>720</v>
      </c>
      <c r="E44" s="151">
        <v>1</v>
      </c>
      <c r="F44" s="151">
        <f>X_Cell_Fertiliser_AreaUnderCropping</f>
        <v>1000</v>
      </c>
      <c r="G44" s="153">
        <f>IFERROR(Table_Input_Lime[[#This Row],[Amount applied (t/hectare)]]*Table_Input_Lime[[#This Row],[Application area (ha)]], 0)</f>
        <v>1000</v>
      </c>
      <c r="H44" s="175">
        <v>0</v>
      </c>
      <c r="I44" s="175"/>
      <c r="J44" s="175">
        <v>1</v>
      </c>
      <c r="K44" s="176">
        <f>SUM(Table_Input_Lime[[#This Row],[Percent Lime CaCO3]:[Percent Gypsum]])</f>
        <v>1</v>
      </c>
      <c r="L44" s="24"/>
    </row>
    <row r="45" spans="1:27" ht="20.100000000000001" customHeight="1" x14ac:dyDescent="0.2">
      <c r="A45" s="5" t="str">
        <f>HYPERLINK("#'5.5.1.1-2 Leaching and runoff'!A1", "5.5.1.1-2 Leaching &amp; runoff")</f>
        <v>5.5.1.1-2 Leaching &amp; runoff</v>
      </c>
      <c r="L45" s="24"/>
      <c r="M45" s="24"/>
    </row>
    <row r="46" spans="1:27" ht="20.100000000000001" customHeight="1" x14ac:dyDescent="0.2">
      <c r="A46" s="5" t="str">
        <f>HYPERLINK("#'6.2.1.1-2 Pasture residue N2O'!A1", "6.2.1.1-2 Pasture residue N2O")</f>
        <v>6.2.1.1-2 Pasture residue N2O</v>
      </c>
      <c r="D46" s="8"/>
      <c r="E46" s="8"/>
      <c r="F46" s="8"/>
      <c r="G46" s="8"/>
      <c r="H46" s="8"/>
      <c r="I46" s="8"/>
      <c r="J46" s="8"/>
      <c r="L46" s="8"/>
      <c r="M46" s="24"/>
    </row>
    <row r="47" spans="1:27" ht="20.100000000000001" customHeight="1" x14ac:dyDescent="0.2">
      <c r="A47" s="5" t="str">
        <f>HYPERLINK("#'6.3.1.1-2 Leach runoff pasture'!A1", "6.3.1.1-2 Leach &amp; runoff (pasture)")</f>
        <v>6.3.1.1-2 Leach &amp; runoff (pasture)</v>
      </c>
      <c r="D47" s="8"/>
      <c r="E47" s="8"/>
      <c r="F47" s="8"/>
      <c r="G47" s="8"/>
      <c r="H47" s="8"/>
      <c r="I47" s="8"/>
      <c r="J47" s="177"/>
      <c r="K47" s="24"/>
      <c r="L47" s="8"/>
      <c r="M47" s="8"/>
    </row>
    <row r="48" spans="1:27" ht="20.100000000000001" customHeight="1" x14ac:dyDescent="0.2">
      <c r="A48" s="5" t="str">
        <f>HYPERLINK("#'8.1.1.1-2 Transport fuel'!A1", "8.1.1.1-2 Transport fuel")</f>
        <v>8.1.1.1-2 Transport fuel</v>
      </c>
      <c r="D48" s="2" t="s">
        <v>721</v>
      </c>
      <c r="E48" s="24"/>
      <c r="F48" s="24"/>
      <c r="G48" s="24"/>
      <c r="H48" s="8"/>
      <c r="I48" s="8"/>
      <c r="J48" s="8"/>
      <c r="K48" s="8"/>
      <c r="L48" s="8"/>
      <c r="M48" s="8"/>
    </row>
    <row r="49" spans="1:18" ht="20.100000000000001" customHeight="1" x14ac:dyDescent="0.2">
      <c r="A49" s="5" t="str">
        <f>HYPERLINK("#'8.2.1.1-2 Stationary fuel'!A1", "8.2.1.1-2 Stationary fuel")</f>
        <v>8.2.1.1-2 Stationary fuel</v>
      </c>
      <c r="D49" s="8"/>
      <c r="E49" s="8"/>
      <c r="F49" s="8"/>
      <c r="G49" s="8"/>
      <c r="H49" s="8"/>
      <c r="I49" s="8"/>
      <c r="J49" s="8"/>
      <c r="K49" s="8"/>
      <c r="L49" s="8"/>
      <c r="M49" s="8"/>
      <c r="Q49" s="160"/>
      <c r="R49" s="160"/>
    </row>
    <row r="50" spans="1:18" ht="20.100000000000001" customHeight="1" x14ac:dyDescent="0.2">
      <c r="A50" s="5" t="str">
        <f>HYPERLINK("#'9.1.1.1-2 Refrigerant use'!A1", "9.1.1.1-2 Refrigerant use")</f>
        <v>9.1.1.1-2 Refrigerant use</v>
      </c>
      <c r="D50" s="140" t="s">
        <v>710</v>
      </c>
      <c r="E50" s="43"/>
      <c r="F50" s="43"/>
      <c r="G50" s="43"/>
      <c r="H50" s="44"/>
      <c r="I50" s="8"/>
      <c r="J50" s="8"/>
      <c r="K50" s="8"/>
      <c r="L50" s="8"/>
      <c r="M50" s="8"/>
      <c r="O50" s="160"/>
      <c r="P50" s="160"/>
      <c r="Q50" s="160"/>
      <c r="R50" s="160"/>
    </row>
    <row r="51" spans="1:18" ht="20.100000000000001" customHeight="1" x14ac:dyDescent="0.2">
      <c r="A51" s="5" t="str">
        <f>HYPERLINK("#'10.1.1-2 Solid waste treatment'!A1", "10.1.1.1-2 Solid waste")</f>
        <v>10.1.1.1-2 Solid waste</v>
      </c>
      <c r="D51" s="45" t="s">
        <v>667</v>
      </c>
      <c r="E51" s="46"/>
      <c r="F51" s="46"/>
      <c r="G51" s="46"/>
      <c r="H51" s="47"/>
      <c r="I51" s="8"/>
      <c r="J51" s="8"/>
      <c r="K51" s="8"/>
      <c r="L51" s="162"/>
      <c r="M51" s="160"/>
      <c r="N51" s="160"/>
      <c r="O51" s="160"/>
      <c r="P51" s="160"/>
    </row>
    <row r="52" spans="1:18" ht="20.100000000000001" customHeight="1" x14ac:dyDescent="0.2">
      <c r="A52" s="5" t="str">
        <f>HYPERLINK("#'14.1.1-2 Purchased electricity'!A1", "14.1.1-2 Purchased electricity")</f>
        <v>14.1.1-2 Purchased electricity</v>
      </c>
      <c r="D52" s="8"/>
      <c r="E52" s="8"/>
      <c r="F52" s="8"/>
      <c r="G52" s="8"/>
      <c r="H52" s="8"/>
      <c r="I52" s="8"/>
      <c r="J52" s="8"/>
      <c r="K52" s="8"/>
      <c r="L52" s="162"/>
      <c r="M52" s="160"/>
      <c r="N52" s="160"/>
    </row>
    <row r="53" spans="1:18" ht="20.100000000000001" customHeight="1" x14ac:dyDescent="0.2">
      <c r="A53" s="5" t="str">
        <f>HYPERLINK("#'15 Scope 3'!A1", "15 Scope 3")</f>
        <v>15 Scope 3</v>
      </c>
      <c r="D53" s="173" t="s">
        <v>722</v>
      </c>
      <c r="E53" s="173" t="s">
        <v>723</v>
      </c>
      <c r="F53" s="173" t="s">
        <v>724</v>
      </c>
      <c r="G53" s="173" t="s">
        <v>725</v>
      </c>
      <c r="H53" s="173" t="s">
        <v>672</v>
      </c>
      <c r="I53" s="173" t="s">
        <v>726</v>
      </c>
      <c r="J53" s="173" t="s">
        <v>727</v>
      </c>
      <c r="K53" s="162"/>
    </row>
    <row r="54" spans="1:18" ht="20.100000000000001" customHeight="1" x14ac:dyDescent="0.2">
      <c r="A54" s="5" t="str">
        <f>HYPERLINK("#'Calcs - Manure sent off-site'!A1", "Calcs - Manure sent off-site")</f>
        <v>Calcs - Manure sent off-site</v>
      </c>
      <c r="D54" s="150" t="s">
        <v>728</v>
      </c>
      <c r="E54" s="175">
        <v>0.3</v>
      </c>
      <c r="F54" s="151">
        <v>10</v>
      </c>
      <c r="G54" s="153">
        <f>Table_Input_OrganicFertiliser[[#This Row],[Amount applied (kg/hectare)]]*Table_Input_OrganicFertiliser[[#This Row],[Percentage of N in fertiliser]]</f>
        <v>3</v>
      </c>
      <c r="H54" s="151">
        <f>X_Cell_Fertiliser_AreaUnderCropping</f>
        <v>1000</v>
      </c>
      <c r="I54" s="153">
        <f>Table_Input_OrganicFertiliser[[#This Row],[Amount applied (kg/hectare)]]*Table_Input_OrganicFertiliser[[#This Row],[Application area (ha)]]</f>
        <v>10000</v>
      </c>
      <c r="J54" s="153">
        <f>IFERROR(Table_Input_OrganicFertiliser[[#This Row],[Amount N applied (kg/hectare)]]*Table_Input_OrganicFertiliser[[#This Row],[Application area (ha)]], 0)</f>
        <v>3000</v>
      </c>
      <c r="K54" s="162"/>
    </row>
    <row r="55" spans="1:18" ht="20.100000000000001" customHeight="1" x14ac:dyDescent="0.2">
      <c r="D55" s="150" t="s">
        <v>729</v>
      </c>
      <c r="E55" s="175">
        <v>0.25</v>
      </c>
      <c r="F55" s="151">
        <v>10</v>
      </c>
      <c r="G55" s="153">
        <f>Table_Input_OrganicFertiliser[[#This Row],[Amount applied (kg/hectare)]]*Table_Input_OrganicFertiliser[[#This Row],[Percentage of N in fertiliser]]</f>
        <v>2.5</v>
      </c>
      <c r="H55" s="151">
        <f>X_Cell_Fertiliser_AreaUnderCropping</f>
        <v>1000</v>
      </c>
      <c r="I55" s="153">
        <f>Table_Input_OrganicFertiliser[[#This Row],[Amount applied (kg/hectare)]]*Table_Input_OrganicFertiliser[[#This Row],[Application area (ha)]]</f>
        <v>10000</v>
      </c>
      <c r="J55" s="153">
        <f>IFERROR(Table_Input_OrganicFertiliser[[#This Row],[Amount N applied (kg/hectare)]]*Table_Input_OrganicFertiliser[[#This Row],[Application area (ha)]], 0)</f>
        <v>2500</v>
      </c>
    </row>
    <row r="56" spans="1:18" ht="20.100000000000001" customHeight="1" x14ac:dyDescent="0.2">
      <c r="D56" s="150" t="s">
        <v>730</v>
      </c>
      <c r="E56" s="175">
        <v>0.16</v>
      </c>
      <c r="F56" s="151">
        <v>10</v>
      </c>
      <c r="G56" s="153">
        <f>Table_Input_OrganicFertiliser[[#This Row],[Amount applied (kg/hectare)]]*Table_Input_OrganicFertiliser[[#This Row],[Percentage of N in fertiliser]]</f>
        <v>1.6</v>
      </c>
      <c r="H56" s="151">
        <f>X_Cell_Fertiliser_AreaUnderCropping</f>
        <v>1000</v>
      </c>
      <c r="I56" s="153">
        <f>Table_Input_OrganicFertiliser[[#This Row],[Amount applied (kg/hectare)]]*Table_Input_OrganicFertiliser[[#This Row],[Application area (ha)]]</f>
        <v>10000</v>
      </c>
      <c r="J56" s="153">
        <f>IFERROR(Table_Input_OrganicFertiliser[[#This Row],[Amount N applied (kg/hectare)]]*Table_Input_OrganicFertiliser[[#This Row],[Application area (ha)]], 0)</f>
        <v>1600</v>
      </c>
    </row>
    <row r="57" spans="1:18" ht="20.100000000000001" customHeight="1" x14ac:dyDescent="0.2">
      <c r="A57" s="82" t="s">
        <v>1</v>
      </c>
    </row>
    <row r="58" spans="1:18" ht="20.100000000000001" customHeight="1" x14ac:dyDescent="0.2">
      <c r="A58" s="5" t="str">
        <f>HYPERLINK("#'Constants - Dairy'!A1", "Constants - Dairy")</f>
        <v>Constants - Dairy</v>
      </c>
    </row>
    <row r="59" spans="1:18" ht="20.100000000000001" customHeight="1" x14ac:dyDescent="0.2">
      <c r="A59" s="5" t="str">
        <f>HYPERLINK("#'Constants - Ag Residue'!A1", "Constants - Ag residue")</f>
        <v>Constants - Ag residue</v>
      </c>
    </row>
    <row r="60" spans="1:18" ht="20.100000000000001" customHeight="1" x14ac:dyDescent="0.2">
      <c r="A60" s="5" t="str">
        <f>HYPERLINK("#'Constants - Common Livestock'!A1", "Constants - Common Livestock")</f>
        <v>Constants - Common Livestock</v>
      </c>
    </row>
    <row r="61" spans="1:18" ht="20.100000000000001" customHeight="1" x14ac:dyDescent="0.2">
      <c r="A61" s="5" t="str">
        <f>HYPERLINK("#'Constants - Electricity'!A1", "Constants - Electricity")</f>
        <v>Constants - Electricity</v>
      </c>
    </row>
    <row r="62" spans="1:18" ht="20.100000000000001" customHeight="1" x14ac:dyDescent="0.2">
      <c r="A62" s="5" t="str">
        <f>HYPERLINK("#'Constants - Fertiliser'!A1", "Constants - Fertiliser")</f>
        <v>Constants - Fertiliser</v>
      </c>
    </row>
    <row r="63" spans="1:18" ht="20.100000000000001" customHeight="1" x14ac:dyDescent="0.2">
      <c r="A63" s="5" t="str">
        <f>HYPERLINK("#'Constants - Fuel'!A1", "Constants - Fuel")</f>
        <v>Constants - Fuel</v>
      </c>
    </row>
    <row r="64" spans="1:18"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row r="126" spans="13:13" ht="20.100000000000001" customHeight="1" x14ac:dyDescent="0.2">
      <c r="M126" s="24"/>
    </row>
    <row r="127" spans="13:13" ht="20.100000000000001" customHeight="1" x14ac:dyDescent="0.2">
      <c r="M127" s="24"/>
    </row>
    <row r="128" spans="13:13" ht="20.100000000000001" customHeight="1" x14ac:dyDescent="0.2">
      <c r="M128" s="24"/>
    </row>
    <row r="129" spans="13:13" ht="20.100000000000001" customHeight="1" x14ac:dyDescent="0.2">
      <c r="M129" s="24"/>
    </row>
    <row r="130" spans="13:13" ht="20.100000000000001" customHeight="1" x14ac:dyDescent="0.2">
      <c r="M130" s="24"/>
    </row>
    <row r="131" spans="13:13" ht="20.100000000000001" customHeight="1" x14ac:dyDescent="0.2">
      <c r="M131" s="24"/>
    </row>
    <row r="132" spans="13:13" ht="20.100000000000001" customHeight="1" x14ac:dyDescent="0.2">
      <c r="M132" s="24"/>
    </row>
    <row r="133" spans="13:13" ht="20.100000000000001" customHeight="1" x14ac:dyDescent="0.2">
      <c r="M133" s="24"/>
    </row>
    <row r="134" spans="13:13" ht="20.100000000000001" customHeight="1" x14ac:dyDescent="0.2">
      <c r="M134" s="24"/>
    </row>
    <row r="135" spans="13:13" ht="20.100000000000001" customHeight="1" x14ac:dyDescent="0.2">
      <c r="M135" s="24"/>
    </row>
    <row r="136" spans="13:13" ht="20.100000000000001" customHeight="1" x14ac:dyDescent="0.2">
      <c r="M136" s="24"/>
    </row>
    <row r="137" spans="13:13" ht="20.100000000000001" customHeight="1" x14ac:dyDescent="0.2">
      <c r="M137" s="24"/>
    </row>
    <row r="138" spans="13:13" ht="20.100000000000001" customHeight="1" x14ac:dyDescent="0.2">
      <c r="M138" s="24"/>
    </row>
    <row r="139" spans="13:13" ht="20.100000000000001" customHeight="1" x14ac:dyDescent="0.2">
      <c r="M139" s="24"/>
    </row>
    <row r="140" spans="13:13" ht="20.100000000000001" customHeight="1" x14ac:dyDescent="0.2">
      <c r="M140" s="24"/>
    </row>
    <row r="141" spans="13:13" ht="20.100000000000001" customHeight="1" x14ac:dyDescent="0.2">
      <c r="M141" s="24"/>
    </row>
    <row r="142" spans="13:13" ht="20.100000000000001" customHeight="1" x14ac:dyDescent="0.2">
      <c r="M142" s="24"/>
    </row>
    <row r="143" spans="13:13" ht="20.100000000000001" customHeight="1" x14ac:dyDescent="0.2">
      <c r="M143" s="24"/>
    </row>
    <row r="144" spans="13:13" ht="20.100000000000001" customHeight="1" x14ac:dyDescent="0.2">
      <c r="M144" s="24"/>
    </row>
    <row r="145" spans="13:13" ht="20.100000000000001" customHeight="1" x14ac:dyDescent="0.2">
      <c r="M145" s="24"/>
    </row>
    <row r="146" spans="13:13" ht="20.100000000000001" customHeight="1" x14ac:dyDescent="0.2">
      <c r="M146" s="24"/>
    </row>
    <row r="147" spans="13:13" ht="20.100000000000001" customHeight="1" x14ac:dyDescent="0.2">
      <c r="M147" s="24"/>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79"/>
    </row>
  </sheetData>
  <conditionalFormatting sqref="F155:F156">
    <cfRule type="cellIs" dxfId="91" priority="15" operator="lessThan">
      <formula>0</formula>
    </cfRule>
  </conditionalFormatting>
  <conditionalFormatting sqref="F167:F168">
    <cfRule type="cellIs" dxfId="90" priority="14" operator="lessThan">
      <formula>0</formula>
    </cfRule>
  </conditionalFormatting>
  <conditionalFormatting sqref="F179:F180">
    <cfRule type="cellIs" dxfId="89" priority="13" operator="lessThan">
      <formula>0</formula>
    </cfRule>
  </conditionalFormatting>
  <conditionalFormatting sqref="F267:F268">
    <cfRule type="cellIs" dxfId="88" priority="26" operator="lessThan">
      <formula>0</formula>
    </cfRule>
  </conditionalFormatting>
  <conditionalFormatting sqref="F272:F273">
    <cfRule type="cellIs" dxfId="87" priority="25" operator="lessThan">
      <formula>0</formula>
    </cfRule>
  </conditionalFormatting>
  <conditionalFormatting sqref="F277:F278">
    <cfRule type="cellIs" dxfId="86" priority="24" operator="lessThan">
      <formula>0</formula>
    </cfRule>
  </conditionalFormatting>
  <conditionalFormatting sqref="F301:F302">
    <cfRule type="cellIs" dxfId="85" priority="23" operator="lessThan">
      <formula>0</formula>
    </cfRule>
  </conditionalFormatting>
  <conditionalFormatting sqref="F306:F307">
    <cfRule type="cellIs" dxfId="84" priority="22" operator="lessThan">
      <formula>0</formula>
    </cfRule>
  </conditionalFormatting>
  <conditionalFormatting sqref="F311:F312">
    <cfRule type="cellIs" dxfId="83" priority="21" operator="lessThan">
      <formula>0</formula>
    </cfRule>
  </conditionalFormatting>
  <conditionalFormatting sqref="H53 F143:F144">
    <cfRule type="cellIs" dxfId="82"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81" priority="20" operator="lessThan">
      <formula>0</formula>
    </cfRule>
  </conditionalFormatting>
  <conditionalFormatting sqref="I41:I44 I46:I47 F58 I75:I78 L198 K200 L202:L203 K204:K205 L206:L207 K208:K209 L212:L213 K214:K215 L216:L217 K218:K219 L223:L228 K225">
    <cfRule type="cellIs" dxfId="80" priority="18" operator="lessThan">
      <formula>0</formula>
    </cfRule>
  </conditionalFormatting>
  <conditionalFormatting sqref="I82 M119 I141:J141">
    <cfRule type="cellIs" dxfId="79" priority="19" operator="lessThan">
      <formula>0</formula>
    </cfRule>
  </conditionalFormatting>
  <conditionalFormatting sqref="I93:I95">
    <cfRule type="cellIs" dxfId="78" priority="3" operator="lessThan">
      <formula>0</formula>
    </cfRule>
  </conditionalFormatting>
  <conditionalFormatting sqref="I99:I102">
    <cfRule type="cellIs" dxfId="77" priority="2" operator="lessThan">
      <formula>0</formula>
    </cfRule>
  </conditionalFormatting>
  <conditionalFormatting sqref="I106:I110">
    <cfRule type="cellIs" dxfId="76" priority="1" operator="lessThan">
      <formula>0</formula>
    </cfRule>
  </conditionalFormatting>
  <conditionalFormatting sqref="J169">
    <cfRule type="cellIs" dxfId="75" priority="17" operator="lessThan">
      <formula>0</formula>
    </cfRule>
  </conditionalFormatting>
  <conditionalFormatting sqref="L131:L134">
    <cfRule type="cellIs" dxfId="74" priority="7" operator="lessThan">
      <formula>0</formula>
    </cfRule>
  </conditionalFormatting>
  <conditionalFormatting sqref="L137">
    <cfRule type="cellIs" dxfId="73" priority="12" operator="lessThan">
      <formula>0</formula>
    </cfRule>
  </conditionalFormatting>
  <conditionalFormatting sqref="L143:L146">
    <cfRule type="cellIs" dxfId="72" priority="6" operator="lessThan">
      <formula>0</formula>
    </cfRule>
  </conditionalFormatting>
  <conditionalFormatting sqref="L149">
    <cfRule type="cellIs" dxfId="71" priority="11" operator="lessThan">
      <formula>0</formula>
    </cfRule>
  </conditionalFormatting>
  <conditionalFormatting sqref="L155:L158">
    <cfRule type="cellIs" dxfId="70" priority="5" operator="lessThan">
      <formula>0</formula>
    </cfRule>
  </conditionalFormatting>
  <conditionalFormatting sqref="L161">
    <cfRule type="cellIs" dxfId="69" priority="10" operator="lessThan">
      <formula>0</formula>
    </cfRule>
  </conditionalFormatting>
  <conditionalFormatting sqref="L167:L170">
    <cfRule type="cellIs" dxfId="68" priority="4" operator="lessThan">
      <formula>0</formula>
    </cfRule>
  </conditionalFormatting>
  <conditionalFormatting sqref="L173">
    <cfRule type="cellIs" dxfId="67" priority="9" operator="lessThan">
      <formula>0</formula>
    </cfRule>
  </conditionalFormatting>
  <conditionalFormatting sqref="L177:L178">
    <cfRule type="cellIs" dxfId="66" priority="8" operator="lessThan">
      <formula>0</formula>
    </cfRule>
  </conditionalFormatting>
  <conditionalFormatting sqref="L230 L232:L235 L237 J245:J247 J250:J252">
    <cfRule type="cellIs" dxfId="65" priority="27" operator="lessThan">
      <formula>0</formula>
    </cfRule>
  </conditionalFormatting>
  <dataValidations count="9">
    <dataValidation type="list" allowBlank="1" showInputMessage="1" showErrorMessage="1" sqref="D12:D21" xr:uid="{7C441436-B314-468F-8E12-3CB06107BBD7}">
      <formula1>INDIRECT("FertiliserProducts[Product]")</formula1>
    </dataValidation>
    <dataValidation type="list" allowBlank="1" showInputMessage="1" showErrorMessage="1" sqref="Q25:R34" xr:uid="{9984ECBF-7B1D-4619-BC9B-09BFFEC913B4}">
      <formula1>INDIRECT("Table_SourceData_Fertiliser_UreaAmmoniaSources[Source]")</formula1>
    </dataValidation>
    <dataValidation type="list" allowBlank="1" showInputMessage="1" showErrorMessage="1" sqref="D54:D56" xr:uid="{BF160C7D-498E-4BB1-A74F-C9042D88A0B9}">
      <formula1>INDIRECT("Table_SourceData_OrganicFertiliserTypes[Organic fertiliser type]")</formula1>
    </dataValidation>
    <dataValidation type="list" allowBlank="1" showInputMessage="1" showErrorMessage="1" sqref="H25:H34 J25:J34 L25:L34 N25:N34" xr:uid="{EEE5B2A3-C18F-4E43-8A86-700F5D6298DE}">
      <formula1>INDIRECT("Table_Fertiliser_ChemicalCompounds[Fertiliser type f]")</formula1>
    </dataValidation>
    <dataValidation type="list" allowBlank="1" showInputMessage="1" showErrorMessage="1" sqref="E81" xr:uid="{92F3A633-48E0-4801-B1AD-30BEC164B336}">
      <formula1>INDIRECT("Table_SourceData_Swine_CropProdSystems[Production system]")</formula1>
    </dataValidation>
    <dataValidation type="list" allowBlank="1" showInputMessage="1" showErrorMessage="1" sqref="E82" xr:uid="{31BEB4EC-5EA4-4744-9ECF-B33076CBC72A}">
      <formula1>INDIRECT("Table_SourceData_Swine_IrrigationMethods[Irrigation method]")</formula1>
    </dataValidation>
    <dataValidation type="list" allowBlank="1" showInputMessage="1" showErrorMessage="1" sqref="E266 E271 E276 E310 E305 E300 E178 E166 E142 E154" xr:uid="{0D447CF2-AB02-44A5-9FDF-4F0B5F5689F4}">
      <formula1>"Yes, No"</formula1>
    </dataValidation>
    <dataValidation type="list" allowBlank="1" showInputMessage="1" showErrorMessage="1" sqref="E242" xr:uid="{2FFE530A-1359-49DA-9D2F-910B54CB5E7B}">
      <formula1>INDIRECT("Table_SourceData_Dairy_ProductionSystemTemplates[Area]")</formula1>
    </dataValidation>
    <dataValidation type="list" allowBlank="1" showInputMessage="1" showErrorMessage="1" sqref="D294" xr:uid="{5441C69A-24CC-4463-A498-38932580AC5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22E79-5301-4BC4-AF7A-9D6EB556FB04}">
  <sheetPr>
    <tabColor theme="5" tint="-0.249977111117893"/>
  </sheetPr>
  <dimension ref="A1:K346"/>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900</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901</v>
      </c>
      <c r="E5" s="24"/>
      <c r="F5" s="24"/>
      <c r="G5" s="24"/>
      <c r="H5" s="24"/>
    </row>
    <row r="6" spans="1:11" ht="20.100000000000001" customHeight="1" x14ac:dyDescent="0.2">
      <c r="A6" s="5" t="str">
        <f>HYPERLINK("#'Results'!A1", "Results")</f>
        <v>Results</v>
      </c>
      <c r="D6" s="8"/>
      <c r="E6" s="8"/>
      <c r="F6" s="8"/>
      <c r="G6" s="8"/>
      <c r="H6" s="8"/>
      <c r="I6" s="8"/>
      <c r="J6" s="8"/>
    </row>
    <row r="7" spans="1:11" ht="20.100000000000001" customHeight="1" x14ac:dyDescent="0.2">
      <c r="D7" s="1" t="s">
        <v>902</v>
      </c>
    </row>
    <row r="8" spans="1:11" ht="20.100000000000001" customHeight="1" x14ac:dyDescent="0.2">
      <c r="D8" s="1" t="s">
        <v>903</v>
      </c>
    </row>
    <row r="9" spans="1:11" ht="20.100000000000001" customHeight="1" x14ac:dyDescent="0.2">
      <c r="A9" s="7" t="s">
        <v>0</v>
      </c>
      <c r="D9" s="1" t="s">
        <v>904</v>
      </c>
    </row>
    <row r="10" spans="1:11" ht="20.100000000000001" customHeight="1" x14ac:dyDescent="0.2">
      <c r="A10" s="5" t="str">
        <f>HYPERLINK("#'Input - Enterprise'!A1", "Enterprise")</f>
        <v>Enterprise</v>
      </c>
    </row>
    <row r="11" spans="1:11" ht="20.100000000000001" customHeight="1" x14ac:dyDescent="0.2">
      <c r="A11" s="5" t="str">
        <f>HYPERLINK("#'Input - Site'!A1", "Site")</f>
        <v>Site</v>
      </c>
      <c r="D11" s="1" t="s">
        <v>905</v>
      </c>
      <c r="E11" s="13" t="s">
        <v>906</v>
      </c>
      <c r="F11" s="16" t="s">
        <v>100</v>
      </c>
    </row>
    <row r="12" spans="1:11" ht="20.100000000000001" customHeight="1" x14ac:dyDescent="0.2">
      <c r="A12" s="5" t="str">
        <f>HYPERLINK("#'Input - Dairy'!A1", "Dairy")</f>
        <v>Dairy</v>
      </c>
    </row>
    <row r="13" spans="1:11" ht="20.100000000000001" customHeight="1" x14ac:dyDescent="0.2">
      <c r="A13" s="5" t="str">
        <f>HYPERLINK("#'Input - Livestock sales'!A1", "Livestock sales")</f>
        <v>Livestock sales</v>
      </c>
      <c r="D13" s="140" t="s">
        <v>874</v>
      </c>
      <c r="E13" s="43"/>
      <c r="F13" s="43"/>
      <c r="G13" s="43"/>
      <c r="H13" s="44"/>
    </row>
    <row r="14" spans="1:11" ht="20.100000000000001" customHeight="1" x14ac:dyDescent="0.2">
      <c r="A14" s="5" t="str">
        <f>HYPERLINK("#'Input - Dairy cattle purchases'!A1", "Dairy cattle purchases")</f>
        <v>Dairy cattle purchases</v>
      </c>
      <c r="D14" s="45" t="s">
        <v>907</v>
      </c>
      <c r="E14" s="46"/>
      <c r="F14" s="46"/>
      <c r="G14" s="46"/>
      <c r="H14" s="47"/>
    </row>
    <row r="15" spans="1:11" ht="20.100000000000001" customHeight="1" x14ac:dyDescent="0.2">
      <c r="A15" s="5" t="str">
        <f>HYPERLINK("#'Input - Pasture'!A1", "Pasture")</f>
        <v>Pasture</v>
      </c>
      <c r="D15" s="8"/>
      <c r="E15" s="8"/>
      <c r="F15" s="8"/>
      <c r="G15" s="8"/>
      <c r="H15" s="8"/>
      <c r="I15" s="8"/>
      <c r="J15" s="8"/>
    </row>
    <row r="16" spans="1:11" ht="20.100000000000001" customHeight="1" x14ac:dyDescent="0.2">
      <c r="A16" s="5" t="str">
        <f>HYPERLINK("#'Input - Fert Prod System'!A1", "Fert Prod System")</f>
        <v>Fert Prod System</v>
      </c>
      <c r="D16" s="81" t="s">
        <v>908</v>
      </c>
      <c r="E16" s="81" t="s">
        <v>909</v>
      </c>
      <c r="F16" s="81" t="s">
        <v>910</v>
      </c>
      <c r="G16" s="81" t="s">
        <v>911</v>
      </c>
      <c r="H16" s="81" t="s">
        <v>912</v>
      </c>
      <c r="I16" s="81" t="s">
        <v>913</v>
      </c>
      <c r="J16" s="81" t="s">
        <v>914</v>
      </c>
    </row>
    <row r="17" spans="1:10" ht="20.100000000000001" customHeight="1" x14ac:dyDescent="0.2">
      <c r="A17" s="5" t="str">
        <f>HYPERLINK("#'Input - Fertiliser'!A1", "Fertiliser")</f>
        <v>Fertiliser</v>
      </c>
      <c r="D17" s="13" t="s">
        <v>915</v>
      </c>
      <c r="E17" s="13" t="s">
        <v>916</v>
      </c>
      <c r="F17" s="202">
        <v>100</v>
      </c>
      <c r="G17" s="15" t="str" cm="1">
        <f t="array" ref="G17">Common_InputFunctions.Utility_LookupValueInTable(Table_Input_Fuel[[#This Row],[Fuel type (select)]],Table_FuelTypes_Units[Fuel type], Table_FuelTypes_Units[Input Unit])</f>
        <v>GJ</v>
      </c>
      <c r="H17" s="203">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100" t="str">
        <f>HYPERLINK("#'Input - Fuel'!A1", "Fuel")</f>
        <v>Fuel</v>
      </c>
      <c r="D18" s="13" t="s">
        <v>915</v>
      </c>
      <c r="E18" s="13" t="s">
        <v>917</v>
      </c>
      <c r="F18" s="202">
        <v>10000</v>
      </c>
      <c r="G18" s="15" t="str" cm="1">
        <f t="array" ref="G18">Common_InputFunctions.Utility_LookupValueInTable(Table_Input_Fuel[[#This Row],[Fuel type (select)]],Table_FuelTypes_Units[Fuel type], Table_FuelTypes_Units[Input Unit])</f>
        <v>L</v>
      </c>
      <c r="H18" s="204">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Electricity'!A1", "Electricity")</f>
        <v>Electricity</v>
      </c>
      <c r="D19" s="13" t="s">
        <v>918</v>
      </c>
      <c r="E19" s="13" t="s">
        <v>919</v>
      </c>
      <c r="F19" s="202">
        <v>10000</v>
      </c>
      <c r="G19" s="15" t="str" cm="1">
        <f t="array" ref="G19">Common_InputFunctions.Utility_LookupValueInTable(Table_Input_Fuel[[#This Row],[Fuel type (select)]],Table_FuelTypes_Units[Fuel type], Table_FuelTypes_Units[Input Unit])</f>
        <v>L</v>
      </c>
      <c r="H19" s="204">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Common farm inputs'!A1", "Common farm inputs")</f>
        <v>Common farm inputs</v>
      </c>
      <c r="D20" s="13" t="s">
        <v>920</v>
      </c>
      <c r="E20" s="13" t="s">
        <v>919</v>
      </c>
      <c r="F20" s="202">
        <v>10000</v>
      </c>
      <c r="G20" s="15" t="str" cm="1">
        <f t="array" ref="G20">Common_InputFunctions.Utility_LookupValueInTable(Table_Input_Fuel[[#This Row],[Fuel type (select)]],Table_FuelTypes_Units[Fuel type], Table_FuelTypes_Units[Input Unit])</f>
        <v>L</v>
      </c>
      <c r="H20" s="204">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A21" s="5" t="str">
        <f>HYPERLINK("#'Input - Crop pasture farm input'!A1", "Crop pasture farm input")</f>
        <v>Crop pasture farm input</v>
      </c>
      <c r="D21" s="97" t="s">
        <v>921</v>
      </c>
      <c r="E21" s="97" t="s">
        <v>922</v>
      </c>
      <c r="F21" s="202">
        <v>10000</v>
      </c>
      <c r="G21" s="205" t="str" cm="1">
        <f t="array" ref="G21">Common_InputFunctions.Utility_LookupValueInTable(Table_Input_Fuel[[#This Row],[Fuel type (select)]],Table_FuelTypes_Units[Fuel type], Table_FuelTypes_Units[Input Unit])</f>
        <v>L</v>
      </c>
      <c r="H21" s="206">
        <f>1</f>
        <v>1</v>
      </c>
      <c r="I21" s="205">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
      <c r="A22" s="5" t="str">
        <f>HYPERLINK("#'Input - Livestock farm Inputs'!A1", "Livestock farm Inputs")</f>
        <v>Livestock farm Inputs</v>
      </c>
    </row>
    <row r="23" spans="1:10" ht="20.100000000000001" customHeight="1" x14ac:dyDescent="0.2">
      <c r="A23" s="5" t="str">
        <f>HYPERLINK("#'Input - Freight'!A1", "Freight")</f>
        <v>Freight</v>
      </c>
    </row>
    <row r="24" spans="1:10" ht="20.100000000000001" customHeight="1" x14ac:dyDescent="0.2">
      <c r="A24" s="5" t="str">
        <f>HYPERLINK("#'Input - Solid waste'!A1", "Solid waste")</f>
        <v>Solid waste</v>
      </c>
    </row>
    <row r="25" spans="1:10" ht="20.100000000000001" customHeight="1" x14ac:dyDescent="0.2">
      <c r="A25" s="5" t="str">
        <f>HYPERLINK("#'Input - Manure sent off-site'!A1", "Manure sent off-site")</f>
        <v>Manure sent off-site</v>
      </c>
    </row>
    <row r="26" spans="1:10" ht="20.100000000000001" customHeight="1" x14ac:dyDescent="0.2">
      <c r="A26" s="5" t="str">
        <f>HYPERLINK("#'Input - Refrigerants'!A1", "Refrigerants")</f>
        <v>Refrigerants</v>
      </c>
    </row>
    <row r="27" spans="1:10" ht="20.100000000000001" customHeight="1" x14ac:dyDescent="0.2">
      <c r="A27" s="5" t="str">
        <f>HYPERLINK("#'Input - Data quality'!A1", "Data quality")</f>
        <v>Data quality</v>
      </c>
    </row>
    <row r="30" spans="1:10" ht="20.100000000000001" customHeight="1" x14ac:dyDescent="0.2">
      <c r="A30" s="6" t="s">
        <v>2</v>
      </c>
    </row>
    <row r="31" spans="1:10" ht="20.100000000000001" customHeight="1" x14ac:dyDescent="0.2">
      <c r="A31" s="5" t="str">
        <f>HYPERLINK("#'3.3.1.1-2 Enteric Methane'!A1", "3.3.1.1-2 Enteric methane")</f>
        <v>3.3.1.1-2 Enteric methane</v>
      </c>
    </row>
    <row r="32" spans="1:10" ht="20.100000000000001" customHeight="1" x14ac:dyDescent="0.2">
      <c r="A32" s="5" t="str">
        <f>HYPERLINK("#'4.3.1.1-2 Methane'!A1", "4.3.1.1-2 Manure methane")</f>
        <v>4.3.1.1-2 Manure methane</v>
      </c>
    </row>
    <row r="33" spans="1:11" ht="20.100000000000001" customHeight="1" x14ac:dyDescent="0.2">
      <c r="A33" s="5" t="str">
        <f>HYPERLINK("#'4.3.1.3-4 Direct N20'!A1", "4.3.1.3-4 Direct N20")</f>
        <v>4.3.1.3-4 Direct N20</v>
      </c>
    </row>
    <row r="34" spans="1:11" ht="20.100000000000001" customHeight="1" x14ac:dyDescent="0.2">
      <c r="A34" s="5" t="str">
        <f>HYPERLINK("#'4.3.1.5 Atmos deposition'!A1", "4.3.1.5 Atmos deposition")</f>
        <v>4.3.1.5 Atmos deposition</v>
      </c>
    </row>
    <row r="35" spans="1:11" ht="20.100000000000001" customHeight="1" x14ac:dyDescent="0.2">
      <c r="A35" s="5" t="str">
        <f>HYPERLINK("#'4.3.1.6-7 Leaching and runoff'!A1", "4.3.1.6-7 Leaching &amp; runoff")</f>
        <v>4.3.1.6-7 Leaching &amp; runoff</v>
      </c>
    </row>
    <row r="36" spans="1:11" ht="20.100000000000001" customHeight="1" x14ac:dyDescent="0.2">
      <c r="A36" s="5" t="str">
        <f>HYPERLINK("#'4.3.1.8 Manure applied to soils'!A1", "4.3.1.8 Manure applied to soils")</f>
        <v>4.3.1.8 Manure applied to soils</v>
      </c>
    </row>
    <row r="37" spans="1:11" ht="20.100000000000001" customHeight="1" x14ac:dyDescent="0.2">
      <c r="A37" s="5" t="str">
        <f>HYPERLINK("#'4.3.1.9 Soil direct N2O'!A1", "4.3.1.9 Soil direct N2O")</f>
        <v>4.3.1.9 Soil direct N2O</v>
      </c>
    </row>
    <row r="38" spans="1:11" ht="20.100000000000001" customHeight="1" x14ac:dyDescent="0.2">
      <c r="A38" s="5" t="str">
        <f>HYPERLINK("#'4.3.1.10-11 Soil Atmos Dep'!A1", "4.3.1.10-11 Soil Atmos Deposition")</f>
        <v>4.3.1.10-11 Soil Atmos Deposition</v>
      </c>
      <c r="C38" s="160"/>
      <c r="K38" s="160"/>
    </row>
    <row r="39" spans="1:11" ht="20.100000000000001" customHeight="1" x14ac:dyDescent="0.2">
      <c r="A39" s="5" t="str">
        <f>HYPERLINK("#'4.3.1.12-13 Soil leach runoff'!A1", "4.3.1.12-13 Soil leach &amp; runoff")</f>
        <v>4.3.1.12-13 Soil leach &amp; runoff</v>
      </c>
      <c r="C39" s="160"/>
      <c r="K39" s="160"/>
    </row>
    <row r="40" spans="1:11" s="172" customFormat="1" ht="20.100000000000001" customHeight="1" x14ac:dyDescent="0.2">
      <c r="A40" s="5" t="str">
        <f>HYPERLINK("#'5.1.1.1-2 Inorganic fert N2O'!A1", "5.1.1.1-2 Inorganic fert N2O")</f>
        <v>5.1.1.1-2 Inorganic fert N2O</v>
      </c>
      <c r="C40" s="1"/>
      <c r="D40" s="1"/>
      <c r="E40" s="1"/>
      <c r="F40" s="1"/>
      <c r="G40" s="1"/>
      <c r="H40" s="1"/>
      <c r="I40" s="1"/>
      <c r="J40" s="1"/>
      <c r="K40" s="1"/>
    </row>
    <row r="41" spans="1:11" s="172" customFormat="1" ht="20.100000000000001" customHeight="1" x14ac:dyDescent="0.2">
      <c r="A41" s="5" t="str">
        <f>HYPERLINK("#'5.1.1.3-4 Inorganic fert CO2'!A1", "5.1.1.3-4 Inorganic fert CO2")</f>
        <v>5.1.1.3-4 Inorganic fert CO2</v>
      </c>
      <c r="C41" s="1"/>
      <c r="D41" s="1"/>
      <c r="E41" s="1"/>
      <c r="F41" s="1"/>
      <c r="G41" s="1"/>
      <c r="H41" s="1"/>
      <c r="I41" s="1"/>
      <c r="J41" s="1"/>
      <c r="K41" s="1"/>
    </row>
    <row r="42" spans="1:11" ht="20.100000000000001" customHeight="1" x14ac:dyDescent="0.2">
      <c r="A42" s="5" t="str">
        <f>HYPERLINK("#'5.2.1.1-2 Organic Fert N2O'!A1", "5.2.1.1-2 Organic fert N2O")</f>
        <v>5.2.1.1-2 Organic fert N2O</v>
      </c>
    </row>
    <row r="43" spans="1:11" ht="20.100000000000001" customHeight="1" x14ac:dyDescent="0.2">
      <c r="A43" s="5" t="str">
        <f>HYPERLINK("#'5.3.1.1-2 Lime CO2'!A1", "5.3.1.1-2 Lime CO2")</f>
        <v>5.3.1.1-2 Lime CO2</v>
      </c>
    </row>
    <row r="44" spans="1:11" ht="20.100000000000001" customHeight="1" x14ac:dyDescent="0.2">
      <c r="A44" s="5" t="str">
        <f>HYPERLINK("#'5.4.1.1-4 Atmos deposition'!A1", "5.4.1.1-4 Atmos. deposition")</f>
        <v>5.4.1.1-4 Atmos. deposition</v>
      </c>
    </row>
    <row r="45" spans="1:11" ht="20.100000000000001" customHeight="1" x14ac:dyDescent="0.2">
      <c r="A45" s="5" t="str">
        <f>HYPERLINK("#'5.5.1.1-2 Leaching and runoff'!A1", "5.5.1.1-2 Leaching &amp; runoff")</f>
        <v>5.5.1.1-2 Leaching &amp; runoff</v>
      </c>
    </row>
    <row r="46" spans="1:11" ht="20.100000000000001" customHeight="1" x14ac:dyDescent="0.2">
      <c r="A46" s="5" t="str">
        <f>HYPERLINK("#'6.2.1.1-2 Pasture residue N2O'!A1", "6.2.1.1-2 Pasture residue N2O")</f>
        <v>6.2.1.1-2 Pasture residue N2O</v>
      </c>
    </row>
    <row r="47" spans="1:11" ht="20.100000000000001" customHeight="1" x14ac:dyDescent="0.2">
      <c r="A47" s="5" t="str">
        <f>HYPERLINK("#'6.3.1.1-2 Leach runoff pasture'!A1", "6.3.1.1-2 Leach &amp; runoff (pasture)")</f>
        <v>6.3.1.1-2 Leach &amp; runoff (pasture)</v>
      </c>
    </row>
    <row r="48" spans="1: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row r="346" spans="4:4" ht="20.100000000000001" customHeight="1" x14ac:dyDescent="0.2">
      <c r="D346" s="79"/>
    </row>
  </sheetData>
  <conditionalFormatting sqref="F32">
    <cfRule type="cellIs" dxfId="64" priority="9" operator="lessThan">
      <formula>0</formula>
    </cfRule>
  </conditionalFormatting>
  <conditionalFormatting sqref="F111:F112">
    <cfRule type="cellIs" dxfId="63" priority="8" operator="lessThan">
      <formula>0</formula>
    </cfRule>
  </conditionalFormatting>
  <conditionalFormatting sqref="F123:F124">
    <cfRule type="cellIs" dxfId="62" priority="7" operator="lessThan">
      <formula>0</formula>
    </cfRule>
  </conditionalFormatting>
  <conditionalFormatting sqref="F135:F136">
    <cfRule type="cellIs" dxfId="61" priority="6" operator="lessThan">
      <formula>0</formula>
    </cfRule>
  </conditionalFormatting>
  <conditionalFormatting sqref="F147:F148">
    <cfRule type="cellIs" dxfId="60" priority="5" operator="lessThan">
      <formula>0</formula>
    </cfRule>
  </conditionalFormatting>
  <conditionalFormatting sqref="F235:F236">
    <cfRule type="cellIs" dxfId="59" priority="17" operator="lessThan">
      <formula>0</formula>
    </cfRule>
  </conditionalFormatting>
  <conditionalFormatting sqref="F240:F241">
    <cfRule type="cellIs" dxfId="58" priority="16" operator="lessThan">
      <formula>0</formula>
    </cfRule>
  </conditionalFormatting>
  <conditionalFormatting sqref="F245:F246">
    <cfRule type="cellIs" dxfId="57" priority="15" operator="lessThan">
      <formula>0</formula>
    </cfRule>
  </conditionalFormatting>
  <conditionalFormatting sqref="F269:F270">
    <cfRule type="cellIs" dxfId="56" priority="14" operator="lessThan">
      <formula>0</formula>
    </cfRule>
  </conditionalFormatting>
  <conditionalFormatting sqref="F274:F275">
    <cfRule type="cellIs" dxfId="55" priority="13" operator="lessThan">
      <formula>0</formula>
    </cfRule>
  </conditionalFormatting>
  <conditionalFormatting sqref="F279:F280">
    <cfRule type="cellIs" dxfId="54" priority="12" operator="lessThan">
      <formula>0</formula>
    </cfRule>
  </conditionalFormatting>
  <conditionalFormatting sqref="I26:J27 H28:H30 I31:J31 I33:J35 I37:J38 I189:J189 E195:G195 I195:J195">
    <cfRule type="cellIs" dxfId="53" priority="11" operator="lessThan">
      <formula>0</formula>
    </cfRule>
  </conditionalFormatting>
  <conditionalFormatting sqref="I42:J46">
    <cfRule type="cellIs" dxfId="52" priority="4" operator="lessThan">
      <formula>0</formula>
    </cfRule>
  </conditionalFormatting>
  <conditionalFormatting sqref="I50:J50 I109:J109">
    <cfRule type="cellIs" dxfId="51" priority="10" operator="lessThan">
      <formula>0</formula>
    </cfRule>
  </conditionalFormatting>
  <conditionalFormatting sqref="I61:J63">
    <cfRule type="cellIs" dxfId="50" priority="3" operator="lessThan">
      <formula>0</formula>
    </cfRule>
  </conditionalFormatting>
  <conditionalFormatting sqref="I67:J70">
    <cfRule type="cellIs" dxfId="49" priority="2" operator="lessThan">
      <formula>0</formula>
    </cfRule>
  </conditionalFormatting>
  <conditionalFormatting sqref="I74:J78">
    <cfRule type="cellIs" dxfId="48" priority="1" operator="lessThan">
      <formula>0</formula>
    </cfRule>
  </conditionalFormatting>
  <dataValidations count="9">
    <dataValidation type="list" allowBlank="1" showInputMessage="1" showErrorMessage="1" sqref="E17:E21" xr:uid="{AB110AD1-0621-4E2E-864A-6D3BCED7DEEB}">
      <formula1>_xlfn.TRIMRANGE(INDIRECT("Table_FuelTypesPerUse["&amp;D17&amp;"]"))</formula1>
    </dataValidation>
    <dataValidation type="list" allowBlank="1" showInputMessage="1" showErrorMessage="1" sqref="D17:D21" xr:uid="{55DF164F-60D7-44B7-8297-63C210899170}">
      <formula1>INDIRECT("Table_FuelTypesPerUse[#Headers]")</formula1>
    </dataValidation>
    <dataValidation type="list" allowBlank="1" showInputMessage="1" showErrorMessage="1" sqref="E11" xr:uid="{CE50F181-6352-43AE-B4CE-6C23DED73040}">
      <formula1>"Metro, Non-metro"</formula1>
    </dataValidation>
    <dataValidation type="list" allowBlank="1" showInputMessage="1" showErrorMessage="1" sqref="D29:D30" xr:uid="{C39005E4-5CE6-4ABF-8FBD-2541E8120437}">
      <formula1>INDIRECT("Table_SourceData_OrganicFertiliserTypes[Organic fertiliser type]")</formula1>
    </dataValidation>
    <dataValidation type="list" allowBlank="1" showInputMessage="1" showErrorMessage="1" sqref="E49" xr:uid="{1859517F-1538-4E47-B153-C53ACFEBFB0A}">
      <formula1>INDIRECT("Table_SourceData_Swine_CropProdSystems[Production system]")</formula1>
    </dataValidation>
    <dataValidation type="list" allowBlank="1" showInputMessage="1" showErrorMessage="1" sqref="E50" xr:uid="{C706A6B9-E6CD-4B10-83AF-C72C1617876B}">
      <formula1>INDIRECT("Table_SourceData_Swine_IrrigationMethods[Irrigation method]")</formula1>
    </dataValidation>
    <dataValidation type="list" allowBlank="1" showInputMessage="1" showErrorMessage="1" sqref="E234 E239 E244 E278 E273 E268 E146 E134 E110 E122" xr:uid="{F2487006-DF4B-412A-A6D6-3C2E9427A59A}">
      <formula1>"Yes, No"</formula1>
    </dataValidation>
    <dataValidation type="list" allowBlank="1" showInputMessage="1" showErrorMessage="1" sqref="E210" xr:uid="{F4270556-C619-4F13-8184-E9C22A549756}">
      <formula1>INDIRECT("Table_SourceData_Dairy_ProductionSystemTemplates[Area]")</formula1>
    </dataValidation>
    <dataValidation type="list" allowBlank="1" showInputMessage="1" showErrorMessage="1" sqref="D262" xr:uid="{5C58A379-F550-4FA1-8FD1-957AC1F03FD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A40F-2D84-4168-827B-797B0C57288E}">
  <sheetPr>
    <tabColor theme="5" tint="-0.249977111117893"/>
  </sheetPr>
  <dimension ref="A1:L365"/>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855</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1" t="s">
        <v>856</v>
      </c>
      <c r="E5" s="13" t="s">
        <v>857</v>
      </c>
      <c r="F5" s="16" t="s">
        <v>100</v>
      </c>
    </row>
    <row r="6" spans="1:10" ht="20.100000000000001" customHeight="1" x14ac:dyDescent="0.2">
      <c r="A6" s="5" t="str">
        <f>HYPERLINK("#'Results'!A1", "Results")</f>
        <v>Results</v>
      </c>
      <c r="E6" s="79"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C8" s="88"/>
      <c r="D8" s="88"/>
      <c r="E8" s="88"/>
      <c r="F8" s="88"/>
      <c r="G8" s="88"/>
      <c r="H8" s="88"/>
      <c r="I8" s="88"/>
      <c r="J8" s="88"/>
    </row>
    <row r="9" spans="1:10" ht="20.100000000000001" customHeight="1" x14ac:dyDescent="0.2">
      <c r="A9" s="7" t="s">
        <v>0</v>
      </c>
      <c r="D9" s="2" t="s">
        <v>858</v>
      </c>
    </row>
    <row r="10" spans="1:10" ht="20.100000000000001" customHeight="1" x14ac:dyDescent="0.2">
      <c r="A10" s="5" t="str">
        <f>HYPERLINK("#'Input - Enterprise'!A1", "Enterprise")</f>
        <v>Enterprise</v>
      </c>
    </row>
    <row r="11" spans="1:10" ht="20.100000000000001" customHeight="1" x14ac:dyDescent="0.2">
      <c r="A11" s="5" t="str">
        <f>HYPERLINK("#'Input - Site'!A1", "Site")</f>
        <v>Site</v>
      </c>
      <c r="D11" s="78" t="s">
        <v>859</v>
      </c>
    </row>
    <row r="12" spans="1:10" ht="20.100000000000001" customHeight="1" x14ac:dyDescent="0.2">
      <c r="A12" s="5" t="str">
        <f>HYPERLINK("#'Input - Dairy'!A1", "Dairy")</f>
        <v>Dairy</v>
      </c>
    </row>
    <row r="13" spans="1:10" ht="20.100000000000001" customHeight="1" x14ac:dyDescent="0.2">
      <c r="A13" s="5" t="str">
        <f>HYPERLINK("#'Input - Livestock sales'!A1", "Livestock sales")</f>
        <v>Livestock sales</v>
      </c>
      <c r="D13" s="35" t="s">
        <v>860</v>
      </c>
      <c r="E13" s="38"/>
      <c r="F13" s="8"/>
    </row>
    <row r="14" spans="1:10" ht="20.100000000000001" customHeight="1" x14ac:dyDescent="0.2">
      <c r="A14" s="5" t="str">
        <f>HYPERLINK("#'Input - Dairy cattle purchases'!A1", "Dairy cattle purchases")</f>
        <v>Dairy cattle purchases</v>
      </c>
      <c r="D14" s="8"/>
      <c r="E14" s="8"/>
      <c r="F14" s="8"/>
    </row>
    <row r="15" spans="1:10" ht="20.100000000000001" customHeight="1" x14ac:dyDescent="0.2">
      <c r="A15" s="5" t="str">
        <f>HYPERLINK("#'Input - Pasture'!A1", "Pasture")</f>
        <v>Pasture</v>
      </c>
      <c r="D15" s="1" t="s">
        <v>861</v>
      </c>
      <c r="E15" s="194">
        <v>30000</v>
      </c>
      <c r="F15" s="16" t="s">
        <v>862</v>
      </c>
    </row>
    <row r="16" spans="1:10" ht="20.100000000000001" customHeight="1" x14ac:dyDescent="0.2">
      <c r="A16" s="5" t="str">
        <f>HYPERLINK("#'Input - Fert Prod System'!A1", "Fert Prod System")</f>
        <v>Fert Prod System</v>
      </c>
      <c r="D16" s="1" t="s">
        <v>863</v>
      </c>
      <c r="E16" s="15" t="str">
        <f>IF(X_Cell_Site_State="Western Australia", X_Cell_Site_Region, X_Cell_Site_State)</f>
        <v>Western Australia - Outback (South)</v>
      </c>
      <c r="F16" s="8"/>
    </row>
    <row r="17" spans="1:11" ht="20.100000000000001" customHeight="1" x14ac:dyDescent="0.2">
      <c r="A17" s="5" t="str">
        <f>HYPERLINK("#'Input - Fertiliser'!A1", "Fertiliser")</f>
        <v>Fertiliser</v>
      </c>
      <c r="D17" s="1" t="s">
        <v>864</v>
      </c>
      <c r="E17" s="13" t="s">
        <v>865</v>
      </c>
      <c r="F17" s="16" t="s">
        <v>100</v>
      </c>
    </row>
    <row r="18" spans="1:11" ht="20.100000000000001" customHeight="1" x14ac:dyDescent="0.2">
      <c r="A18" s="5" t="str">
        <f>HYPERLINK("#'Input - Fuel'!A1", "Fuel")</f>
        <v>Fuel</v>
      </c>
    </row>
    <row r="19" spans="1:11" ht="20.100000000000001" customHeight="1" x14ac:dyDescent="0.2">
      <c r="A19" s="100" t="str">
        <f>HYPERLINK("#'Input - Electricity'!A1", "Electricity")</f>
        <v>Electricity</v>
      </c>
    </row>
    <row r="20" spans="1:11" ht="20.100000000000001" customHeight="1" x14ac:dyDescent="0.2">
      <c r="A20" s="5" t="str">
        <f>HYPERLINK("#'Input - Common farm inputs'!A1", "Common farm inputs")</f>
        <v>Common farm inputs</v>
      </c>
      <c r="C20" s="88"/>
      <c r="D20" s="88"/>
      <c r="E20" s="88"/>
      <c r="F20" s="88"/>
      <c r="G20" s="88"/>
      <c r="H20" s="88"/>
      <c r="I20" s="88"/>
      <c r="J20" s="88"/>
    </row>
    <row r="21" spans="1:11" ht="20.100000000000001" customHeight="1" x14ac:dyDescent="0.2">
      <c r="A21" s="5" t="str">
        <f>HYPERLINK("#'Input - Crop pasture farm input'!A1", "Crop pasture farm input")</f>
        <v>Crop pasture farm input</v>
      </c>
      <c r="D21" s="2" t="s">
        <v>866</v>
      </c>
    </row>
    <row r="22" spans="1:11" ht="20.100000000000001" customHeight="1" x14ac:dyDescent="0.2">
      <c r="A22" s="5" t="str">
        <f>HYPERLINK("#'Input - Livestock farm Inputs'!A1", "Livestock farm Inputs")</f>
        <v>Livestock farm Inputs</v>
      </c>
      <c r="E22" s="79" t="str">
        <f>IF(E16="ACT", "", "ALERT: Your farm is not in the ACT, so the JRPP is not applicable")</f>
        <v>ALERT: Your farm is not in the ACT, so the JRPP is not applicable</v>
      </c>
    </row>
    <row r="23" spans="1:11" ht="20.100000000000001" customHeight="1" x14ac:dyDescent="0.2">
      <c r="A23" s="5" t="str">
        <f>HYPERLINK("#'Input - Freight'!A1", "Freight")</f>
        <v>Freight</v>
      </c>
      <c r="D23" s="1" t="s">
        <v>867</v>
      </c>
      <c r="E23" s="194">
        <v>30000</v>
      </c>
      <c r="F23" s="16" t="s">
        <v>862</v>
      </c>
    </row>
    <row r="24" spans="1:11" ht="20.100000000000001" customHeight="1" x14ac:dyDescent="0.2">
      <c r="A24" s="5" t="str">
        <f>HYPERLINK("#'Input - Solid waste'!A1", "Solid waste")</f>
        <v>Solid waste</v>
      </c>
      <c r="D24" s="1" t="s">
        <v>868</v>
      </c>
      <c r="E24" s="18">
        <v>0.1</v>
      </c>
      <c r="F24" s="16" t="s">
        <v>147</v>
      </c>
    </row>
    <row r="25" spans="1:11" ht="20.100000000000001" customHeight="1" x14ac:dyDescent="0.2">
      <c r="A25" s="5" t="str">
        <f>HYPERLINK("#'Input - Manure sent off-site'!A1", "Manure sent off-site")</f>
        <v>Manure sent off-site</v>
      </c>
      <c r="D25" s="1" t="s">
        <v>869</v>
      </c>
      <c r="E25" s="18">
        <v>0.1</v>
      </c>
      <c r="F25" s="16" t="s">
        <v>147</v>
      </c>
    </row>
    <row r="26" spans="1:11" ht="20.100000000000001" customHeight="1" x14ac:dyDescent="0.2">
      <c r="A26" s="5" t="str">
        <f>HYPERLINK("#'Input - Refrigerants'!A1", "Refrigerants")</f>
        <v>Refrigerants</v>
      </c>
    </row>
    <row r="27" spans="1:11" ht="20.100000000000001" customHeight="1" x14ac:dyDescent="0.2">
      <c r="A27" s="5" t="str">
        <f>HYPERLINK("#'Input - Data quality'!A1", "Data quality")</f>
        <v>Data quality</v>
      </c>
      <c r="D27" s="1" t="s">
        <v>870</v>
      </c>
      <c r="E27" s="194">
        <v>10000</v>
      </c>
      <c r="F27" s="16" t="s">
        <v>862</v>
      </c>
    </row>
    <row r="29" spans="1:11" ht="20.100000000000001" customHeight="1" x14ac:dyDescent="0.2">
      <c r="D29" s="1" t="s">
        <v>871</v>
      </c>
      <c r="E29" s="195" t="str">
        <f>TEXT(X_Cell_Site_StartDate, "dd mmm yyyy")</f>
        <v>01 Jan 2024</v>
      </c>
      <c r="K29" s="172"/>
    </row>
    <row r="30" spans="1:11" ht="20.100000000000001" customHeight="1" x14ac:dyDescent="0.2">
      <c r="A30" s="6" t="s">
        <v>2</v>
      </c>
      <c r="D30" s="1" t="s">
        <v>872</v>
      </c>
      <c r="E30" s="195" t="str">
        <f>TEXT(X_Cell_Site_EndDate, "dd mmm yyyy")</f>
        <v>31 Dec 2024</v>
      </c>
      <c r="K30" s="172"/>
    </row>
    <row r="31" spans="1:11" ht="20.100000000000001" customHeight="1" x14ac:dyDescent="0.2">
      <c r="A31" s="5" t="str">
        <f>HYPERLINK("#'3.3.1.1-2 Enteric Methane'!A1", "3.3.1.1-2 Enteric methane")</f>
        <v>3.3.1.1-2 Enteric methane</v>
      </c>
      <c r="K31" s="172"/>
    </row>
    <row r="32" spans="1:11" ht="20.100000000000001" customHeight="1" x14ac:dyDescent="0.2">
      <c r="A32" s="5" t="str">
        <f>HYPERLINK("#'4.3.1.1-2 Methane'!A1", "4.3.1.1-2 Manure methane")</f>
        <v>4.3.1.1-2 Manure methane</v>
      </c>
      <c r="D32" s="78" t="s">
        <v>873</v>
      </c>
      <c r="K32" s="172"/>
    </row>
    <row r="33" spans="1:12" ht="20.100000000000001" customHeight="1" x14ac:dyDescent="0.2">
      <c r="A33" s="5" t="str">
        <f>HYPERLINK("#'4.3.1.3-4 Direct N20'!A1", "4.3.1.3-4 Direct N20")</f>
        <v>4.3.1.3-4 Direct N20</v>
      </c>
      <c r="K33" s="172"/>
    </row>
    <row r="34" spans="1:12" ht="20.100000000000001" customHeight="1" x14ac:dyDescent="0.2">
      <c r="A34" s="5" t="str">
        <f>HYPERLINK("#'4.3.1.5 Atmos deposition'!A1", "4.3.1.5 Atmos deposition")</f>
        <v>4.3.1.5 Atmos deposition</v>
      </c>
      <c r="D34" s="35" t="s">
        <v>874</v>
      </c>
      <c r="E34" s="38"/>
      <c r="K34" s="172"/>
    </row>
    <row r="35" spans="1:12" ht="20.100000000000001" customHeight="1" x14ac:dyDescent="0.2">
      <c r="A35" s="5" t="str">
        <f>HYPERLINK("#'4.3.1.6-7 Leaching and runoff'!A1", "4.3.1.6-7 Leaching &amp; runoff")</f>
        <v>4.3.1.6-7 Leaching &amp; runoff</v>
      </c>
    </row>
    <row r="36" spans="1:12" ht="20.100000000000001" customHeight="1" x14ac:dyDescent="0.2">
      <c r="A36" s="5" t="str">
        <f>HYPERLINK("#'4.3.1.8 Manure applied to soils'!A1", "4.3.1.8 Manure applied to soils")</f>
        <v>4.3.1.8 Manure applied to soils</v>
      </c>
      <c r="D36" s="81" t="s">
        <v>195</v>
      </c>
      <c r="E36" s="81" t="s">
        <v>875</v>
      </c>
      <c r="F36" s="81" t="s">
        <v>876</v>
      </c>
      <c r="G36" s="81" t="s">
        <v>877</v>
      </c>
      <c r="H36" s="81" t="s">
        <v>878</v>
      </c>
      <c r="I36" s="81" t="s">
        <v>879</v>
      </c>
      <c r="L36" s="172"/>
    </row>
    <row r="37" spans="1:12" ht="20.100000000000001" customHeight="1" x14ac:dyDescent="0.2">
      <c r="A37" s="5" t="str">
        <f>HYPERLINK("#'4.3.1.9 Soil direct N2O'!A1", "4.3.1.9 Soil direct N2O")</f>
        <v>4.3.1.9 Soil direct N2O</v>
      </c>
      <c r="D37" s="19" t="s">
        <v>880</v>
      </c>
      <c r="E37" s="13" t="s">
        <v>881</v>
      </c>
      <c r="F37" s="196">
        <v>44185</v>
      </c>
      <c r="G37" s="19">
        <v>12</v>
      </c>
      <c r="H37" s="15">
        <f>Table_Input_RECSurrendered[[#This Row],[Number of certificates]]</f>
        <v>12</v>
      </c>
      <c r="I37" s="15" t="str">
        <f>IF(DATEDIF(Table_Input_RECSurrendered[[#This Row],[Generation date]],DATEVALUE($E$30),"M")&gt;36,"Ineligible - older than 36 months","Elegible")</f>
        <v>Ineligible - older than 36 months</v>
      </c>
      <c r="L37" s="172"/>
    </row>
    <row r="38" spans="1:12" ht="20.100000000000001" customHeight="1" x14ac:dyDescent="0.2">
      <c r="A38" s="5" t="str">
        <f>HYPERLINK("#'4.3.1.10-11 Soil Atmos Dep'!A1", "4.3.1.10-11 Soil Atmos Deposition")</f>
        <v>4.3.1.10-11 Soil Atmos Deposition</v>
      </c>
      <c r="D38" s="19" t="s">
        <v>882</v>
      </c>
      <c r="E38" s="13" t="s">
        <v>883</v>
      </c>
      <c r="F38" s="196">
        <v>44575</v>
      </c>
      <c r="G38" s="19">
        <v>5</v>
      </c>
      <c r="H38" s="15">
        <f>Table_Input_RECSurrendered[[#This Row],[Number of certificates]]</f>
        <v>5</v>
      </c>
      <c r="I38" s="15" t="str">
        <f>IF(DATEDIF(Table_Input_RECSurrendered[[#This Row],[Generation date]],DATEVALUE($E$30),"M")&gt;36,"Ineligible - older than 36 months","Elegible")</f>
        <v>Elegible</v>
      </c>
    </row>
    <row r="39" spans="1:12" ht="20.100000000000001" customHeight="1" x14ac:dyDescent="0.2">
      <c r="A39" s="5" t="str">
        <f>HYPERLINK("#'4.3.1.12-13 Soil leach runoff'!A1", "4.3.1.12-13 Soil leach &amp; runoff")</f>
        <v>4.3.1.12-13 Soil leach &amp; runoff</v>
      </c>
      <c r="D39" s="19" t="s">
        <v>884</v>
      </c>
      <c r="E39" s="13" t="s">
        <v>881</v>
      </c>
      <c r="F39" s="196">
        <v>45438</v>
      </c>
      <c r="G39" s="19">
        <v>5</v>
      </c>
      <c r="H39" s="15">
        <f>Table_Input_RECSurrendered[[#This Row],[Number of certificates]]</f>
        <v>5</v>
      </c>
      <c r="I39" s="15" t="str">
        <f>IF(DATEDIF(Table_Input_RECSurrendered[[#This Row],[Generation date]],DATEVALUE($E$30),"M")&gt;36,"Ineligible - older than 36 months","Elegible")</f>
        <v>Elegible</v>
      </c>
    </row>
    <row r="40" spans="1:12" s="172" customFormat="1" ht="20.100000000000001" customHeight="1" x14ac:dyDescent="0.2">
      <c r="A40" s="5" t="str">
        <f>HYPERLINK("#'5.1.1.1-2 Inorganic fert N2O'!A1", "5.1.1.1-2 Inorganic fert N2O")</f>
        <v>5.1.1.1-2 Inorganic fert N2O</v>
      </c>
      <c r="C40" s="1"/>
      <c r="D40" s="1"/>
      <c r="E40" s="1"/>
      <c r="F40" s="1"/>
      <c r="G40" s="1"/>
      <c r="H40" s="1"/>
      <c r="I40" s="1"/>
      <c r="J40" s="1"/>
    </row>
    <row r="41" spans="1:12" s="172" customFormat="1" ht="20.100000000000001" customHeight="1" x14ac:dyDescent="0.2">
      <c r="A41" s="5" t="str">
        <f>HYPERLINK("#'5.1.1.3-4 Inorganic fert CO2'!A1", "5.1.1.3-4 Inorganic fert CO2")</f>
        <v>5.1.1.3-4 Inorganic fert CO2</v>
      </c>
      <c r="C41" s="1"/>
      <c r="D41" s="1" t="s">
        <v>885</v>
      </c>
      <c r="E41" s="15">
        <f>SUMIF(Table_Input_RECSurrendered[Elegibility], "Elegible", Table_Input_RECSurrendered[MWh])</f>
        <v>10</v>
      </c>
      <c r="F41" s="16" t="s">
        <v>878</v>
      </c>
      <c r="G41" s="1"/>
      <c r="H41" s="1"/>
      <c r="I41" s="1"/>
      <c r="J41" s="1"/>
      <c r="L41" s="172" t="s">
        <v>602</v>
      </c>
    </row>
    <row r="42" spans="1:12" ht="20.100000000000001" customHeight="1" x14ac:dyDescent="0.2">
      <c r="A42" s="5" t="str">
        <f>HYPERLINK("#'5.2.1.1-2 Organic Fert N2O'!A1", "5.2.1.1-2 Organic fert N2O")</f>
        <v>5.2.1.1-2 Organic fert N2O</v>
      </c>
      <c r="C42" s="160"/>
    </row>
    <row r="43" spans="1:12" ht="20.100000000000001" customHeight="1" x14ac:dyDescent="0.2">
      <c r="A43" s="5" t="str">
        <f>HYPERLINK("#'5.3.1.1-2 Lime CO2'!A1", "5.3.1.1-2 Lime CO2")</f>
        <v>5.3.1.1-2 Lime CO2</v>
      </c>
      <c r="C43" s="160"/>
      <c r="D43" s="78" t="s">
        <v>886</v>
      </c>
      <c r="J43" s="160"/>
    </row>
    <row r="44" spans="1:12" ht="20.100000000000001" customHeight="1" x14ac:dyDescent="0.2">
      <c r="A44" s="5" t="str">
        <f>HYPERLINK("#'5.4.1.1-4 Atmos deposition'!A1", "5.4.1.1-4 Atmos. deposition")</f>
        <v>5.4.1.1-4 Atmos. deposition</v>
      </c>
    </row>
    <row r="45" spans="1:12" ht="20.100000000000001" customHeight="1" x14ac:dyDescent="0.2">
      <c r="A45" s="5" t="str">
        <f>HYPERLINK("#'5.5.1.1-2 Leaching and runoff'!A1", "5.5.1.1-2 Leaching &amp; runoff")</f>
        <v>5.5.1.1-2 Leaching &amp; runoff</v>
      </c>
      <c r="D45" s="81" t="s">
        <v>195</v>
      </c>
      <c r="E45" s="81" t="s">
        <v>829</v>
      </c>
      <c r="F45" s="81" t="s">
        <v>876</v>
      </c>
      <c r="G45" s="81" t="s">
        <v>877</v>
      </c>
      <c r="H45" s="81" t="s">
        <v>878</v>
      </c>
      <c r="I45" s="81" t="s">
        <v>879</v>
      </c>
    </row>
    <row r="46" spans="1:12" ht="20.100000000000001" customHeight="1" x14ac:dyDescent="0.2">
      <c r="A46" s="5" t="str">
        <f>HYPERLINK("#'6.2.1.1-2 Pasture residue N2O'!A1", "6.2.1.1-2 Pasture residue N2O")</f>
        <v>6.2.1.1-2 Pasture residue N2O</v>
      </c>
      <c r="D46" s="19" t="s">
        <v>887</v>
      </c>
      <c r="E46" s="197" t="str">
        <f>"Issued for generated electricity"</f>
        <v>Issued for generated electricity</v>
      </c>
      <c r="F46" s="196">
        <v>44697</v>
      </c>
      <c r="G46" s="19">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A47" s="5" t="str">
        <f>HYPERLINK("#'6.3.1.1-2 Leach runoff pasture'!A1", "6.3.1.1-2 Leach &amp; runoff (pasture)")</f>
        <v>6.3.1.1-2 Leach &amp; runoff (pasture)</v>
      </c>
      <c r="D47" s="19" t="s">
        <v>888</v>
      </c>
      <c r="E47" s="197" t="str">
        <f>"Issued for generated electricity"</f>
        <v>Issued for generated electricity</v>
      </c>
      <c r="F47" s="196">
        <v>45483</v>
      </c>
      <c r="G47" s="19">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
      <c r="A48" s="5" t="str">
        <f>HYPERLINK("#'8.1.1.1-2 Transport fuel'!A1", "8.1.1.1-2 Transport fuel")</f>
        <v>8.1.1.1-2 Transport fuel</v>
      </c>
      <c r="D48" s="198">
        <v>45597</v>
      </c>
      <c r="E48" s="197" t="str">
        <f>"Issued for generated electricity"</f>
        <v>Issued for generated electricity</v>
      </c>
      <c r="F48" s="196">
        <v>45607</v>
      </c>
      <c r="G48" s="19">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Elegible</v>
      </c>
    </row>
    <row r="49" spans="1:6" ht="20.100000000000001" customHeight="1" x14ac:dyDescent="0.2">
      <c r="A49" s="5" t="str">
        <f>HYPERLINK("#'8.2.1.1-2 Stationary fuel'!A1", "8.2.1.1-2 Stationary fuel")</f>
        <v>8.2.1.1-2 Stationary fuel</v>
      </c>
    </row>
    <row r="50" spans="1:6" ht="20.100000000000001" customHeight="1" x14ac:dyDescent="0.2">
      <c r="A50" s="5" t="str">
        <f>HYPERLINK("#'9.1.1.1-2 Refrigerant use'!A1", "9.1.1.1-2 Refrigerant use")</f>
        <v>9.1.1.1-2 Refrigerant use</v>
      </c>
      <c r="D50" s="1" t="s">
        <v>889</v>
      </c>
      <c r="E50" s="15">
        <f>SUMIF(Table_Input_RECConsumedByEntity[Elegibility], "Elegible", Table_Input_RECConsumedByEntity[Number of certificates])</f>
        <v>11</v>
      </c>
      <c r="F50" s="16" t="s">
        <v>878</v>
      </c>
    </row>
    <row r="51" spans="1:6" ht="20.100000000000001" customHeight="1" x14ac:dyDescent="0.2">
      <c r="A51" s="5" t="str">
        <f>HYPERLINK("#'10.1.1-2 Solid waste treatment'!A1", "10.1.1.1-2 Solid waste")</f>
        <v>10.1.1.1-2 Solid waste</v>
      </c>
    </row>
    <row r="52" spans="1:6" ht="20.100000000000001" customHeight="1" x14ac:dyDescent="0.2">
      <c r="A52" s="5" t="str">
        <f>HYPERLINK("#'14.1.1-2 Purchased electricity'!A1", "14.1.1-2 Purchased electricity")</f>
        <v>14.1.1-2 Purchased electricity</v>
      </c>
    </row>
    <row r="53" spans="1:6" ht="20.100000000000001" customHeight="1" x14ac:dyDescent="0.2">
      <c r="A53" s="5" t="str">
        <f>HYPERLINK("#'15 Scope 3'!A1", "15 Scope 3")</f>
        <v>15 Scope 3</v>
      </c>
    </row>
    <row r="54" spans="1:6" ht="20.100000000000001" customHeight="1" x14ac:dyDescent="0.2">
      <c r="A54" s="5" t="str">
        <f>HYPERLINK("#'Calcs - Manure sent off-site'!A1", "Calcs - Manure sent off-site")</f>
        <v>Calcs - Manure sent off-site</v>
      </c>
    </row>
    <row r="55" spans="1:6" ht="20.100000000000001" customHeight="1" x14ac:dyDescent="0.2">
      <c r="D55" s="199"/>
    </row>
    <row r="56" spans="1:6" ht="20.100000000000001" customHeight="1" x14ac:dyDescent="0.2">
      <c r="D56" s="199"/>
    </row>
    <row r="57" spans="1:6" ht="20.100000000000001" customHeight="1" x14ac:dyDescent="0.2">
      <c r="A57" s="82" t="s">
        <v>1</v>
      </c>
    </row>
    <row r="58" spans="1:6" ht="20.100000000000001" customHeight="1" x14ac:dyDescent="0.2">
      <c r="A58" s="5" t="str">
        <f>HYPERLINK("#'Constants - Dairy'!A1", "Constants - Dairy")</f>
        <v>Constants - Dairy</v>
      </c>
    </row>
    <row r="59" spans="1:6" ht="20.100000000000001" customHeight="1" x14ac:dyDescent="0.2">
      <c r="A59" s="5" t="str">
        <f>HYPERLINK("#'Constants - Ag Residue'!A1", "Constants - Ag residue")</f>
        <v>Constants - Ag residue</v>
      </c>
    </row>
    <row r="60" spans="1:6" ht="20.100000000000001" customHeight="1" x14ac:dyDescent="0.2">
      <c r="A60" s="5" t="str">
        <f>HYPERLINK("#'Constants - Common Livestock'!A1", "Constants - Common Livestock")</f>
        <v>Constants - Common Livestock</v>
      </c>
    </row>
    <row r="61" spans="1:6" ht="20.100000000000001" customHeight="1" x14ac:dyDescent="0.2">
      <c r="A61" s="5" t="str">
        <f>HYPERLINK("#'Constants - Electricity'!A1", "Constants - Electricity")</f>
        <v>Constants - Electricity</v>
      </c>
    </row>
    <row r="62" spans="1:6" ht="20.100000000000001" customHeight="1" x14ac:dyDescent="0.2">
      <c r="A62" s="5" t="str">
        <f>HYPERLINK("#'Constants - Fertiliser'!A1", "Constants - Fertiliser")</f>
        <v>Constants - Fertiliser</v>
      </c>
    </row>
    <row r="63" spans="1:6" ht="20.100000000000001" customHeight="1" x14ac:dyDescent="0.2">
      <c r="A63" s="5" t="str">
        <f>HYPERLINK("#'Constants - Fuel'!A1", "Constants - Fuel")</f>
        <v>Constants - Fuel</v>
      </c>
    </row>
    <row r="64" spans="1:6"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row r="365" spans="4:4" ht="20.100000000000001" customHeight="1" x14ac:dyDescent="0.2">
      <c r="D365" s="79"/>
    </row>
  </sheetData>
  <conditionalFormatting sqref="F130:F131">
    <cfRule type="cellIs" dxfId="47" priority="8" operator="lessThan">
      <formula>0</formula>
    </cfRule>
  </conditionalFormatting>
  <conditionalFormatting sqref="F142:F143">
    <cfRule type="cellIs" dxfId="46" priority="7" operator="lessThan">
      <formula>0</formula>
    </cfRule>
  </conditionalFormatting>
  <conditionalFormatting sqref="F154:F155">
    <cfRule type="cellIs" dxfId="45" priority="6" operator="lessThan">
      <formula>0</formula>
    </cfRule>
  </conditionalFormatting>
  <conditionalFormatting sqref="F166:F167">
    <cfRule type="cellIs" dxfId="44" priority="5" operator="lessThan">
      <formula>0</formula>
    </cfRule>
  </conditionalFormatting>
  <conditionalFormatting sqref="F254:F255">
    <cfRule type="cellIs" dxfId="43" priority="17" operator="lessThan">
      <formula>0</formula>
    </cfRule>
  </conditionalFormatting>
  <conditionalFormatting sqref="F259:F260">
    <cfRule type="cellIs" dxfId="42" priority="16" operator="lessThan">
      <formula>0</formula>
    </cfRule>
  </conditionalFormatting>
  <conditionalFormatting sqref="F264:F265">
    <cfRule type="cellIs" dxfId="41" priority="15" operator="lessThan">
      <formula>0</formula>
    </cfRule>
  </conditionalFormatting>
  <conditionalFormatting sqref="F288:F289">
    <cfRule type="cellIs" dxfId="40" priority="14" operator="lessThan">
      <formula>0</formula>
    </cfRule>
  </conditionalFormatting>
  <conditionalFormatting sqref="F293:F294">
    <cfRule type="cellIs" dxfId="39" priority="13" operator="lessThan">
      <formula>0</formula>
    </cfRule>
  </conditionalFormatting>
  <conditionalFormatting sqref="F298:F299">
    <cfRule type="cellIs" dxfId="38" priority="12" operator="lessThan">
      <formula>0</formula>
    </cfRule>
  </conditionalFormatting>
  <conditionalFormatting sqref="I59:I63">
    <cfRule type="cellIs" dxfId="37" priority="4" operator="lessThan">
      <formula>0</formula>
    </cfRule>
  </conditionalFormatting>
  <conditionalFormatting sqref="I67 I126">
    <cfRule type="cellIs" dxfId="36" priority="10" operator="lessThan">
      <formula>0</formula>
    </cfRule>
  </conditionalFormatting>
  <conditionalFormatting sqref="I78:I80">
    <cfRule type="cellIs" dxfId="35" priority="3" operator="lessThan">
      <formula>0</formula>
    </cfRule>
  </conditionalFormatting>
  <conditionalFormatting sqref="I84:I87">
    <cfRule type="cellIs" dxfId="34" priority="2" operator="lessThan">
      <formula>0</formula>
    </cfRule>
  </conditionalFormatting>
  <conditionalFormatting sqref="I91:I95">
    <cfRule type="cellIs" dxfId="33" priority="1" operator="lessThan">
      <formula>0</formula>
    </cfRule>
  </conditionalFormatting>
  <conditionalFormatting sqref="J35 I49:I50 H51:H53 I52 I54:I55 I206 I212 E214:G214">
    <cfRule type="cellIs" dxfId="32" priority="11" operator="lessThan">
      <formula>0</formula>
    </cfRule>
  </conditionalFormatting>
  <conditionalFormatting sqref="J39 I40 J41 I43">
    <cfRule type="cellIs" dxfId="31" priority="9" operator="lessThan">
      <formula>0</formula>
    </cfRule>
  </conditionalFormatting>
  <dataValidations count="7">
    <dataValidation type="list" allowBlank="1" showInputMessage="1" showErrorMessage="1" sqref="E5" xr:uid="{F877636A-6D19-4977-87C3-97F658E446A8}">
      <formula1>"Location-based (simpler), Market-based (more complex)"</formula1>
    </dataValidation>
    <dataValidation type="list" allowBlank="1" showInputMessage="1" showErrorMessage="1" sqref="E37:E39" xr:uid="{FC4E89A2-0B0E-4F5E-A408-C0C9D4163A9B}">
      <formula1>"Purchased certificate, Issued for generated electricity"</formula1>
    </dataValidation>
    <dataValidation type="list" allowBlank="1" showInputMessage="1" showErrorMessage="1" sqref="E17" xr:uid="{63250371-B40B-4629-977A-1FF215F5EA99}">
      <formula1>INDIRECT("Table_SourceData_ElectricityEFs[State, Territory or grid description]")</formula1>
    </dataValidation>
    <dataValidation type="list" allowBlank="1" showInputMessage="1" showErrorMessage="1" sqref="E69" xr:uid="{E0CF4E7B-59D5-417A-8233-1AE6813C2A48}">
      <formula1>INDIRECT("Table_SourceData_Swine_IrrigationMethods[Irrigation method]")</formula1>
    </dataValidation>
    <dataValidation type="list" allowBlank="1" showInputMessage="1" showErrorMessage="1" sqref="E253 E258 E263 E297 E292 E287 E165 E153 E129 E141" xr:uid="{211112AB-3AAD-4835-83C7-079FC87AD6E4}">
      <formula1>"Yes, No"</formula1>
    </dataValidation>
    <dataValidation type="list" allowBlank="1" showInputMessage="1" showErrorMessage="1" sqref="E229" xr:uid="{4F3F5097-BA61-42E6-9416-061C0C58D477}">
      <formula1>INDIRECT("Table_SourceData_Dairy_ProductionSystemTemplates[Area]")</formula1>
    </dataValidation>
    <dataValidation type="list" allowBlank="1" showInputMessage="1" showErrorMessage="1" sqref="D281" xr:uid="{B01F3BD4-1771-450C-8FB3-A3EDDC6D6227}">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FD008-EEA1-4448-8C9F-13F71595D3AB}">
  <sheetPr>
    <tabColor theme="5" tint="-0.249977111117893"/>
  </sheetPr>
  <dimension ref="A1:S195"/>
  <sheetViews>
    <sheetView showGridLines="0" zoomScaleNormal="100" workbookViewId="0">
      <pane xSplit="1" topLeftCell="B1" activePane="topRight" state="frozenSplit"/>
      <selection pane="topRight" activeCell="A67" sqref="A67"/>
    </sheetView>
  </sheetViews>
  <sheetFormatPr defaultColWidth="9" defaultRowHeight="20.100000000000001" customHeight="1" x14ac:dyDescent="0.2"/>
  <cols>
    <col min="1" max="1" width="36.7109375" style="259" customWidth="1"/>
    <col min="2" max="2" width="4.140625" style="259" customWidth="1"/>
    <col min="3" max="3" width="4.140625" style="257" customWidth="1"/>
    <col min="4" max="4" width="41.28515625" style="257" customWidth="1"/>
    <col min="5" max="10" width="26.85546875" style="257" customWidth="1"/>
    <col min="11" max="18" width="30.5703125" style="1" customWidth="1"/>
    <col min="19" max="19" width="4.5703125" style="1" customWidth="1"/>
    <col min="20" max="16384" width="9" style="259"/>
  </cols>
  <sheetData>
    <row r="1" spans="1:19" ht="30" customHeight="1" x14ac:dyDescent="0.35">
      <c r="A1" s="10" t="e" vm="1">
        <v>#VALUE!</v>
      </c>
      <c r="C1" s="27" t="s">
        <v>1193</v>
      </c>
      <c r="D1" s="21"/>
      <c r="E1" s="21"/>
      <c r="F1" s="21"/>
      <c r="G1" s="21"/>
      <c r="H1" s="21"/>
      <c r="I1" s="21"/>
      <c r="J1" s="21"/>
      <c r="K1" s="21"/>
      <c r="L1" s="21"/>
      <c r="M1" s="21"/>
      <c r="N1" s="21"/>
      <c r="O1" s="21"/>
      <c r="P1" s="21"/>
      <c r="Q1" s="21"/>
      <c r="R1" s="21"/>
      <c r="S1" s="21"/>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
      <c r="A4" s="5" t="str">
        <f>HYPERLINK("#'Results - Activity period'!A1", "Results - Activity period")</f>
        <v>Results - Activity period</v>
      </c>
      <c r="C4" s="24"/>
      <c r="D4" s="24"/>
      <c r="E4" s="24"/>
      <c r="F4" s="24"/>
      <c r="G4" s="24"/>
      <c r="H4" s="24"/>
      <c r="I4" s="24"/>
      <c r="J4" s="24"/>
    </row>
    <row r="5" spans="1:19" ht="20.100000000000001" customHeight="1" x14ac:dyDescent="0.2">
      <c r="A5" s="5" t="str">
        <f>HYPERLINK("#'Results - Product EI'!A1", "Results - Product Emissions Intensity")</f>
        <v>Results - Product Emissions Intensity</v>
      </c>
      <c r="C5" s="1"/>
      <c r="D5" s="2" t="s">
        <v>1194</v>
      </c>
      <c r="E5" s="24"/>
      <c r="F5" s="24"/>
      <c r="G5" s="24"/>
      <c r="H5" s="24"/>
      <c r="I5" s="24"/>
      <c r="J5" s="24"/>
    </row>
    <row r="6" spans="1:19" ht="20.100000000000001" customHeight="1" x14ac:dyDescent="0.2">
      <c r="A6" s="5" t="str">
        <f>HYPERLINK("#'Results'!A1", "Results")</f>
        <v>Results</v>
      </c>
      <c r="C6" s="1"/>
    </row>
    <row r="7" spans="1:19" ht="20.100000000000001" customHeight="1" x14ac:dyDescent="0.2">
      <c r="A7"/>
      <c r="C7" s="1"/>
      <c r="D7" s="81" t="s">
        <v>1195</v>
      </c>
      <c r="E7" s="81" t="s">
        <v>1196</v>
      </c>
      <c r="F7" s="81" t="s">
        <v>1197</v>
      </c>
    </row>
    <row r="8" spans="1:19" ht="20.100000000000001" customHeight="1" x14ac:dyDescent="0.2">
      <c r="A8"/>
      <c r="C8" s="1"/>
      <c r="D8" s="33" t="s">
        <v>1198</v>
      </c>
      <c r="E8" s="13" t="s">
        <v>1199</v>
      </c>
      <c r="F8" s="75">
        <v>100</v>
      </c>
    </row>
    <row r="9" spans="1:19" ht="20.100000000000001" customHeight="1" x14ac:dyDescent="0.2">
      <c r="A9" s="7" t="s">
        <v>0</v>
      </c>
      <c r="C9" s="1"/>
      <c r="D9" s="33" t="s">
        <v>1200</v>
      </c>
      <c r="E9" s="97" t="s">
        <v>1201</v>
      </c>
      <c r="F9" s="244">
        <v>100</v>
      </c>
    </row>
    <row r="10" spans="1:19" ht="20.100000000000001" customHeight="1" x14ac:dyDescent="0.2">
      <c r="A10" s="5" t="str">
        <f>HYPERLINK("#'Input - Enterprise'!A1", "Enterprise")</f>
        <v>Enterprise</v>
      </c>
      <c r="D10" s="33" t="s">
        <v>1202</v>
      </c>
      <c r="E10" s="97" t="s">
        <v>1203</v>
      </c>
      <c r="F10" s="244">
        <v>100</v>
      </c>
    </row>
    <row r="11" spans="1:19" ht="20.100000000000001" customHeight="1" x14ac:dyDescent="0.2">
      <c r="A11" s="5" t="str">
        <f>HYPERLINK("#'Input - Site'!A1", "Site")</f>
        <v>Site</v>
      </c>
      <c r="D11" s="33" t="s">
        <v>1202</v>
      </c>
      <c r="E11" s="97" t="s">
        <v>1203</v>
      </c>
      <c r="F11" s="244">
        <v>100</v>
      </c>
    </row>
    <row r="12" spans="1:19" ht="20.100000000000001" customHeight="1" x14ac:dyDescent="0.2">
      <c r="A12" s="5" t="str">
        <f>HYPERLINK("#'Input - Dairy'!A1", "Dairy")</f>
        <v>Dairy</v>
      </c>
      <c r="C12" s="1"/>
      <c r="D12" s="33" t="s">
        <v>1198</v>
      </c>
      <c r="E12" s="97" t="s">
        <v>1199</v>
      </c>
      <c r="F12" s="244">
        <v>100</v>
      </c>
    </row>
    <row r="13" spans="1:19" ht="20.100000000000001" customHeight="1" x14ac:dyDescent="0.2">
      <c r="A13" s="5" t="str">
        <f>HYPERLINK("#'Input - Livestock sales'!A1", "Livestock sales")</f>
        <v>Livestock sales</v>
      </c>
      <c r="C13" s="1"/>
      <c r="D13" s="33" t="s">
        <v>1198</v>
      </c>
      <c r="E13" s="97" t="s">
        <v>1199</v>
      </c>
      <c r="F13" s="244">
        <v>100</v>
      </c>
    </row>
    <row r="14" spans="1:19" ht="20.100000000000001" customHeight="1" x14ac:dyDescent="0.2">
      <c r="A14" s="5" t="str">
        <f>HYPERLINK("#'Input - Dairy cattle purchases'!A1", "Dairy cattle purchases")</f>
        <v>Dairy cattle purchases</v>
      </c>
      <c r="D14" s="33"/>
      <c r="E14" s="13"/>
      <c r="F14" s="75"/>
    </row>
    <row r="15" spans="1:19" ht="20.100000000000001" customHeight="1" x14ac:dyDescent="0.2">
      <c r="A15" s="5" t="str">
        <f>HYPERLINK("#'Input - Pasture'!A1", "Pasture")</f>
        <v>Pasture</v>
      </c>
      <c r="D15" s="33"/>
      <c r="E15" s="13"/>
      <c r="F15" s="75"/>
    </row>
    <row r="16" spans="1:19" ht="20.100000000000001" customHeight="1" x14ac:dyDescent="0.2">
      <c r="A16" s="5" t="str">
        <f>HYPERLINK("#'Input - Fert Prod System'!A1", "Fert Prod System")</f>
        <v>Fert Prod System</v>
      </c>
      <c r="D16" s="33"/>
      <c r="E16" s="13"/>
      <c r="F16" s="75"/>
    </row>
    <row r="17" spans="1:10" ht="20.100000000000001" customHeight="1" x14ac:dyDescent="0.2">
      <c r="A17" s="5" t="str">
        <f>HYPERLINK("#'Input - Fertiliser'!A1", "Fertiliser")</f>
        <v>Fertiliser</v>
      </c>
      <c r="C17" s="1"/>
      <c r="D17" s="33"/>
      <c r="E17" s="13"/>
      <c r="F17" s="75"/>
    </row>
    <row r="18" spans="1:10" ht="20.100000000000001" customHeight="1" x14ac:dyDescent="0.2">
      <c r="A18" s="5" t="str">
        <f>HYPERLINK("#'Input - Fuel'!A1", "Fuel")</f>
        <v>Fuel</v>
      </c>
      <c r="C18" s="1"/>
    </row>
    <row r="19" spans="1:10" ht="20.100000000000001" customHeight="1" x14ac:dyDescent="0.2">
      <c r="A19" s="5" t="str">
        <f>HYPERLINK("#'Input - Electricity'!A1", "Electricity")</f>
        <v>Electricity</v>
      </c>
    </row>
    <row r="20" spans="1:10" ht="20.100000000000001" customHeight="1" x14ac:dyDescent="0.2">
      <c r="A20" s="100" t="str">
        <f>HYPERLINK("#'Input - Common farm inputs'!A1", "Common farm inputs")</f>
        <v>Common farm inputs</v>
      </c>
      <c r="D20" s="2" t="s">
        <v>1204</v>
      </c>
    </row>
    <row r="21" spans="1:10" ht="20.100000000000001" customHeight="1" x14ac:dyDescent="0.2">
      <c r="A21" s="5" t="str">
        <f>HYPERLINK("#'Input - Crop pasture farm input'!A1", "Crop pasture farm input")</f>
        <v>Crop pasture farm input</v>
      </c>
      <c r="D21" s="25"/>
      <c r="I21" s="24"/>
      <c r="J21" s="24"/>
    </row>
    <row r="22" spans="1:10" ht="20.100000000000001" customHeight="1" x14ac:dyDescent="0.2">
      <c r="A22" s="5" t="str">
        <f>HYPERLINK("#'Input - Livestock farm Inputs'!A1", "Livestock farm Inputs")</f>
        <v>Livestock farm Inputs</v>
      </c>
      <c r="D22" s="260" t="s">
        <v>1205</v>
      </c>
      <c r="E22" s="260" t="s">
        <v>1206</v>
      </c>
      <c r="F22" s="260" t="s">
        <v>1207</v>
      </c>
      <c r="G22" s="260" t="s">
        <v>911</v>
      </c>
    </row>
    <row r="23" spans="1:10" ht="20.100000000000001" customHeight="1" x14ac:dyDescent="0.2">
      <c r="A23" s="5" t="str">
        <f>HYPERLINK("#'Input - Freight'!A1", "Freight")</f>
        <v>Freight</v>
      </c>
      <c r="D23" s="33" t="s">
        <v>1208</v>
      </c>
      <c r="E23" s="33" t="s">
        <v>1209</v>
      </c>
      <c r="F23" s="75">
        <v>10000</v>
      </c>
      <c r="G23" s="13" t="s">
        <v>1210</v>
      </c>
    </row>
    <row r="24" spans="1:10" ht="20.100000000000001" customHeight="1" x14ac:dyDescent="0.2">
      <c r="A24" s="5" t="str">
        <f>HYPERLINK("#'Input - Solid waste'!A1", "Solid waste")</f>
        <v>Solid waste</v>
      </c>
      <c r="D24" s="33" t="s">
        <v>1211</v>
      </c>
      <c r="E24" s="33" t="s">
        <v>1212</v>
      </c>
      <c r="F24" s="75">
        <v>1000</v>
      </c>
      <c r="G24" s="13" t="s">
        <v>1213</v>
      </c>
    </row>
    <row r="25" spans="1:10" ht="20.100000000000001" customHeight="1" x14ac:dyDescent="0.2">
      <c r="A25" s="5" t="str">
        <f>HYPERLINK("#'Input - Manure sent off-site'!A1", "Manure sent off-site")</f>
        <v>Manure sent off-site</v>
      </c>
      <c r="C25" s="1"/>
      <c r="D25" s="33"/>
      <c r="E25" s="33"/>
      <c r="F25" s="75"/>
      <c r="G25" s="13"/>
    </row>
    <row r="26" spans="1:10" ht="20.100000000000001" customHeight="1" x14ac:dyDescent="0.2">
      <c r="A26" s="5" t="str">
        <f>HYPERLINK("#'Input - Refrigerants'!A1", "Refrigerants")</f>
        <v>Refrigerants</v>
      </c>
      <c r="C26" s="1"/>
      <c r="D26" s="33"/>
      <c r="E26" s="33"/>
      <c r="F26" s="75"/>
      <c r="G26" s="13"/>
    </row>
    <row r="27" spans="1:10" ht="20.100000000000001" customHeight="1" x14ac:dyDescent="0.2">
      <c r="A27" s="5" t="str">
        <f>HYPERLINK("#'Input - Data quality'!A1", "Data quality")</f>
        <v>Data quality</v>
      </c>
      <c r="C27" s="1"/>
      <c r="D27" s="33"/>
      <c r="E27" s="33"/>
      <c r="F27" s="75"/>
      <c r="G27" s="13"/>
    </row>
    <row r="28" spans="1:10" ht="20.100000000000001" customHeight="1" x14ac:dyDescent="0.2">
      <c r="A28"/>
      <c r="D28" s="33"/>
      <c r="E28" s="33"/>
      <c r="F28" s="75"/>
      <c r="G28" s="13"/>
    </row>
    <row r="29" spans="1:10" ht="20.100000000000001" customHeight="1" x14ac:dyDescent="0.2">
      <c r="A29"/>
      <c r="D29" s="33"/>
      <c r="E29" s="33"/>
      <c r="F29" s="75"/>
      <c r="G29" s="13"/>
    </row>
    <row r="30" spans="1:10" ht="20.100000000000001" customHeight="1" x14ac:dyDescent="0.2">
      <c r="A30" s="6" t="s">
        <v>2</v>
      </c>
      <c r="D30" s="33"/>
      <c r="E30" s="33"/>
      <c r="F30" s="75"/>
      <c r="G30" s="13"/>
    </row>
    <row r="31" spans="1:10" ht="20.100000000000001" customHeight="1" x14ac:dyDescent="0.2">
      <c r="A31" s="5" t="str">
        <f>HYPERLINK("#'3.3.1.1-2 Enteric Methane'!A1", "3.3.1.1-2 Enteric methane")</f>
        <v>3.3.1.1-2 Enteric methane</v>
      </c>
      <c r="D31" s="33"/>
      <c r="E31" s="33"/>
      <c r="F31" s="75"/>
      <c r="G31" s="13"/>
    </row>
    <row r="32" spans="1:10" ht="20.100000000000001" customHeight="1" x14ac:dyDescent="0.2">
      <c r="A32" s="5" t="str">
        <f>HYPERLINK("#'4.3.1.1-2 Methane'!A1", "4.3.1.1-2 Manure methane")</f>
        <v>4.3.1.1-2 Manure methane</v>
      </c>
      <c r="D32" s="33"/>
      <c r="E32" s="33"/>
      <c r="F32" s="75"/>
      <c r="G32" s="13"/>
    </row>
    <row r="33" spans="1:6" ht="20.100000000000001" customHeight="1" x14ac:dyDescent="0.2">
      <c r="A33" s="5" t="str">
        <f>HYPERLINK("#'4.3.1.3-4 Direct N20'!A1", "4.3.1.3-4 Direct N20")</f>
        <v>4.3.1.3-4 Direct N20</v>
      </c>
    </row>
    <row r="34" spans="1:6" ht="20.100000000000001" customHeight="1" x14ac:dyDescent="0.2">
      <c r="A34" s="5" t="str">
        <f>HYPERLINK("#'4.3.1.5 Atmos deposition'!A1", "4.3.1.5 Atmos deposition")</f>
        <v>4.3.1.5 Atmos deposition</v>
      </c>
    </row>
    <row r="35" spans="1:6" ht="20.100000000000001" customHeight="1" x14ac:dyDescent="0.2">
      <c r="A35" s="5" t="str">
        <f>HYPERLINK("#'4.3.1.6-7 Leaching and runoff'!A1", "4.3.1.6-7 Leaching &amp; runoff")</f>
        <v>4.3.1.6-7 Leaching &amp; runoff</v>
      </c>
      <c r="D35" s="2" t="s">
        <v>1214</v>
      </c>
    </row>
    <row r="36" spans="1:6" ht="20.100000000000001" customHeight="1" x14ac:dyDescent="0.2">
      <c r="A36" s="5" t="str">
        <f>HYPERLINK("#'4.3.1.8 Manure applied to soils'!A1", "4.3.1.8 Manure applied to soils")</f>
        <v>4.3.1.8 Manure applied to soils</v>
      </c>
      <c r="D36" s="25"/>
    </row>
    <row r="37" spans="1:6" ht="20.100000000000001" customHeight="1" x14ac:dyDescent="0.2">
      <c r="A37" s="5" t="str">
        <f>HYPERLINK("#'4.3.1.9 Soil direct N2O'!A1", "4.3.1.9 Soil direct N2O")</f>
        <v>4.3.1.9 Soil direct N2O</v>
      </c>
      <c r="D37" s="81" t="s">
        <v>1215</v>
      </c>
      <c r="E37" s="81" t="s">
        <v>1061</v>
      </c>
      <c r="F37" s="81" t="s">
        <v>911</v>
      </c>
    </row>
    <row r="38" spans="1:6" ht="20.100000000000001" customHeight="1" x14ac:dyDescent="0.2">
      <c r="A38" s="5" t="str">
        <f>HYPERLINK("#'4.3.1.10-11 Soil Atmos Dep'!A1", "4.3.1.10-11 Soil Atmos Deposition")</f>
        <v>4.3.1.10-11 Soil Atmos Deposition</v>
      </c>
      <c r="D38" s="33" t="s">
        <v>1216</v>
      </c>
      <c r="E38" s="75">
        <v>1000</v>
      </c>
      <c r="F38" s="33" t="s">
        <v>738</v>
      </c>
    </row>
    <row r="39" spans="1:6" ht="20.100000000000001" customHeight="1" x14ac:dyDescent="0.2">
      <c r="A39" s="5" t="str">
        <f>HYPERLINK("#'4.3.1.12-13 Soil leach runoff'!A1", "4.3.1.12-13 Soil leach &amp; runoff")</f>
        <v>4.3.1.12-13 Soil leach &amp; runoff</v>
      </c>
      <c r="D39" s="33"/>
      <c r="E39" s="75"/>
      <c r="F39" s="33"/>
    </row>
    <row r="40" spans="1:6" ht="20.100000000000001" customHeight="1" x14ac:dyDescent="0.2">
      <c r="A40" s="5" t="str">
        <f>HYPERLINK("#'5.1.1.1-2 Inorganic fert N2O'!A1", "5.1.1.1-2 Inorganic fert N2O")</f>
        <v>5.1.1.1-2 Inorganic fert N2O</v>
      </c>
      <c r="D40" s="33"/>
      <c r="E40" s="75"/>
      <c r="F40" s="33"/>
    </row>
    <row r="41" spans="1:6" ht="20.100000000000001" customHeight="1" x14ac:dyDescent="0.2">
      <c r="A41" s="5" t="str">
        <f>HYPERLINK("#'5.1.1.3-4 Inorganic fert CO2'!A1", "5.1.1.3-4 Inorganic fert CO2")</f>
        <v>5.1.1.3-4 Inorganic fert CO2</v>
      </c>
      <c r="D41" s="33"/>
      <c r="E41" s="75"/>
      <c r="F41" s="33"/>
    </row>
    <row r="42" spans="1:6" ht="20.100000000000001" customHeight="1" x14ac:dyDescent="0.2">
      <c r="A42" s="5" t="str">
        <f>HYPERLINK("#'5.2.1.1-2 Organic Fert N2O'!A1", "5.2.1.1-2 Organic fert N2O")</f>
        <v>5.2.1.1-2 Organic fert N2O</v>
      </c>
      <c r="D42" s="33"/>
      <c r="E42" s="75"/>
      <c r="F42" s="33"/>
    </row>
    <row r="43" spans="1:6" ht="20.100000000000001" customHeight="1" x14ac:dyDescent="0.2">
      <c r="A43" s="5" t="str">
        <f>HYPERLINK("#'5.3.1.1-2 Lime CO2'!A1", "5.3.1.1-2 Lime CO2")</f>
        <v>5.3.1.1-2 Lime CO2</v>
      </c>
      <c r="D43" s="33"/>
      <c r="E43" s="75"/>
      <c r="F43" s="33"/>
    </row>
    <row r="44" spans="1:6" ht="20.100000000000001" customHeight="1" x14ac:dyDescent="0.2">
      <c r="A44" s="5" t="str">
        <f>HYPERLINK("#'5.4.1.1-4 Atmos deposition'!A1", "5.4.1.1-4 Atmos. deposition")</f>
        <v>5.4.1.1-4 Atmos. deposition</v>
      </c>
      <c r="C44" s="1"/>
      <c r="D44" s="33"/>
      <c r="E44" s="75"/>
      <c r="F44" s="33"/>
    </row>
    <row r="45" spans="1:6" ht="20.100000000000001" customHeight="1" x14ac:dyDescent="0.2">
      <c r="A45" s="5" t="str">
        <f>HYPERLINK("#'5.5.1.1-2 Leaching and runoff'!A1", "5.5.1.1-2 Leaching &amp; runoff")</f>
        <v>5.5.1.1-2 Leaching &amp; runoff</v>
      </c>
      <c r="C45" s="1"/>
      <c r="D45" s="33"/>
      <c r="E45" s="75"/>
      <c r="F45" s="33"/>
    </row>
    <row r="46" spans="1:6" ht="20.100000000000001" customHeight="1" x14ac:dyDescent="0.2">
      <c r="A46" s="5" t="str">
        <f>HYPERLINK("#'6.2.1.1-2 Pasture residue N2O'!A1", "6.2.1.1-2 Pasture residue N2O")</f>
        <v>6.2.1.1-2 Pasture residue N2O</v>
      </c>
      <c r="C46" s="1"/>
      <c r="D46" s="33"/>
      <c r="E46" s="75"/>
      <c r="F46" s="33"/>
    </row>
    <row r="47" spans="1:6" ht="20.100000000000001" customHeight="1" x14ac:dyDescent="0.2">
      <c r="A47" s="5" t="str">
        <f>HYPERLINK("#'6.3.1.1-2 Leach runoff pasture'!A1", "6.3.1.1-2 Leach &amp; runoff (pasture)")</f>
        <v>6.3.1.1-2 Leach &amp; runoff (pasture)</v>
      </c>
      <c r="C47" s="1"/>
      <c r="D47" s="33"/>
      <c r="E47" s="75"/>
      <c r="F47" s="33"/>
    </row>
    <row r="48" spans="1:6" ht="20.100000000000001" customHeight="1" x14ac:dyDescent="0.2">
      <c r="A48" s="5" t="str">
        <f>HYPERLINK("#'8.1.1.1-2 Transport fuel'!A1", "8.1.1.1-2 Transport fuel")</f>
        <v>8.1.1.1-2 Transport fuel</v>
      </c>
      <c r="C48" s="1"/>
    </row>
    <row r="49" spans="1:3" ht="20.100000000000001" customHeight="1" x14ac:dyDescent="0.2">
      <c r="A49" s="5" t="str">
        <f>HYPERLINK("#'8.2.1.1-2 Stationary fuel'!A1", "8.2.1.1-2 Stationary fuel")</f>
        <v>8.2.1.1-2 Stationary fuel</v>
      </c>
      <c r="C49" s="1"/>
    </row>
    <row r="50" spans="1:3" ht="20.100000000000001" customHeight="1" x14ac:dyDescent="0.2">
      <c r="A50" s="5" t="str">
        <f>HYPERLINK("#'9.1.1.1-2 Refrigerant use'!A1", "9.1.1.1-2 Refrigerant use")</f>
        <v>9.1.1.1-2 Refrigerant use</v>
      </c>
    </row>
    <row r="51" spans="1:3" ht="20.100000000000001" customHeight="1" x14ac:dyDescent="0.2">
      <c r="A51" s="5" t="str">
        <f>HYPERLINK("#'10.1.1-2 Solid waste treatment'!A1", "10.1.1.1-2 Solid waste")</f>
        <v>10.1.1.1-2 Solid waste</v>
      </c>
    </row>
    <row r="52" spans="1:3" ht="20.100000000000001" customHeight="1" x14ac:dyDescent="0.2">
      <c r="A52" s="5" t="str">
        <f>HYPERLINK("#'14.1.1-2 Purchased electricity'!A1", "14.1.1-2 Purchased electricity")</f>
        <v>14.1.1-2 Purchased electricity</v>
      </c>
    </row>
    <row r="53" spans="1:3" ht="20.100000000000001" customHeight="1" x14ac:dyDescent="0.2">
      <c r="A53" s="5" t="str">
        <f>HYPERLINK("#'15 Scope 3'!A1", "15 Scope 3")</f>
        <v>15 Scope 3</v>
      </c>
    </row>
    <row r="54" spans="1:3" ht="20.100000000000001" customHeight="1" x14ac:dyDescent="0.2">
      <c r="A54" s="5" t="str">
        <f>HYPERLINK("#'Calcs - Manure sent off-site'!A1", "Calcs - Manure sent off-site")</f>
        <v>Calcs - Manure sent off-site</v>
      </c>
    </row>
    <row r="55" spans="1:3" ht="20.100000000000001" customHeight="1" x14ac:dyDescent="0.2">
      <c r="A55"/>
    </row>
    <row r="56" spans="1:3" ht="20.100000000000001" customHeight="1" x14ac:dyDescent="0.2">
      <c r="A56"/>
    </row>
    <row r="57" spans="1:3" ht="20.100000000000001" customHeight="1" x14ac:dyDescent="0.2">
      <c r="A57" s="82" t="s">
        <v>1</v>
      </c>
    </row>
    <row r="58" spans="1:3" ht="20.100000000000001" customHeight="1" x14ac:dyDescent="0.2">
      <c r="A58" s="5" t="str">
        <f>HYPERLINK("#'Constants - Dairy'!A1", "Constants - Dairy")</f>
        <v>Constants - Dairy</v>
      </c>
    </row>
    <row r="59" spans="1:3" ht="20.100000000000001" customHeight="1" x14ac:dyDescent="0.2">
      <c r="A59" s="5" t="str">
        <f>HYPERLINK("#'Constants - Ag Residue'!A1", "Constants - Ag residue")</f>
        <v>Constants - Ag residue</v>
      </c>
    </row>
    <row r="60" spans="1:3" ht="20.100000000000001" customHeight="1" x14ac:dyDescent="0.2">
      <c r="A60" s="5" t="str">
        <f>HYPERLINK("#'Constants - Common Livestock'!A1", "Constants - Common Livestock")</f>
        <v>Constants - Common Livestock</v>
      </c>
    </row>
    <row r="61" spans="1:3" ht="20.100000000000001" customHeight="1" x14ac:dyDescent="0.2">
      <c r="A61" s="5" t="str">
        <f>HYPERLINK("#'Constants - Electricity'!A1", "Constants - Electricity")</f>
        <v>Constants - Electricity</v>
      </c>
    </row>
    <row r="62" spans="1:3" ht="20.100000000000001" customHeight="1" x14ac:dyDescent="0.2">
      <c r="A62" s="5" t="str">
        <f>HYPERLINK("#'Constants - Fertiliser'!A1", "Constants - Fertiliser")</f>
        <v>Constants - Fertiliser</v>
      </c>
    </row>
    <row r="63" spans="1:3" ht="20.100000000000001" customHeight="1" x14ac:dyDescent="0.2">
      <c r="A63" s="5" t="str">
        <f>HYPERLINK("#'Constants - Fuel'!A1", "Constants - Fuel")</f>
        <v>Constants - Fuel</v>
      </c>
    </row>
    <row r="64" spans="1:3" ht="20.100000000000001" customHeight="1" x14ac:dyDescent="0.2">
      <c r="A64" s="5" t="str">
        <f>HYPERLINK("#'Constants - Scope 3'!A1", "Constants - Scope 3")</f>
        <v>Constants - Scope 3</v>
      </c>
    </row>
    <row r="65" spans="1:11" ht="20.100000000000001" customHeight="1" x14ac:dyDescent="0.2">
      <c r="A65" s="5" t="str">
        <f>HYPERLINK("#'Constants - Common'!A1", "Constants - Common")</f>
        <v>Constants - Common</v>
      </c>
    </row>
    <row r="66" spans="1:11" ht="20.100000000000001" customHeight="1" x14ac:dyDescent="0.2">
      <c r="A66" s="5" t="str">
        <f>HYPERLINK("#'Constants - Refrigerants'!A1", "Constants - Refrigerants")</f>
        <v>Constants - Refrigerants</v>
      </c>
    </row>
    <row r="67" spans="1:11" ht="20.100000000000001" customHeight="1" x14ac:dyDescent="0.2">
      <c r="A67" s="5" t="str">
        <f>HYPERLINK("#'Constants - Solid Waste'!A1", "Constants - Solid Waste")</f>
        <v>Constants - Solid Waste</v>
      </c>
    </row>
    <row r="68" spans="1:11" ht="20.100000000000001" customHeight="1" x14ac:dyDescent="0.2">
      <c r="A68" s="5" t="str">
        <f>HYPERLINK("#'Acknowledgements'!A1", "Acknowledgements")</f>
        <v>Acknowledgements</v>
      </c>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57"/>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4"/>
    </row>
    <row r="93" spans="1:10" ht="20.100000000000001" customHeight="1" x14ac:dyDescent="0.2">
      <c r="A93"/>
      <c r="J93" s="24"/>
    </row>
    <row r="94" spans="1:10" ht="20.100000000000001" customHeight="1" x14ac:dyDescent="0.2">
      <c r="A94"/>
      <c r="J94" s="24"/>
    </row>
    <row r="95" spans="1:10" ht="20.100000000000001" customHeight="1" x14ac:dyDescent="0.2">
      <c r="A95"/>
      <c r="J95" s="24"/>
    </row>
    <row r="96" spans="1:10" ht="20.100000000000001" customHeight="1" x14ac:dyDescent="0.2">
      <c r="A96"/>
      <c r="J96" s="24"/>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4"/>
      <c r="M113" s="24"/>
      <c r="N113" s="24"/>
      <c r="O113" s="24"/>
      <c r="P113" s="24"/>
    </row>
    <row r="114" spans="1:16" ht="20.100000000000001" customHeight="1" x14ac:dyDescent="0.2">
      <c r="A114"/>
      <c r="J114" s="1"/>
      <c r="L114" s="24"/>
      <c r="M114" s="24"/>
      <c r="N114" s="24"/>
      <c r="O114" s="24"/>
      <c r="P114" s="24"/>
    </row>
    <row r="115" spans="1:16" ht="20.100000000000001" customHeight="1" x14ac:dyDescent="0.2">
      <c r="A115"/>
      <c r="J115" s="1"/>
      <c r="L115" s="24"/>
      <c r="M115" s="24"/>
      <c r="N115" s="24"/>
      <c r="O115" s="24"/>
      <c r="P115" s="24"/>
    </row>
    <row r="116" spans="1:16" ht="20.100000000000001" customHeight="1" x14ac:dyDescent="0.2">
      <c r="A116"/>
      <c r="I116" s="24"/>
      <c r="J116" s="1"/>
      <c r="N116" s="24"/>
      <c r="O116" s="24"/>
      <c r="P116" s="24"/>
    </row>
    <row r="117" spans="1:16" ht="20.100000000000001" customHeight="1" x14ac:dyDescent="0.2">
      <c r="A117"/>
      <c r="I117" s="24"/>
      <c r="J117" s="1"/>
      <c r="N117" s="24"/>
      <c r="O117" s="24"/>
      <c r="P117" s="24"/>
    </row>
    <row r="118" spans="1:16" ht="20.100000000000001" customHeight="1" x14ac:dyDescent="0.2">
      <c r="A118"/>
      <c r="J118" s="24"/>
      <c r="N118" s="2"/>
      <c r="O118" s="2"/>
      <c r="P118" s="24"/>
    </row>
    <row r="119" spans="1:16" ht="20.100000000000001" customHeight="1" x14ac:dyDescent="0.2">
      <c r="A119"/>
      <c r="J119" s="24"/>
      <c r="P119" s="8"/>
    </row>
    <row r="120" spans="1:16" ht="20.100000000000001" customHeight="1" x14ac:dyDescent="0.2">
      <c r="A120"/>
      <c r="J120" s="24"/>
      <c r="P120" s="8"/>
    </row>
    <row r="121" spans="1:16" ht="20.100000000000001" customHeight="1" x14ac:dyDescent="0.2">
      <c r="A121"/>
      <c r="J121" s="2"/>
      <c r="P121" s="8"/>
    </row>
    <row r="122" spans="1:16" ht="20.100000000000001" customHeight="1" x14ac:dyDescent="0.2">
      <c r="A122"/>
      <c r="G122" s="24"/>
      <c r="H122" s="1"/>
      <c r="J122" s="1"/>
      <c r="P122" s="8"/>
    </row>
    <row r="123" spans="1:16" ht="20.100000000000001" customHeight="1" x14ac:dyDescent="0.2">
      <c r="A123"/>
      <c r="G123" s="24"/>
      <c r="H123" s="1"/>
      <c r="J123" s="1"/>
      <c r="P123" s="8"/>
    </row>
    <row r="124" spans="1:16" ht="20.100000000000001" customHeight="1" x14ac:dyDescent="0.2">
      <c r="A124"/>
      <c r="G124" s="24"/>
      <c r="H124" s="24"/>
      <c r="J124" s="1"/>
      <c r="N124" s="24"/>
      <c r="O124" s="24"/>
      <c r="P124" s="24"/>
    </row>
    <row r="125" spans="1:16" ht="20.100000000000001" customHeight="1" x14ac:dyDescent="0.2">
      <c r="A125"/>
      <c r="G125" s="24"/>
      <c r="H125" s="24"/>
      <c r="I125" s="24"/>
      <c r="J125" s="1"/>
      <c r="N125" s="24"/>
      <c r="O125" s="24"/>
      <c r="P125" s="24"/>
    </row>
    <row r="126" spans="1:16" ht="20.100000000000001" customHeight="1" x14ac:dyDescent="0.2">
      <c r="A126"/>
      <c r="G126" s="24"/>
      <c r="I126" s="24"/>
      <c r="J126" s="1"/>
    </row>
    <row r="127" spans="1:16" ht="20.100000000000001" customHeight="1" x14ac:dyDescent="0.2">
      <c r="A127"/>
      <c r="I127" s="24"/>
      <c r="J127" s="24"/>
    </row>
    <row r="128" spans="1:16" ht="20.100000000000001" customHeight="1" x14ac:dyDescent="0.2">
      <c r="A128"/>
      <c r="I128" s="24"/>
      <c r="J128" s="24"/>
    </row>
    <row r="129" spans="1:13" ht="20.100000000000001" customHeight="1" x14ac:dyDescent="0.2">
      <c r="A129"/>
      <c r="I129" s="24"/>
      <c r="L129" s="24"/>
      <c r="M129" s="24"/>
    </row>
    <row r="130" spans="1:13" ht="20.100000000000001" customHeight="1" x14ac:dyDescent="0.2">
      <c r="A130"/>
      <c r="I130" s="24"/>
      <c r="L130" s="24"/>
      <c r="M130" s="24"/>
    </row>
    <row r="131" spans="1:13" ht="20.100000000000001" customHeight="1" x14ac:dyDescent="0.2">
      <c r="A131"/>
      <c r="G131" s="1"/>
      <c r="I131" s="1"/>
      <c r="L131" s="2"/>
      <c r="M131" s="2"/>
    </row>
    <row r="132" spans="1:13" ht="20.100000000000001" customHeight="1" x14ac:dyDescent="0.2">
      <c r="A132"/>
      <c r="G132" s="24"/>
      <c r="I132" s="1"/>
    </row>
    <row r="133" spans="1:13" ht="20.100000000000001" customHeight="1" x14ac:dyDescent="0.2">
      <c r="A133"/>
      <c r="G133" s="24"/>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4"/>
    </row>
    <row r="137" spans="1:13" ht="20.100000000000001" customHeight="1" x14ac:dyDescent="0.2">
      <c r="A137"/>
      <c r="I137" s="24"/>
      <c r="L137" s="24"/>
      <c r="M137" s="24"/>
    </row>
    <row r="138" spans="1:13" ht="20.100000000000001" customHeight="1" x14ac:dyDescent="0.2">
      <c r="A138"/>
      <c r="L138" s="24"/>
      <c r="M138" s="24"/>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59"/>
    </row>
    <row r="166" spans="1:19" ht="20.100000000000001" customHeight="1" x14ac:dyDescent="0.2">
      <c r="A166"/>
      <c r="S166" s="259"/>
    </row>
    <row r="167" spans="1:19" ht="20.100000000000001" customHeight="1" x14ac:dyDescent="0.2">
      <c r="A167"/>
      <c r="S167" s="259"/>
    </row>
    <row r="168" spans="1:19" ht="20.100000000000001" customHeight="1" x14ac:dyDescent="0.2">
      <c r="A168"/>
      <c r="S168" s="259"/>
    </row>
    <row r="169" spans="1:19" ht="20.100000000000001" customHeight="1" x14ac:dyDescent="0.2">
      <c r="A169"/>
      <c r="S169" s="259"/>
    </row>
    <row r="170" spans="1:19" ht="20.100000000000001" customHeight="1" x14ac:dyDescent="0.2">
      <c r="A170"/>
      <c r="S170" s="259"/>
    </row>
    <row r="171" spans="1:19" ht="20.100000000000001" customHeight="1" x14ac:dyDescent="0.2">
      <c r="A171"/>
      <c r="S171" s="259"/>
    </row>
    <row r="172" spans="1:19" ht="20.100000000000001" customHeight="1" x14ac:dyDescent="0.2">
      <c r="A172"/>
      <c r="S172" s="259"/>
    </row>
    <row r="173" spans="1:19" ht="20.100000000000001" customHeight="1" x14ac:dyDescent="0.2">
      <c r="A173"/>
      <c r="S173" s="259"/>
    </row>
    <row r="174" spans="1:19" ht="20.100000000000001" customHeight="1" x14ac:dyDescent="0.2">
      <c r="A174"/>
      <c r="S174" s="259"/>
    </row>
    <row r="175" spans="1:19" ht="20.100000000000001" customHeight="1" x14ac:dyDescent="0.2">
      <c r="A175"/>
      <c r="S175" s="259"/>
    </row>
    <row r="176" spans="1:19" ht="20.100000000000001" customHeight="1" x14ac:dyDescent="0.2">
      <c r="A176"/>
      <c r="K176" s="24"/>
    </row>
    <row r="177" spans="1:19" ht="20.100000000000001" customHeight="1" x14ac:dyDescent="0.2">
      <c r="A177"/>
      <c r="K177" s="24"/>
    </row>
    <row r="178" spans="1:19" ht="20.100000000000001" customHeight="1" x14ac:dyDescent="0.2">
      <c r="A178"/>
    </row>
    <row r="179" spans="1:19" ht="20.100000000000001" customHeight="1" x14ac:dyDescent="0.2">
      <c r="A179"/>
    </row>
    <row r="180" spans="1:19" ht="20.100000000000001" customHeight="1" x14ac:dyDescent="0.2">
      <c r="A180"/>
      <c r="S180" s="259"/>
    </row>
    <row r="181" spans="1:19" ht="20.100000000000001" customHeight="1" x14ac:dyDescent="0.2">
      <c r="A181"/>
      <c r="S181" s="259"/>
    </row>
    <row r="182" spans="1:19" ht="20.100000000000001" customHeight="1" x14ac:dyDescent="0.2">
      <c r="A182"/>
      <c r="S182" s="259"/>
    </row>
    <row r="183" spans="1:19" ht="20.100000000000001" customHeight="1" x14ac:dyDescent="0.2">
      <c r="A183"/>
      <c r="S183" s="259"/>
    </row>
    <row r="184" spans="1:19" ht="20.100000000000001" customHeight="1" x14ac:dyDescent="0.2">
      <c r="A184"/>
      <c r="S184" s="259"/>
    </row>
    <row r="185" spans="1:19" ht="20.100000000000001" customHeight="1" x14ac:dyDescent="0.2">
      <c r="A185"/>
      <c r="S185" s="259"/>
    </row>
    <row r="186" spans="1:19" ht="20.100000000000001" customHeight="1" x14ac:dyDescent="0.2">
      <c r="A186"/>
      <c r="S186" s="259"/>
    </row>
    <row r="187" spans="1:19" ht="20.100000000000001" customHeight="1" x14ac:dyDescent="0.2">
      <c r="A187"/>
      <c r="S187" s="259"/>
    </row>
    <row r="188" spans="1:19" ht="20.100000000000001" customHeight="1" x14ac:dyDescent="0.2">
      <c r="A188"/>
      <c r="S188" s="259"/>
    </row>
    <row r="189" spans="1:19" ht="20.100000000000001" customHeight="1" x14ac:dyDescent="0.2">
      <c r="A189"/>
      <c r="S189" s="259"/>
    </row>
    <row r="190" spans="1:19" ht="20.100000000000001" customHeight="1" x14ac:dyDescent="0.2">
      <c r="A190"/>
      <c r="S190" s="259"/>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3B572081-EF37-4620-B174-7B8846F2A209}">
      <formula1>INDIRECT("Table_Scope3_AquacultureFeedBait[Feed / Bait ingredient]")</formula1>
    </dataValidation>
    <dataValidation type="list" allowBlank="1" showInputMessage="1" showErrorMessage="1" sqref="G23:G32" xr:uid="{5E4AE332-1DF8-476C-AFD3-94A41464097B}">
      <formula1>"Hour, Hectare"</formula1>
    </dataValidation>
    <dataValidation type="list" allowBlank="1" showInputMessage="1" showErrorMessage="1" sqref="E8:E17" xr:uid="{5E9DB196-039E-4846-8AC1-7AD22019643D}">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0DA0-A116-49E5-A805-ED5FD7987EC7}">
  <sheetPr>
    <tabColor theme="5" tint="-0.249977111117893"/>
  </sheetPr>
  <dimension ref="A1:S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5703125" customWidth="1"/>
    <col min="3" max="3" width="4.5703125" style="1" customWidth="1"/>
    <col min="4" max="18" width="30.5703125" style="1" customWidth="1"/>
    <col min="19" max="19" width="4.5703125" style="1" customWidth="1"/>
  </cols>
  <sheetData>
    <row r="1" spans="1:19" s="10" customFormat="1" ht="30" customHeight="1" x14ac:dyDescent="0.35">
      <c r="C1" s="10" t="s">
        <v>1217</v>
      </c>
    </row>
    <row r="2" spans="1:19" s="3" customFormat="1" ht="20.100000000000001" customHeight="1" x14ac:dyDescent="0.2">
      <c r="A2"/>
    </row>
    <row r="3" spans="1:19" ht="20.100000000000001" customHeight="1" x14ac:dyDescent="0.2">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61" t="s">
        <v>1218</v>
      </c>
      <c r="E5" s="8"/>
      <c r="F5" s="8"/>
      <c r="G5" s="8"/>
      <c r="H5" s="8"/>
      <c r="I5" s="8"/>
      <c r="J5" s="8"/>
    </row>
    <row r="6" spans="1:19" ht="20.100000000000001" customHeight="1" x14ac:dyDescent="0.2">
      <c r="A6" s="5" t="str">
        <f>HYPERLINK("#'Results'!A1", "Results")</f>
        <v>Results</v>
      </c>
      <c r="D6" s="262" t="s">
        <v>1219</v>
      </c>
      <c r="E6" s="262"/>
      <c r="F6" s="140"/>
      <c r="G6" s="44"/>
      <c r="H6" s="24"/>
      <c r="I6" s="24"/>
      <c r="J6" s="24"/>
    </row>
    <row r="7" spans="1:19" ht="20.100000000000001" customHeight="1" x14ac:dyDescent="0.2">
      <c r="D7" s="45" t="s">
        <v>1220</v>
      </c>
      <c r="E7" s="46"/>
      <c r="F7" s="46"/>
      <c r="G7" s="47"/>
      <c r="H7" s="24"/>
      <c r="I7" s="24"/>
      <c r="J7" s="24"/>
    </row>
    <row r="8" spans="1:19" ht="20.100000000000001" customHeight="1" x14ac:dyDescent="0.2">
      <c r="D8" s="8"/>
      <c r="E8" s="8"/>
      <c r="F8" s="8"/>
      <c r="G8" s="8"/>
      <c r="H8" s="8"/>
      <c r="I8" s="8"/>
      <c r="J8" s="8"/>
      <c r="K8" s="79"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79"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79"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ht="20.100000000000001" customHeight="1" x14ac:dyDescent="0.2">
      <c r="A9" s="7" t="s">
        <v>0</v>
      </c>
      <c r="D9" s="148" t="s">
        <v>1195</v>
      </c>
      <c r="E9" s="148" t="s">
        <v>1221</v>
      </c>
      <c r="F9" s="148" t="s">
        <v>1222</v>
      </c>
      <c r="G9" s="148" t="s">
        <v>672</v>
      </c>
      <c r="H9" s="148" t="s">
        <v>1223</v>
      </c>
      <c r="I9" s="148" t="s">
        <v>1224</v>
      </c>
      <c r="J9" s="148" t="s">
        <v>1225</v>
      </c>
      <c r="K9" s="258" t="s">
        <v>1226</v>
      </c>
      <c r="L9" s="258" t="s">
        <v>1227</v>
      </c>
      <c r="M9" s="258" t="s">
        <v>1228</v>
      </c>
      <c r="N9" s="258" t="s">
        <v>1229</v>
      </c>
      <c r="O9" s="258" t="s">
        <v>1230</v>
      </c>
      <c r="P9" s="258" t="s">
        <v>1231</v>
      </c>
      <c r="Q9" s="258" t="s">
        <v>1232</v>
      </c>
      <c r="R9" s="258" t="s">
        <v>1233</v>
      </c>
    </row>
    <row r="10" spans="1:19" ht="20.100000000000001" customHeight="1" x14ac:dyDescent="0.2">
      <c r="A10" s="5" t="str">
        <f>HYPERLINK("#'Input - Enterprise'!A1", "Enterprise")</f>
        <v>Enterprise</v>
      </c>
      <c r="D10" s="263" t="s">
        <v>1234</v>
      </c>
      <c r="E10" s="264">
        <v>10</v>
      </c>
      <c r="F10" s="13" t="s">
        <v>736</v>
      </c>
      <c r="G10" s="75">
        <v>100</v>
      </c>
      <c r="H10" s="15">
        <f>Table_Input_Pesticides[[#This Row],[Amount applied per ha]]*Table_Input_Pesticides[[#This Row],[Application area (ha)]]</f>
        <v>1000</v>
      </c>
      <c r="I10" s="13" t="s">
        <v>1235</v>
      </c>
      <c r="J10" s="13" t="s">
        <v>1236</v>
      </c>
      <c r="K10" s="75">
        <v>100</v>
      </c>
      <c r="L10" s="15">
        <f>Table_Input_Pesticides[[#This Row],[Total applied]]*Table_Input_Pesticides[[#This Row],[Active ingredient 1 amount]]*IF(Table_Input_Pesticides[[#This Row],[Constituent unit (select)]]="fraction of product", 1, 10^-3)</f>
        <v>100</v>
      </c>
      <c r="M10" s="13" t="s">
        <v>1236</v>
      </c>
      <c r="N10" s="75">
        <v>100</v>
      </c>
      <c r="O10" s="15">
        <f>Table_Input_Pesticides[[#This Row],[Total applied]]*Table_Input_Pesticides[[#This Row],[Active ingredient 2 amount]]*IF(Table_Input_Pesticides[[#This Row],[Constituent unit (select)]]="fraction of product", 1, 10^-3)</f>
        <v>100</v>
      </c>
      <c r="P10" s="13" t="s">
        <v>1237</v>
      </c>
      <c r="Q10" s="75">
        <v>100</v>
      </c>
      <c r="R10" s="15">
        <f>Table_Input_Pesticides[[#This Row],[Total applied]]*Table_Input_Pesticides[[#This Row],[Active ingredient 3 amount]]*IF(Table_Input_Pesticides[[#This Row],[Constituent unit (select)]]="fraction of product", 1, 10^-3)</f>
        <v>100</v>
      </c>
    </row>
    <row r="11" spans="1:19" ht="20.100000000000001" customHeight="1" x14ac:dyDescent="0.2">
      <c r="A11" s="5" t="str">
        <f>HYPERLINK("#'Input - Site'!A1", "Site")</f>
        <v>Site</v>
      </c>
      <c r="D11" s="263" t="s">
        <v>1238</v>
      </c>
      <c r="E11" s="264">
        <v>10</v>
      </c>
      <c r="F11" s="13" t="s">
        <v>1239</v>
      </c>
      <c r="G11" s="75">
        <v>100</v>
      </c>
      <c r="H11" s="15">
        <f>Table_Input_Pesticides[[#This Row],[Amount applied per ha]]*Table_Input_Pesticides[[#This Row],[Application area (ha)]]</f>
        <v>1000</v>
      </c>
      <c r="I11" s="13" t="s">
        <v>1235</v>
      </c>
      <c r="J11" s="13" t="s">
        <v>1236</v>
      </c>
      <c r="K11" s="75">
        <v>100</v>
      </c>
      <c r="L11" s="15">
        <f>Table_Input_Pesticides[[#This Row],[Total applied]]*Table_Input_Pesticides[[#This Row],[Active ingredient 1 amount]]*IF(Table_Input_Pesticides[[#This Row],[Constituent unit (select)]]="fraction of product", 1, 10^-3)</f>
        <v>100</v>
      </c>
      <c r="M11" s="13" t="s">
        <v>1240</v>
      </c>
      <c r="N11" s="75">
        <v>100</v>
      </c>
      <c r="O11" s="15">
        <f>Table_Input_Pesticides[[#This Row],[Total applied]]*Table_Input_Pesticides[[#This Row],[Active ingredient 2 amount]]*IF(Table_Input_Pesticides[[#This Row],[Constituent unit (select)]]="fraction of product", 1, 10^-3)</f>
        <v>100</v>
      </c>
      <c r="P11" s="13" t="s">
        <v>1241</v>
      </c>
      <c r="Q11" s="75">
        <v>100</v>
      </c>
      <c r="R11" s="15">
        <f>Table_Input_Pesticides[[#This Row],[Total applied]]*Table_Input_Pesticides[[#This Row],[Active ingredient 3 amount]]*IF(Table_Input_Pesticides[[#This Row],[Constituent unit (select)]]="fraction of product", 1, 10^-3)</f>
        <v>100</v>
      </c>
    </row>
    <row r="12" spans="1:19" ht="20.100000000000001" customHeight="1" x14ac:dyDescent="0.2">
      <c r="A12" s="5" t="str">
        <f>HYPERLINK("#'Input - Dairy'!A1", "Dairy")</f>
        <v>Dairy</v>
      </c>
      <c r="D12" s="263" t="s">
        <v>1242</v>
      </c>
      <c r="E12" s="264">
        <v>10</v>
      </c>
      <c r="F12" s="13" t="s">
        <v>736</v>
      </c>
      <c r="G12" s="75">
        <v>100</v>
      </c>
      <c r="H12" s="15">
        <f>Table_Input_Pesticides[[#This Row],[Amount applied per ha]]*Table_Input_Pesticides[[#This Row],[Application area (ha)]]</f>
        <v>1000</v>
      </c>
      <c r="I12" s="13" t="s">
        <v>1235</v>
      </c>
      <c r="J12" s="13" t="s">
        <v>1236</v>
      </c>
      <c r="K12" s="75">
        <v>100</v>
      </c>
      <c r="L12" s="15">
        <f>Table_Input_Pesticides[[#This Row],[Total applied]]*Table_Input_Pesticides[[#This Row],[Active ingredient 1 amount]]*IF(Table_Input_Pesticides[[#This Row],[Constituent unit (select)]]="fraction of product", 1, 10^-3)</f>
        <v>100</v>
      </c>
      <c r="M12" s="13" t="s">
        <v>1243</v>
      </c>
      <c r="N12" s="75">
        <v>100</v>
      </c>
      <c r="O12" s="15">
        <f>Table_Input_Pesticides[[#This Row],[Total applied]]*Table_Input_Pesticides[[#This Row],[Active ingredient 2 amount]]*IF(Table_Input_Pesticides[[#This Row],[Constituent unit (select)]]="fraction of product", 1, 10^-3)</f>
        <v>100</v>
      </c>
      <c r="P12" s="13" t="s">
        <v>1244</v>
      </c>
      <c r="Q12" s="75">
        <v>100</v>
      </c>
      <c r="R12" s="15">
        <f>Table_Input_Pesticides[[#This Row],[Total applied]]*Table_Input_Pesticides[[#This Row],[Active ingredient 3 amount]]*IF(Table_Input_Pesticides[[#This Row],[Constituent unit (select)]]="fraction of product", 1, 10^-3)</f>
        <v>100</v>
      </c>
    </row>
    <row r="13" spans="1:19" ht="20.100000000000001" customHeight="1" x14ac:dyDescent="0.2">
      <c r="A13" s="5" t="str">
        <f>HYPERLINK("#'Input - Livestock sales'!A1", "Livestock sales")</f>
        <v>Livestock sales</v>
      </c>
      <c r="D13" s="263"/>
      <c r="E13" s="264"/>
      <c r="F13" s="13"/>
      <c r="G13" s="75"/>
      <c r="H13" s="15">
        <f>Table_Input_Pesticides[[#This Row],[Amount applied per ha]]*Table_Input_Pesticides[[#This Row],[Application area (ha)]]</f>
        <v>0</v>
      </c>
      <c r="I13" s="13"/>
      <c r="J13" s="13"/>
      <c r="K13" s="75"/>
      <c r="L13" s="15">
        <f>Table_Input_Pesticides[[#This Row],[Total applied]]*Table_Input_Pesticides[[#This Row],[Active ingredient 1 amount]]*IF(Table_Input_Pesticides[[#This Row],[Constituent unit (select)]]="fraction of product", 1, 10^-3)</f>
        <v>0</v>
      </c>
      <c r="M13" s="13"/>
      <c r="N13" s="75"/>
      <c r="O13" s="15">
        <f>Table_Input_Pesticides[[#This Row],[Total applied]]*Table_Input_Pesticides[[#This Row],[Active ingredient 2 amount]]*IF(Table_Input_Pesticides[[#This Row],[Constituent unit (select)]]="fraction of product", 1, 10^-3)</f>
        <v>0</v>
      </c>
      <c r="P13" s="13"/>
      <c r="Q13" s="75"/>
      <c r="R13" s="15">
        <f>Table_Input_Pesticides[[#This Row],[Total applied]]*Table_Input_Pesticides[[#This Row],[Active ingredient 3 amount]]*IF(Table_Input_Pesticides[[#This Row],[Constituent unit (select)]]="fraction of product", 1, 10^-3)</f>
        <v>0</v>
      </c>
    </row>
    <row r="14" spans="1:19" ht="20.100000000000001" customHeight="1" x14ac:dyDescent="0.2">
      <c r="A14" s="5" t="str">
        <f>HYPERLINK("#'Input - Dairy cattle purchases'!A1", "Dairy cattle purchases")</f>
        <v>Dairy cattle purchases</v>
      </c>
      <c r="D14" s="263"/>
      <c r="E14" s="264"/>
      <c r="F14" s="13"/>
      <c r="G14" s="75"/>
      <c r="H14" s="15">
        <f>Table_Input_Pesticides[[#This Row],[Amount applied per ha]]*Table_Input_Pesticides[[#This Row],[Application area (ha)]]</f>
        <v>0</v>
      </c>
      <c r="I14" s="13"/>
      <c r="J14" s="13"/>
      <c r="K14" s="75"/>
      <c r="L14" s="15">
        <f>Table_Input_Pesticides[[#This Row],[Total applied]]*Table_Input_Pesticides[[#This Row],[Active ingredient 1 amount]]*IF(Table_Input_Pesticides[[#This Row],[Constituent unit (select)]]="fraction of product", 1, 10^-3)</f>
        <v>0</v>
      </c>
      <c r="M14" s="13"/>
      <c r="N14" s="75"/>
      <c r="O14" s="15">
        <f>Table_Input_Pesticides[[#This Row],[Total applied]]*Table_Input_Pesticides[[#This Row],[Active ingredient 2 amount]]*IF(Table_Input_Pesticides[[#This Row],[Constituent unit (select)]]="fraction of product", 1, 10^-3)</f>
        <v>0</v>
      </c>
      <c r="P14" s="13"/>
      <c r="Q14" s="75"/>
      <c r="R14" s="15">
        <f>Table_Input_Pesticides[[#This Row],[Total applied]]*Table_Input_Pesticides[[#This Row],[Active ingredient 3 amount]]*IF(Table_Input_Pesticides[[#This Row],[Constituent unit (select)]]="fraction of product", 1, 10^-3)</f>
        <v>0</v>
      </c>
    </row>
    <row r="15" spans="1:19" ht="20.100000000000001" customHeight="1" x14ac:dyDescent="0.2">
      <c r="A15" s="5" t="str">
        <f>HYPERLINK("#'Input - Pasture'!A1", "Pasture")</f>
        <v>Pasture</v>
      </c>
      <c r="D15" s="263"/>
      <c r="E15" s="264"/>
      <c r="F15" s="13"/>
      <c r="G15" s="75"/>
      <c r="H15" s="15">
        <f>Table_Input_Pesticides[[#This Row],[Amount applied per ha]]*Table_Input_Pesticides[[#This Row],[Application area (ha)]]</f>
        <v>0</v>
      </c>
      <c r="I15" s="13"/>
      <c r="J15" s="13"/>
      <c r="K15" s="75"/>
      <c r="L15" s="15">
        <f>Table_Input_Pesticides[[#This Row],[Total applied]]*Table_Input_Pesticides[[#This Row],[Active ingredient 1 amount]]*IF(Table_Input_Pesticides[[#This Row],[Constituent unit (select)]]="fraction of product", 1, 10^-3)</f>
        <v>0</v>
      </c>
      <c r="M15" s="13"/>
      <c r="N15" s="75"/>
      <c r="O15" s="15">
        <f>Table_Input_Pesticides[[#This Row],[Total applied]]*Table_Input_Pesticides[[#This Row],[Active ingredient 2 amount]]*IF(Table_Input_Pesticides[[#This Row],[Constituent unit (select)]]="fraction of product", 1, 10^-3)</f>
        <v>0</v>
      </c>
      <c r="P15" s="13"/>
      <c r="Q15" s="75"/>
      <c r="R15" s="15">
        <f>Table_Input_Pesticides[[#This Row],[Total applied]]*Table_Input_Pesticides[[#This Row],[Active ingredient 3 amount]]*IF(Table_Input_Pesticides[[#This Row],[Constituent unit (select)]]="fraction of product", 1, 10^-3)</f>
        <v>0</v>
      </c>
    </row>
    <row r="16" spans="1:19" ht="20.100000000000001" customHeight="1" x14ac:dyDescent="0.2">
      <c r="A16" s="5" t="str">
        <f>HYPERLINK("#'Input - Fert Prod System'!A1", "Fert Prod System")</f>
        <v>Fert Prod System</v>
      </c>
      <c r="D16" s="263"/>
      <c r="E16" s="264"/>
      <c r="F16" s="13"/>
      <c r="G16" s="75"/>
      <c r="H16" s="15">
        <f>Table_Input_Pesticides[[#This Row],[Amount applied per ha]]*Table_Input_Pesticides[[#This Row],[Application area (ha)]]</f>
        <v>0</v>
      </c>
      <c r="I16" s="13"/>
      <c r="J16" s="13"/>
      <c r="K16" s="75"/>
      <c r="L16" s="15">
        <f>Table_Input_Pesticides[[#This Row],[Total applied]]*Table_Input_Pesticides[[#This Row],[Active ingredient 1 amount]]*IF(Table_Input_Pesticides[[#This Row],[Constituent unit (select)]]="fraction of product", 1, 10^-3)</f>
        <v>0</v>
      </c>
      <c r="M16" s="13"/>
      <c r="N16" s="75"/>
      <c r="O16" s="15">
        <f>Table_Input_Pesticides[[#This Row],[Total applied]]*Table_Input_Pesticides[[#This Row],[Active ingredient 2 amount]]*IF(Table_Input_Pesticides[[#This Row],[Constituent unit (select)]]="fraction of product", 1, 10^-3)</f>
        <v>0</v>
      </c>
      <c r="P16" s="13"/>
      <c r="Q16" s="75"/>
      <c r="R16" s="15">
        <f>Table_Input_Pesticides[[#This Row],[Total applied]]*Table_Input_Pesticides[[#This Row],[Active ingredient 3 amount]]*IF(Table_Input_Pesticides[[#This Row],[Constituent unit (select)]]="fraction of product", 1, 10^-3)</f>
        <v>0</v>
      </c>
    </row>
    <row r="17" spans="1:18" ht="20.100000000000001" customHeight="1" x14ac:dyDescent="0.2">
      <c r="A17" s="5" t="str">
        <f>HYPERLINK("#'Input - Fertiliser'!A1", "Fertiliser")</f>
        <v>Fertiliser</v>
      </c>
      <c r="D17" s="263"/>
      <c r="E17" s="264"/>
      <c r="F17" s="13"/>
      <c r="G17" s="75"/>
      <c r="H17" s="15">
        <f>Table_Input_Pesticides[[#This Row],[Amount applied per ha]]*Table_Input_Pesticides[[#This Row],[Application area (ha)]]</f>
        <v>0</v>
      </c>
      <c r="I17" s="13"/>
      <c r="J17" s="13"/>
      <c r="K17" s="75"/>
      <c r="L17" s="15">
        <f>Table_Input_Pesticides[[#This Row],[Total applied]]*Table_Input_Pesticides[[#This Row],[Active ingredient 1 amount]]*IF(Table_Input_Pesticides[[#This Row],[Constituent unit (select)]]="fraction of product", 1, 10^-3)</f>
        <v>0</v>
      </c>
      <c r="M17" s="13"/>
      <c r="N17" s="75"/>
      <c r="O17" s="15">
        <f>Table_Input_Pesticides[[#This Row],[Total applied]]*Table_Input_Pesticides[[#This Row],[Active ingredient 2 amount]]*IF(Table_Input_Pesticides[[#This Row],[Constituent unit (select)]]="fraction of product", 1, 10^-3)</f>
        <v>0</v>
      </c>
      <c r="P17" s="13"/>
      <c r="Q17" s="75"/>
      <c r="R17" s="15">
        <f>Table_Input_Pesticides[[#This Row],[Total applied]]*Table_Input_Pesticides[[#This Row],[Active ingredient 3 amount]]*IF(Table_Input_Pesticides[[#This Row],[Constituent unit (select)]]="fraction of product", 1, 10^-3)</f>
        <v>0</v>
      </c>
    </row>
    <row r="18" spans="1:18" ht="20.100000000000001" customHeight="1" x14ac:dyDescent="0.2">
      <c r="A18" s="5" t="str">
        <f>HYPERLINK("#'Input - Fuel'!A1", "Fuel")</f>
        <v>Fuel</v>
      </c>
      <c r="D18" s="263"/>
      <c r="E18" s="264"/>
      <c r="F18" s="13"/>
      <c r="G18" s="75"/>
      <c r="H18" s="15">
        <f>Table_Input_Pesticides[[#This Row],[Amount applied per ha]]*Table_Input_Pesticides[[#This Row],[Application area (ha)]]</f>
        <v>0</v>
      </c>
      <c r="I18" s="13"/>
      <c r="J18" s="13"/>
      <c r="K18" s="75"/>
      <c r="L18" s="15">
        <f>Table_Input_Pesticides[[#This Row],[Total applied]]*Table_Input_Pesticides[[#This Row],[Active ingredient 1 amount]]*IF(Table_Input_Pesticides[[#This Row],[Constituent unit (select)]]="fraction of product", 1, 10^-3)</f>
        <v>0</v>
      </c>
      <c r="M18" s="13"/>
      <c r="N18" s="75"/>
      <c r="O18" s="15">
        <f>Table_Input_Pesticides[[#This Row],[Total applied]]*Table_Input_Pesticides[[#This Row],[Active ingredient 2 amount]]*IF(Table_Input_Pesticides[[#This Row],[Constituent unit (select)]]="fraction of product", 1, 10^-3)</f>
        <v>0</v>
      </c>
      <c r="P18" s="13"/>
      <c r="Q18" s="75"/>
      <c r="R18" s="15">
        <f>Table_Input_Pesticides[[#This Row],[Total applied]]*Table_Input_Pesticides[[#This Row],[Active ingredient 3 amount]]*IF(Table_Input_Pesticides[[#This Row],[Constituent unit (select)]]="fraction of product", 1, 10^-3)</f>
        <v>0</v>
      </c>
    </row>
    <row r="19" spans="1:18" ht="20.100000000000001" customHeight="1" x14ac:dyDescent="0.2">
      <c r="A19" s="5" t="str">
        <f>HYPERLINK("#'Input - Electricity'!A1", "Electricity")</f>
        <v>Electricity</v>
      </c>
      <c r="D19" s="263"/>
      <c r="E19" s="264"/>
      <c r="F19" s="13"/>
      <c r="G19" s="75"/>
      <c r="H19" s="15">
        <f>Table_Input_Pesticides[[#This Row],[Amount applied per ha]]*Table_Input_Pesticides[[#This Row],[Application area (ha)]]</f>
        <v>0</v>
      </c>
      <c r="I19" s="13"/>
      <c r="J19" s="13"/>
      <c r="K19" s="75"/>
      <c r="L19" s="15">
        <f>Table_Input_Pesticides[[#This Row],[Total applied]]*Table_Input_Pesticides[[#This Row],[Active ingredient 1 amount]]*IF(Table_Input_Pesticides[[#This Row],[Constituent unit (select)]]="fraction of product", 1, 10^-3)</f>
        <v>0</v>
      </c>
      <c r="M19" s="13"/>
      <c r="N19" s="75"/>
      <c r="O19" s="15">
        <f>Table_Input_Pesticides[[#This Row],[Total applied]]*Table_Input_Pesticides[[#This Row],[Active ingredient 2 amount]]*IF(Table_Input_Pesticides[[#This Row],[Constituent unit (select)]]="fraction of product", 1, 10^-3)</f>
        <v>0</v>
      </c>
      <c r="P19" s="13"/>
      <c r="Q19" s="75"/>
      <c r="R19" s="15">
        <f>Table_Input_Pesticides[[#This Row],[Total applied]]*Table_Input_Pesticides[[#This Row],[Active ingredient 3 amount]]*IF(Table_Input_Pesticides[[#This Row],[Constituent unit (select)]]="fraction of product", 1, 10^-3)</f>
        <v>0</v>
      </c>
    </row>
    <row r="20" spans="1:18" ht="20.100000000000001" customHeight="1" x14ac:dyDescent="0.2">
      <c r="A20" s="5" t="str">
        <f>HYPERLINK("#'Input - Common farm inputs'!A1", "Common farm inputs")</f>
        <v>Common farm inputs</v>
      </c>
    </row>
    <row r="21" spans="1:18" ht="20.100000000000001" customHeight="1" x14ac:dyDescent="0.2">
      <c r="A21" s="100" t="str">
        <f>HYPERLINK("#'Input - Crop pasture farm input'!A1", "Crop pasture farm input")</f>
        <v>Crop pasture farm input</v>
      </c>
    </row>
    <row r="22" spans="1:18" ht="20.100000000000001" customHeight="1" x14ac:dyDescent="0.2">
      <c r="A22" s="5" t="str">
        <f>HYPERLINK("#'Input - Livestock farm Inputs'!A1", "Livestock farm Inputs")</f>
        <v>Livestock farm Inputs</v>
      </c>
      <c r="D22" s="2" t="s">
        <v>1245</v>
      </c>
      <c r="E22" s="257"/>
      <c r="F22" s="257"/>
    </row>
    <row r="23" spans="1:18" ht="20.100000000000001" customHeight="1" x14ac:dyDescent="0.2">
      <c r="A23" s="5" t="str">
        <f>HYPERLINK("#'Input - Freight'!A1", "Freight")</f>
        <v>Freight</v>
      </c>
      <c r="D23" s="1" t="str">
        <f>'Constants - Scope 3'!E204</f>
        <v>Barley grain (for seed)</v>
      </c>
      <c r="E23" s="75">
        <v>500</v>
      </c>
      <c r="F23" s="16" t="s">
        <v>738</v>
      </c>
    </row>
    <row r="24" spans="1:18" ht="20.100000000000001" customHeight="1" x14ac:dyDescent="0.2">
      <c r="A24" s="5" t="str">
        <f>HYPERLINK("#'Input - Solid waste'!A1", "Solid waste")</f>
        <v>Solid waste</v>
      </c>
      <c r="D24" s="1" t="str">
        <f>'Constants - Scope 3'!E205</f>
        <v>Maize grain (for seed)</v>
      </c>
      <c r="E24" s="75">
        <v>600</v>
      </c>
      <c r="F24" s="16" t="s">
        <v>738</v>
      </c>
    </row>
    <row r="25" spans="1:18" ht="20.100000000000001" customHeight="1" x14ac:dyDescent="0.2">
      <c r="A25" s="5" t="str">
        <f>HYPERLINK("#'Input - Manure sent off-site'!A1", "Manure sent off-site")</f>
        <v>Manure sent off-site</v>
      </c>
      <c r="D25" s="1" t="str">
        <f>'Constants - Scope 3'!E207</f>
        <v>Oat grain (for seed)</v>
      </c>
      <c r="E25" s="75">
        <v>700</v>
      </c>
      <c r="F25" s="16" t="s">
        <v>738</v>
      </c>
    </row>
    <row r="26" spans="1:18" ht="20.100000000000001" customHeight="1" x14ac:dyDescent="0.2">
      <c r="A26" s="5" t="str">
        <f>HYPERLINK("#'Input - Refrigerants'!A1", "Refrigerants")</f>
        <v>Refrigerants</v>
      </c>
      <c r="D26" s="1" t="str">
        <f>'Constants - Scope 3'!E208</f>
        <v>Sorghum grain (for seed)</v>
      </c>
      <c r="E26" s="75">
        <v>800</v>
      </c>
      <c r="F26" s="16" t="s">
        <v>738</v>
      </c>
    </row>
    <row r="27" spans="1:18" ht="20.100000000000001" customHeight="1" x14ac:dyDescent="0.2">
      <c r="A27" s="5" t="str">
        <f>HYPERLINK("#'Input - Data quality'!A1", "Data quality")</f>
        <v>Data quality</v>
      </c>
      <c r="D27" s="1" t="str">
        <f>'Constants - Scope 3'!E209</f>
        <v>Wheat grain (for seed)</v>
      </c>
      <c r="E27" s="75">
        <v>900</v>
      </c>
      <c r="F27" s="16" t="s">
        <v>738</v>
      </c>
    </row>
    <row r="30" spans="1:18" ht="20.100000000000001" customHeight="1" x14ac:dyDescent="0.2">
      <c r="A30" s="6" t="s">
        <v>2</v>
      </c>
    </row>
    <row r="31" spans="1:18" ht="20.100000000000001" customHeight="1" x14ac:dyDescent="0.2">
      <c r="A31" s="5" t="str">
        <f>HYPERLINK("#'3.3.1.1-2 Enteric Methane'!A1", "3.3.1.1-2 Enteric methane")</f>
        <v>3.3.1.1-2 Enteric methane</v>
      </c>
    </row>
    <row r="32" spans="1:18"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5"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dataValidations count="3">
    <dataValidation type="list" allowBlank="1" showInputMessage="1" showErrorMessage="1" sqref="J10:J19 M10:M19 P10:P19" xr:uid="{DA79D6C1-2395-4CA5-BB2A-DB683D020F72}">
      <formula1>INDIRECT("Table_SourceData_Scope3_Pesticides[Product]")</formula1>
    </dataValidation>
    <dataValidation type="list" allowBlank="1" showInputMessage="1" showErrorMessage="1" sqref="I10:I19" xr:uid="{F51CF01F-4A79-455A-ABA9-B156FC38D2D3}">
      <formula1>"grams/litre or grams/kg, fraction of product"</formula1>
    </dataValidation>
    <dataValidation type="list" allowBlank="1" showInputMessage="1" showErrorMessage="1" sqref="F10:F19" xr:uid="{9D1AFD12-9203-47DC-B778-7E742F9239F8}">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D7A98-8E58-4EB6-A04C-3004920A2928}">
  <sheetPr>
    <tabColor theme="5" tint="-0.249977111117893"/>
  </sheetPr>
  <dimension ref="A1:R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 min="18" max="18" width="4.5703125" style="1" customWidth="1"/>
  </cols>
  <sheetData>
    <row r="1" spans="1:18" s="10" customFormat="1" ht="30" customHeight="1" x14ac:dyDescent="0.35">
      <c r="C1" s="10" t="s">
        <v>1246</v>
      </c>
    </row>
    <row r="2" spans="1:18" s="3" customFormat="1" ht="20.100000000000001" customHeight="1" x14ac:dyDescent="0.2">
      <c r="A2"/>
    </row>
    <row r="3" spans="1:18" ht="20.100000000000001" customHeight="1" x14ac:dyDescent="0.2">
      <c r="A3" s="5" t="str">
        <f>HYPERLINK("#'Home'!A1", "Home")</f>
        <v>Home</v>
      </c>
      <c r="C3" s="28"/>
      <c r="D3" s="28"/>
      <c r="E3" s="28"/>
      <c r="F3" s="28"/>
      <c r="G3" s="28"/>
      <c r="H3" s="28"/>
      <c r="I3" s="28"/>
      <c r="J3" s="28"/>
      <c r="K3" s="28"/>
      <c r="L3" s="28"/>
      <c r="M3" s="28"/>
      <c r="N3" s="28"/>
      <c r="O3" s="28"/>
      <c r="P3" s="28"/>
      <c r="Q3" s="28"/>
      <c r="R3" s="28"/>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1247</v>
      </c>
      <c r="E5" s="257"/>
      <c r="F5" s="257"/>
      <c r="G5" s="257"/>
      <c r="H5" s="257"/>
      <c r="I5" s="257"/>
      <c r="J5" s="257"/>
    </row>
    <row r="6" spans="1:18" ht="20.100000000000001" customHeight="1" x14ac:dyDescent="0.2">
      <c r="A6" s="5" t="str">
        <f>HYPERLINK("#'Results'!A1", "Results")</f>
        <v>Results</v>
      </c>
      <c r="D6" s="261" t="s">
        <v>1248</v>
      </c>
      <c r="E6" s="265"/>
      <c r="F6" s="266"/>
      <c r="G6" s="257"/>
      <c r="H6" s="257"/>
      <c r="I6" s="257"/>
      <c r="J6" s="257"/>
    </row>
    <row r="7" spans="1:18" ht="20.100000000000001" customHeight="1" x14ac:dyDescent="0.2">
      <c r="D7" s="1" t="str" cm="1">
        <f t="array" ref="D7:D9">Table_SourceData_Scope3_LickBlocks[Product]</f>
        <v>Lick block, dry season mix</v>
      </c>
      <c r="E7" s="75">
        <v>100</v>
      </c>
      <c r="F7" s="16" t="s">
        <v>738</v>
      </c>
      <c r="G7" s="257"/>
      <c r="H7" s="257"/>
      <c r="I7" s="257"/>
      <c r="J7" s="257"/>
    </row>
    <row r="8" spans="1:18" ht="20.100000000000001" customHeight="1" x14ac:dyDescent="0.2">
      <c r="D8" s="1" t="str">
        <v>Lick block, mineral</v>
      </c>
      <c r="E8" s="75">
        <v>100</v>
      </c>
      <c r="F8" s="16" t="s">
        <v>738</v>
      </c>
      <c r="G8" s="257"/>
      <c r="H8" s="257"/>
      <c r="I8" s="257"/>
      <c r="J8" s="257"/>
    </row>
    <row r="9" spans="1:18" ht="20.100000000000001" customHeight="1" x14ac:dyDescent="0.2">
      <c r="A9" s="7" t="s">
        <v>0</v>
      </c>
      <c r="D9" s="1" t="str">
        <v>Lick block, weaner</v>
      </c>
      <c r="E9" s="75">
        <v>100</v>
      </c>
      <c r="F9" s="16" t="s">
        <v>738</v>
      </c>
      <c r="G9" s="257"/>
      <c r="H9" s="257"/>
      <c r="I9" s="257"/>
      <c r="J9" s="257"/>
    </row>
    <row r="10" spans="1:18" ht="20.100000000000001" customHeight="1" x14ac:dyDescent="0.2">
      <c r="A10" s="5" t="str">
        <f>HYPERLINK("#'Input - Enterprise'!A1", "Enterprise")</f>
        <v>Enterprise</v>
      </c>
      <c r="G10" s="257"/>
      <c r="H10" s="257"/>
      <c r="I10" s="257"/>
      <c r="J10" s="257"/>
    </row>
    <row r="11" spans="1:18" ht="20.100000000000001" customHeight="1" x14ac:dyDescent="0.2">
      <c r="A11" s="5" t="str">
        <f>HYPERLINK("#'Input - Site'!A1", "Site")</f>
        <v>Site</v>
      </c>
      <c r="D11" s="261" t="s">
        <v>1249</v>
      </c>
      <c r="E11" s="24"/>
      <c r="F11" s="24"/>
      <c r="G11" s="257"/>
      <c r="H11" s="257"/>
      <c r="I11" s="257"/>
      <c r="J11" s="257"/>
    </row>
    <row r="12" spans="1:18" ht="20.100000000000001" customHeight="1" x14ac:dyDescent="0.2">
      <c r="A12" s="5" t="str">
        <f>HYPERLINK("#'Input - Dairy'!A1", "Dairy")</f>
        <v>Dairy</v>
      </c>
      <c r="D12" s="1" t="str" cm="1">
        <f t="array" ref="D12:D15">Table_SourceData_Scope3_MixedRations[Product]</f>
        <v>Feed for chickens</v>
      </c>
      <c r="E12" s="75">
        <v>100</v>
      </c>
      <c r="F12" s="16" t="s">
        <v>738</v>
      </c>
      <c r="G12" s="257"/>
      <c r="H12" s="257"/>
      <c r="I12" s="257"/>
      <c r="J12" s="257"/>
    </row>
    <row r="13" spans="1:18" ht="20.100000000000001" customHeight="1" x14ac:dyDescent="0.2">
      <c r="A13" s="5" t="str">
        <f>HYPERLINK("#'Input - Livestock sales'!A1", "Livestock sales")</f>
        <v>Livestock sales</v>
      </c>
      <c r="D13" s="1" t="str">
        <v>Feed for dairy calves</v>
      </c>
      <c r="E13" s="75">
        <v>100</v>
      </c>
      <c r="F13" s="16" t="s">
        <v>738</v>
      </c>
      <c r="G13" s="257"/>
      <c r="H13" s="257"/>
      <c r="I13" s="257"/>
      <c r="J13" s="257"/>
    </row>
    <row r="14" spans="1:18" ht="20.100000000000001" customHeight="1" x14ac:dyDescent="0.2">
      <c r="A14" s="5" t="str">
        <f>HYPERLINK("#'Input - Dairy cattle purchases'!A1", "Dairy cattle purchases")</f>
        <v>Dairy cattle purchases</v>
      </c>
      <c r="D14" s="1" t="str">
        <v>Feed for dairy cows</v>
      </c>
      <c r="E14" s="75">
        <v>100</v>
      </c>
      <c r="F14" s="16" t="s">
        <v>738</v>
      </c>
      <c r="G14" s="257"/>
      <c r="H14" s="257"/>
      <c r="I14" s="257"/>
      <c r="J14" s="257"/>
    </row>
    <row r="15" spans="1:18" ht="20.100000000000001" customHeight="1" x14ac:dyDescent="0.2">
      <c r="A15" s="5" t="str">
        <f>HYPERLINK("#'Input - Pasture'!A1", "Pasture")</f>
        <v>Pasture</v>
      </c>
      <c r="D15" s="1" t="str">
        <v>Feed for pigs</v>
      </c>
      <c r="E15" s="75">
        <v>100</v>
      </c>
      <c r="F15" s="16" t="s">
        <v>738</v>
      </c>
      <c r="G15" s="257"/>
      <c r="H15" s="257"/>
      <c r="I15" s="257"/>
      <c r="J15" s="257"/>
    </row>
    <row r="16" spans="1:18" ht="20.100000000000001" customHeight="1" x14ac:dyDescent="0.2">
      <c r="A16" s="5" t="str">
        <f>HYPERLINK("#'Input - Fert Prod System'!A1", "Fert Prod System")</f>
        <v>Fert Prod System</v>
      </c>
      <c r="D16" s="24"/>
      <c r="E16" s="24"/>
      <c r="F16" s="24"/>
      <c r="G16" s="257"/>
      <c r="H16" s="257"/>
      <c r="I16" s="257"/>
      <c r="J16" s="257"/>
    </row>
    <row r="17" spans="1:17" ht="20.100000000000001" customHeight="1" x14ac:dyDescent="0.2">
      <c r="A17" s="5" t="str">
        <f>HYPERLINK("#'Input - Fertiliser'!A1", "Fertiliser")</f>
        <v>Fertiliser</v>
      </c>
      <c r="D17" s="261" t="s">
        <v>1250</v>
      </c>
      <c r="E17" s="24"/>
      <c r="F17" s="24"/>
      <c r="G17" s="257"/>
      <c r="H17" s="257"/>
      <c r="I17" s="257"/>
      <c r="J17" s="257"/>
    </row>
    <row r="18" spans="1:17" ht="20.100000000000001" customHeight="1" x14ac:dyDescent="0.2">
      <c r="A18" s="5" t="str">
        <f>HYPERLINK("#'Input - Fuel'!A1", "Fuel")</f>
        <v>Fuel</v>
      </c>
      <c r="D18" s="81" t="s">
        <v>1251</v>
      </c>
      <c r="E18" s="81" t="s">
        <v>1252</v>
      </c>
      <c r="F18" s="81" t="s">
        <v>698</v>
      </c>
      <c r="G18" s="81" t="s">
        <v>1253</v>
      </c>
      <c r="H18" s="81" t="s">
        <v>676</v>
      </c>
      <c r="I18" s="81" t="s">
        <v>1254</v>
      </c>
      <c r="J18" s="81" t="s">
        <v>1255</v>
      </c>
      <c r="K18" s="81" t="s">
        <v>678</v>
      </c>
      <c r="L18" s="81" t="s">
        <v>1256</v>
      </c>
      <c r="M18" s="81" t="s">
        <v>1257</v>
      </c>
      <c r="N18" s="81" t="s">
        <v>680</v>
      </c>
      <c r="O18" s="81" t="s">
        <v>1258</v>
      </c>
      <c r="P18" s="81" t="s">
        <v>1259</v>
      </c>
      <c r="Q18" s="202" t="s">
        <v>682</v>
      </c>
    </row>
    <row r="19" spans="1:17" ht="20.100000000000001" customHeight="1" x14ac:dyDescent="0.2">
      <c r="A19" s="5" t="str">
        <f>HYPERLINK("#'Input - Electricity'!A1", "Electricity")</f>
        <v>Electricity</v>
      </c>
      <c r="D19" s="33"/>
      <c r="E19" s="267">
        <v>1200</v>
      </c>
      <c r="F19" s="13" t="s">
        <v>1260</v>
      </c>
      <c r="G19" s="13" t="s">
        <v>634</v>
      </c>
      <c r="H19" s="203">
        <v>0.35</v>
      </c>
      <c r="I19" s="13" t="s">
        <v>1261</v>
      </c>
      <c r="J19" s="13" t="s">
        <v>634</v>
      </c>
      <c r="K19" s="203">
        <v>0.22</v>
      </c>
      <c r="L19" s="13" t="s">
        <v>1262</v>
      </c>
      <c r="M19" s="13" t="s">
        <v>1263</v>
      </c>
      <c r="N19" s="203">
        <v>0.12</v>
      </c>
      <c r="O19" s="13" t="s">
        <v>1264</v>
      </c>
      <c r="P19" s="13" t="s">
        <v>633</v>
      </c>
      <c r="Q19" s="203">
        <v>0.05</v>
      </c>
    </row>
    <row r="20" spans="1:17" ht="20.100000000000001" customHeight="1" x14ac:dyDescent="0.2">
      <c r="A20" s="5" t="str">
        <f>HYPERLINK("#'Input - Common farm inputs'!A1", "Common farm inputs")</f>
        <v>Common farm inputs</v>
      </c>
      <c r="D20" s="33"/>
      <c r="E20" s="267">
        <v>3456</v>
      </c>
      <c r="F20" s="13" t="s">
        <v>1265</v>
      </c>
      <c r="G20" s="13" t="s">
        <v>1263</v>
      </c>
      <c r="H20" s="203">
        <v>0.2</v>
      </c>
      <c r="I20" s="13" t="s">
        <v>1265</v>
      </c>
      <c r="J20" s="13" t="s">
        <v>631</v>
      </c>
      <c r="K20" s="203">
        <v>0.2</v>
      </c>
      <c r="L20" s="13"/>
      <c r="M20" s="13"/>
      <c r="N20" s="203"/>
      <c r="O20" s="13"/>
      <c r="P20" s="13"/>
      <c r="Q20" s="203"/>
    </row>
    <row r="21" spans="1:17" ht="20.100000000000001" customHeight="1" x14ac:dyDescent="0.2">
      <c r="A21" s="5" t="str">
        <f>HYPERLINK("#'Input - Crop pasture farm input'!A1", "Crop pasture farm input")</f>
        <v>Crop pasture farm input</v>
      </c>
      <c r="D21" s="33" t="s">
        <v>1266</v>
      </c>
      <c r="E21" s="267">
        <v>300</v>
      </c>
      <c r="F21" s="13" t="s">
        <v>1267</v>
      </c>
      <c r="G21" s="13" t="s">
        <v>634</v>
      </c>
      <c r="H21" s="203">
        <v>0.8</v>
      </c>
      <c r="I21" s="13" t="s">
        <v>1268</v>
      </c>
      <c r="J21" s="13" t="s">
        <v>1269</v>
      </c>
      <c r="K21" s="203">
        <v>0.2</v>
      </c>
      <c r="L21" s="13"/>
      <c r="M21" s="13"/>
      <c r="N21" s="203"/>
      <c r="O21" s="13"/>
      <c r="P21" s="13"/>
      <c r="Q21" s="203"/>
    </row>
    <row r="22" spans="1:17" ht="20.100000000000001" customHeight="1" x14ac:dyDescent="0.2">
      <c r="A22" s="100" t="str">
        <f>HYPERLINK("#'Input - Livestock farm Inputs'!A1", "Livestock farm Inputs")</f>
        <v>Livestock farm Inputs</v>
      </c>
      <c r="D22" s="33"/>
      <c r="E22" s="267">
        <v>500</v>
      </c>
      <c r="F22" s="13" t="s">
        <v>1270</v>
      </c>
      <c r="G22" s="13" t="s">
        <v>636</v>
      </c>
      <c r="H22" s="203">
        <v>1</v>
      </c>
      <c r="I22" s="13"/>
      <c r="J22" s="13"/>
      <c r="K22" s="203"/>
      <c r="L22" s="13"/>
      <c r="M22" s="13"/>
      <c r="N22" s="203"/>
      <c r="O22" s="13"/>
      <c r="P22" s="13"/>
      <c r="Q22" s="203"/>
    </row>
    <row r="23" spans="1:17" ht="20.100000000000001" customHeight="1" x14ac:dyDescent="0.2">
      <c r="A23" s="5" t="str">
        <f>HYPERLINK("#'Input - Freight'!A1", "Freight")</f>
        <v>Freight</v>
      </c>
      <c r="D23" s="33"/>
      <c r="E23" s="267"/>
      <c r="F23" s="13"/>
      <c r="G23" s="13"/>
      <c r="H23" s="203"/>
      <c r="I23" s="13"/>
      <c r="J23" s="13"/>
      <c r="K23" s="203"/>
      <c r="L23" s="13"/>
      <c r="M23" s="13"/>
      <c r="N23" s="203"/>
      <c r="O23" s="13"/>
      <c r="P23" s="13"/>
      <c r="Q23" s="203"/>
    </row>
    <row r="24" spans="1:17" ht="20.100000000000001" customHeight="1" x14ac:dyDescent="0.2">
      <c r="A24" s="5" t="str">
        <f>HYPERLINK("#'Input - Solid waste'!A1", "Solid waste")</f>
        <v>Solid waste</v>
      </c>
      <c r="D24" s="33"/>
      <c r="E24" s="267"/>
      <c r="F24" s="13"/>
      <c r="G24" s="13"/>
      <c r="H24" s="203"/>
      <c r="I24" s="13"/>
      <c r="J24" s="13"/>
      <c r="K24" s="203"/>
      <c r="L24" s="13"/>
      <c r="M24" s="13"/>
      <c r="N24" s="203"/>
      <c r="O24" s="13"/>
      <c r="P24" s="13"/>
      <c r="Q24" s="203"/>
    </row>
    <row r="25" spans="1:17" ht="20.100000000000001" customHeight="1" x14ac:dyDescent="0.2">
      <c r="A25" s="5" t="str">
        <f>HYPERLINK("#'Input - Manure sent off-site'!A1", "Manure sent off-site")</f>
        <v>Manure sent off-site</v>
      </c>
      <c r="D25" s="33"/>
      <c r="E25" s="267"/>
      <c r="F25" s="13"/>
      <c r="G25" s="13"/>
      <c r="H25" s="203"/>
      <c r="I25" s="13"/>
      <c r="J25" s="13"/>
      <c r="K25" s="203"/>
      <c r="L25" s="13"/>
      <c r="M25" s="13"/>
      <c r="N25" s="203"/>
      <c r="O25" s="13"/>
      <c r="P25" s="13"/>
      <c r="Q25" s="203"/>
    </row>
    <row r="26" spans="1:17" ht="20.100000000000001" customHeight="1" x14ac:dyDescent="0.2">
      <c r="A26" s="5" t="str">
        <f>HYPERLINK("#'Input - Refrigerants'!A1", "Refrigerants")</f>
        <v>Refrigerants</v>
      </c>
      <c r="D26" s="33"/>
      <c r="E26" s="267"/>
      <c r="F26" s="13"/>
      <c r="G26" s="13"/>
      <c r="H26" s="203"/>
      <c r="I26" s="13"/>
      <c r="J26" s="13"/>
      <c r="K26" s="203"/>
      <c r="L26" s="13"/>
      <c r="M26" s="13"/>
      <c r="N26" s="203"/>
      <c r="O26" s="13"/>
      <c r="P26" s="13"/>
      <c r="Q26" s="203"/>
    </row>
    <row r="27" spans="1:17" ht="20.100000000000001" customHeight="1" x14ac:dyDescent="0.2">
      <c r="A27" s="5" t="str">
        <f>HYPERLINK("#'Input - Data quality'!A1", "Data quality")</f>
        <v>Data quality</v>
      </c>
      <c r="D27" s="33"/>
      <c r="E27" s="267"/>
      <c r="F27" s="13"/>
      <c r="G27" s="13"/>
      <c r="H27" s="203"/>
      <c r="I27" s="13"/>
      <c r="J27" s="13"/>
      <c r="K27" s="203"/>
      <c r="L27" s="13"/>
      <c r="M27" s="13"/>
      <c r="N27" s="203"/>
      <c r="O27" s="13"/>
      <c r="P27" s="13"/>
      <c r="Q27" s="203"/>
    </row>
    <row r="28" spans="1:17" ht="20.100000000000001" customHeight="1" x14ac:dyDescent="0.2">
      <c r="D28" s="33"/>
      <c r="E28" s="267"/>
      <c r="F28" s="13"/>
      <c r="G28" s="13"/>
      <c r="H28" s="203"/>
      <c r="I28" s="13"/>
      <c r="J28" s="13"/>
      <c r="K28" s="203"/>
      <c r="L28" s="13"/>
      <c r="M28" s="13"/>
      <c r="N28" s="203"/>
      <c r="O28" s="13"/>
      <c r="P28" s="13"/>
      <c r="Q28" s="203"/>
    </row>
    <row r="30" spans="1:17" ht="20.100000000000001" customHeight="1" x14ac:dyDescent="0.2">
      <c r="A30" s="6" t="s">
        <v>2</v>
      </c>
    </row>
    <row r="31" spans="1:17" ht="20.100000000000001" customHeight="1" x14ac:dyDescent="0.2">
      <c r="A31" s="5" t="str">
        <f>HYPERLINK("#'3.3.1.1-2 Enteric Methane'!A1", "3.3.1.1-2 Enteric methane")</f>
        <v>3.3.1.1-2 Enteric methane</v>
      </c>
      <c r="D31" s="261" t="s">
        <v>1271</v>
      </c>
    </row>
    <row r="32" spans="1:17" ht="20.100000000000001" customHeight="1" x14ac:dyDescent="0.2">
      <c r="A32" s="5" t="str">
        <f>HYPERLINK("#'4.3.1.1-2 Methane'!A1", "4.3.1.1-2 Manure methane")</f>
        <v>4.3.1.1-2 Manure methane</v>
      </c>
      <c r="D32" s="81" t="s">
        <v>1195</v>
      </c>
      <c r="E32" s="81" t="s">
        <v>1196</v>
      </c>
      <c r="F32" s="81" t="s">
        <v>1272</v>
      </c>
    </row>
    <row r="33" spans="1:6" ht="20.100000000000001" customHeight="1" x14ac:dyDescent="0.2">
      <c r="A33" s="5" t="str">
        <f>HYPERLINK("#'4.3.1.3-4 Direct N20'!A1", "4.3.1.3-4 Direct N20")</f>
        <v>4.3.1.3-4 Direct N20</v>
      </c>
      <c r="D33" s="33" t="s">
        <v>1273</v>
      </c>
      <c r="E33" s="150" t="s">
        <v>1274</v>
      </c>
      <c r="F33" s="75">
        <v>100</v>
      </c>
    </row>
    <row r="34" spans="1:6" ht="20.100000000000001" customHeight="1" x14ac:dyDescent="0.2">
      <c r="A34" s="5" t="str">
        <f>HYPERLINK("#'4.3.1.5 Atmos deposition'!A1", "4.3.1.5 Atmos deposition")</f>
        <v>4.3.1.5 Atmos deposition</v>
      </c>
      <c r="D34" s="33" t="s">
        <v>1275</v>
      </c>
      <c r="E34" s="268" t="s">
        <v>1276</v>
      </c>
      <c r="F34" s="244">
        <v>100</v>
      </c>
    </row>
    <row r="35" spans="1:6" ht="20.100000000000001" customHeight="1" x14ac:dyDescent="0.2">
      <c r="A35" s="5" t="str">
        <f>HYPERLINK("#'4.3.1.6-7 Leaching and runoff'!A1", "4.3.1.6-7 Leaching &amp; runoff")</f>
        <v>4.3.1.6-7 Leaching &amp; runoff</v>
      </c>
      <c r="D35" s="33" t="s">
        <v>1277</v>
      </c>
      <c r="E35" s="268" t="s">
        <v>1278</v>
      </c>
      <c r="F35" s="244">
        <v>100</v>
      </c>
    </row>
    <row r="36" spans="1:6" ht="20.100000000000001" customHeight="1" x14ac:dyDescent="0.2">
      <c r="A36" s="5" t="str">
        <f>HYPERLINK("#'4.3.1.8 Manure applied to soils'!A1", "4.3.1.8 Manure applied to soils")</f>
        <v>4.3.1.8 Manure applied to soils</v>
      </c>
      <c r="D36" s="33" t="s">
        <v>1279</v>
      </c>
      <c r="E36" s="268" t="s">
        <v>1280</v>
      </c>
      <c r="F36" s="244">
        <v>100</v>
      </c>
    </row>
    <row r="37" spans="1:6" ht="20.100000000000001" customHeight="1" x14ac:dyDescent="0.2">
      <c r="A37" s="5" t="str">
        <f>HYPERLINK("#'4.3.1.9 Soil direct N2O'!A1", "4.3.1.9 Soil direct N2O")</f>
        <v>4.3.1.9 Soil direct N2O</v>
      </c>
      <c r="D37" s="33" t="s">
        <v>1273</v>
      </c>
      <c r="E37" s="268" t="s">
        <v>1274</v>
      </c>
      <c r="F37" s="244">
        <v>100</v>
      </c>
    </row>
    <row r="38" spans="1:6" ht="20.100000000000001" customHeight="1" x14ac:dyDescent="0.2">
      <c r="A38" s="5" t="str">
        <f>HYPERLINK("#'4.3.1.10-11 Soil Atmos Dep'!A1", "4.3.1.10-11 Soil Atmos Deposition")</f>
        <v>4.3.1.10-11 Soil Atmos Deposition</v>
      </c>
      <c r="D38" s="33" t="s">
        <v>1275</v>
      </c>
      <c r="E38" s="268" t="s">
        <v>1276</v>
      </c>
      <c r="F38" s="244">
        <v>100</v>
      </c>
    </row>
    <row r="39" spans="1:6" ht="20.100000000000001" customHeight="1" x14ac:dyDescent="0.2">
      <c r="A39" s="5" t="str">
        <f>HYPERLINK("#'4.3.1.12-13 Soil leach runoff'!A1", "4.3.1.12-13 Soil leach &amp; runoff")</f>
        <v>4.3.1.12-13 Soil leach &amp; runoff</v>
      </c>
      <c r="D39" s="33"/>
      <c r="E39" s="150"/>
      <c r="F39" s="75"/>
    </row>
    <row r="40" spans="1:6" ht="20.100000000000001" customHeight="1" x14ac:dyDescent="0.2">
      <c r="A40" s="5" t="str">
        <f>HYPERLINK("#'5.1.1.1-2 Inorganic fert N2O'!A1", "5.1.1.1-2 Inorganic fert N2O")</f>
        <v>5.1.1.1-2 Inorganic fert N2O</v>
      </c>
      <c r="D40" s="33"/>
      <c r="E40" s="150"/>
      <c r="F40" s="75"/>
    </row>
    <row r="41" spans="1:6" ht="20.100000000000001" customHeight="1" x14ac:dyDescent="0.2">
      <c r="A41" s="5" t="str">
        <f>HYPERLINK("#'5.1.1.3-4 Inorganic fert CO2'!A1", "5.1.1.3-4 Inorganic fert CO2")</f>
        <v>5.1.1.3-4 Inorganic fert CO2</v>
      </c>
      <c r="D41" s="33"/>
      <c r="E41" s="150"/>
      <c r="F41" s="75"/>
    </row>
    <row r="42" spans="1:6" ht="20.100000000000001" customHeight="1" x14ac:dyDescent="0.2">
      <c r="A42" s="5" t="str">
        <f>HYPERLINK("#'5.2.1.1-2 Organic Fert N2O'!A1", "5.2.1.1-2 Organic fert N2O")</f>
        <v>5.2.1.1-2 Organic fert N2O</v>
      </c>
      <c r="D42" s="33"/>
      <c r="E42" s="150"/>
      <c r="F42" s="75"/>
    </row>
    <row r="43" spans="1:6" ht="20.100000000000001" customHeight="1" x14ac:dyDescent="0.2">
      <c r="A43" s="5" t="str">
        <f>HYPERLINK("#'5.3.1.1-2 Lime CO2'!A1", "5.3.1.1-2 Lime CO2")</f>
        <v>5.3.1.1-2 Lime CO2</v>
      </c>
    </row>
    <row r="44" spans="1:6" ht="20.100000000000001" customHeight="1" x14ac:dyDescent="0.2">
      <c r="A44" s="5" t="str">
        <f>HYPERLINK("#'5.4.1.1-4 Atmos deposition'!A1", "5.4.1.1-4 Atmos. deposition")</f>
        <v>5.4.1.1-4 Atmos. deposition</v>
      </c>
    </row>
    <row r="45" spans="1:6" ht="20.100000000000001" customHeight="1" x14ac:dyDescent="0.2">
      <c r="A45" s="5" t="str">
        <f>HYPERLINK("#'5.5.1.1-2 Leaching and runoff'!A1", "5.5.1.1-2 Leaching &amp; runoff")</f>
        <v>5.5.1.1-2 Leaching &amp; runoff</v>
      </c>
    </row>
    <row r="46" spans="1:6" ht="20.100000000000001" customHeight="1" x14ac:dyDescent="0.2">
      <c r="A46" s="5" t="str">
        <f>HYPERLINK("#'6.2.1.1-2 Pasture residue N2O'!A1", "6.2.1.1-2 Pasture residue N2O")</f>
        <v>6.2.1.1-2 Pasture residue N2O</v>
      </c>
      <c r="D46" s="2" t="s">
        <v>1281</v>
      </c>
      <c r="E46" s="257"/>
      <c r="F46" s="257"/>
    </row>
    <row r="47" spans="1:6" ht="20.100000000000001" customHeight="1" x14ac:dyDescent="0.2">
      <c r="A47" s="5" t="str">
        <f>HYPERLINK("#'6.3.1.1-2 Leach runoff pasture'!A1", "6.3.1.1-2 Leach &amp; runoff (pasture)")</f>
        <v>6.3.1.1-2 Leach &amp; runoff (pasture)</v>
      </c>
      <c r="D47" s="1" t="str">
        <f>'Constants - Scope 3'!E202</f>
        <v>Animal ear tags (large)</v>
      </c>
      <c r="E47" s="75">
        <v>100</v>
      </c>
      <c r="F47" s="16" t="s">
        <v>1282</v>
      </c>
    </row>
    <row r="48" spans="1:6" ht="20.100000000000001" customHeight="1" x14ac:dyDescent="0.2">
      <c r="A48" s="5" t="str">
        <f>HYPERLINK("#'8.1.1.1-2 Transport fuel'!A1", "8.1.1.1-2 Transport fuel")</f>
        <v>8.1.1.1-2 Transport fuel</v>
      </c>
      <c r="D48" s="1" t="str">
        <f>'Constants - Scope 3'!E203</f>
        <v>Animal ear tags (small)</v>
      </c>
      <c r="E48" s="75">
        <v>200</v>
      </c>
      <c r="F48" s="16" t="s">
        <v>1282</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dataValidations count="3">
    <dataValidation type="list" allowBlank="1" showInputMessage="1" showErrorMessage="1" sqref="E33:E42" xr:uid="{312623DC-26BD-4345-AA01-62D435DF197A}">
      <formula1>INDIRECT("Table_SourceData_Scope3_ChemicalsPharmacy[Product]")</formula1>
    </dataValidation>
    <dataValidation type="list" allowBlank="1" showInputMessage="1" showErrorMessage="1" sqref="M19:M28 P19:P28 J19:J28 G19:G28" xr:uid="{1768B88F-2CF8-4FE9-BC4F-4AF83E0C442A}">
      <formula1>INDIRECT("Table_ProductRegions_" &amp; SUBSTITUTE(SUBSTITUTE(SUBSTITUTE(SUBSTITUTE(F19, " ", ""), ",", ""), "(", ""), ")", "") &amp; "[Region]")</formula1>
    </dataValidation>
    <dataValidation type="list" allowBlank="1" showInputMessage="1" showErrorMessage="1" sqref="F19:F28 I19:I28 L19:L28 O19:O28" xr:uid="{301AB0C0-486F-4343-92FE-5EC465F8BBC5}">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E4119-322F-4872-8C1B-C7C1205868A0}">
  <sheetPr>
    <tabColor theme="5" tint="-0.249977111117893"/>
  </sheetPr>
  <dimension ref="A1:J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1283</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row>
    <row r="6" spans="1:10" ht="20.100000000000001" customHeight="1" x14ac:dyDescent="0.2">
      <c r="A6" s="5" t="str">
        <f>HYPERLINK("#'Results'!A1", "Results")</f>
        <v>Results</v>
      </c>
      <c r="D6" s="2" t="s">
        <v>1284</v>
      </c>
    </row>
    <row r="8" spans="1:10" ht="20.100000000000001" customHeight="1" x14ac:dyDescent="0.2">
      <c r="D8" s="19" t="s">
        <v>1285</v>
      </c>
      <c r="E8" s="19" t="s">
        <v>1286</v>
      </c>
      <c r="F8" s="19" t="s">
        <v>1287</v>
      </c>
      <c r="G8" s="19" t="s">
        <v>1288</v>
      </c>
      <c r="H8" s="19" t="s">
        <v>1289</v>
      </c>
    </row>
    <row r="9" spans="1:10" ht="20.100000000000001" customHeight="1" x14ac:dyDescent="0.2">
      <c r="A9" s="7" t="s">
        <v>0</v>
      </c>
      <c r="D9" s="33" t="s">
        <v>1290</v>
      </c>
      <c r="E9" s="13" t="s">
        <v>1291</v>
      </c>
      <c r="F9" s="19">
        <v>986</v>
      </c>
      <c r="G9" s="19">
        <v>10</v>
      </c>
      <c r="H9" s="19">
        <v>52</v>
      </c>
    </row>
    <row r="10" spans="1:10" ht="20.100000000000001" customHeight="1" x14ac:dyDescent="0.2">
      <c r="A10" s="5" t="str">
        <f>HYPERLINK("#'Input - Enterprise'!A1", "Enterprise")</f>
        <v>Enterprise</v>
      </c>
      <c r="D10" s="33" t="s">
        <v>1292</v>
      </c>
      <c r="E10" s="13" t="s">
        <v>1293</v>
      </c>
      <c r="F10" s="19">
        <v>65</v>
      </c>
      <c r="G10" s="19">
        <v>10</v>
      </c>
      <c r="H10" s="19">
        <v>6</v>
      </c>
    </row>
    <row r="11" spans="1:10" ht="20.100000000000001" customHeight="1" x14ac:dyDescent="0.2">
      <c r="A11" s="5" t="str">
        <f>HYPERLINK("#'Input - Site'!A1", "Site")</f>
        <v>Site</v>
      </c>
      <c r="D11" s="33"/>
      <c r="E11" s="13"/>
      <c r="F11" s="19"/>
      <c r="G11" s="19"/>
      <c r="H11" s="19"/>
    </row>
    <row r="12" spans="1:10" ht="20.100000000000001" customHeight="1" x14ac:dyDescent="0.2">
      <c r="A12" s="5" t="str">
        <f>HYPERLINK("#'Input - Dairy'!A1", "Dairy")</f>
        <v>Dairy</v>
      </c>
      <c r="D12" s="33"/>
      <c r="E12" s="13"/>
      <c r="F12" s="19"/>
      <c r="G12" s="19"/>
      <c r="H12" s="19"/>
    </row>
    <row r="13" spans="1:10" ht="20.100000000000001" customHeight="1" x14ac:dyDescent="0.2">
      <c r="A13" s="5" t="str">
        <f>HYPERLINK("#'Input - Livestock sales'!A1", "Livestock sales")</f>
        <v>Livestock sales</v>
      </c>
      <c r="D13" s="33"/>
      <c r="E13" s="13"/>
      <c r="F13" s="19"/>
      <c r="G13" s="19"/>
      <c r="H13" s="19"/>
    </row>
    <row r="14" spans="1:10" ht="20.100000000000001" customHeight="1" x14ac:dyDescent="0.2">
      <c r="A14" s="5" t="str">
        <f>HYPERLINK("#'Input - Dairy cattle purchases'!A1", "Dairy cattle purchases")</f>
        <v>Dairy cattle purchases</v>
      </c>
      <c r="D14" s="33"/>
      <c r="E14" s="13"/>
      <c r="F14" s="19"/>
      <c r="G14" s="19"/>
      <c r="H14" s="19"/>
    </row>
    <row r="15" spans="1:10" ht="20.100000000000001" customHeight="1" x14ac:dyDescent="0.2">
      <c r="A15" s="5" t="str">
        <f>HYPERLINK("#'Input - Pasture'!A1", "Pasture")</f>
        <v>Pasture</v>
      </c>
      <c r="D15" s="33"/>
      <c r="E15" s="13"/>
      <c r="F15" s="19"/>
      <c r="G15" s="19"/>
      <c r="H15" s="19"/>
    </row>
    <row r="16" spans="1:10" ht="20.100000000000001" customHeight="1" x14ac:dyDescent="0.2">
      <c r="A16" s="5" t="str">
        <f>HYPERLINK("#'Input - Fert Prod System'!A1", "Fert Prod System")</f>
        <v>Fert Prod System</v>
      </c>
      <c r="D16" s="33"/>
      <c r="E16" s="13"/>
      <c r="F16" s="19"/>
      <c r="G16" s="19"/>
      <c r="H16" s="19"/>
    </row>
    <row r="17" spans="1:8" ht="20.100000000000001" customHeight="1" x14ac:dyDescent="0.2">
      <c r="A17" s="5" t="str">
        <f>HYPERLINK("#'Input - Fertiliser'!A1", "Fertiliser")</f>
        <v>Fertiliser</v>
      </c>
      <c r="D17" s="33"/>
      <c r="E17" s="13"/>
      <c r="F17" s="19"/>
      <c r="G17" s="19"/>
      <c r="H17" s="19"/>
    </row>
    <row r="18" spans="1:8" ht="20.100000000000001" customHeight="1" x14ac:dyDescent="0.2">
      <c r="A18" s="5" t="str">
        <f>HYPERLINK("#'Input - Fuel'!A1", "Fuel")</f>
        <v>Fuel</v>
      </c>
      <c r="D18" s="33"/>
      <c r="E18" s="13"/>
      <c r="F18" s="19"/>
      <c r="G18" s="19"/>
      <c r="H18" s="19"/>
    </row>
    <row r="19" spans="1:8" ht="20.100000000000001" customHeight="1" x14ac:dyDescent="0.2">
      <c r="A19" s="5" t="str">
        <f>HYPERLINK("#'Input - Electricity'!A1", "Electricity")</f>
        <v>Electricity</v>
      </c>
    </row>
    <row r="20" spans="1:8" ht="20.100000000000001" customHeight="1" x14ac:dyDescent="0.2">
      <c r="A20" s="5" t="str">
        <f>HYPERLINK("#'Input - Common farm inputs'!A1", "Common farm inputs")</f>
        <v>Common farm inputs</v>
      </c>
    </row>
    <row r="21" spans="1:8" ht="20.100000000000001" customHeight="1" x14ac:dyDescent="0.2">
      <c r="A21" s="5" t="str">
        <f>HYPERLINK("#'Input - Crop pasture farm input'!A1", "Crop pasture farm input")</f>
        <v>Crop pasture farm input</v>
      </c>
    </row>
    <row r="22" spans="1:8" ht="20.100000000000001" customHeight="1" x14ac:dyDescent="0.2">
      <c r="A22" s="5" t="str">
        <f>HYPERLINK("#'Input - Livestock farm Inputs'!A1", "Livestock farm Inputs")</f>
        <v>Livestock farm Inputs</v>
      </c>
      <c r="D22" s="2" t="s">
        <v>1294</v>
      </c>
    </row>
    <row r="23" spans="1:8" ht="20.100000000000001" customHeight="1" x14ac:dyDescent="0.2">
      <c r="A23" s="100" t="str">
        <f>HYPERLINK("#'Input - Freight'!A1", "Freight")</f>
        <v>Freight</v>
      </c>
    </row>
    <row r="24" spans="1:8" ht="20.100000000000001" customHeight="1" x14ac:dyDescent="0.2">
      <c r="A24" s="5" t="str">
        <f>HYPERLINK("#'Input - Solid waste'!A1", "Solid waste")</f>
        <v>Solid waste</v>
      </c>
      <c r="D24" s="19" t="s">
        <v>1285</v>
      </c>
      <c r="E24" s="19" t="s">
        <v>1286</v>
      </c>
      <c r="F24" s="19" t="s">
        <v>1287</v>
      </c>
      <c r="G24" s="19" t="s">
        <v>1288</v>
      </c>
      <c r="H24" s="19" t="s">
        <v>1289</v>
      </c>
    </row>
    <row r="25" spans="1:8" ht="20.100000000000001" customHeight="1" x14ac:dyDescent="0.2">
      <c r="A25" s="5" t="str">
        <f>HYPERLINK("#'Input - Manure sent off-site'!A1", "Manure sent off-site")</f>
        <v>Manure sent off-site</v>
      </c>
      <c r="D25" s="33" t="s">
        <v>1295</v>
      </c>
      <c r="E25" s="13" t="s">
        <v>1291</v>
      </c>
      <c r="F25" s="19">
        <v>65</v>
      </c>
      <c r="G25" s="19">
        <v>20</v>
      </c>
      <c r="H25" s="19">
        <v>52</v>
      </c>
    </row>
    <row r="26" spans="1:8" ht="20.100000000000001" customHeight="1" x14ac:dyDescent="0.2">
      <c r="A26" s="5" t="str">
        <f>HYPERLINK("#'Input - Refrigerants'!A1", "Refrigerants")</f>
        <v>Refrigerants</v>
      </c>
      <c r="D26" s="33"/>
      <c r="E26" s="13"/>
      <c r="F26" s="19"/>
      <c r="G26" s="19"/>
      <c r="H26" s="19"/>
    </row>
    <row r="27" spans="1:8" ht="20.100000000000001" customHeight="1" x14ac:dyDescent="0.2">
      <c r="A27" s="5" t="str">
        <f>HYPERLINK("#'Input - Data quality'!A1", "Data quality")</f>
        <v>Data quality</v>
      </c>
      <c r="D27" s="33"/>
      <c r="E27" s="13"/>
      <c r="F27" s="19"/>
      <c r="G27" s="19"/>
      <c r="H27" s="19"/>
    </row>
    <row r="28" spans="1:8" ht="20.100000000000001" customHeight="1" x14ac:dyDescent="0.2">
      <c r="D28" s="33"/>
      <c r="E28" s="13"/>
      <c r="F28" s="19"/>
      <c r="G28" s="19"/>
      <c r="H28" s="19"/>
    </row>
    <row r="29" spans="1:8" ht="20.100000000000001" customHeight="1" x14ac:dyDescent="0.2">
      <c r="D29" s="33"/>
      <c r="E29" s="13"/>
      <c r="F29" s="19"/>
      <c r="G29" s="19"/>
      <c r="H29" s="19"/>
    </row>
    <row r="30" spans="1:8" ht="20.100000000000001" customHeight="1" x14ac:dyDescent="0.2">
      <c r="A30" s="6" t="s">
        <v>2</v>
      </c>
      <c r="D30" s="33"/>
      <c r="E30" s="13"/>
      <c r="F30" s="19"/>
      <c r="G30" s="19"/>
      <c r="H30" s="19"/>
    </row>
    <row r="31" spans="1:8" ht="20.100000000000001" customHeight="1" x14ac:dyDescent="0.2">
      <c r="A31" s="5" t="str">
        <f>HYPERLINK("#'3.3.1.1-2 Enteric Methane'!A1", "3.3.1.1-2 Enteric methane")</f>
        <v>3.3.1.1-2 Enteric methane</v>
      </c>
      <c r="D31" s="33"/>
      <c r="E31" s="13"/>
      <c r="F31" s="19"/>
      <c r="G31" s="19"/>
      <c r="H31" s="19"/>
    </row>
    <row r="32" spans="1:8" ht="20.100000000000001" customHeight="1" x14ac:dyDescent="0.2">
      <c r="A32" s="5" t="str">
        <f>HYPERLINK("#'4.3.1.1-2 Methane'!A1", "4.3.1.1-2 Manure methane")</f>
        <v>4.3.1.1-2 Manure methane</v>
      </c>
      <c r="D32" s="33"/>
      <c r="E32" s="13"/>
      <c r="F32" s="19"/>
      <c r="G32" s="19"/>
      <c r="H32" s="19"/>
    </row>
    <row r="33" spans="1:8" ht="20.100000000000001" customHeight="1" x14ac:dyDescent="0.2">
      <c r="A33" s="5" t="str">
        <f>HYPERLINK("#'4.3.1.3-4 Direct N20'!A1", "4.3.1.3-4 Direct N20")</f>
        <v>4.3.1.3-4 Direct N20</v>
      </c>
      <c r="D33" s="33"/>
      <c r="E33" s="13"/>
      <c r="F33" s="19"/>
      <c r="G33" s="19"/>
      <c r="H33" s="19"/>
    </row>
    <row r="34" spans="1:8" ht="20.100000000000001" customHeight="1" x14ac:dyDescent="0.2">
      <c r="A34" s="5" t="str">
        <f>HYPERLINK("#'4.3.1.5 Atmos deposition'!A1", "4.3.1.5 Atmos deposition")</f>
        <v>4.3.1.5 Atmos deposition</v>
      </c>
      <c r="D34" s="33"/>
      <c r="E34" s="13"/>
      <c r="F34" s="19"/>
      <c r="G34" s="19"/>
      <c r="H34" s="19"/>
    </row>
    <row r="35" spans="1:8" ht="20.100000000000001" customHeight="1" x14ac:dyDescent="0.2">
      <c r="A35" s="5" t="str">
        <f>HYPERLINK("#'4.3.1.6-7 Leaching and runoff'!A1", "4.3.1.6-7 Leaching &amp; runoff")</f>
        <v>4.3.1.6-7 Leaching &amp; runoff</v>
      </c>
    </row>
    <row r="36" spans="1:8" ht="20.100000000000001" customHeight="1" x14ac:dyDescent="0.2">
      <c r="A36" s="5" t="str">
        <f>HYPERLINK("#'4.3.1.8 Manure applied to soils'!A1", "4.3.1.8 Manure applied to soils")</f>
        <v>4.3.1.8 Manure applied to soils</v>
      </c>
    </row>
    <row r="37" spans="1:8" ht="20.100000000000001" customHeight="1" x14ac:dyDescent="0.2">
      <c r="A37" s="5" t="str">
        <f>HYPERLINK("#'4.3.1.9 Soil direct N2O'!A1", "4.3.1.9 Soil direct N2O")</f>
        <v>4.3.1.9 Soil direct N2O</v>
      </c>
    </row>
    <row r="38" spans="1:8" ht="20.100000000000001" customHeight="1" x14ac:dyDescent="0.2">
      <c r="A38" s="5" t="str">
        <f>HYPERLINK("#'4.3.1.10-11 Soil Atmos Dep'!A1", "4.3.1.10-11 Soil Atmos Deposition")</f>
        <v>4.3.1.10-11 Soil Atmos Deposition</v>
      </c>
    </row>
    <row r="39" spans="1:8" ht="20.100000000000001" customHeight="1" x14ac:dyDescent="0.2">
      <c r="A39" s="5" t="str">
        <f>HYPERLINK("#'4.3.1.12-13 Soil leach runoff'!A1", "4.3.1.12-13 Soil leach &amp; runoff")</f>
        <v>4.3.1.12-13 Soil leach &amp; runoff</v>
      </c>
    </row>
    <row r="40" spans="1:8" ht="20.100000000000001" customHeight="1" x14ac:dyDescent="0.2">
      <c r="A40" s="5" t="str">
        <f>HYPERLINK("#'5.1.1.1-2 Inorganic fert N2O'!A1", "5.1.1.1-2 Inorganic fert N2O")</f>
        <v>5.1.1.1-2 Inorganic fert N2O</v>
      </c>
    </row>
    <row r="41" spans="1:8" ht="20.100000000000001" customHeight="1" x14ac:dyDescent="0.2">
      <c r="A41" s="5" t="str">
        <f>HYPERLINK("#'5.1.1.3-4 Inorganic fert CO2'!A1", "5.1.1.3-4 Inorganic fert CO2")</f>
        <v>5.1.1.3-4 Inorganic fert CO2</v>
      </c>
    </row>
    <row r="42" spans="1:8" ht="20.100000000000001" customHeight="1" x14ac:dyDescent="0.2">
      <c r="A42" s="5" t="str">
        <f>HYPERLINK("#'5.2.1.1-2 Organic Fert N2O'!A1", "5.2.1.1-2 Organic fert N2O")</f>
        <v>5.2.1.1-2 Organic fert N2O</v>
      </c>
    </row>
    <row r="43" spans="1:8" ht="20.100000000000001" customHeight="1" x14ac:dyDescent="0.2">
      <c r="A43" s="5" t="str">
        <f>HYPERLINK("#'5.3.1.1-2 Lime CO2'!A1", "5.3.1.1-2 Lime CO2")</f>
        <v>5.3.1.1-2 Lime CO2</v>
      </c>
    </row>
    <row r="44" spans="1:8" ht="20.100000000000001" customHeight="1" x14ac:dyDescent="0.2">
      <c r="A44" s="5" t="str">
        <f>HYPERLINK("#'5.4.1.1-4 Atmos deposition'!A1", "5.4.1.1-4 Atmos. deposition")</f>
        <v>5.4.1.1-4 Atmos. deposition</v>
      </c>
    </row>
    <row r="45" spans="1:8" ht="20.100000000000001" customHeight="1" x14ac:dyDescent="0.2">
      <c r="A45" s="5" t="str">
        <f>HYPERLINK("#'5.5.1.1-2 Leaching and runoff'!A1", "5.5.1.1-2 Leaching &amp; runoff")</f>
        <v>5.5.1.1-2 Leaching &amp; runoff</v>
      </c>
    </row>
    <row r="46" spans="1:8" ht="20.100000000000001" customHeight="1" x14ac:dyDescent="0.2">
      <c r="A46" s="5" t="str">
        <f>HYPERLINK("#'6.2.1.1-2 Pasture residue N2O'!A1", "6.2.1.1-2 Pasture residue N2O")</f>
        <v>6.2.1.1-2 Pasture residue N2O</v>
      </c>
    </row>
    <row r="47" spans="1:8" ht="20.100000000000001" customHeight="1" x14ac:dyDescent="0.2">
      <c r="A47" s="5" t="str">
        <f>HYPERLINK("#'6.3.1.1-2 Leach runoff pasture'!A1", "6.3.1.1-2 Leach &amp; runoff (pasture)")</f>
        <v>6.3.1.1-2 Leach &amp; runoff (pasture)</v>
      </c>
    </row>
    <row r="48" spans="1:8"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dataValidations count="1">
    <dataValidation type="list" allowBlank="1" showInputMessage="1" showErrorMessage="1" sqref="E9:E18 E25:E34" xr:uid="{1DF4E222-4927-47EE-A09C-128137511E82}">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F3B22-7FCD-4E0B-B228-4CCA0ED122B5}">
  <sheetPr>
    <tabColor theme="5" tint="-0.249977111117893"/>
  </sheetPr>
  <dimension ref="A1:L385"/>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1056</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1057</v>
      </c>
    </row>
    <row r="6" spans="1:10" ht="20.100000000000001" customHeight="1" x14ac:dyDescent="0.2">
      <c r="A6" s="5" t="str">
        <f>HYPERLINK("#'Results'!A1", "Results")</f>
        <v>Results</v>
      </c>
    </row>
    <row r="7" spans="1:10" ht="20.100000000000001" customHeight="1" x14ac:dyDescent="0.2">
      <c r="D7" s="35" t="s">
        <v>874</v>
      </c>
      <c r="E7" s="38"/>
    </row>
    <row r="9" spans="1:10" ht="20.100000000000001" customHeight="1" x14ac:dyDescent="0.2">
      <c r="A9" s="7" t="s">
        <v>0</v>
      </c>
      <c r="D9" s="81" t="s">
        <v>195</v>
      </c>
      <c r="E9" s="81" t="s">
        <v>1058</v>
      </c>
      <c r="F9" s="81" t="s">
        <v>1059</v>
      </c>
      <c r="G9" s="81" t="s">
        <v>1060</v>
      </c>
      <c r="H9" s="81" t="s">
        <v>1061</v>
      </c>
      <c r="I9" s="81" t="s">
        <v>1062</v>
      </c>
    </row>
    <row r="10" spans="1:10" ht="20.100000000000001" customHeight="1" x14ac:dyDescent="0.2">
      <c r="A10" s="5" t="str">
        <f>HYPERLINK("#'Input - Enterprise'!A1", "Enterprise")</f>
        <v>Enterprise</v>
      </c>
      <c r="D10" s="33" t="s">
        <v>1063</v>
      </c>
      <c r="E10" s="13" t="s">
        <v>1064</v>
      </c>
      <c r="F10" s="13" t="s">
        <v>1065</v>
      </c>
      <c r="G10" s="13" t="s">
        <v>1066</v>
      </c>
      <c r="H10" s="75">
        <v>50</v>
      </c>
      <c r="I10" s="13" t="s">
        <v>19</v>
      </c>
    </row>
    <row r="11" spans="1:10" ht="20.100000000000001" customHeight="1" x14ac:dyDescent="0.2">
      <c r="A11" s="5" t="str">
        <f>HYPERLINK("#'Input - Site'!A1", "Site")</f>
        <v>Site</v>
      </c>
      <c r="D11" s="33" t="s">
        <v>1067</v>
      </c>
      <c r="E11" s="13" t="s">
        <v>1064</v>
      </c>
      <c r="F11" s="13" t="s">
        <v>1065</v>
      </c>
      <c r="G11" s="13" t="s">
        <v>1068</v>
      </c>
      <c r="H11" s="75">
        <v>50</v>
      </c>
      <c r="I11" s="13" t="s">
        <v>1069</v>
      </c>
    </row>
    <row r="12" spans="1:10" ht="20.100000000000001" customHeight="1" x14ac:dyDescent="0.2">
      <c r="A12" s="5" t="str">
        <f>HYPERLINK("#'Input - Dairy'!A1", "Dairy")</f>
        <v>Dairy</v>
      </c>
      <c r="D12" s="33" t="s">
        <v>1070</v>
      </c>
      <c r="E12" s="13" t="s">
        <v>1064</v>
      </c>
      <c r="F12" s="13" t="s">
        <v>1071</v>
      </c>
      <c r="G12" s="13" t="s">
        <v>1066</v>
      </c>
      <c r="H12" s="75">
        <v>50</v>
      </c>
      <c r="I12" s="13" t="s">
        <v>19</v>
      </c>
    </row>
    <row r="13" spans="1:10" ht="20.100000000000001" customHeight="1" x14ac:dyDescent="0.2">
      <c r="A13" s="5" t="str">
        <f>HYPERLINK("#'Input - Livestock sales'!A1", "Livestock sales")</f>
        <v>Livestock sales</v>
      </c>
      <c r="D13" s="33" t="s">
        <v>1072</v>
      </c>
      <c r="E13" s="13" t="s">
        <v>1064</v>
      </c>
      <c r="F13" s="13" t="s">
        <v>1071</v>
      </c>
      <c r="G13" s="13" t="s">
        <v>1068</v>
      </c>
      <c r="H13" s="75">
        <v>50</v>
      </c>
      <c r="I13" s="13" t="s">
        <v>1069</v>
      </c>
    </row>
    <row r="14" spans="1:10" ht="20.100000000000001" customHeight="1" x14ac:dyDescent="0.2">
      <c r="A14" s="5" t="str">
        <f>HYPERLINK("#'Input - Dairy cattle purchases'!A1", "Dairy cattle purchases")</f>
        <v>Dairy cattle purchases</v>
      </c>
      <c r="D14" s="33" t="s">
        <v>1073</v>
      </c>
      <c r="E14" s="13" t="s">
        <v>1074</v>
      </c>
      <c r="F14" s="13" t="s">
        <v>1071</v>
      </c>
      <c r="G14" s="13" t="s">
        <v>1066</v>
      </c>
      <c r="H14" s="75">
        <v>50</v>
      </c>
      <c r="I14" s="13" t="s">
        <v>19</v>
      </c>
    </row>
    <row r="15" spans="1:10" ht="20.100000000000001" customHeight="1" x14ac:dyDescent="0.2">
      <c r="A15" s="5" t="str">
        <f>HYPERLINK("#'Input - Pasture'!A1", "Pasture")</f>
        <v>Pasture</v>
      </c>
      <c r="D15" s="33" t="s">
        <v>1075</v>
      </c>
      <c r="E15" s="13" t="s">
        <v>1074</v>
      </c>
      <c r="F15" s="13" t="s">
        <v>1071</v>
      </c>
      <c r="G15" s="13" t="s">
        <v>1066</v>
      </c>
      <c r="H15" s="75">
        <v>50</v>
      </c>
      <c r="I15" s="13" t="s">
        <v>1069</v>
      </c>
    </row>
    <row r="16" spans="1:10" ht="20.100000000000001" customHeight="1" x14ac:dyDescent="0.2">
      <c r="A16" s="5" t="str">
        <f>HYPERLINK("#'Input - Fert Prod System'!A1", "Fert Prod System")</f>
        <v>Fert Prod System</v>
      </c>
      <c r="D16" s="33" t="s">
        <v>1076</v>
      </c>
      <c r="E16" s="13" t="s">
        <v>1074</v>
      </c>
      <c r="F16" s="13" t="s">
        <v>1071</v>
      </c>
      <c r="G16" s="13" t="s">
        <v>1068</v>
      </c>
      <c r="H16" s="75">
        <v>50</v>
      </c>
      <c r="I16" s="13" t="s">
        <v>19</v>
      </c>
    </row>
    <row r="17" spans="1:11" ht="20.100000000000001" customHeight="1" x14ac:dyDescent="0.2">
      <c r="A17" s="5" t="str">
        <f>HYPERLINK("#'Input - Fertiliser'!A1", "Fertiliser")</f>
        <v>Fertiliser</v>
      </c>
      <c r="D17" s="33" t="s">
        <v>1077</v>
      </c>
      <c r="E17" s="13" t="s">
        <v>1074</v>
      </c>
      <c r="F17" s="13" t="s">
        <v>1071</v>
      </c>
      <c r="G17" s="13" t="s">
        <v>1068</v>
      </c>
      <c r="H17" s="75">
        <v>50</v>
      </c>
      <c r="I17" s="13" t="s">
        <v>1069</v>
      </c>
    </row>
    <row r="18" spans="1:11" ht="20.100000000000001" customHeight="1" x14ac:dyDescent="0.2">
      <c r="A18" s="5" t="str">
        <f>HYPERLINK("#'Input - Fuel'!A1", "Fuel")</f>
        <v>Fuel</v>
      </c>
      <c r="D18" s="33" t="s">
        <v>1078</v>
      </c>
      <c r="E18" s="13" t="s">
        <v>1074</v>
      </c>
      <c r="F18" s="13" t="s">
        <v>1065</v>
      </c>
      <c r="G18" s="13" t="s">
        <v>1066</v>
      </c>
      <c r="H18" s="75">
        <v>50</v>
      </c>
      <c r="I18" s="13" t="s">
        <v>19</v>
      </c>
    </row>
    <row r="19" spans="1:11" ht="20.100000000000001" customHeight="1" x14ac:dyDescent="0.2">
      <c r="A19" s="5" t="str">
        <f>HYPERLINK("#'Input - Electricity'!A1", "Electricity")</f>
        <v>Electricity</v>
      </c>
      <c r="D19" s="33" t="s">
        <v>1079</v>
      </c>
      <c r="E19" s="13" t="s">
        <v>1074</v>
      </c>
      <c r="F19" s="13" t="s">
        <v>1065</v>
      </c>
      <c r="G19" s="13" t="s">
        <v>1066</v>
      </c>
      <c r="H19" s="75">
        <v>50</v>
      </c>
      <c r="I19" s="13" t="s">
        <v>1069</v>
      </c>
    </row>
    <row r="20" spans="1:11" ht="20.100000000000001" customHeight="1" x14ac:dyDescent="0.2">
      <c r="A20" s="5" t="str">
        <f>HYPERLINK("#'Input - Common farm inputs'!A1", "Common farm inputs")</f>
        <v>Common farm inputs</v>
      </c>
      <c r="D20" s="33" t="s">
        <v>1080</v>
      </c>
      <c r="E20" s="13" t="s">
        <v>1074</v>
      </c>
      <c r="F20" s="13" t="s">
        <v>1065</v>
      </c>
      <c r="G20" s="13" t="s">
        <v>1068</v>
      </c>
      <c r="H20" s="75">
        <v>50</v>
      </c>
      <c r="I20" s="13" t="s">
        <v>19</v>
      </c>
    </row>
    <row r="21" spans="1:11" ht="20.100000000000001" customHeight="1" x14ac:dyDescent="0.2">
      <c r="A21" s="5" t="str">
        <f>HYPERLINK("#'Input - Crop pasture farm input'!A1", "Crop pasture farm input")</f>
        <v>Crop pasture farm input</v>
      </c>
      <c r="D21" s="33" t="s">
        <v>1081</v>
      </c>
      <c r="E21" s="13" t="s">
        <v>1074</v>
      </c>
      <c r="F21" s="13" t="s">
        <v>1065</v>
      </c>
      <c r="G21" s="13" t="s">
        <v>1068</v>
      </c>
      <c r="H21" s="75">
        <v>50</v>
      </c>
      <c r="I21" s="13" t="s">
        <v>1069</v>
      </c>
    </row>
    <row r="22" spans="1:11" ht="20.100000000000001" customHeight="1" x14ac:dyDescent="0.2">
      <c r="A22" s="5" t="str">
        <f>HYPERLINK("#'Input - Livestock farm Inputs'!A1", "Livestock farm Inputs")</f>
        <v>Livestock farm Inputs</v>
      </c>
      <c r="D22" s="33" t="s">
        <v>1082</v>
      </c>
      <c r="E22" s="13" t="s">
        <v>1074</v>
      </c>
      <c r="F22" s="13" t="s">
        <v>1083</v>
      </c>
      <c r="G22" s="13" t="s">
        <v>1066</v>
      </c>
      <c r="H22" s="75">
        <v>50</v>
      </c>
      <c r="I22" s="13" t="s">
        <v>19</v>
      </c>
    </row>
    <row r="23" spans="1:11" ht="20.100000000000001" customHeight="1" x14ac:dyDescent="0.2">
      <c r="A23" s="5" t="str">
        <f>HYPERLINK("#'Input - Freight'!A1", "Freight")</f>
        <v>Freight</v>
      </c>
      <c r="D23" s="33" t="s">
        <v>1084</v>
      </c>
      <c r="E23" s="13" t="s">
        <v>1074</v>
      </c>
      <c r="F23" s="13" t="s">
        <v>1083</v>
      </c>
      <c r="G23" s="13" t="s">
        <v>1066</v>
      </c>
      <c r="H23" s="75">
        <v>50</v>
      </c>
      <c r="I23" s="13" t="s">
        <v>1069</v>
      </c>
    </row>
    <row r="24" spans="1:11" ht="20.100000000000001" customHeight="1" x14ac:dyDescent="0.2">
      <c r="A24" s="100" t="str">
        <f>HYPERLINK("#'Input - Solid waste'!A1", "Solid waste")</f>
        <v>Solid waste</v>
      </c>
      <c r="D24" s="33" t="s">
        <v>1085</v>
      </c>
      <c r="E24" s="13" t="s">
        <v>1074</v>
      </c>
      <c r="F24" s="13" t="s">
        <v>1083</v>
      </c>
      <c r="G24" s="13" t="s">
        <v>1068</v>
      </c>
      <c r="H24" s="75">
        <v>50</v>
      </c>
      <c r="I24" s="13" t="s">
        <v>19</v>
      </c>
    </row>
    <row r="25" spans="1:11" ht="20.100000000000001" customHeight="1" x14ac:dyDescent="0.2">
      <c r="A25" s="5" t="str">
        <f>HYPERLINK("#'Input - Manure sent off-site'!A1", "Manure sent off-site")</f>
        <v>Manure sent off-site</v>
      </c>
      <c r="D25" s="33" t="s">
        <v>1086</v>
      </c>
      <c r="E25" s="13" t="s">
        <v>1074</v>
      </c>
      <c r="F25" s="13" t="s">
        <v>1083</v>
      </c>
      <c r="G25" s="13" t="s">
        <v>1068</v>
      </c>
      <c r="H25" s="75">
        <v>50</v>
      </c>
      <c r="I25" s="13" t="s">
        <v>1069</v>
      </c>
    </row>
    <row r="26" spans="1:11" ht="20.100000000000001" customHeight="1" x14ac:dyDescent="0.2">
      <c r="A26" s="5" t="str">
        <f>HYPERLINK("#'Input - Refrigerants'!A1", "Refrigerants")</f>
        <v>Refrigerants</v>
      </c>
      <c r="D26" s="33" t="s">
        <v>1087</v>
      </c>
      <c r="E26" s="13" t="s">
        <v>1088</v>
      </c>
      <c r="F26" s="13" t="s">
        <v>1065</v>
      </c>
      <c r="G26" s="13" t="s">
        <v>1068</v>
      </c>
      <c r="H26" s="75">
        <v>50</v>
      </c>
      <c r="I26" s="13" t="s">
        <v>19</v>
      </c>
    </row>
    <row r="27" spans="1:11" ht="20.100000000000001" customHeight="1" x14ac:dyDescent="0.2">
      <c r="A27" s="5" t="str">
        <f>HYPERLINK("#'Input - Data quality'!A1", "Data quality")</f>
        <v>Data quality</v>
      </c>
      <c r="D27" s="33" t="s">
        <v>1089</v>
      </c>
      <c r="E27" s="13" t="s">
        <v>1088</v>
      </c>
      <c r="F27" s="13" t="s">
        <v>1065</v>
      </c>
      <c r="G27" s="13" t="s">
        <v>1068</v>
      </c>
      <c r="H27" s="75">
        <v>50</v>
      </c>
      <c r="I27" s="13" t="s">
        <v>1069</v>
      </c>
    </row>
    <row r="28" spans="1:11" ht="20.100000000000001" customHeight="1" x14ac:dyDescent="0.2">
      <c r="D28" s="33" t="s">
        <v>1090</v>
      </c>
      <c r="E28" s="13" t="s">
        <v>1088</v>
      </c>
      <c r="F28" s="13" t="s">
        <v>1083</v>
      </c>
      <c r="G28" s="13" t="s">
        <v>1068</v>
      </c>
      <c r="H28" s="75">
        <v>50</v>
      </c>
      <c r="I28" s="13" t="s">
        <v>19</v>
      </c>
    </row>
    <row r="29" spans="1:11" ht="20.100000000000001" customHeight="1" x14ac:dyDescent="0.2">
      <c r="D29" s="33" t="s">
        <v>1091</v>
      </c>
      <c r="E29" s="13" t="s">
        <v>1088</v>
      </c>
      <c r="F29" s="13" t="s">
        <v>1083</v>
      </c>
      <c r="G29" s="13" t="s">
        <v>1068</v>
      </c>
      <c r="H29" s="75">
        <v>50</v>
      </c>
      <c r="I29" s="13" t="s">
        <v>1069</v>
      </c>
      <c r="K29" s="172"/>
    </row>
    <row r="30" spans="1:11" ht="20.100000000000001" customHeight="1" x14ac:dyDescent="0.2">
      <c r="A30" s="6" t="s">
        <v>2</v>
      </c>
      <c r="D30" s="33" t="s">
        <v>1092</v>
      </c>
      <c r="E30" s="13" t="s">
        <v>1088</v>
      </c>
      <c r="F30" s="13" t="s">
        <v>1083</v>
      </c>
      <c r="G30" s="13" t="s">
        <v>1066</v>
      </c>
      <c r="H30" s="75">
        <v>50</v>
      </c>
      <c r="I30" s="13" t="s">
        <v>19</v>
      </c>
      <c r="K30" s="172"/>
    </row>
    <row r="31" spans="1:11" ht="20.100000000000001" customHeight="1" x14ac:dyDescent="0.2">
      <c r="A31" s="5" t="str">
        <f>HYPERLINK("#'3.3.1.1-2 Enteric Methane'!A1", "3.3.1.1-2 Enteric methane")</f>
        <v>3.3.1.1-2 Enteric methane</v>
      </c>
      <c r="D31" s="33" t="s">
        <v>1093</v>
      </c>
      <c r="E31" s="13" t="s">
        <v>1088</v>
      </c>
      <c r="F31" s="13" t="s">
        <v>1083</v>
      </c>
      <c r="G31" s="13" t="s">
        <v>1066</v>
      </c>
      <c r="H31" s="75">
        <v>50</v>
      </c>
      <c r="I31" s="13" t="s">
        <v>1069</v>
      </c>
      <c r="K31" s="172"/>
    </row>
    <row r="32" spans="1:11" ht="20.100000000000001" customHeight="1" x14ac:dyDescent="0.2">
      <c r="A32" s="5" t="str">
        <f>HYPERLINK("#'4.3.1.1-2 Methane'!A1", "4.3.1.1-2 Manure methane")</f>
        <v>4.3.1.1-2 Manure methane</v>
      </c>
      <c r="D32" s="33" t="s">
        <v>1091</v>
      </c>
      <c r="E32" s="13" t="s">
        <v>1088</v>
      </c>
      <c r="F32" s="13" t="s">
        <v>1083</v>
      </c>
      <c r="G32" s="13" t="s">
        <v>1068</v>
      </c>
      <c r="H32" s="75">
        <v>50</v>
      </c>
      <c r="I32" s="13" t="s">
        <v>1069</v>
      </c>
      <c r="K32" s="172"/>
    </row>
    <row r="33" spans="1:12" ht="20.100000000000001" customHeight="1" x14ac:dyDescent="0.2">
      <c r="A33" s="5" t="str">
        <f>HYPERLINK("#'4.3.1.3-4 Direct N20'!A1", "4.3.1.3-4 Direct N20")</f>
        <v>4.3.1.3-4 Direct N20</v>
      </c>
      <c r="K33" s="172"/>
    </row>
    <row r="34" spans="1:12" ht="20.100000000000001" customHeight="1" x14ac:dyDescent="0.2">
      <c r="A34" s="5" t="str">
        <f>HYPERLINK("#'4.3.1.5 Atmos deposition'!A1", "4.3.1.5 Atmos deposition")</f>
        <v>4.3.1.5 Atmos deposition</v>
      </c>
      <c r="K34" s="172"/>
    </row>
    <row r="35" spans="1:12" ht="20.100000000000001" customHeight="1" x14ac:dyDescent="0.2">
      <c r="A35" s="5" t="str">
        <f>HYPERLINK("#'4.3.1.6-7 Leaching and runoff'!A1", "4.3.1.6-7 Leaching &amp; runoff")</f>
        <v>4.3.1.6-7 Leaching &amp; runoff</v>
      </c>
    </row>
    <row r="36" spans="1:12" ht="20.100000000000001" customHeight="1" x14ac:dyDescent="0.2">
      <c r="A36" s="5" t="str">
        <f>HYPERLINK("#'4.3.1.8 Manure applied to soils'!A1", "4.3.1.8 Manure applied to soils")</f>
        <v>4.3.1.8 Manure applied to soils</v>
      </c>
      <c r="L36" s="172"/>
    </row>
    <row r="37" spans="1:12" ht="20.100000000000001" customHeight="1" x14ac:dyDescent="0.2">
      <c r="A37" s="5" t="str">
        <f>HYPERLINK("#'4.3.1.9 Soil direct N2O'!A1", "4.3.1.9 Soil direct N2O")</f>
        <v>4.3.1.9 Soil direct N2O</v>
      </c>
      <c r="L37" s="172"/>
    </row>
    <row r="38" spans="1:12" ht="20.100000000000001" customHeight="1" x14ac:dyDescent="0.2">
      <c r="A38" s="5" t="str">
        <f>HYPERLINK("#'4.3.1.10-11 Soil Atmos Dep'!A1", "4.3.1.10-11 Soil Atmos Deposition")</f>
        <v>4.3.1.10-11 Soil Atmos Deposition</v>
      </c>
      <c r="C38" s="160"/>
    </row>
    <row r="39" spans="1:12" ht="20.100000000000001" customHeight="1" x14ac:dyDescent="0.2">
      <c r="A39" s="5" t="str">
        <f>HYPERLINK("#'4.3.1.12-13 Soil leach runoff'!A1", "4.3.1.12-13 Soil leach &amp; runoff")</f>
        <v>4.3.1.12-13 Soil leach &amp; runoff</v>
      </c>
      <c r="C39" s="160"/>
      <c r="J39" s="160"/>
    </row>
    <row r="40" spans="1:12" s="172" customFormat="1" ht="20.100000000000001" customHeight="1" x14ac:dyDescent="0.2">
      <c r="A40" s="5" t="str">
        <f>HYPERLINK("#'5.1.1.1-2 Inorganic fert N2O'!A1", "5.1.1.1-2 Inorganic fert N2O")</f>
        <v>5.1.1.1-2 Inorganic fert N2O</v>
      </c>
      <c r="C40" s="1"/>
      <c r="D40" s="1"/>
      <c r="E40" s="1"/>
      <c r="F40" s="1"/>
      <c r="G40" s="1"/>
      <c r="H40" s="1"/>
      <c r="I40" s="1"/>
      <c r="J40" s="1"/>
    </row>
    <row r="41" spans="1:12" s="172" customFormat="1" ht="20.100000000000001" customHeight="1" x14ac:dyDescent="0.2">
      <c r="A41" s="5" t="str">
        <f>HYPERLINK("#'5.1.1.3-4 Inorganic fert CO2'!A1", "5.1.1.3-4 Inorganic fert CO2")</f>
        <v>5.1.1.3-4 Inorganic fert CO2</v>
      </c>
      <c r="C41" s="1"/>
      <c r="D41" s="1"/>
      <c r="E41" s="1"/>
      <c r="F41" s="1"/>
      <c r="G41" s="1"/>
      <c r="H41" s="1"/>
      <c r="I41" s="1"/>
      <c r="J41" s="1"/>
      <c r="L41" s="172" t="s">
        <v>602</v>
      </c>
    </row>
    <row r="42" spans="1:12" ht="20.100000000000001" customHeight="1" x14ac:dyDescent="0.2">
      <c r="A42" s="5" t="str">
        <f>HYPERLINK("#'5.2.1.1-2 Organic Fert N2O'!A1", "5.2.1.1-2 Organic fert N2O")</f>
        <v>5.2.1.1-2 Organic fert N2O</v>
      </c>
    </row>
    <row r="43" spans="1:12" ht="20.100000000000001" customHeight="1" x14ac:dyDescent="0.2">
      <c r="A43" s="5" t="str">
        <f>HYPERLINK("#'5.3.1.1-2 Lime CO2'!A1", "5.3.1.1-2 Lime CO2")</f>
        <v>5.3.1.1-2 Lime CO2</v>
      </c>
    </row>
    <row r="44" spans="1:12" ht="20.100000000000001" customHeight="1" x14ac:dyDescent="0.2">
      <c r="A44" s="5" t="str">
        <f>HYPERLINK("#'5.4.1.1-4 Atmos deposition'!A1", "5.4.1.1-4 Atmos. deposition")</f>
        <v>5.4.1.1-4 Atmos. deposition</v>
      </c>
    </row>
    <row r="45" spans="1:12" ht="20.100000000000001" customHeight="1" x14ac:dyDescent="0.2">
      <c r="A45" s="5" t="str">
        <f>HYPERLINK("#'5.5.1.1-2 Leaching and runoff'!A1", "5.5.1.1-2 Leaching &amp; runoff")</f>
        <v>5.5.1.1-2 Leaching &amp; runoff</v>
      </c>
    </row>
    <row r="46" spans="1:12" ht="20.100000000000001" customHeight="1" x14ac:dyDescent="0.2">
      <c r="A46" s="5" t="str">
        <f>HYPERLINK("#'6.2.1.1-2 Pasture residue N2O'!A1", "6.2.1.1-2 Pasture residue N2O")</f>
        <v>6.2.1.1-2 Pasture residue N2O</v>
      </c>
    </row>
    <row r="47" spans="1:12" ht="20.100000000000001" customHeight="1" x14ac:dyDescent="0.2">
      <c r="A47" s="5" t="str">
        <f>HYPERLINK("#'6.3.1.1-2 Leach runoff pasture'!A1", "6.3.1.1-2 Leach &amp; runoff (pasture)")</f>
        <v>6.3.1.1-2 Leach &amp; runoff (pasture)</v>
      </c>
    </row>
    <row r="48" spans="1:12"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4" ht="20.100000000000001" customHeight="1" x14ac:dyDescent="0.2">
      <c r="A65" s="5" t="str">
        <f>HYPERLINK("#'Constants - Common'!A1", "Constants - Common")</f>
        <v>Constants - Common</v>
      </c>
    </row>
    <row r="66" spans="1:4" ht="20.100000000000001" customHeight="1" x14ac:dyDescent="0.2">
      <c r="A66" s="5" t="str">
        <f>HYPERLINK("#'Constants - Refrigerants'!A1", "Constants - Refrigerants")</f>
        <v>Constants - Refrigerants</v>
      </c>
    </row>
    <row r="67" spans="1:4" ht="20.100000000000001" customHeight="1" x14ac:dyDescent="0.2">
      <c r="A67" s="5" t="str">
        <f>HYPERLINK("#'Constants - Solid Waste'!A1", "Constants - Solid Waste")</f>
        <v>Constants - Solid Waste</v>
      </c>
    </row>
    <row r="68" spans="1:4" ht="20.100000000000001" customHeight="1" x14ac:dyDescent="0.2">
      <c r="A68" s="5" t="str">
        <f>HYPERLINK("#'Acknowledgements'!A1", "Acknowledgements")</f>
        <v>Acknowledgements</v>
      </c>
    </row>
    <row r="73" spans="1:4" ht="20.100000000000001" customHeight="1" x14ac:dyDescent="0.2">
      <c r="D73" s="199"/>
    </row>
    <row r="75" spans="1:4" ht="20.100000000000001" customHeight="1" x14ac:dyDescent="0.2">
      <c r="D75" s="199"/>
    </row>
    <row r="76" spans="1:4" ht="20.100000000000001" customHeight="1" x14ac:dyDescent="0.2">
      <c r="D76" s="199"/>
    </row>
    <row r="385" spans="4:4" ht="20.100000000000001" customHeight="1" x14ac:dyDescent="0.2">
      <c r="D385" s="79"/>
    </row>
  </sheetData>
  <conditionalFormatting sqref="F162:F163">
    <cfRule type="cellIs" dxfId="30" priority="7" operator="lessThan">
      <formula>0</formula>
    </cfRule>
  </conditionalFormatting>
  <conditionalFormatting sqref="F174:F175">
    <cfRule type="cellIs" dxfId="29" priority="6" operator="lessThan">
      <formula>0</formula>
    </cfRule>
  </conditionalFormatting>
  <conditionalFormatting sqref="F186:F187">
    <cfRule type="cellIs" dxfId="28" priority="5" operator="lessThan">
      <formula>0</formula>
    </cfRule>
  </conditionalFormatting>
  <conditionalFormatting sqref="F274:F275">
    <cfRule type="cellIs" dxfId="27" priority="17" operator="lessThan">
      <formula>0</formula>
    </cfRule>
  </conditionalFormatting>
  <conditionalFormatting sqref="F279:F280">
    <cfRule type="cellIs" dxfId="26" priority="16" operator="lessThan">
      <formula>0</formula>
    </cfRule>
  </conditionalFormatting>
  <conditionalFormatting sqref="F284:F285">
    <cfRule type="cellIs" dxfId="25" priority="15" operator="lessThan">
      <formula>0</formula>
    </cfRule>
  </conditionalFormatting>
  <conditionalFormatting sqref="F308:F309">
    <cfRule type="cellIs" dxfId="24" priority="14" operator="lessThan">
      <formula>0</formula>
    </cfRule>
  </conditionalFormatting>
  <conditionalFormatting sqref="F313:F314">
    <cfRule type="cellIs" dxfId="23" priority="13" operator="lessThan">
      <formula>0</formula>
    </cfRule>
  </conditionalFormatting>
  <conditionalFormatting sqref="F318:F319">
    <cfRule type="cellIs" dxfId="22" priority="12" operator="lessThan">
      <formula>0</formula>
    </cfRule>
  </conditionalFormatting>
  <conditionalFormatting sqref="I33 F71">
    <cfRule type="cellIs" dxfId="21" priority="9" operator="lessThan">
      <formula>0</formula>
    </cfRule>
  </conditionalFormatting>
  <conditionalFormatting sqref="I79:I83">
    <cfRule type="cellIs" dxfId="20" priority="4" operator="lessThan">
      <formula>0</formula>
    </cfRule>
  </conditionalFormatting>
  <conditionalFormatting sqref="I87 I146">
    <cfRule type="cellIs" dxfId="19" priority="10" operator="lessThan">
      <formula>0</formula>
    </cfRule>
  </conditionalFormatting>
  <conditionalFormatting sqref="I98:I100">
    <cfRule type="cellIs" dxfId="18" priority="3" operator="lessThan">
      <formula>0</formula>
    </cfRule>
  </conditionalFormatting>
  <conditionalFormatting sqref="I104:I107">
    <cfRule type="cellIs" dxfId="17" priority="2" operator="lessThan">
      <formula>0</formula>
    </cfRule>
  </conditionalFormatting>
  <conditionalFormatting sqref="I111:I115">
    <cfRule type="cellIs" dxfId="16" priority="1" operator="lessThan">
      <formula>0</formula>
    </cfRule>
  </conditionalFormatting>
  <conditionalFormatting sqref="J8 I65:I66 H67:H69 I68 I70:I72 I74:I75 I226 I232 E234:G234">
    <cfRule type="cellIs" dxfId="15" priority="11" operator="lessThan">
      <formula>0</formula>
    </cfRule>
  </conditionalFormatting>
  <conditionalFormatting sqref="J37 I59 F150:F151">
    <cfRule type="cellIs" dxfId="14" priority="8" operator="lessThan">
      <formula>0</formula>
    </cfRule>
  </conditionalFormatting>
  <dataValidations count="9">
    <dataValidation type="list" allowBlank="1" showInputMessage="1" showErrorMessage="1" sqref="F10:F32" xr:uid="{08D73466-69E6-4345-83C4-711ED6204D0F}">
      <formula1>INDIRECT("Table_WasteTypes_" &amp; SUBSTITUTE(E10, " ", "") &amp; "[Waste type w]")</formula1>
    </dataValidation>
    <dataValidation type="list" allowBlank="1" showInputMessage="1" showErrorMessage="1" sqref="I10:I32" xr:uid="{0264A873-4F54-4CD0-BAFC-B442AA683AB4}">
      <formula1>"tonnes, cubic metres m3"</formula1>
    </dataValidation>
    <dataValidation type="list" allowBlank="1" showInputMessage="1" showErrorMessage="1" sqref="G10:G32" xr:uid="{4D4C90D4-DDE6-4746-AA55-89597640A161}">
      <formula1>"Treated on-site, Removed and treated off-site"</formula1>
    </dataValidation>
    <dataValidation type="list" allowBlank="1" showInputMessage="1" showErrorMessage="1" sqref="E10:E32" xr:uid="{08938C55-3858-4E89-9141-448B58D07E4D}">
      <formula1>INDIRECT(_xlfn.UNIQUE("Table_SourceData_WasteSolid_WasteTreatmentEFs[Treatment type t]"))</formula1>
    </dataValidation>
    <dataValidation type="list" allowBlank="1" showInputMessage="1" showErrorMessage="1" sqref="E35" xr:uid="{51343E61-D6E9-4F35-91C2-8DD43AEC76AD}">
      <formula1>INDIRECT("Table_SourceData_ElectricityEFs[State, Territory or grid description]")</formula1>
    </dataValidation>
    <dataValidation type="list" allowBlank="1" showInputMessage="1" showErrorMessage="1" sqref="E89" xr:uid="{15E5B838-6912-4965-B116-C7541B4690E6}">
      <formula1>INDIRECT("Table_SourceData_Swine_IrrigationMethods[Irrigation method]")</formula1>
    </dataValidation>
    <dataValidation type="list" allowBlank="1" showInputMessage="1" showErrorMessage="1" sqref="E273 E278 E283 E317 E312 E307 E185 E173 E149 E161" xr:uid="{87D4CBB9-E8D8-4131-80A4-B1D2D6F973A7}">
      <formula1>"Yes, No"</formula1>
    </dataValidation>
    <dataValidation type="list" allowBlank="1" showInputMessage="1" showErrorMessage="1" sqref="E249" xr:uid="{2E7103D3-2A0A-46E0-B538-DC9ADB064B22}">
      <formula1>INDIRECT("Table_SourceData_Dairy_ProductionSystemTemplates[Area]")</formula1>
    </dataValidation>
    <dataValidation type="list" allowBlank="1" showInputMessage="1" showErrorMessage="1" sqref="D301" xr:uid="{2208ADAF-7D5C-4774-96AE-F3D4D86EEBC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ED4FB-BE80-468C-91A3-8B9B80F611F4}">
  <sheetPr>
    <tabColor theme="5" tint="-0.249977111117893"/>
  </sheetPr>
  <dimension ref="A1:K68"/>
  <sheetViews>
    <sheetView showGridLines="0" zoomScaleNormal="100" workbookViewId="0">
      <pane xSplit="1" topLeftCell="B1" activePane="topRight" state="frozenSplit"/>
      <selection pane="topRight" activeCell="A139" sqref="A139"/>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s>
  <sheetData>
    <row r="1" spans="1:11" ht="30" customHeight="1" x14ac:dyDescent="0.35">
      <c r="A1" s="10" t="e" vm="1">
        <v>#VALUE!</v>
      </c>
      <c r="C1" s="10" t="s">
        <v>1296</v>
      </c>
      <c r="D1" s="10"/>
      <c r="E1" s="10"/>
      <c r="F1" s="10"/>
      <c r="G1" s="10"/>
      <c r="H1" s="10"/>
      <c r="I1" s="10"/>
      <c r="J1" s="10"/>
      <c r="K1" s="10"/>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1297</v>
      </c>
    </row>
    <row r="6" spans="1:11" ht="20.100000000000001" customHeight="1" x14ac:dyDescent="0.2">
      <c r="A6" s="5" t="str">
        <f>HYPERLINK("#'Results'!A1", "Results")</f>
        <v>Results</v>
      </c>
    </row>
    <row r="7" spans="1:11" ht="20.100000000000001" customHeight="1" x14ac:dyDescent="0.2">
      <c r="D7" s="1" t="s">
        <v>1298</v>
      </c>
    </row>
    <row r="8" spans="1:11" ht="20.100000000000001" customHeight="1" x14ac:dyDescent="0.2">
      <c r="D8" s="1" t="s">
        <v>1299</v>
      </c>
    </row>
    <row r="9" spans="1:11" ht="20.100000000000001" customHeight="1" x14ac:dyDescent="0.2">
      <c r="A9" s="7" t="s">
        <v>0</v>
      </c>
    </row>
    <row r="10" spans="1:11" ht="20.100000000000001" customHeight="1" x14ac:dyDescent="0.2">
      <c r="A10" s="5" t="str">
        <f>HYPERLINK("#'Input - Enterprise'!A1", "Enterprise")</f>
        <v>Enterprise</v>
      </c>
      <c r="D10" s="1" t="s">
        <v>1300</v>
      </c>
      <c r="F10" s="75">
        <v>1000</v>
      </c>
      <c r="G10" s="16" t="s">
        <v>1301</v>
      </c>
    </row>
    <row r="11" spans="1:11" ht="20.100000000000001" customHeight="1" x14ac:dyDescent="0.2">
      <c r="A11" s="5" t="str">
        <f>HYPERLINK("#'Input - Site'!A1", "Site")</f>
        <v>Site</v>
      </c>
      <c r="D11" s="1" t="s">
        <v>1302</v>
      </c>
      <c r="F11" s="75">
        <v>2000</v>
      </c>
      <c r="G11" s="16" t="s">
        <v>1301</v>
      </c>
    </row>
    <row r="12" spans="1:11" ht="20.100000000000001" customHeight="1" x14ac:dyDescent="0.2">
      <c r="A12" s="5" t="str">
        <f>HYPERLINK("#'Input - Dairy'!A1", "Dairy")</f>
        <v>Dairy</v>
      </c>
    </row>
    <row r="13" spans="1:11" ht="20.100000000000001" customHeight="1" x14ac:dyDescent="0.2">
      <c r="A13" s="5" t="str">
        <f>HYPERLINK("#'Input - Livestock sales'!A1", "Livestock sales")</f>
        <v>Livestock sales</v>
      </c>
      <c r="D13" s="1" t="s">
        <v>1303</v>
      </c>
      <c r="F13" s="13" t="s">
        <v>834</v>
      </c>
      <c r="G13" s="16" t="s">
        <v>100</v>
      </c>
    </row>
    <row r="14" spans="1:11" ht="20.100000000000001" customHeight="1" x14ac:dyDescent="0.2">
      <c r="A14" s="5" t="str">
        <f>HYPERLINK("#'Input - Dairy cattle purchases'!A1", "Dairy cattle purchases")</f>
        <v>Dairy cattle purchases</v>
      </c>
      <c r="D14" s="1" t="s">
        <v>1304</v>
      </c>
      <c r="F14" s="13" t="s">
        <v>376</v>
      </c>
      <c r="G14" s="16" t="s">
        <v>100</v>
      </c>
    </row>
    <row r="15" spans="1:11" ht="20.100000000000001" customHeight="1" x14ac:dyDescent="0.2">
      <c r="A15" s="5" t="str">
        <f>HYPERLINK("#'Input - Pasture'!A1", "Pasture")</f>
        <v>Pasture</v>
      </c>
    </row>
    <row r="16" spans="1:11" ht="20.100000000000001" customHeight="1" x14ac:dyDescent="0.2">
      <c r="A16" s="5" t="str">
        <f>HYPERLINK("#'Input - Fert Prod System'!A1", "Fert Prod System")</f>
        <v>Fert Prod System</v>
      </c>
    </row>
    <row r="17" spans="1:1" ht="20.100000000000001" customHeight="1" x14ac:dyDescent="0.2">
      <c r="A17" s="5" t="str">
        <f>HYPERLINK("#'Input - Fertiliser'!A1", "Fertiliser")</f>
        <v>Fertiliser</v>
      </c>
    </row>
    <row r="18" spans="1:1" ht="20.100000000000001" customHeight="1" x14ac:dyDescent="0.2">
      <c r="A18" s="5" t="str">
        <f>HYPERLINK("#'Input - Fuel'!A1", "Fuel")</f>
        <v>Fuel</v>
      </c>
    </row>
    <row r="19" spans="1:1" ht="20.100000000000001" customHeight="1" x14ac:dyDescent="0.2">
      <c r="A19" s="5" t="str">
        <f>HYPERLINK("#'Input - Electricity'!A1", "Electricity")</f>
        <v>Electricity</v>
      </c>
    </row>
    <row r="20" spans="1:1" ht="20.100000000000001" customHeight="1" x14ac:dyDescent="0.2">
      <c r="A20" s="5" t="str">
        <f>HYPERLINK("#'Input - Common farm inputs'!A1", "Common farm inputs")</f>
        <v>Common farm inputs</v>
      </c>
    </row>
    <row r="21" spans="1:1" ht="20.100000000000001" customHeight="1" x14ac:dyDescent="0.2">
      <c r="A21" s="5" t="str">
        <f>HYPERLINK("#'Input - Crop pasture farm input'!A1", "Crop pasture farm input")</f>
        <v>Crop pasture farm input</v>
      </c>
    </row>
    <row r="22" spans="1:1" ht="20.100000000000001" customHeight="1" x14ac:dyDescent="0.2">
      <c r="A22" s="5" t="str">
        <f>HYPERLINK("#'Input - Livestock farm Inputs'!A1", "Livestock farm Inputs")</f>
        <v>Livestock farm Inputs</v>
      </c>
    </row>
    <row r="23" spans="1:1" ht="20.100000000000001" customHeight="1" x14ac:dyDescent="0.2">
      <c r="A23" s="5" t="str">
        <f>HYPERLINK("#'Input - Freight'!A1", "Freight")</f>
        <v>Freight</v>
      </c>
    </row>
    <row r="24" spans="1:1" ht="20.100000000000001" customHeight="1" x14ac:dyDescent="0.2">
      <c r="A24" s="5" t="str">
        <f>HYPERLINK("#'Input - Solid waste'!A1", "Solid waste")</f>
        <v>Solid waste</v>
      </c>
    </row>
    <row r="25" spans="1:1" ht="20.100000000000001" customHeight="1" x14ac:dyDescent="0.2">
      <c r="A25" s="100" t="str">
        <f>HYPERLINK("#'Input - Manure sent off-site'!A1", "Manure sent off-site")</f>
        <v>Manure sent off-site</v>
      </c>
    </row>
    <row r="26" spans="1:1" ht="20.100000000000001" customHeight="1" x14ac:dyDescent="0.2">
      <c r="A26" s="5" t="str">
        <f>HYPERLINK("#'Input - Refrigerants'!A1", "Refrigerants")</f>
        <v>Refrigerants</v>
      </c>
    </row>
    <row r="27" spans="1:1" ht="20.100000000000001" customHeight="1" x14ac:dyDescent="0.2">
      <c r="A27" s="5" t="str">
        <f>HYPERLINK("#'Input - Data quality'!A1", "Data quality")</f>
        <v>Data quality</v>
      </c>
    </row>
    <row r="30" spans="1:1" ht="20.100000000000001" customHeight="1" x14ac:dyDescent="0.2">
      <c r="A30" s="6" t="s">
        <v>2</v>
      </c>
    </row>
    <row r="31" spans="1:1" ht="20.100000000000001" customHeight="1" x14ac:dyDescent="0.2">
      <c r="A31" s="5" t="str">
        <f>HYPERLINK("#'3.3.1.1-2 Enteric Methane'!A1", "3.3.1.1-2 Enteric methane")</f>
        <v>3.3.1.1-2 Enteric methane</v>
      </c>
    </row>
    <row r="32" spans="1:1"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5"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dataValidations count="2">
    <dataValidation type="list" allowBlank="1" showInputMessage="1" showErrorMessage="1" sqref="F14" xr:uid="{4186B8F5-F167-4F65-96D4-05941FB6D196}">
      <formula1>INDIRECT("Table_SourceData_Fertiliser_IrrigationMethods[Irrigation method]")</formula1>
    </dataValidation>
    <dataValidation type="list" allowBlank="1" showInputMessage="1" showErrorMessage="1" sqref="F13" xr:uid="{B931EBD0-28DB-48D0-AF2A-61E627C7905D}">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F3763-1692-4EB1-A3CA-44D30ACBDAC7}">
  <sheetPr>
    <tabColor rgb="FF008000"/>
  </sheetPr>
  <dimension ref="A1:S187"/>
  <sheetViews>
    <sheetView showGridLines="0" zoomScaleNormal="100" workbookViewId="0">
      <pane xSplit="1" topLeftCell="B1" activePane="topRight" state="frozenSplit"/>
      <selection pane="topRight" activeCell="A259" sqref="A259"/>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648</v>
      </c>
      <c r="K1"/>
    </row>
    <row r="2" spans="1:19" s="3" customFormat="1" ht="20.100000000000001" customHeight="1" x14ac:dyDescent="0.2">
      <c r="A2"/>
      <c r="K2"/>
    </row>
    <row r="3" spans="1:19" ht="20.100000000000001" customHeight="1" x14ac:dyDescent="0.2">
      <c r="A3" s="5" t="str">
        <f>HYPERLINK("#'Home'!A1", "Home")</f>
        <v>Home</v>
      </c>
      <c r="C3" s="22"/>
      <c r="D3" s="22" t="s">
        <v>129</v>
      </c>
      <c r="E3" s="22"/>
      <c r="F3" s="22"/>
      <c r="G3" s="22"/>
      <c r="H3" s="22"/>
      <c r="I3" s="22"/>
      <c r="J3" s="22"/>
      <c r="L3" s="22"/>
      <c r="M3" s="22" t="s">
        <v>130</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
        <v>1463</v>
      </c>
    </row>
    <row r="6" spans="1:19" ht="20.100000000000001" customHeight="1" x14ac:dyDescent="0.2">
      <c r="A6" s="5" t="str">
        <f>HYPERLINK("#'Results'!A1", "Results")</f>
        <v>Results</v>
      </c>
      <c r="D6" s="25" t="s">
        <v>1464</v>
      </c>
    </row>
    <row r="7" spans="1:19" ht="20.100000000000001" customHeight="1" x14ac:dyDescent="0.2">
      <c r="D7" s="17" t="s">
        <v>1465</v>
      </c>
    </row>
    <row r="8" spans="1:19" ht="20.100000000000001" customHeight="1" x14ac:dyDescent="0.2">
      <c r="D8" s="118"/>
      <c r="E8" s="118"/>
    </row>
    <row r="9" spans="1:19" ht="20.100000000000001" customHeight="1" x14ac:dyDescent="0.2">
      <c r="A9" s="7" t="s">
        <v>0</v>
      </c>
    </row>
    <row r="10" spans="1:19" ht="20.100000000000001" customHeight="1" x14ac:dyDescent="0.2">
      <c r="A10" s="5" t="str">
        <f>HYPERLINK("#'Input - Enterprise'!A1", "Enterprise")</f>
        <v>Enterprise</v>
      </c>
    </row>
    <row r="11" spans="1:19" ht="20.100000000000001" customHeight="1" x14ac:dyDescent="0.2">
      <c r="A11" s="5" t="str">
        <f>HYPERLINK("#'Input - Site'!A1", "Site")</f>
        <v>Site</v>
      </c>
      <c r="D11" s="76" t="s">
        <v>378</v>
      </c>
      <c r="E11" s="1" t="s">
        <v>1466</v>
      </c>
    </row>
    <row r="12" spans="1:19" ht="20.100000000000001" customHeight="1" x14ac:dyDescent="0.2">
      <c r="A12" s="5" t="str">
        <f>HYPERLINK("#'Input - Dairy'!A1", "Dairy")</f>
        <v>Dairy</v>
      </c>
      <c r="D12" s="76" t="s">
        <v>118</v>
      </c>
      <c r="E12" s="9" t="s">
        <v>383</v>
      </c>
    </row>
    <row r="13" spans="1:19" ht="20.100000000000001" customHeight="1" x14ac:dyDescent="0.2">
      <c r="A13" s="5" t="str">
        <f>HYPERLINK("#'Input - Livestock sales'!A1", "Livestock sales")</f>
        <v>Livestock sales</v>
      </c>
    </row>
    <row r="14" spans="1:19" ht="20.100000000000001" customHeight="1" x14ac:dyDescent="0.2">
      <c r="A14" s="5" t="str">
        <f>HYPERLINK("#'Input - Dairy cattle purchases'!A1", "Dairy cattle purchases")</f>
        <v>Dairy cattle purchases</v>
      </c>
      <c r="D14" s="120" t="s">
        <v>1467</v>
      </c>
      <c r="E14" s="120" t="s">
        <v>1468</v>
      </c>
      <c r="F14" s="120"/>
      <c r="G14" s="120" t="s">
        <v>383</v>
      </c>
      <c r="H14" s="121" t="s">
        <v>1469</v>
      </c>
      <c r="I14" s="120" t="str">
        <f>"See " &amp; D16</f>
        <v>See M1_Table_DMD_j</v>
      </c>
    </row>
    <row r="15" spans="1:19" ht="20.100000000000001" customHeight="1" x14ac:dyDescent="0.2">
      <c r="A15" s="5" t="str">
        <f>HYPERLINK("#'Input - Pasture'!A1", "Pasture")</f>
        <v>Pasture</v>
      </c>
    </row>
    <row r="16" spans="1:19" ht="20.100000000000001" customHeight="1" x14ac:dyDescent="0.2">
      <c r="A16" s="5" t="str">
        <f>HYPERLINK("#'Input - Fert Prod System'!A1", "Fert Prod System")</f>
        <v>Fert Prod System</v>
      </c>
      <c r="D16" s="122" t="s">
        <v>379</v>
      </c>
      <c r="M16" s="122" t="s">
        <v>380</v>
      </c>
    </row>
    <row r="17" spans="1:19" ht="20.100000000000001" customHeight="1" x14ac:dyDescent="0.2">
      <c r="A17" s="5" t="str">
        <f>HYPERLINK("#'Input - Fertiliser'!A1", "Fertiliser")</f>
        <v>Fertiliser</v>
      </c>
      <c r="D17" s="123" t="s">
        <v>381</v>
      </c>
      <c r="M17" s="123" t="s">
        <v>382</v>
      </c>
    </row>
    <row r="18" spans="1:19" ht="20.100000000000001" customHeight="1" x14ac:dyDescent="0.2">
      <c r="A18" s="5" t="str">
        <f>HYPERLINK("#'Input - Fuel'!A1", "Fuel")</f>
        <v>Fuel</v>
      </c>
      <c r="D18" s="81" t="s">
        <v>330</v>
      </c>
      <c r="E18" s="81" t="s">
        <v>331</v>
      </c>
      <c r="F18" s="81" t="s">
        <v>332</v>
      </c>
      <c r="G18" s="81" t="s">
        <v>333</v>
      </c>
      <c r="H18" s="81" t="s">
        <v>334</v>
      </c>
      <c r="M18" s="81" t="s">
        <v>330</v>
      </c>
      <c r="N18" s="81" t="s">
        <v>331</v>
      </c>
      <c r="O18" s="81" t="s">
        <v>332</v>
      </c>
      <c r="P18" s="81" t="s">
        <v>333</v>
      </c>
      <c r="Q18" s="81" t="s">
        <v>334</v>
      </c>
    </row>
    <row r="19" spans="1:19" ht="20.100000000000001" customHeight="1" x14ac:dyDescent="0.2">
      <c r="A19" s="5" t="str">
        <f>HYPERLINK("#'Input - Electricity'!A1", "Electricity")</f>
        <v>Electricity</v>
      </c>
      <c r="D19" s="15">
        <f>INDEX(X_Table_Dairy_Diet_Method1,2,2)</f>
        <v>0.75</v>
      </c>
      <c r="E19" s="15">
        <f>INDEX(X_Table_Dairy_Diet_Method1,2,3)</f>
        <v>0.75</v>
      </c>
      <c r="F19" s="15">
        <f>INDEX(X_Table_Dairy_Diet_Method1,2,4)</f>
        <v>0.75</v>
      </c>
      <c r="G19" s="15">
        <f>INDEX(X_Table_Dairy_Diet_Method1,2,5)</f>
        <v>0.75</v>
      </c>
      <c r="H19" s="15">
        <f>INDEX(X_Table_Dairy_Diet_Method1,2,6)</f>
        <v>0.75</v>
      </c>
      <c r="I19" s="16" t="s">
        <v>383</v>
      </c>
      <c r="M19" s="15">
        <f>INDEX(X_Table_Dairy_Diet_Method2,2,2)</f>
        <v>0.75</v>
      </c>
      <c r="N19" s="15">
        <f>INDEX(X_Table_Dairy_Diet_Method2,2,3)</f>
        <v>0.75</v>
      </c>
      <c r="O19" s="15">
        <f>INDEX(X_Table_Dairy_Diet_Method2,2,4)</f>
        <v>0.75</v>
      </c>
      <c r="P19" s="15">
        <f>INDEX(X_Table_Dairy_Diet_Method2,2,5)</f>
        <v>0.75</v>
      </c>
      <c r="Q19" s="15">
        <f>INDEX(X_Table_Dairy_Diet_Method2,2,6)</f>
        <v>0.75</v>
      </c>
      <c r="R19" s="16" t="s">
        <v>383</v>
      </c>
    </row>
    <row r="20" spans="1:19" ht="20.100000000000001" customHeight="1" x14ac:dyDescent="0.2">
      <c r="A20" s="5" t="str">
        <f>HYPERLINK("#'Input - Common farm inputs'!A1", "Common farm inputs")</f>
        <v>Common farm inputs</v>
      </c>
    </row>
    <row r="21" spans="1:19" ht="20.100000000000001" customHeight="1" x14ac:dyDescent="0.2">
      <c r="A21" s="5" t="str">
        <f>HYPERLINK("#'Input - Crop pasture farm input'!A1", "Crop pasture farm input")</f>
        <v>Crop pasture farm input</v>
      </c>
      <c r="D21" s="122" t="s">
        <v>384</v>
      </c>
      <c r="M21" s="122" t="s">
        <v>385</v>
      </c>
    </row>
    <row r="22" spans="1:19" ht="20.100000000000001" customHeight="1" x14ac:dyDescent="0.2">
      <c r="A22" s="5" t="str">
        <f>HYPERLINK("#'Input - Livestock farm Inputs'!A1", "Livestock farm Inputs")</f>
        <v>Livestock farm Inputs</v>
      </c>
      <c r="D22" s="123" t="s">
        <v>386</v>
      </c>
      <c r="M22" s="123" t="s">
        <v>387</v>
      </c>
    </row>
    <row r="23" spans="1:19" ht="20.100000000000001" customHeight="1" x14ac:dyDescent="0.2">
      <c r="A23" s="5" t="str">
        <f>HYPERLINK("#'Input - Freight'!A1", "Freight")</f>
        <v>Freight</v>
      </c>
      <c r="D23" s="124" t="s">
        <v>330</v>
      </c>
      <c r="E23" s="124" t="s">
        <v>331</v>
      </c>
      <c r="F23" s="124" t="s">
        <v>332</v>
      </c>
      <c r="G23" s="124" t="s">
        <v>333</v>
      </c>
      <c r="H23" s="124" t="s">
        <v>334</v>
      </c>
      <c r="M23" s="124" t="s">
        <v>330</v>
      </c>
      <c r="N23" s="124" t="s">
        <v>331</v>
      </c>
      <c r="O23" s="124" t="s">
        <v>332</v>
      </c>
      <c r="P23" s="124" t="s">
        <v>333</v>
      </c>
      <c r="Q23" s="124" t="s">
        <v>334</v>
      </c>
    </row>
    <row r="24" spans="1:19" ht="20.100000000000001" customHeight="1" x14ac:dyDescent="0.2">
      <c r="A24" s="5" t="str">
        <f>HYPERLINK("#'Input - Solid waste'!A1", "Solid waste")</f>
        <v>Solid waste</v>
      </c>
      <c r="D24" s="15">
        <f>(0.00795 * (D19 * 100) - 0.0014)</f>
        <v>0.5948500000000001</v>
      </c>
      <c r="E24" s="15">
        <f>(0.00795 * (E19 * 100) - 0.0014)</f>
        <v>0.5948500000000001</v>
      </c>
      <c r="F24" s="15">
        <f>(0.00795 * (F19 * 100) - 0.0014)</f>
        <v>0.5948500000000001</v>
      </c>
      <c r="G24" s="15">
        <f>(0.00795 * (G19 * 100) - 0.0014)</f>
        <v>0.5948500000000001</v>
      </c>
      <c r="H24" s="15">
        <f>(0.00795 * (H19 * 100) - 0.0014)</f>
        <v>0.5948500000000001</v>
      </c>
      <c r="I24" s="16" t="str">
        <f>$E$12</f>
        <v>fraction</v>
      </c>
      <c r="M24" s="15">
        <f>(0.00795 * (M19 * 100) - 0.0014)</f>
        <v>0.5948500000000001</v>
      </c>
      <c r="N24" s="15">
        <f>(0.00795 * (N19 * 100) - 0.0014)</f>
        <v>0.5948500000000001</v>
      </c>
      <c r="O24" s="15">
        <f>(0.00795 * (O19 * 100) - 0.0014)</f>
        <v>0.5948500000000001</v>
      </c>
      <c r="P24" s="15">
        <f>(0.00795 * (P19 * 100) - 0.0014)</f>
        <v>0.5948500000000001</v>
      </c>
      <c r="Q24" s="15">
        <f>(0.00795 * (Q19 * 100) - 0.0014)</f>
        <v>0.5948500000000001</v>
      </c>
      <c r="R24" s="16" t="str">
        <f>$E$12</f>
        <v>fraction</v>
      </c>
    </row>
    <row r="25" spans="1:19" ht="20.100000000000001" customHeight="1" x14ac:dyDescent="0.2">
      <c r="A25" s="5" t="str">
        <f>HYPERLINK("#'Input - Manure sent off-site'!A1", "Manure sent off-site")</f>
        <v>Manure sent off-site</v>
      </c>
    </row>
    <row r="26" spans="1:19" ht="20.100000000000001" customHeight="1" x14ac:dyDescent="0.2">
      <c r="A26" s="5" t="str">
        <f>HYPERLINK("#'Input - Refrigerants'!A1", "Refrigerants")</f>
        <v>Refrigerants</v>
      </c>
    </row>
    <row r="27" spans="1:19" ht="20.100000000000001" customHeight="1" x14ac:dyDescent="0.2">
      <c r="A27" s="5" t="str">
        <f>HYPERLINK("#'Input - Data quality'!A1", "Data quality")</f>
        <v>Data quality</v>
      </c>
      <c r="C27" s="88"/>
      <c r="D27" s="88"/>
      <c r="E27" s="88"/>
      <c r="F27" s="88"/>
      <c r="G27" s="88"/>
      <c r="H27" s="88"/>
      <c r="I27" s="88"/>
      <c r="J27" s="88"/>
      <c r="L27" s="88"/>
      <c r="M27" s="88"/>
      <c r="N27" s="88"/>
      <c r="O27" s="88"/>
      <c r="P27" s="88"/>
      <c r="Q27" s="88"/>
      <c r="R27" s="88"/>
      <c r="S27" s="88"/>
    </row>
    <row r="28" spans="1:19" ht="20.100000000000001" customHeight="1" x14ac:dyDescent="0.2">
      <c r="D28" s="2" t="s">
        <v>1470</v>
      </c>
    </row>
    <row r="29" spans="1:19" ht="20.100000000000001" customHeight="1" x14ac:dyDescent="0.2">
      <c r="D29" s="17" t="s">
        <v>1471</v>
      </c>
    </row>
    <row r="30" spans="1:19" ht="20.100000000000001" customHeight="1" x14ac:dyDescent="0.2">
      <c r="A30" s="6" t="s">
        <v>2</v>
      </c>
      <c r="D30" s="25" t="s">
        <v>1472</v>
      </c>
    </row>
    <row r="31" spans="1:19" ht="20.100000000000001" customHeight="1" x14ac:dyDescent="0.2">
      <c r="A31" s="119" t="str">
        <f>HYPERLINK("#'3.3.1.1-2 Enteric Methane'!A1", "3.3.1.1-2 Enteric methane")</f>
        <v>3.3.1.1-2 Enteric methane</v>
      </c>
      <c r="D31" s="118"/>
      <c r="E31" s="118"/>
    </row>
    <row r="32" spans="1:19" ht="20.100000000000001" customHeight="1" x14ac:dyDescent="0.2">
      <c r="A32" s="5" t="str">
        <f>HYPERLINK("#'4.3.1.1-2 Methane'!A1", "4.3.1.1-2 Manure methane")</f>
        <v>4.3.1.1-2 Manure methane</v>
      </c>
    </row>
    <row r="33" spans="1:18" ht="20.100000000000001" customHeight="1" x14ac:dyDescent="0.2">
      <c r="A33" s="5" t="str">
        <f>HYPERLINK("#'4.3.1.3-4 Direct N20'!A1", "4.3.1.3-4 Direct N20")</f>
        <v>4.3.1.3-4 Direct N20</v>
      </c>
    </row>
    <row r="34" spans="1:18" ht="20.100000000000001" customHeight="1" x14ac:dyDescent="0.2">
      <c r="A34" s="5" t="str">
        <f>HYPERLINK("#'4.3.1.5 Atmos deposition'!A1", "4.3.1.5 Atmos deposition")</f>
        <v>4.3.1.5 Atmos deposition</v>
      </c>
      <c r="D34" s="76" t="s">
        <v>378</v>
      </c>
      <c r="E34" s="1" t="s">
        <v>1473</v>
      </c>
    </row>
    <row r="35" spans="1:18" ht="20.100000000000001" customHeight="1" x14ac:dyDescent="0.2">
      <c r="A35" s="5" t="str">
        <f>HYPERLINK("#'4.3.1.6-7 Leaching and runoff'!A1", "4.3.1.6-7 Leaching &amp; runoff")</f>
        <v>4.3.1.6-7 Leaching &amp; runoff</v>
      </c>
      <c r="D35" s="76" t="s">
        <v>118</v>
      </c>
      <c r="E35" s="9" t="s">
        <v>394</v>
      </c>
    </row>
    <row r="36" spans="1:18" ht="20.100000000000001" customHeight="1" x14ac:dyDescent="0.2">
      <c r="A36" s="5" t="str">
        <f>HYPERLINK("#'4.3.1.8 Manure applied to soils'!A1", "4.3.1.8 Manure applied to soils")</f>
        <v>4.3.1.8 Manure applied to soils</v>
      </c>
    </row>
    <row r="37" spans="1:18" ht="20.100000000000001" customHeight="1" x14ac:dyDescent="0.2">
      <c r="A37" s="5" t="str">
        <f>HYPERLINK("#'4.3.1.9 Soil direct N2O'!A1", "4.3.1.9 Soil direct N2O")</f>
        <v>4.3.1.9 Soil direct N2O</v>
      </c>
      <c r="D37" s="120" t="s">
        <v>1474</v>
      </c>
      <c r="E37" s="125" t="s">
        <v>1475</v>
      </c>
      <c r="F37" s="126"/>
      <c r="G37" s="120"/>
      <c r="H37" s="121" t="s">
        <v>1469</v>
      </c>
      <c r="I37" s="120" t="str">
        <f>X_Cell_Dairy_MilkProductionUnit</f>
        <v>Litres of milk</v>
      </c>
      <c r="M37" s="120" t="s">
        <v>1474</v>
      </c>
      <c r="N37" s="125" t="s">
        <v>1484</v>
      </c>
      <c r="O37" s="126"/>
      <c r="P37" s="120"/>
      <c r="Q37" s="121" t="s">
        <v>1469</v>
      </c>
      <c r="R37" s="120"/>
    </row>
    <row r="38" spans="1:18" ht="20.100000000000001" customHeight="1" x14ac:dyDescent="0.2">
      <c r="A38" s="5" t="str">
        <f>HYPERLINK("#'4.3.1.10-11 Soil Atmos Dep'!A1", "4.3.1.10-11 Soil Atmos Deposition")</f>
        <v>4.3.1.10-11 Soil Atmos Deposition</v>
      </c>
      <c r="D38" s="120" t="s">
        <v>1476</v>
      </c>
      <c r="E38" s="125" t="s">
        <v>1477</v>
      </c>
      <c r="F38" s="126"/>
      <c r="G38" s="120" t="s">
        <v>1482</v>
      </c>
      <c r="H38" s="121" t="s">
        <v>1469</v>
      </c>
      <c r="I38" s="127" t="str" cm="1">
        <f t="array" aca="1" ref="I38" ca="1">HYPERLINK(Common_InputFunctions.Utility_SourceHyperlink($D$42),$D$42)</f>
        <v>M1_Table_MS_j</v>
      </c>
      <c r="M38" s="120" t="s">
        <v>1476</v>
      </c>
      <c r="N38" s="125" t="s">
        <v>1477</v>
      </c>
      <c r="O38" s="126"/>
      <c r="P38" s="120" t="s">
        <v>1482</v>
      </c>
      <c r="Q38" s="121" t="s">
        <v>1469</v>
      </c>
      <c r="R38" s="127"/>
    </row>
    <row r="39" spans="1:18" ht="20.100000000000001" customHeight="1" x14ac:dyDescent="0.2">
      <c r="A39" s="5" t="str">
        <f>HYPERLINK("#'4.3.1.12-13 Soil leach runoff'!A1", "4.3.1.12-13 Soil leach &amp; runoff")</f>
        <v>4.3.1.12-13 Soil leach &amp; runoff</v>
      </c>
      <c r="D39" s="120" t="s">
        <v>1478</v>
      </c>
      <c r="E39" s="125" t="s">
        <v>1479</v>
      </c>
      <c r="F39" s="126"/>
      <c r="G39" s="120" t="s">
        <v>1483</v>
      </c>
      <c r="H39" s="121" t="s">
        <v>1469</v>
      </c>
      <c r="I39" s="120">
        <f>INDEX(X_Table_Dairy_MilkSolidAttributes,2,2)*100</f>
        <v>4</v>
      </c>
      <c r="M39" s="120" t="s">
        <v>1478</v>
      </c>
      <c r="N39" s="125" t="s">
        <v>1479</v>
      </c>
      <c r="O39" s="126"/>
      <c r="P39" s="120" t="s">
        <v>1483</v>
      </c>
      <c r="Q39" s="121" t="s">
        <v>1469</v>
      </c>
      <c r="R39" s="120">
        <f>INDEX(X_Table_Dairy_MilkSolidAttributes,2,3)*100</f>
        <v>4</v>
      </c>
    </row>
    <row r="40" spans="1:18" ht="20.100000000000001" customHeight="1" x14ac:dyDescent="0.2">
      <c r="A40" s="5" t="str">
        <f>HYPERLINK("#'5.1.1.1-2 Inorganic fert N2O'!A1", "5.1.1.1-2 Inorganic fert N2O")</f>
        <v>5.1.1.1-2 Inorganic fert N2O</v>
      </c>
      <c r="D40" s="120" t="s">
        <v>1480</v>
      </c>
      <c r="E40" s="120" t="s">
        <v>1481</v>
      </c>
      <c r="F40" s="120"/>
      <c r="G40" s="120" t="s">
        <v>1483</v>
      </c>
      <c r="H40" s="121" t="s">
        <v>1469</v>
      </c>
      <c r="I40" s="120">
        <f>INDEX(X_Table_Dairy_MilkSolidAttributes,3,2)*100</f>
        <v>3.3000000000000003</v>
      </c>
      <c r="M40" s="120" t="s">
        <v>1480</v>
      </c>
      <c r="N40" s="120" t="s">
        <v>1481</v>
      </c>
      <c r="O40" s="120"/>
      <c r="P40" s="120" t="s">
        <v>1483</v>
      </c>
      <c r="Q40" s="121" t="s">
        <v>1469</v>
      </c>
      <c r="R40" s="120">
        <f>INDEX(X_Table_Dairy_MilkSolidAttributes,3,3)*100</f>
        <v>3.3000000000000003</v>
      </c>
    </row>
    <row r="41" spans="1:18" ht="20.100000000000001" customHeight="1" x14ac:dyDescent="0.2">
      <c r="A41" s="5" t="str">
        <f>HYPERLINK("#'5.1.1.3-4 Inorganic fert CO2'!A1", "5.1.1.3-4 Inorganic fert CO2")</f>
        <v>5.1.1.3-4 Inorganic fert CO2</v>
      </c>
    </row>
    <row r="42" spans="1:18" ht="20.100000000000001" customHeight="1" x14ac:dyDescent="0.2">
      <c r="A42" s="5" t="str">
        <f>HYPERLINK("#'5.2.1.1-2 Organic Fert N2O'!A1", "5.2.1.1-2 Organic fert N2O")</f>
        <v>5.2.1.1-2 Organic fert N2O</v>
      </c>
      <c r="D42" s="122" t="s">
        <v>388</v>
      </c>
    </row>
    <row r="43" spans="1:18" ht="20.100000000000001" customHeight="1" x14ac:dyDescent="0.2">
      <c r="A43" s="5" t="str">
        <f>HYPERLINK("#'5.3.1.1-2 Lime CO2'!A1", "5.3.1.1-2 Lime CO2")</f>
        <v>5.3.1.1-2 Lime CO2</v>
      </c>
      <c r="D43" s="123" t="s">
        <v>389</v>
      </c>
    </row>
    <row r="44" spans="1:18" ht="20.100000000000001" customHeight="1" x14ac:dyDescent="0.2">
      <c r="A44" s="5" t="str">
        <f>HYPERLINK("#'5.4.1.1-4 Atmos deposition'!A1", "5.4.1.1-4 Atmos. deposition")</f>
        <v>5.4.1.1-4 Atmos. deposition</v>
      </c>
      <c r="D44" s="81" t="s">
        <v>330</v>
      </c>
      <c r="E44" s="81" t="s">
        <v>331</v>
      </c>
      <c r="F44" s="81" t="s">
        <v>332</v>
      </c>
      <c r="G44" s="81" t="s">
        <v>333</v>
      </c>
      <c r="H44" s="81" t="s">
        <v>334</v>
      </c>
    </row>
    <row r="45" spans="1:18" ht="20.100000000000001" customHeight="1" x14ac:dyDescent="0.2">
      <c r="A45" s="5" t="str">
        <f>HYPERLINK("#'5.5.1.1-2 Leaching and runoff'!A1", "5.5.1.1-2 Leaching &amp; runoff")</f>
        <v>5.5.1.1-2 Leaching &amp; runoff</v>
      </c>
      <c r="D45" s="15">
        <f>IF($I$37="Milk solids", X_Cell_Dairy_MilkProductionAmount, 0)</f>
        <v>0</v>
      </c>
      <c r="E45" s="15">
        <v>0</v>
      </c>
      <c r="F45" s="15">
        <v>0</v>
      </c>
      <c r="G45" s="15">
        <v>0</v>
      </c>
      <c r="H45" s="15">
        <v>0</v>
      </c>
      <c r="I45" s="16" t="s">
        <v>394</v>
      </c>
    </row>
    <row r="46" spans="1:18" ht="20.100000000000001" customHeight="1" x14ac:dyDescent="0.2">
      <c r="A46" s="5" t="str">
        <f>HYPERLINK("#'6.2.1.1-2 Pasture residue N2O'!A1", "6.2.1.1-2 Pasture residue N2O")</f>
        <v>6.2.1.1-2 Pasture residue N2O</v>
      </c>
    </row>
    <row r="47" spans="1:18" ht="20.100000000000001" customHeight="1" x14ac:dyDescent="0.2">
      <c r="A47" s="5" t="str">
        <f>HYPERLINK("#'6.3.1.1-2 Leach runoff pasture'!A1", "6.3.1.1-2 Leach &amp; runoff (pasture)")</f>
        <v>6.3.1.1-2 Leach &amp; runoff (pasture)</v>
      </c>
      <c r="D47" s="122" t="s">
        <v>390</v>
      </c>
      <c r="M47" s="122" t="s">
        <v>391</v>
      </c>
    </row>
    <row r="48" spans="1:18" ht="20.100000000000001" customHeight="1" x14ac:dyDescent="0.2">
      <c r="A48" s="5" t="str">
        <f>HYPERLINK("#'8.1.1.1-2 Transport fuel'!A1", "8.1.1.1-2 Transport fuel")</f>
        <v>8.1.1.1-2 Transport fuel</v>
      </c>
      <c r="D48" s="123" t="s">
        <v>392</v>
      </c>
      <c r="M48" s="123" t="s">
        <v>393</v>
      </c>
    </row>
    <row r="49" spans="1:19" ht="20.100000000000001" customHeight="1" x14ac:dyDescent="0.2">
      <c r="A49" s="5" t="str">
        <f>HYPERLINK("#'8.2.1.1-2 Stationary fuel'!A1", "8.2.1.1-2 Stationary fuel")</f>
        <v>8.2.1.1-2 Stationary fuel</v>
      </c>
      <c r="D49" s="124" t="s">
        <v>330</v>
      </c>
      <c r="E49" s="124" t="s">
        <v>331</v>
      </c>
      <c r="F49" s="124" t="s">
        <v>332</v>
      </c>
      <c r="G49" s="124" t="s">
        <v>333</v>
      </c>
      <c r="H49" s="124" t="s">
        <v>334</v>
      </c>
      <c r="M49" s="124" t="s">
        <v>330</v>
      </c>
      <c r="N49" s="124" t="s">
        <v>331</v>
      </c>
      <c r="O49" s="124" t="s">
        <v>332</v>
      </c>
      <c r="P49" s="124" t="s">
        <v>333</v>
      </c>
      <c r="Q49" s="124" t="s">
        <v>334</v>
      </c>
    </row>
    <row r="50" spans="1:19" ht="20.100000000000001" customHeight="1" x14ac:dyDescent="0.2">
      <c r="A50" s="5" t="str">
        <f>HYPERLINK("#'9.1.1.1-2 Refrigerant use'!A1", "9.1.1.1-2 Refrigerant use")</f>
        <v>9.1.1.1-2 Refrigerant use</v>
      </c>
      <c r="D50" s="15">
        <f>(D45 / (0.01 * (I39 + I40)))</f>
        <v>0</v>
      </c>
      <c r="E50" s="15">
        <v>0</v>
      </c>
      <c r="F50" s="15">
        <v>0</v>
      </c>
      <c r="G50" s="15">
        <v>0</v>
      </c>
      <c r="H50" s="15">
        <v>0</v>
      </c>
      <c r="I50" s="16" t="s">
        <v>394</v>
      </c>
      <c r="M50" s="15">
        <f>(D45 / (0.01 * (R39 + R40)))</f>
        <v>0</v>
      </c>
      <c r="N50" s="15">
        <v>0</v>
      </c>
      <c r="O50" s="15">
        <v>0</v>
      </c>
      <c r="P50" s="15">
        <v>0</v>
      </c>
      <c r="Q50" s="15">
        <v>0</v>
      </c>
      <c r="R50" s="16" t="s">
        <v>394</v>
      </c>
    </row>
    <row r="51" spans="1:19" ht="20.100000000000001" customHeight="1" x14ac:dyDescent="0.2">
      <c r="A51" s="5" t="str">
        <f>HYPERLINK("#'10.1.1-2 Solid waste treatment'!A1", "10.1.1.1-2 Solid waste")</f>
        <v>10.1.1.1-2 Solid waste</v>
      </c>
    </row>
    <row r="52" spans="1:19" ht="20.100000000000001" customHeight="1" x14ac:dyDescent="0.2">
      <c r="A52" s="5" t="str">
        <f>HYPERLINK("#'14.1.1-2 Purchased electricity'!A1", "14.1.1-2 Purchased electricity")</f>
        <v>14.1.1-2 Purchased electricity</v>
      </c>
    </row>
    <row r="53" spans="1:19" ht="20.100000000000001" customHeight="1" x14ac:dyDescent="0.2">
      <c r="A53" s="5" t="str">
        <f>HYPERLINK("#'15 Scope 3'!A1", "15 Scope 3")</f>
        <v>15 Scope 3</v>
      </c>
      <c r="C53" s="88"/>
      <c r="D53" s="88"/>
      <c r="E53" s="88"/>
      <c r="F53" s="88"/>
      <c r="G53" s="88"/>
      <c r="H53" s="88"/>
      <c r="I53" s="88"/>
      <c r="J53" s="88"/>
      <c r="L53" s="88"/>
      <c r="M53" s="88"/>
      <c r="N53" s="88"/>
      <c r="O53" s="88"/>
      <c r="P53" s="88"/>
      <c r="Q53" s="88"/>
      <c r="R53" s="88"/>
      <c r="S53" s="88"/>
    </row>
    <row r="54" spans="1:19" ht="20.100000000000001" customHeight="1" x14ac:dyDescent="0.2">
      <c r="A54" s="5" t="str">
        <f>HYPERLINK("#'Calcs - Manure sent off-site'!A1", "Calcs - Manure sent off-site")</f>
        <v>Calcs - Manure sent off-site</v>
      </c>
      <c r="D54" s="2" t="s">
        <v>1485</v>
      </c>
    </row>
    <row r="55" spans="1:19" ht="20.100000000000001" customHeight="1" x14ac:dyDescent="0.2">
      <c r="D55" s="17" t="s">
        <v>1486</v>
      </c>
    </row>
    <row r="56" spans="1:19" ht="20.100000000000001" customHeight="1" x14ac:dyDescent="0.2">
      <c r="D56" s="25" t="s">
        <v>1487</v>
      </c>
    </row>
    <row r="57" spans="1:19" ht="20.100000000000001" customHeight="1" x14ac:dyDescent="0.2">
      <c r="A57" s="82" t="s">
        <v>1</v>
      </c>
      <c r="D57" s="118"/>
      <c r="E57" s="118"/>
    </row>
    <row r="58" spans="1:19" ht="20.100000000000001" customHeight="1" x14ac:dyDescent="0.2">
      <c r="A58" s="5" t="str">
        <f>HYPERLINK("#'Constants - Dairy'!A1", "Constants - Dairy")</f>
        <v>Constants - Dairy</v>
      </c>
      <c r="D58" s="2"/>
    </row>
    <row r="59" spans="1:19" ht="20.100000000000001" customHeight="1" x14ac:dyDescent="0.2">
      <c r="A59" s="5" t="str">
        <f>HYPERLINK("#'Constants - Ag Residue'!A1", "Constants - Ag residue")</f>
        <v>Constants - Ag residue</v>
      </c>
    </row>
    <row r="60" spans="1:19" ht="20.100000000000001" customHeight="1" x14ac:dyDescent="0.2">
      <c r="A60" s="5" t="str">
        <f>HYPERLINK("#'Constants - Common Livestock'!A1", "Constants - Common Livestock")</f>
        <v>Constants - Common Livestock</v>
      </c>
    </row>
    <row r="61" spans="1:19" ht="20.100000000000001" customHeight="1" x14ac:dyDescent="0.2">
      <c r="A61" s="5" t="str">
        <f>HYPERLINK("#'Constants - Electricity'!A1", "Constants - Electricity")</f>
        <v>Constants - Electricity</v>
      </c>
      <c r="D61" s="76" t="s">
        <v>378</v>
      </c>
      <c r="E61" s="1" t="s">
        <v>1488</v>
      </c>
    </row>
    <row r="62" spans="1:19" ht="20.100000000000001" customHeight="1" x14ac:dyDescent="0.2">
      <c r="A62" s="5" t="str">
        <f>HYPERLINK("#'Constants - Fertiliser'!A1", "Constants - Fertiliser")</f>
        <v>Constants - Fertiliser</v>
      </c>
      <c r="D62" s="76" t="s">
        <v>118</v>
      </c>
      <c r="E62" s="9" t="s">
        <v>1489</v>
      </c>
    </row>
    <row r="63" spans="1:19" ht="20.100000000000001" customHeight="1" x14ac:dyDescent="0.2">
      <c r="A63" s="5" t="str">
        <f>HYPERLINK("#'Constants - Fuel'!A1", "Constants - Fuel")</f>
        <v>Constants - Fuel</v>
      </c>
    </row>
    <row r="64" spans="1:19" ht="20.100000000000001" customHeight="1" x14ac:dyDescent="0.2">
      <c r="A64" s="5" t="str">
        <f>HYPERLINK("#'Constants - Scope 3'!A1", "Constants - Scope 3")</f>
        <v>Constants - Scope 3</v>
      </c>
      <c r="D64" s="120" t="s">
        <v>1474</v>
      </c>
      <c r="E64" s="125" t="s">
        <v>1475</v>
      </c>
      <c r="F64" s="126"/>
      <c r="G64" s="120"/>
      <c r="H64" s="121" t="s">
        <v>1469</v>
      </c>
      <c r="I64" s="120" t="str">
        <f>X_Cell_Dairy_MilkProductionUnit</f>
        <v>Litres of milk</v>
      </c>
    </row>
    <row r="65" spans="1:18" ht="20.100000000000001" customHeight="1" x14ac:dyDescent="0.2">
      <c r="A65" s="5" t="str">
        <f>HYPERLINK("#'Constants - Common'!A1", "Constants - Common")</f>
        <v>Constants - Common</v>
      </c>
      <c r="D65" s="120" t="s">
        <v>1473</v>
      </c>
      <c r="E65" s="125" t="s">
        <v>1490</v>
      </c>
      <c r="F65" s="126"/>
      <c r="G65" s="120" t="s">
        <v>394</v>
      </c>
      <c r="H65" s="121" t="s">
        <v>1469</v>
      </c>
      <c r="I65" s="127" t="str" cm="1">
        <f t="array" aca="1" ref="I65" ca="1">HYPERLINK(Common_InputFunctions.Utility_SourceHyperlink($D$72), $D$72)</f>
        <v>Table_MP_j</v>
      </c>
    </row>
    <row r="66" spans="1:18" ht="20.100000000000001" customHeight="1" x14ac:dyDescent="0.2">
      <c r="A66" s="5" t="str">
        <f>HYPERLINK("#'Constants - Refrigerants'!A1", "Constants - Refrigerants")</f>
        <v>Constants - Refrigerants</v>
      </c>
      <c r="D66" s="120" t="s">
        <v>1473</v>
      </c>
      <c r="E66" s="125" t="s">
        <v>1491</v>
      </c>
      <c r="F66" s="126"/>
      <c r="G66" s="120" t="s">
        <v>394</v>
      </c>
      <c r="H66" s="128" t="s">
        <v>1499</v>
      </c>
      <c r="I66" s="127" t="str" cm="1">
        <f t="array" aca="1" ref="I66" ca="1">HYPERLINK(Common_InputFunctions.Utility_SourceHyperlink($D$47),$D$47)</f>
        <v>M1_Table_MP_j_from_solids</v>
      </c>
    </row>
    <row r="67" spans="1:18" ht="20.100000000000001" customHeight="1" x14ac:dyDescent="0.2">
      <c r="A67" s="5" t="str">
        <f>HYPERLINK("#'Constants - Solid Waste'!A1", "Constants - Solid Waste")</f>
        <v>Constants - Solid Waste</v>
      </c>
      <c r="D67" s="120" t="s">
        <v>1492</v>
      </c>
      <c r="E67" s="125" t="s">
        <v>1493</v>
      </c>
      <c r="F67" s="126"/>
      <c r="G67" s="120" t="s">
        <v>1500</v>
      </c>
      <c r="H67" s="128" t="s">
        <v>1501</v>
      </c>
      <c r="I67" s="120">
        <f>SourceData_Dairy_NetEnergy_Data</f>
        <v>3.0539999999999998</v>
      </c>
    </row>
    <row r="68" spans="1:18" ht="20.100000000000001" customHeight="1" x14ac:dyDescent="0.2">
      <c r="A68" s="5" t="str">
        <f>HYPERLINK("#'Acknowledgements'!A1", "Acknowledgements")</f>
        <v>Acknowledgements</v>
      </c>
      <c r="D68" s="120" t="s">
        <v>1494</v>
      </c>
      <c r="E68" s="125" t="s">
        <v>1495</v>
      </c>
      <c r="F68" s="126"/>
      <c r="G68" s="120" t="s">
        <v>1502</v>
      </c>
      <c r="H68" s="128" t="s">
        <v>1501</v>
      </c>
      <c r="I68" s="120">
        <f>SourceData_Dairy_GrossEnergyContent_Data</f>
        <v>18.399999999999999</v>
      </c>
    </row>
    <row r="69" spans="1:18" ht="20.100000000000001" customHeight="1" x14ac:dyDescent="0.2">
      <c r="D69" s="120" t="s">
        <v>1496</v>
      </c>
      <c r="E69" s="125" t="s">
        <v>1497</v>
      </c>
      <c r="F69" s="126"/>
      <c r="G69" s="120" t="s">
        <v>383</v>
      </c>
      <c r="H69" s="128" t="s">
        <v>1501</v>
      </c>
      <c r="I69" s="120">
        <f>SourceData_Dairy_EfficiencyOfUseOfMetabolizableEnergy_Data</f>
        <v>0.6</v>
      </c>
    </row>
    <row r="70" spans="1:18" ht="20.100000000000001" customHeight="1" x14ac:dyDescent="0.2">
      <c r="D70" s="120" t="s">
        <v>1466</v>
      </c>
      <c r="E70" s="125" t="s">
        <v>1498</v>
      </c>
      <c r="F70" s="126"/>
      <c r="G70" s="120" t="s">
        <v>383</v>
      </c>
      <c r="H70" s="128" t="s">
        <v>1503</v>
      </c>
      <c r="I70" s="127" t="str" cm="1">
        <f t="array" aca="1" ref="I70" ca="1">HYPERLINK(Common_InputFunctions.Utility_SourceHyperlink($D$21), $D$21)</f>
        <v>M1_Table_qm_j</v>
      </c>
    </row>
    <row r="72" spans="1:18" ht="20.100000000000001" customHeight="1" x14ac:dyDescent="0.2">
      <c r="D72" s="122" t="s">
        <v>395</v>
      </c>
    </row>
    <row r="73" spans="1:18" ht="20.100000000000001" customHeight="1" x14ac:dyDescent="0.2">
      <c r="D73" s="123" t="s">
        <v>348</v>
      </c>
    </row>
    <row r="74" spans="1:18" ht="20.100000000000001" customHeight="1" x14ac:dyDescent="0.2">
      <c r="D74" s="81" t="s">
        <v>330</v>
      </c>
      <c r="E74" s="81" t="s">
        <v>331</v>
      </c>
      <c r="F74" s="81" t="s">
        <v>332</v>
      </c>
      <c r="G74" s="81" t="s">
        <v>333</v>
      </c>
      <c r="H74" s="81" t="s">
        <v>334</v>
      </c>
    </row>
    <row r="75" spans="1:18" ht="20.100000000000001" customHeight="1" x14ac:dyDescent="0.2">
      <c r="D75" s="15">
        <f>IF(I64="Milk solids", 0, X_Cell_Dairy_MilkProductionAmount)</f>
        <v>20</v>
      </c>
      <c r="E75" s="15">
        <v>0</v>
      </c>
      <c r="F75" s="15">
        <v>0</v>
      </c>
      <c r="G75" s="15">
        <v>0</v>
      </c>
      <c r="H75" s="15">
        <v>0</v>
      </c>
      <c r="I75" s="16" t="s">
        <v>394</v>
      </c>
    </row>
    <row r="77" spans="1:18" ht="20.100000000000001" customHeight="1" x14ac:dyDescent="0.2">
      <c r="D77" s="122" t="s">
        <v>396</v>
      </c>
      <c r="M77" s="122" t="s">
        <v>397</v>
      </c>
    </row>
    <row r="78" spans="1:18" ht="20.100000000000001" customHeight="1" x14ac:dyDescent="0.2">
      <c r="D78" s="123" t="s">
        <v>398</v>
      </c>
      <c r="M78" s="123" t="s">
        <v>399</v>
      </c>
    </row>
    <row r="79" spans="1:18" ht="20.100000000000001" customHeight="1" x14ac:dyDescent="0.2">
      <c r="A79" s="129" t="str">
        <f>HYPERLINK("#A1", "▲ Back to top")</f>
        <v>▲ Back to top</v>
      </c>
      <c r="D79" s="124" t="s">
        <v>330</v>
      </c>
      <c r="E79" s="124" t="s">
        <v>331</v>
      </c>
      <c r="F79" s="124" t="s">
        <v>332</v>
      </c>
      <c r="G79" s="124" t="s">
        <v>333</v>
      </c>
      <c r="H79" s="124" t="s">
        <v>334</v>
      </c>
      <c r="M79" s="124" t="s">
        <v>330</v>
      </c>
      <c r="N79" s="124" t="s">
        <v>331</v>
      </c>
      <c r="O79" s="124" t="s">
        <v>332</v>
      </c>
      <c r="P79" s="124" t="s">
        <v>333</v>
      </c>
      <c r="Q79" s="124" t="s">
        <v>334</v>
      </c>
    </row>
    <row r="80" spans="1:18" ht="20.100000000000001" customHeight="1" x14ac:dyDescent="0.2">
      <c r="D80" s="15">
        <f>(((IF(I64="Milk solids", D50, D75)) * 1.03 * $I$67) / ($I$68 * $I$69 * D24))</f>
        <v>9.5798721636071917</v>
      </c>
      <c r="E80" s="15">
        <f>((E75 * 1.03 * $I$67) / ($I$68 * $I$69 * E24))</f>
        <v>0</v>
      </c>
      <c r="F80" s="15">
        <f>((F75 * 1.03 * $I$67) / ($I$68 * $I$69 * F24))</f>
        <v>0</v>
      </c>
      <c r="G80" s="15">
        <f>((G75 * 1.03 * $I$67) / ($I$68 * $I$69 * G24))</f>
        <v>0</v>
      </c>
      <c r="H80" s="15">
        <f>((H75 * 1.03 * $I$67) / ($I$68 * $I$69 * H24))</f>
        <v>0</v>
      </c>
      <c r="I80" s="16" t="str">
        <f>$E$62</f>
        <v>kg DM/head/day</v>
      </c>
      <c r="M80" s="15">
        <f>(((IF(I64="Milk solids", M50, D75)) * 1.03 * $I$67) / ($I$68 * $I$69 * D24))</f>
        <v>9.5798721636071917</v>
      </c>
      <c r="N80" s="15">
        <f>((E75 * 1.03 * $I$67) / ($I$68 * $I$69 * N24))</f>
        <v>0</v>
      </c>
      <c r="O80" s="15">
        <f>((F75 * 1.03 * $I$67) / ($I$68 * $I$69 * O24))</f>
        <v>0</v>
      </c>
      <c r="P80" s="15">
        <f>((G75 * 1.03 * $I$67) / ($I$68 * $I$69 * P24))</f>
        <v>0</v>
      </c>
      <c r="Q80" s="15">
        <f>((H75 * 1.03 * $I$67) / ($I$68 * $I$69 * Q24))</f>
        <v>0</v>
      </c>
      <c r="R80" s="16" t="str">
        <f>$E$62</f>
        <v>kg DM/head/day</v>
      </c>
    </row>
    <row r="83" spans="3:19" ht="20.100000000000001" customHeight="1" x14ac:dyDescent="0.2">
      <c r="C83" s="88"/>
      <c r="D83" s="88"/>
      <c r="E83" s="88"/>
      <c r="F83" s="88"/>
      <c r="G83" s="88"/>
      <c r="H83" s="88"/>
      <c r="I83" s="88"/>
      <c r="J83" s="88"/>
      <c r="L83" s="88"/>
      <c r="M83" s="88"/>
      <c r="N83" s="88"/>
      <c r="O83" s="88"/>
      <c r="P83" s="88"/>
      <c r="Q83" s="88"/>
      <c r="R83" s="88"/>
      <c r="S83" s="88"/>
    </row>
    <row r="84" spans="3:19" ht="20.100000000000001" customHeight="1" x14ac:dyDescent="0.2">
      <c r="D84" s="2" t="s">
        <v>1504</v>
      </c>
    </row>
    <row r="85" spans="3:19" ht="20.100000000000001" customHeight="1" x14ac:dyDescent="0.2">
      <c r="D85" s="17" t="s">
        <v>1505</v>
      </c>
    </row>
    <row r="86" spans="3:19" ht="20.100000000000001" customHeight="1" x14ac:dyDescent="0.2">
      <c r="D86" s="118"/>
      <c r="E86" s="118"/>
    </row>
    <row r="89" spans="3:19" ht="20.100000000000001" customHeight="1" x14ac:dyDescent="0.2">
      <c r="D89" s="76" t="s">
        <v>378</v>
      </c>
      <c r="E89" s="1" t="s">
        <v>1506</v>
      </c>
    </row>
    <row r="90" spans="3:19" ht="20.100000000000001" customHeight="1" x14ac:dyDescent="0.2">
      <c r="D90" s="76" t="s">
        <v>118</v>
      </c>
      <c r="E90" s="9" t="s">
        <v>1489</v>
      </c>
    </row>
    <row r="92" spans="3:19" ht="20.100000000000001" customHeight="1" x14ac:dyDescent="0.2">
      <c r="D92" s="120" t="s">
        <v>1507</v>
      </c>
      <c r="E92" s="125" t="s">
        <v>1508</v>
      </c>
      <c r="F92" s="126"/>
      <c r="G92" s="120" t="s">
        <v>738</v>
      </c>
      <c r="H92" s="121" t="s">
        <v>1469</v>
      </c>
      <c r="I92" s="127" t="str" cm="1">
        <f t="array" aca="1" ref="I92" ca="1">HYPERLINK(Common_InputFunctions.Utility_SourceHyperlink($D$97), $D$97)</f>
        <v>M1_Table_W_j</v>
      </c>
    </row>
    <row r="93" spans="3:19" ht="20.100000000000001" customHeight="1" x14ac:dyDescent="0.2">
      <c r="D93" s="120" t="s">
        <v>1509</v>
      </c>
      <c r="E93" s="125" t="s">
        <v>1510</v>
      </c>
      <c r="F93" s="126"/>
      <c r="G93" s="120" t="s">
        <v>341</v>
      </c>
      <c r="H93" s="121" t="s">
        <v>1469</v>
      </c>
      <c r="I93" s="127" t="str" cm="1">
        <f t="array" aca="1" ref="I93" ca="1">HYPERLINK(Common_InputFunctions.Utility_SourceHyperlink($D$102), $D$102)</f>
        <v>M1_Table_LWG_j</v>
      </c>
    </row>
    <row r="94" spans="3:19" ht="20.100000000000001" customHeight="1" x14ac:dyDescent="0.2">
      <c r="D94" s="120" t="s">
        <v>1511</v>
      </c>
      <c r="E94" s="125" t="s">
        <v>1512</v>
      </c>
      <c r="F94" s="126"/>
      <c r="G94" s="120" t="s">
        <v>383</v>
      </c>
      <c r="H94" s="128" t="s">
        <v>1501</v>
      </c>
      <c r="I94" s="127" t="str" cm="1">
        <f t="array" aca="1" ref="I94" ca="1">HYPERLINK(Common_InputFunctions.Utility_SourceHyperlink($D$107), $D$107)</f>
        <v>Table_MR_j</v>
      </c>
    </row>
    <row r="95" spans="3:19" ht="20.100000000000001" customHeight="1" x14ac:dyDescent="0.2">
      <c r="D95" s="120" t="s">
        <v>1488</v>
      </c>
      <c r="E95" s="125" t="s">
        <v>1513</v>
      </c>
      <c r="F95" s="126"/>
      <c r="G95" s="120" t="s">
        <v>1489</v>
      </c>
      <c r="H95" s="128" t="s">
        <v>1514</v>
      </c>
      <c r="I95" s="127" t="str" cm="1">
        <f t="array" aca="1" ref="I95" ca="1">HYPERLINK(Common_InputFunctions.Utility_SourceHyperlink($D$77), $D$77)</f>
        <v>M1_Table_MI_j</v>
      </c>
    </row>
    <row r="97" spans="1:18" ht="20.100000000000001" customHeight="1" x14ac:dyDescent="0.2">
      <c r="D97" s="122" t="s">
        <v>400</v>
      </c>
      <c r="M97" s="122" t="s">
        <v>401</v>
      </c>
    </row>
    <row r="98" spans="1:18" ht="20.100000000000001" customHeight="1" x14ac:dyDescent="0.2">
      <c r="D98" s="123" t="s">
        <v>402</v>
      </c>
      <c r="M98" s="123" t="s">
        <v>403</v>
      </c>
    </row>
    <row r="99" spans="1:18" ht="20.100000000000001" customHeight="1" x14ac:dyDescent="0.2">
      <c r="D99" s="81" t="s">
        <v>330</v>
      </c>
      <c r="E99" s="81" t="s">
        <v>331</v>
      </c>
      <c r="F99" s="81" t="s">
        <v>332</v>
      </c>
      <c r="G99" s="81" t="s">
        <v>333</v>
      </c>
      <c r="H99" s="81" t="s">
        <v>334</v>
      </c>
      <c r="M99" s="81" t="s">
        <v>330</v>
      </c>
      <c r="N99" s="81" t="s">
        <v>331</v>
      </c>
      <c r="O99" s="81" t="s">
        <v>332</v>
      </c>
      <c r="P99" s="81" t="s">
        <v>333</v>
      </c>
      <c r="Q99" s="81" t="s">
        <v>334</v>
      </c>
    </row>
    <row r="100" spans="1:18" ht="20.100000000000001" customHeight="1" x14ac:dyDescent="0.2">
      <c r="D100" s="15">
        <f>'Input - Dairy'!$E$14</f>
        <v>550</v>
      </c>
      <c r="E100" s="15">
        <f>'Input - Dairy'!$F$14</f>
        <v>380</v>
      </c>
      <c r="F100" s="15">
        <f>'Input - Dairy'!$G$14</f>
        <v>155</v>
      </c>
      <c r="G100" s="15">
        <f>'Input - Dairy'!$H$14</f>
        <v>600</v>
      </c>
      <c r="H100" s="15">
        <f>'Input - Dairy'!$I$14</f>
        <v>225</v>
      </c>
      <c r="I100" s="16" t="s">
        <v>339</v>
      </c>
      <c r="M100" s="15">
        <f>'Input - Dairy'!$E$18</f>
        <v>550</v>
      </c>
      <c r="N100" s="15">
        <f>'Input - Dairy'!$F$18</f>
        <v>380</v>
      </c>
      <c r="O100" s="15">
        <f>'Input - Dairy'!$G$18</f>
        <v>155</v>
      </c>
      <c r="P100" s="15">
        <f>'Input - Dairy'!$H$18</f>
        <v>600</v>
      </c>
      <c r="Q100" s="15">
        <f>'Input - Dairy'!$I$18</f>
        <v>225</v>
      </c>
      <c r="R100" s="16" t="s">
        <v>339</v>
      </c>
    </row>
    <row r="102" spans="1:18" ht="20.100000000000001" customHeight="1" x14ac:dyDescent="0.2">
      <c r="D102" s="122" t="s">
        <v>404</v>
      </c>
      <c r="M102" s="122" t="s">
        <v>405</v>
      </c>
    </row>
    <row r="103" spans="1:18" ht="20.100000000000001" customHeight="1" x14ac:dyDescent="0.2">
      <c r="D103" s="123" t="s">
        <v>406</v>
      </c>
      <c r="M103" s="123" t="s">
        <v>407</v>
      </c>
    </row>
    <row r="104" spans="1:18" ht="20.100000000000001" customHeight="1" x14ac:dyDescent="0.2">
      <c r="D104" s="81" t="s">
        <v>330</v>
      </c>
      <c r="E104" s="81" t="s">
        <v>331</v>
      </c>
      <c r="F104" s="81" t="s">
        <v>332</v>
      </c>
      <c r="G104" s="81" t="s">
        <v>333</v>
      </c>
      <c r="H104" s="81" t="s">
        <v>334</v>
      </c>
      <c r="M104" s="81" t="s">
        <v>330</v>
      </c>
      <c r="N104" s="81" t="s">
        <v>331</v>
      </c>
      <c r="O104" s="81" t="s">
        <v>332</v>
      </c>
      <c r="P104" s="81" t="s">
        <v>333</v>
      </c>
      <c r="Q104" s="81" t="s">
        <v>334</v>
      </c>
    </row>
    <row r="105" spans="1:18" ht="20.100000000000001" customHeight="1" x14ac:dyDescent="0.2">
      <c r="D105" s="15">
        <f>'Input - Dairy'!$E$15</f>
        <v>1.6E-2</v>
      </c>
      <c r="E105" s="15">
        <f>'Input - Dairy'!$F$15</f>
        <v>0.6</v>
      </c>
      <c r="F105" s="15">
        <f>'Input - Dairy'!$G$15</f>
        <v>0.56999999999999995</v>
      </c>
      <c r="G105" s="15">
        <f>'Input - Dairy'!$H$15</f>
        <v>0.1</v>
      </c>
      <c r="H105" s="15">
        <f>'Input - Dairy'!$I$15</f>
        <v>0.8</v>
      </c>
      <c r="I105" s="16" t="s">
        <v>341</v>
      </c>
      <c r="M105" s="15">
        <f>'Input - Dairy'!$E$19</f>
        <v>1.6E-2</v>
      </c>
      <c r="N105" s="15">
        <f>'Input - Dairy'!$F$19</f>
        <v>0.6</v>
      </c>
      <c r="O105" s="15">
        <f>'Input - Dairy'!$G$19</f>
        <v>0.56999999999999995</v>
      </c>
      <c r="P105" s="15">
        <f>'Input - Dairy'!$H$19</f>
        <v>0.1</v>
      </c>
      <c r="Q105" s="15">
        <f>'Input - Dairy'!$I$19</f>
        <v>0.8</v>
      </c>
      <c r="R105" s="16" t="s">
        <v>341</v>
      </c>
    </row>
    <row r="107" spans="1:18" ht="20.100000000000001" customHeight="1" x14ac:dyDescent="0.2">
      <c r="D107" s="122" t="s">
        <v>408</v>
      </c>
    </row>
    <row r="108" spans="1:18" ht="20.100000000000001" customHeight="1" x14ac:dyDescent="0.2">
      <c r="D108" s="123" t="s">
        <v>409</v>
      </c>
    </row>
    <row r="109" spans="1:18" ht="20.100000000000001" customHeight="1" x14ac:dyDescent="0.2">
      <c r="A109" s="129" t="str">
        <f>HYPERLINK("#A1", "▲ Back to top")</f>
        <v>▲ Back to top</v>
      </c>
      <c r="D109" s="124" t="s">
        <v>330</v>
      </c>
      <c r="E109" s="124" t="s">
        <v>331</v>
      </c>
      <c r="F109" s="124" t="s">
        <v>332</v>
      </c>
      <c r="G109" s="124" t="s">
        <v>333</v>
      </c>
      <c r="H109" s="124" t="s">
        <v>334</v>
      </c>
    </row>
    <row r="110" spans="1:18" ht="20.100000000000001" customHeight="1" x14ac:dyDescent="0.2">
      <c r="D110" s="15">
        <f>'Constants - Dairy'!$E$108</f>
        <v>1.1000000000000001</v>
      </c>
      <c r="E110" s="15">
        <f>'Constants - Dairy'!$E$109</f>
        <v>1</v>
      </c>
      <c r="F110" s="15">
        <f>'Constants - Dairy'!$E$109</f>
        <v>1</v>
      </c>
      <c r="G110" s="15">
        <f>'Constants - Dairy'!$E$109</f>
        <v>1</v>
      </c>
      <c r="H110" s="15">
        <f>'Constants - Dairy'!$E$109</f>
        <v>1</v>
      </c>
      <c r="I110" s="16" t="s">
        <v>346</v>
      </c>
    </row>
    <row r="112" spans="1:18" ht="20.100000000000001" customHeight="1" x14ac:dyDescent="0.2">
      <c r="D112" s="122" t="s">
        <v>410</v>
      </c>
      <c r="M112" s="122" t="s">
        <v>411</v>
      </c>
    </row>
    <row r="113" spans="3:19" ht="20.100000000000001" customHeight="1" x14ac:dyDescent="0.2">
      <c r="D113" s="123" t="s">
        <v>412</v>
      </c>
      <c r="M113" s="123" t="s">
        <v>413</v>
      </c>
    </row>
    <row r="114" spans="3:19" ht="20.100000000000001" customHeight="1" x14ac:dyDescent="0.2">
      <c r="D114" s="124" t="s">
        <v>330</v>
      </c>
      <c r="E114" s="124" t="s">
        <v>331</v>
      </c>
      <c r="F114" s="124" t="s">
        <v>332</v>
      </c>
      <c r="G114" s="124" t="s">
        <v>333</v>
      </c>
      <c r="H114" s="124" t="s">
        <v>334</v>
      </c>
      <c r="M114" s="124" t="s">
        <v>330</v>
      </c>
      <c r="N114" s="124" t="s">
        <v>331</v>
      </c>
      <c r="O114" s="124" t="s">
        <v>332</v>
      </c>
      <c r="P114" s="124" t="s">
        <v>333</v>
      </c>
      <c r="Q114" s="124" t="s">
        <v>334</v>
      </c>
    </row>
    <row r="115" spans="3:19" ht="20.100000000000001" customHeight="1" x14ac:dyDescent="0.2">
      <c r="D115" s="15">
        <f>((1.185 + 0.00454 * D100 - 0.0000026 * D100 ^ 2 + 0.315 * D105) ^ 2 * D110 + D80)</f>
        <v>18.834317684367193</v>
      </c>
      <c r="E115" s="15">
        <f>((1.185 + 0.00454 * E100 - 0.0000026 * E100 ^ 2 + 0.315 * E105) ^ 2 * E110 + E80)</f>
        <v>7.4188685375999972</v>
      </c>
      <c r="F115" s="15">
        <f>((1.185 + 0.00454 * F100 - 0.0000026 * F100 ^ 2 + 0.315 * F105) ^ 2 * F110 + F80)</f>
        <v>4.0231734662249998</v>
      </c>
      <c r="G115" s="15">
        <f>((1.185 + 0.00454 * G100 - 0.0000026 * G100 ^ 2 + 0.315 * G105) ^ 2 * G110 + G80)</f>
        <v>9.0270202499999979</v>
      </c>
      <c r="H115" s="15">
        <f>((1.185 + 0.00454 * H100 - 0.0000026 * H100 ^ 2 + 0.315 * H105) ^ 2 * H110 + H80)</f>
        <v>5.4143472656250013</v>
      </c>
      <c r="I115" s="16" t="str">
        <f>$E$90</f>
        <v>kg DM/head/day</v>
      </c>
      <c r="M115" s="15">
        <f>((1.185 + 0.00454 * M100 - 0.0000026 * M100 ^ 2 + 0.315 * M105) ^ 2 * D110 + M80)</f>
        <v>18.834317684367193</v>
      </c>
      <c r="N115" s="15">
        <f>((1.185 + 0.00454 * N100 - 0.0000026 * N100 ^ 2 + 0.315 * N105) ^ 2 * E110 + N80)</f>
        <v>7.4188685375999972</v>
      </c>
      <c r="O115" s="15">
        <f>((1.185 + 0.00454 * O100 - 0.0000026 * O100 ^ 2 + 0.315 * O105) ^ 2 * F110 + O80)</f>
        <v>4.0231734662249998</v>
      </c>
      <c r="P115" s="15">
        <f>((1.185 + 0.00454 * P100 - 0.0000026 * P100 ^ 2 + 0.315 * P105) ^ 2 * G110 + P80)</f>
        <v>9.0270202499999979</v>
      </c>
      <c r="Q115" s="15">
        <f>((1.185 + 0.00454 * Q100 - 0.0000026 * Q100 ^ 2 + 0.315 * Q105) ^ 2 * H110 + Q80)</f>
        <v>5.4143472656250013</v>
      </c>
      <c r="R115" s="16" t="str">
        <f>$E$90</f>
        <v>kg DM/head/day</v>
      </c>
    </row>
    <row r="118" spans="3:19" ht="20.100000000000001" customHeight="1" x14ac:dyDescent="0.2">
      <c r="C118" s="88"/>
      <c r="D118" s="88"/>
      <c r="E118" s="88"/>
      <c r="F118" s="88"/>
      <c r="G118" s="88"/>
      <c r="H118" s="88"/>
      <c r="I118" s="88"/>
      <c r="J118" s="88"/>
      <c r="L118" s="88"/>
      <c r="M118" s="88"/>
      <c r="N118" s="88"/>
      <c r="O118" s="88"/>
      <c r="P118" s="88"/>
      <c r="Q118" s="88"/>
      <c r="R118" s="88"/>
      <c r="S118" s="88"/>
    </row>
    <row r="119" spans="3:19" ht="20.100000000000001" customHeight="1" x14ac:dyDescent="0.2">
      <c r="D119" s="78" t="s">
        <v>1515</v>
      </c>
    </row>
    <row r="120" spans="3:19" ht="20.100000000000001" customHeight="1" x14ac:dyDescent="0.2">
      <c r="D120" s="17" t="s">
        <v>1516</v>
      </c>
    </row>
    <row r="121" spans="3:19" ht="20.100000000000001" customHeight="1" x14ac:dyDescent="0.2">
      <c r="D121" s="118"/>
      <c r="E121" s="118"/>
    </row>
    <row r="124" spans="3:19" ht="20.100000000000001" customHeight="1" x14ac:dyDescent="0.2">
      <c r="D124" s="76" t="s">
        <v>378</v>
      </c>
      <c r="E124" s="1" t="s">
        <v>1517</v>
      </c>
    </row>
    <row r="125" spans="3:19" ht="20.100000000000001" customHeight="1" x14ac:dyDescent="0.2">
      <c r="D125" s="76" t="s">
        <v>118</v>
      </c>
      <c r="E125" s="9" t="s">
        <v>1518</v>
      </c>
    </row>
    <row r="127" spans="3:19" ht="20.100000000000001" customHeight="1" x14ac:dyDescent="0.2">
      <c r="D127" s="120" t="str" cm="1">
        <f t="array" ref="D127:G127">(_xlfn.MAKEARRAY(1, 4, _xlfn.LAMBDA(_xlpm.r,_xlpm.c, INDEX({"I_j","dry matter feed intake","kg DM/head/day","Calculated from 3.3.1.1 (3)"}, _xlpm.r, _xlpm.c))))</f>
        <v>I_j</v>
      </c>
      <c r="E127" s="120" t="str">
        <v>dry matter feed intake</v>
      </c>
      <c r="F127" s="120" t="str">
        <v>kg DM/head/day</v>
      </c>
      <c r="G127" s="128" t="str">
        <v>Calculated from 3.3.1.1 (3)</v>
      </c>
      <c r="H127" s="127" t="str" cm="1">
        <f t="array" aca="1" ref="H127" ca="1">HYPERLINK(Common_InputFunctions.Utility_SourceHyperlink($D$112),$D$112)</f>
        <v>M1_Table_I_j</v>
      </c>
    </row>
    <row r="129" spans="1:19" ht="20.100000000000001" customHeight="1" x14ac:dyDescent="0.2">
      <c r="D129" s="122" t="s">
        <v>649</v>
      </c>
      <c r="M129" s="122" t="s">
        <v>650</v>
      </c>
    </row>
    <row r="130" spans="1:19" ht="20.100000000000001" customHeight="1" x14ac:dyDescent="0.2">
      <c r="D130" s="123" t="s">
        <v>651</v>
      </c>
      <c r="M130" s="123" t="s">
        <v>652</v>
      </c>
    </row>
    <row r="131" spans="1:19" ht="20.100000000000001" customHeight="1" x14ac:dyDescent="0.2">
      <c r="D131" s="124" t="s">
        <v>330</v>
      </c>
      <c r="E131" s="124" t="s">
        <v>331</v>
      </c>
      <c r="F131" s="124" t="s">
        <v>332</v>
      </c>
      <c r="G131" s="124" t="s">
        <v>333</v>
      </c>
      <c r="H131" s="124" t="s">
        <v>334</v>
      </c>
      <c r="M131" s="124" t="s">
        <v>330</v>
      </c>
      <c r="N131" s="124" t="s">
        <v>331</v>
      </c>
      <c r="O131" s="124" t="s">
        <v>332</v>
      </c>
      <c r="P131" s="124" t="s">
        <v>333</v>
      </c>
      <c r="Q131" s="124" t="s">
        <v>334</v>
      </c>
    </row>
    <row r="132" spans="1:19" ht="20.100000000000001" customHeight="1" x14ac:dyDescent="0.2">
      <c r="D132" s="15">
        <f>(20.7 * D115 * 10 ^ -3)</f>
        <v>0.38987037606640085</v>
      </c>
      <c r="E132" s="15">
        <f>(20.7 * E115 * 10 ^ -3)</f>
        <v>0.15357057872831995</v>
      </c>
      <c r="F132" s="15">
        <f>(20.7 * F115 * 10 ^ -3)</f>
        <v>8.3279690750857505E-2</v>
      </c>
      <c r="G132" s="15">
        <f>(20.7 * G115 * 10 ^ -3)</f>
        <v>0.18685931917499995</v>
      </c>
      <c r="H132" s="15">
        <f>(20.7 * H115 * 10 ^ -3)</f>
        <v>0.11207698839843752</v>
      </c>
      <c r="I132" s="16" t="str">
        <f>$E$125</f>
        <v>kg CH4/head/day</v>
      </c>
      <c r="M132" s="15">
        <f>(20.7 * M115 * 10 ^ -3)</f>
        <v>0.38987037606640085</v>
      </c>
      <c r="N132" s="15">
        <f>(20.7 * N115 * 10 ^ -3)</f>
        <v>0.15357057872831995</v>
      </c>
      <c r="O132" s="15">
        <f>(20.7 * O115 * 10 ^ -3)</f>
        <v>8.3279690750857505E-2</v>
      </c>
      <c r="P132" s="15">
        <f>(20.7 * P115 * 10 ^ -3)</f>
        <v>0.18685931917499995</v>
      </c>
      <c r="Q132" s="15">
        <f>(20.7 * Q115 * 10 ^ -3)</f>
        <v>0.11207698839843752</v>
      </c>
      <c r="R132" s="16" t="str">
        <f>$E$125</f>
        <v>kg CH4/head/day</v>
      </c>
    </row>
    <row r="135" spans="1:19" ht="20.100000000000001" customHeight="1" x14ac:dyDescent="0.2">
      <c r="C135" s="88"/>
      <c r="D135" s="88"/>
      <c r="E135" s="88"/>
      <c r="F135" s="88"/>
      <c r="G135" s="88"/>
      <c r="H135" s="88"/>
      <c r="I135" s="88"/>
      <c r="J135" s="88"/>
      <c r="L135" s="88"/>
      <c r="M135" s="88"/>
      <c r="N135" s="88"/>
      <c r="O135" s="88"/>
      <c r="P135" s="88"/>
      <c r="Q135" s="88"/>
      <c r="R135" s="88"/>
      <c r="S135" s="88"/>
    </row>
    <row r="136" spans="1:19" ht="20.100000000000001" customHeight="1" x14ac:dyDescent="0.2">
      <c r="D136" s="78" t="s">
        <v>1519</v>
      </c>
    </row>
    <row r="137" spans="1:19" ht="20.100000000000001" customHeight="1" x14ac:dyDescent="0.2">
      <c r="D137" s="17" t="s">
        <v>1520</v>
      </c>
    </row>
    <row r="138" spans="1:19" ht="20.100000000000001" customHeight="1" x14ac:dyDescent="0.2">
      <c r="D138" s="25" t="s">
        <v>1521</v>
      </c>
    </row>
    <row r="139" spans="1:19" ht="20.100000000000001" customHeight="1" x14ac:dyDescent="0.2">
      <c r="A139" s="129" t="str">
        <f>HYPERLINK("#A1", "▲ Back to top")</f>
        <v>▲ Back to top</v>
      </c>
      <c r="D139" s="118"/>
      <c r="E139" s="118"/>
    </row>
    <row r="145" spans="4:9" ht="20.100000000000001" customHeight="1" x14ac:dyDescent="0.2">
      <c r="D145" s="76" t="s">
        <v>378</v>
      </c>
      <c r="E145" s="1" t="s">
        <v>1522</v>
      </c>
    </row>
    <row r="146" spans="4:9" ht="20.100000000000001" customHeight="1" x14ac:dyDescent="0.2">
      <c r="D146" s="76" t="s">
        <v>118</v>
      </c>
      <c r="E146" s="9" t="s">
        <v>5</v>
      </c>
    </row>
    <row r="148" spans="4:9" ht="20.100000000000001" customHeight="1" x14ac:dyDescent="0.2">
      <c r="D148" s="120" t="s">
        <v>1523</v>
      </c>
      <c r="E148" s="125" t="s">
        <v>1524</v>
      </c>
      <c r="F148" s="126"/>
      <c r="G148" s="120" t="s">
        <v>335</v>
      </c>
      <c r="H148" s="121" t="s">
        <v>1469</v>
      </c>
      <c r="I148" s="127" t="str" cm="1">
        <f t="array" aca="1" ref="I148" ca="1">HYPERLINK(Common_InputFunctions.Utility_SourceHyperlink($D$157),$D$157)</f>
        <v>Table_N_j</v>
      </c>
    </row>
    <row r="149" spans="4:9" ht="20.100000000000001" customHeight="1" x14ac:dyDescent="0.2">
      <c r="D149" s="120" t="s">
        <v>1525</v>
      </c>
      <c r="E149" s="125" t="s">
        <v>1526</v>
      </c>
      <c r="F149" s="126"/>
      <c r="G149" s="120" t="s">
        <v>1518</v>
      </c>
      <c r="H149" s="128" t="s">
        <v>1539</v>
      </c>
      <c r="I149" s="127" t="str" cm="1">
        <f t="array" aca="1" ref="I149" ca="1">HYPERLINK(Common_InputFunctions.Utility_SourceHyperlink($D$129),$D$129)</f>
        <v>M1_Table_M_j</v>
      </c>
    </row>
    <row r="150" spans="4:9" ht="20.100000000000001" customHeight="1" x14ac:dyDescent="0.2">
      <c r="D150" s="120" t="s">
        <v>1527</v>
      </c>
      <c r="E150" s="125" t="s">
        <v>1528</v>
      </c>
      <c r="F150" s="126"/>
      <c r="G150" s="120" t="s">
        <v>1540</v>
      </c>
      <c r="H150" s="121" t="s">
        <v>1469</v>
      </c>
      <c r="I150" s="127" t="str" cm="1">
        <f t="array" aca="1" ref="I150" ca="1">HYPERLINK(Common_InputFunctions.Utility_SourceHyperlink($D$162),$D$162)</f>
        <v>M1_Table_D_j</v>
      </c>
    </row>
    <row r="151" spans="4:9" ht="20.100000000000001" customHeight="1" x14ac:dyDescent="0.2">
      <c r="D151" s="120" t="s">
        <v>1529</v>
      </c>
      <c r="E151" s="125" t="s">
        <v>1530</v>
      </c>
      <c r="F151" s="126"/>
      <c r="G151" s="120" t="s">
        <v>335</v>
      </c>
      <c r="H151" s="121" t="s">
        <v>1469</v>
      </c>
      <c r="I151" s="127" t="str" cm="1">
        <f t="array" aca="1" ref="I151" ca="1">HYPERLINK(Common_InputFunctions.Utility_SourceHyperlink($D$157),$D$157)</f>
        <v>Table_N_j</v>
      </c>
    </row>
    <row r="152" spans="4:9" ht="20.100000000000001" customHeight="1" x14ac:dyDescent="0.2">
      <c r="D152" s="120" t="s">
        <v>1531</v>
      </c>
      <c r="E152" s="125" t="s">
        <v>1532</v>
      </c>
      <c r="F152" s="126"/>
      <c r="G152" s="120" t="s">
        <v>1518</v>
      </c>
      <c r="H152" s="128" t="s">
        <v>1539</v>
      </c>
      <c r="I152" s="127" t="str" cm="1">
        <f t="array" aca="1" ref="I152" ca="1">HYPERLINK(Common_InputFunctions.Utility_SourceHyperlink($D$129),$D$129)</f>
        <v>M1_Table_M_j</v>
      </c>
    </row>
    <row r="153" spans="4:9" ht="20.100000000000001" customHeight="1" x14ac:dyDescent="0.2">
      <c r="D153" s="120" t="s">
        <v>1533</v>
      </c>
      <c r="E153" s="125" t="s">
        <v>1534</v>
      </c>
      <c r="F153" s="126"/>
      <c r="G153" s="120" t="s">
        <v>1540</v>
      </c>
      <c r="H153" s="121" t="s">
        <v>1469</v>
      </c>
      <c r="I153" s="127" t="str" cm="1">
        <f t="array" aca="1" ref="I153" ca="1">HYPERLINK(Common_InputFunctions.Utility_SourceHyperlink($D$162),$D$162)</f>
        <v>M1_Table_D_j</v>
      </c>
    </row>
    <row r="154" spans="4:9" ht="20.100000000000001" customHeight="1" x14ac:dyDescent="0.2">
      <c r="D154" s="120" t="s">
        <v>1535</v>
      </c>
      <c r="E154" s="125" t="s">
        <v>1536</v>
      </c>
      <c r="F154" s="126"/>
      <c r="G154" s="120" t="s">
        <v>1540</v>
      </c>
      <c r="H154" s="121" t="s">
        <v>1469</v>
      </c>
      <c r="I154" s="127" t="str" cm="1">
        <f t="array" aca="1" ref="I154" ca="1">HYPERLINK(Common_InputFunctions.Utility_SourceHyperlink($D$167),$D$167)</f>
        <v>M1_Table_DPW_j-3-5</v>
      </c>
    </row>
    <row r="155" spans="4:9" ht="20.100000000000001" customHeight="1" x14ac:dyDescent="0.2">
      <c r="D155" s="120" t="s">
        <v>1537</v>
      </c>
      <c r="E155" s="120" t="s">
        <v>1538</v>
      </c>
      <c r="F155" s="120"/>
      <c r="G155" s="120" t="s">
        <v>1518</v>
      </c>
      <c r="H155" s="128" t="s">
        <v>1501</v>
      </c>
      <c r="I155" s="127" t="str" cm="1">
        <f t="array" aca="1" ref="I155" ca="1">HYPERLINK(Common_InputFunctions.Utility_SourceHyperlink($D$172),$D$172)</f>
        <v>M1_Table_MPW_j-3-5</v>
      </c>
    </row>
    <row r="157" spans="4:9" ht="20.100000000000001" customHeight="1" x14ac:dyDescent="0.2">
      <c r="D157" s="122" t="s">
        <v>451</v>
      </c>
    </row>
    <row r="158" spans="4:9" ht="20.100000000000001" customHeight="1" x14ac:dyDescent="0.2">
      <c r="D158" s="123" t="s">
        <v>653</v>
      </c>
    </row>
    <row r="159" spans="4:9" ht="20.100000000000001" customHeight="1" x14ac:dyDescent="0.2">
      <c r="D159" s="81" t="s">
        <v>330</v>
      </c>
      <c r="E159" s="81" t="s">
        <v>331</v>
      </c>
      <c r="F159" s="81" t="s">
        <v>332</v>
      </c>
      <c r="G159" s="81" t="s">
        <v>333</v>
      </c>
      <c r="H159" s="81" t="s">
        <v>334</v>
      </c>
    </row>
    <row r="160" spans="4:9" ht="20.100000000000001" customHeight="1" x14ac:dyDescent="0.2">
      <c r="D160" s="134">
        <f>'Input - Dairy'!E10</f>
        <v>100</v>
      </c>
      <c r="E160" s="134">
        <f>'Input - Dairy'!F10</f>
        <v>100</v>
      </c>
      <c r="F160" s="134">
        <f>'Input - Dairy'!G10</f>
        <v>100</v>
      </c>
      <c r="G160" s="134">
        <f>'Input - Dairy'!H10</f>
        <v>100</v>
      </c>
      <c r="H160" s="134">
        <f>'Input - Dairy'!I10</f>
        <v>100</v>
      </c>
      <c r="I160" s="9" t="str">
        <f>$G$148</f>
        <v>head</v>
      </c>
    </row>
    <row r="162" spans="1:18" ht="20.100000000000001" customHeight="1" x14ac:dyDescent="0.2">
      <c r="D162" s="122" t="s">
        <v>454</v>
      </c>
      <c r="M162" s="122" t="s">
        <v>455</v>
      </c>
    </row>
    <row r="163" spans="1:18" ht="20.100000000000001" customHeight="1" x14ac:dyDescent="0.2">
      <c r="D163" s="123" t="s">
        <v>654</v>
      </c>
      <c r="M163" s="123" t="s">
        <v>655</v>
      </c>
    </row>
    <row r="164" spans="1:18" ht="20.100000000000001" customHeight="1" x14ac:dyDescent="0.2">
      <c r="D164" s="81" t="s">
        <v>330</v>
      </c>
      <c r="E164" s="81" t="s">
        <v>331</v>
      </c>
      <c r="F164" s="81" t="s">
        <v>332</v>
      </c>
      <c r="G164" s="81" t="s">
        <v>333</v>
      </c>
      <c r="H164" s="81" t="s">
        <v>334</v>
      </c>
      <c r="M164" s="81" t="s">
        <v>330</v>
      </c>
      <c r="N164" s="81" t="s">
        <v>331</v>
      </c>
      <c r="O164" s="81" t="s">
        <v>332</v>
      </c>
      <c r="P164" s="81" t="s">
        <v>333</v>
      </c>
      <c r="Q164" s="81" t="s">
        <v>334</v>
      </c>
    </row>
    <row r="165" spans="1:18" ht="20.100000000000001" customHeight="1" x14ac:dyDescent="0.2">
      <c r="D165" s="15">
        <f>'Input - Dairy'!E24</f>
        <v>365</v>
      </c>
      <c r="E165" s="15">
        <f>'Input - Dairy'!F24</f>
        <v>365</v>
      </c>
      <c r="F165" s="15">
        <f>'Input - Dairy'!G24</f>
        <v>281</v>
      </c>
      <c r="G165" s="15">
        <f>'Input - Dairy'!H24</f>
        <v>365</v>
      </c>
      <c r="H165" s="15">
        <f>'Input - Dairy'!I24</f>
        <v>281</v>
      </c>
      <c r="I165" s="9" t="str">
        <f>$G$150</f>
        <v>days</v>
      </c>
      <c r="M165" s="15">
        <f>'Input - Dairy'!E28</f>
        <v>365</v>
      </c>
      <c r="N165" s="15">
        <f>'Input - Dairy'!F28</f>
        <v>365</v>
      </c>
      <c r="O165" s="15">
        <f>'Input - Dairy'!G28</f>
        <v>281</v>
      </c>
      <c r="P165" s="15">
        <f>'Input - Dairy'!H28</f>
        <v>365</v>
      </c>
      <c r="Q165" s="15">
        <f>'Input - Dairy'!I28</f>
        <v>281</v>
      </c>
      <c r="R165" s="9" t="str">
        <f>$G$150</f>
        <v>days</v>
      </c>
    </row>
    <row r="167" spans="1:18" ht="20.100000000000001" customHeight="1" x14ac:dyDescent="0.2">
      <c r="D167" s="122" t="s">
        <v>656</v>
      </c>
      <c r="M167" s="122" t="s">
        <v>657</v>
      </c>
    </row>
    <row r="168" spans="1:18" ht="20.100000000000001" customHeight="1" x14ac:dyDescent="0.2">
      <c r="D168" s="123" t="s">
        <v>658</v>
      </c>
      <c r="M168" s="123" t="s">
        <v>659</v>
      </c>
    </row>
    <row r="169" spans="1:18" ht="20.100000000000001" customHeight="1" x14ac:dyDescent="0.2">
      <c r="A169" s="129" t="str">
        <f>HYPERLINK("#A1", "▲ Back to top")</f>
        <v>▲ Back to top</v>
      </c>
      <c r="D169" s="81" t="s">
        <v>330</v>
      </c>
      <c r="E169" s="81" t="s">
        <v>331</v>
      </c>
      <c r="F169" s="81" t="s">
        <v>332</v>
      </c>
      <c r="G169" s="81" t="s">
        <v>333</v>
      </c>
      <c r="H169" s="81" t="s">
        <v>334</v>
      </c>
      <c r="M169" s="81" t="s">
        <v>330</v>
      </c>
      <c r="N169" s="81" t="s">
        <v>331</v>
      </c>
      <c r="O169" s="81" t="s">
        <v>332</v>
      </c>
      <c r="P169" s="81" t="s">
        <v>333</v>
      </c>
      <c r="Q169" s="81" t="s">
        <v>334</v>
      </c>
    </row>
    <row r="170" spans="1:18" ht="20.100000000000001" customHeight="1" x14ac:dyDescent="0.2">
      <c r="D170" s="15">
        <f>'Input - Dairy'!E25</f>
        <v>0</v>
      </c>
      <c r="E170" s="15">
        <f>'Input - Dairy'!F25</f>
        <v>0</v>
      </c>
      <c r="F170" s="15">
        <f>'Input - Dairy'!G25</f>
        <v>84</v>
      </c>
      <c r="G170" s="15">
        <f>'Input - Dairy'!H25</f>
        <v>0</v>
      </c>
      <c r="H170" s="15">
        <f>'Input - Dairy'!I25</f>
        <v>84</v>
      </c>
      <c r="I170" s="9" t="str">
        <f>$G$150</f>
        <v>days</v>
      </c>
      <c r="M170" s="15">
        <f>'Input - Dairy'!E29</f>
        <v>0</v>
      </c>
      <c r="N170" s="15">
        <f>'Input - Dairy'!F29</f>
        <v>0</v>
      </c>
      <c r="O170" s="15">
        <f>'Input - Dairy'!G29</f>
        <v>84</v>
      </c>
      <c r="P170" s="15">
        <f>'Input - Dairy'!H29</f>
        <v>0</v>
      </c>
      <c r="Q170" s="15">
        <f>'Input - Dairy'!I29</f>
        <v>84</v>
      </c>
      <c r="R170" s="9" t="str">
        <f>$G$150</f>
        <v>days</v>
      </c>
    </row>
    <row r="172" spans="1:18" ht="20.100000000000001" customHeight="1" x14ac:dyDescent="0.2">
      <c r="D172" s="122" t="s">
        <v>660</v>
      </c>
    </row>
    <row r="173" spans="1:18" ht="20.100000000000001" customHeight="1" x14ac:dyDescent="0.2">
      <c r="D173" s="123" t="s">
        <v>658</v>
      </c>
    </row>
    <row r="174" spans="1:18" ht="20.100000000000001" customHeight="1" x14ac:dyDescent="0.2">
      <c r="D174" s="124" t="s">
        <v>332</v>
      </c>
      <c r="E174" s="124" t="s">
        <v>334</v>
      </c>
    </row>
    <row r="175" spans="1:18" ht="20.100000000000001" customHeight="1" x14ac:dyDescent="0.2">
      <c r="D175" s="15">
        <f>'Constants - Dairy'!$E$99</f>
        <v>1.7600000000000001E-2</v>
      </c>
      <c r="E175" s="15">
        <f>'Constants - Dairy'!$E$100</f>
        <v>2.0400000000000001E-2</v>
      </c>
      <c r="F175" s="9" t="str">
        <f>G155</f>
        <v>kg CH4/head/day</v>
      </c>
    </row>
    <row r="177" spans="4:18" ht="20.100000000000001" customHeight="1" x14ac:dyDescent="0.2">
      <c r="D177" s="122" t="s">
        <v>661</v>
      </c>
      <c r="M177" s="122" t="s">
        <v>661</v>
      </c>
    </row>
    <row r="178" spans="4:18" ht="20.100000000000001" customHeight="1" x14ac:dyDescent="0.2">
      <c r="D178" s="123" t="s">
        <v>662</v>
      </c>
      <c r="M178" s="123" t="s">
        <v>662</v>
      </c>
    </row>
    <row r="179" spans="4:18" ht="20.100000000000001" customHeight="1" x14ac:dyDescent="0.2">
      <c r="D179" s="124" t="s">
        <v>330</v>
      </c>
      <c r="E179" s="124" t="s">
        <v>331</v>
      </c>
      <c r="F179" s="124" t="s">
        <v>332</v>
      </c>
      <c r="G179" s="124" t="s">
        <v>333</v>
      </c>
      <c r="H179" s="124" t="s">
        <v>334</v>
      </c>
      <c r="M179" s="124" t="s">
        <v>330</v>
      </c>
      <c r="N179" s="124" t="s">
        <v>331</v>
      </c>
      <c r="O179" s="124" t="s">
        <v>332</v>
      </c>
      <c r="P179" s="124" t="s">
        <v>333</v>
      </c>
      <c r="Q179" s="124" t="s">
        <v>334</v>
      </c>
    </row>
    <row r="180" spans="4:18" ht="20.100000000000001" customHeight="1" x14ac:dyDescent="0.2">
      <c r="D180" s="15">
        <f>(((D160 * D132 * D165) + (0 * 0 * 0) + (0 * 0 * 0)) * 10 ^ -3)</f>
        <v>14.230268726423633</v>
      </c>
      <c r="E180" s="15">
        <f>(((E160 * E132 * E165) + (0 * 0 * 0) + (0 * 0 * 0)) * 10 ^ -3)</f>
        <v>5.6053261235836782</v>
      </c>
      <c r="F180" s="15">
        <f>(((0 * 0 * 0) + (F160 * F132 * F165) + (F160 * $D$175 * F170)) * 10 ^ -3)</f>
        <v>2.487999310099096</v>
      </c>
      <c r="G180" s="15">
        <f>(((G160 * G132 * G165) + (0 * 0 * 0) + (0 * 0 * 0)) * 10 ^ -3)</f>
        <v>6.8203651498874986</v>
      </c>
      <c r="H180" s="15">
        <f>(((0 * 0 * 0) + (H160 * H132 * H165) + (H160 * $E$175 * H170)) * 10 ^ -3)</f>
        <v>3.3207233739960946</v>
      </c>
      <c r="I180" s="9" t="str">
        <f>$E$146</f>
        <v>t CH4</v>
      </c>
      <c r="M180" s="15">
        <f>(((D160 * M132 * M165) + (0 * 0 * 0) + (0 * 0 * 0)) * 10 ^ -3)</f>
        <v>14.230268726423633</v>
      </c>
      <c r="N180" s="15">
        <f>(((E160 * N132 * N165) + (0 * 0 * 0) + (0 * 0 * 0)) * 10 ^ -3)</f>
        <v>5.6053261235836782</v>
      </c>
      <c r="O180" s="15">
        <f>(((0 * 0 * 0) + (F160 * O132 * O165) + (F160 * $D$175 * O170)) * 10 ^ -3)</f>
        <v>2.487999310099096</v>
      </c>
      <c r="P180" s="15">
        <f>(((G160 * P132 * P165) + (0 * 0 * 0) + (0 * 0 * 0)) * 10 ^ -3)</f>
        <v>6.8203651498874986</v>
      </c>
      <c r="Q180" s="15">
        <f>(((0 * 0 * 0) + (H160 * Q132 * Q165) + (H160 * $E$175 * Q170)) * 10 ^ -3)</f>
        <v>3.3207233739960946</v>
      </c>
      <c r="R180" s="9" t="str">
        <f>$E$146</f>
        <v>t CH4</v>
      </c>
    </row>
    <row r="182" spans="4:18" ht="20.100000000000001" customHeight="1" x14ac:dyDescent="0.2">
      <c r="D182" s="87" t="s">
        <v>663</v>
      </c>
      <c r="E182" s="90">
        <f>SUM(D180:H180)</f>
        <v>32.464682683989999</v>
      </c>
      <c r="F182" s="89" t="str">
        <f>$E$146</f>
        <v>t CH4</v>
      </c>
      <c r="M182" s="87" t="s">
        <v>663</v>
      </c>
      <c r="N182" s="90">
        <f>SUM(M180:Q180)</f>
        <v>32.464682683989999</v>
      </c>
      <c r="O182" s="89" t="str">
        <f>$E$146</f>
        <v>t CH4</v>
      </c>
    </row>
    <row r="184" spans="4:18" ht="20.100000000000001" customHeight="1" x14ac:dyDescent="0.2">
      <c r="D184" s="132" t="str" cm="1">
        <f t="array" ref="D184:E185">Common_Equations.Common_ConvertCH4ToCO2e_Arguments()</f>
        <v>ECH4</v>
      </c>
      <c r="E184" s="135" t="str">
        <v>Methane emissions (t CH4)</v>
      </c>
      <c r="F184" s="136"/>
      <c r="G184" s="15">
        <f>VEERG_3_3_1_1__1_TotalAnnualMethaneFromEntericFermentationVariation_Result_Method1</f>
        <v>32.464682683989999</v>
      </c>
      <c r="M184" s="132" t="str" cm="1">
        <f t="array" ref="M184:N185">Common_Equations.Common_ConvertCH4ToCO2e_Arguments()</f>
        <v>ECH4</v>
      </c>
      <c r="N184" s="135" t="str">
        <v>Methane emissions (t CH4)</v>
      </c>
      <c r="O184" s="136"/>
      <c r="P184" s="15">
        <f>VEERG_3_3_1_1__1_TotalAnnualMethaneFromEntericFermentationVariation_Result_Method2</f>
        <v>32.464682683989999</v>
      </c>
    </row>
    <row r="185" spans="4:18" ht="20.100000000000001" customHeight="1" x14ac:dyDescent="0.2">
      <c r="D185" s="132" t="str">
        <v>GWPCH4</v>
      </c>
      <c r="E185" s="135" t="str">
        <v>Global warming potential for methane (t CO2-e / t CH4)</v>
      </c>
      <c r="F185" s="136"/>
      <c r="G185" s="15">
        <f>Common_InputFunctions.Utility_LookupValueInTableNumber("CH4",Table_GWPData[Gas],Table_GWPData[CO2-e factor])</f>
        <v>28</v>
      </c>
      <c r="M185" s="132" t="str">
        <v>GWPCH4</v>
      </c>
      <c r="N185" s="135" t="str">
        <v>Global warming potential for methane (t CO2-e / t CH4)</v>
      </c>
      <c r="O185" s="136"/>
      <c r="P185" s="15">
        <f>Common_InputFunctions.Utility_LookupValueInTableNumber("CH4",Table_GWPData[Gas],Table_GWPData[CO2-e factor])</f>
        <v>28</v>
      </c>
    </row>
    <row r="187" spans="4:18" ht="20.100000000000001" customHeight="1" x14ac:dyDescent="0.2">
      <c r="D187" s="88" t="s">
        <v>527</v>
      </c>
      <c r="E187" s="88" cm="1">
        <f t="array" ref="E187">Common_Equations.Common_ConvertN2OToCO2e(G184,G185)</f>
        <v>909.01111515171999</v>
      </c>
      <c r="F187" s="93" t="str" cm="1">
        <f t="array" ref="F187">Common_Equations.Common_ConvertN2OToCO2e_Unit()</f>
        <v>t CO2e</v>
      </c>
      <c r="M187" s="88" t="s">
        <v>527</v>
      </c>
      <c r="N187" s="88" cm="1">
        <f t="array" ref="N187">Common_Equations.Common_ConvertN2OToCO2e(P184,P185)</f>
        <v>909.01111515171999</v>
      </c>
      <c r="O187" s="93" t="str" cm="1">
        <f t="array" ref="O187">Common_Equations.Common_ConvertN2OToCO2e_Unit()</f>
        <v>t CO2e</v>
      </c>
    </row>
  </sheetData>
  <dataValidations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4550DEA9-CA09-4850-A3B8-7160C7AFB383}"/>
  </dataValidation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1EE22-5E4D-407F-8C75-5D1FD59FC2A7}">
  <sheetPr>
    <tabColor rgb="FF008000"/>
  </sheetPr>
  <dimension ref="A1:W305"/>
  <sheetViews>
    <sheetView showGridLines="0" zoomScaleNormal="100" workbookViewId="0">
      <pane xSplit="1" topLeftCell="B1" activePane="topRight" state="frozenSplit"/>
      <selection pane="topRight" activeCell="A259" sqref="A2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377</v>
      </c>
    </row>
    <row r="2" spans="1:23" s="3" customFormat="1" ht="20.100000000000001" customHeight="1" x14ac:dyDescent="0.2">
      <c r="A2"/>
    </row>
    <row r="3" spans="1:23" ht="20.100000000000001" customHeight="1" x14ac:dyDescent="0.2">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D5" s="2" t="s">
        <v>1463</v>
      </c>
    </row>
    <row r="6" spans="1:23" ht="20.100000000000001" customHeight="1" x14ac:dyDescent="0.2">
      <c r="A6" s="5" t="str">
        <f>HYPERLINK("#'Results'!A1", "Results")</f>
        <v>Results</v>
      </c>
      <c r="D6" s="17" t="s">
        <v>1465</v>
      </c>
    </row>
    <row r="7" spans="1:23" ht="20.100000000000001" customHeight="1" x14ac:dyDescent="0.2">
      <c r="D7" s="25" t="s">
        <v>1464</v>
      </c>
    </row>
    <row r="8" spans="1:23" ht="20.100000000000001" customHeight="1" x14ac:dyDescent="0.2">
      <c r="D8" s="118"/>
      <c r="E8" s="118"/>
    </row>
    <row r="9" spans="1:23" ht="20.100000000000001" customHeight="1" x14ac:dyDescent="0.2">
      <c r="A9" s="7" t="s">
        <v>0</v>
      </c>
    </row>
    <row r="10" spans="1:23" ht="20.100000000000001" customHeight="1" x14ac:dyDescent="0.2">
      <c r="A10" s="5" t="str">
        <f>HYPERLINK("#'Input - Enterprise'!A1", "Enterprise")</f>
        <v>Enterprise</v>
      </c>
    </row>
    <row r="11" spans="1:23" ht="20.100000000000001" customHeight="1" x14ac:dyDescent="0.2">
      <c r="A11" s="5" t="str">
        <f>HYPERLINK("#'Input - Site'!A1", "Site")</f>
        <v>Site</v>
      </c>
      <c r="D11" s="76" t="s">
        <v>378</v>
      </c>
      <c r="E11" s="1" t="s">
        <v>1466</v>
      </c>
    </row>
    <row r="12" spans="1:23" ht="20.100000000000001" customHeight="1" x14ac:dyDescent="0.2">
      <c r="A12" s="5" t="str">
        <f>HYPERLINK("#'Input - Dairy'!A1", "Dairy")</f>
        <v>Dairy</v>
      </c>
      <c r="D12" s="76" t="s">
        <v>118</v>
      </c>
      <c r="E12" s="9" t="s">
        <v>383</v>
      </c>
    </row>
    <row r="13" spans="1:23" ht="20.100000000000001" customHeight="1" x14ac:dyDescent="0.2">
      <c r="A13" s="5" t="str">
        <f>HYPERLINK("#'Input - Livestock sales'!A1", "Livestock sales")</f>
        <v>Livestock sales</v>
      </c>
    </row>
    <row r="14" spans="1:23" ht="20.100000000000001" customHeight="1" x14ac:dyDescent="0.2">
      <c r="A14" s="5" t="str">
        <f>HYPERLINK("#'Input - Dairy cattle purchases'!A1", "Dairy cattle purchases")</f>
        <v>Dairy cattle purchases</v>
      </c>
      <c r="D14" s="120" t="s">
        <v>1467</v>
      </c>
      <c r="E14" s="120" t="s">
        <v>1468</v>
      </c>
      <c r="F14" s="120"/>
      <c r="G14" s="120" t="s">
        <v>383</v>
      </c>
      <c r="H14" s="121" t="s">
        <v>1469</v>
      </c>
      <c r="I14" s="120" t="str">
        <f>"See " &amp; D16</f>
        <v>See M1_Table_DMD_j</v>
      </c>
    </row>
    <row r="15" spans="1:23" ht="20.100000000000001" customHeight="1" x14ac:dyDescent="0.2">
      <c r="A15" s="5" t="str">
        <f>HYPERLINK("#'Input - Pasture'!A1", "Pasture")</f>
        <v>Pasture</v>
      </c>
    </row>
    <row r="16" spans="1:23" ht="20.100000000000001" customHeight="1" x14ac:dyDescent="0.2">
      <c r="A16" s="5" t="str">
        <f>HYPERLINK("#'Input - Fert Prod System'!A1", "Fert Prod System")</f>
        <v>Fert Prod System</v>
      </c>
      <c r="D16" s="122" t="s">
        <v>379</v>
      </c>
      <c r="O16" s="122" t="s">
        <v>380</v>
      </c>
    </row>
    <row r="17" spans="1:23" ht="20.100000000000001" customHeight="1" x14ac:dyDescent="0.2">
      <c r="A17" s="5" t="str">
        <f>HYPERLINK("#'Input - Fertiliser'!A1", "Fertiliser")</f>
        <v>Fertiliser</v>
      </c>
      <c r="D17" s="123" t="s">
        <v>381</v>
      </c>
      <c r="O17" s="123" t="s">
        <v>382</v>
      </c>
    </row>
    <row r="18" spans="1:23" ht="20.100000000000001" customHeight="1" x14ac:dyDescent="0.2">
      <c r="A18" s="5" t="str">
        <f>HYPERLINK("#'Input - Fuel'!A1", "Fuel")</f>
        <v>Fuel</v>
      </c>
      <c r="D18" s="81" t="s">
        <v>330</v>
      </c>
      <c r="E18" s="81" t="s">
        <v>331</v>
      </c>
      <c r="F18" s="81" t="s">
        <v>332</v>
      </c>
      <c r="G18" s="81" t="s">
        <v>333</v>
      </c>
      <c r="H18" s="81" t="s">
        <v>334</v>
      </c>
      <c r="O18" s="81" t="s">
        <v>330</v>
      </c>
      <c r="P18" s="81" t="s">
        <v>331</v>
      </c>
      <c r="Q18" s="81" t="s">
        <v>332</v>
      </c>
      <c r="R18" s="81" t="s">
        <v>333</v>
      </c>
      <c r="S18" s="81" t="s">
        <v>334</v>
      </c>
    </row>
    <row r="19" spans="1:23" ht="20.100000000000001" customHeight="1" x14ac:dyDescent="0.2">
      <c r="A19" s="5" t="str">
        <f>HYPERLINK("#'Input - Electricity'!A1", "Electricity")</f>
        <v>Electricity</v>
      </c>
      <c r="D19" s="15">
        <f>INDEX(X_Table_Dairy_Diet_Method1,2,2)</f>
        <v>0.75</v>
      </c>
      <c r="E19" s="15">
        <f>INDEX(X_Table_Dairy_Diet_Method1,2,3)</f>
        <v>0.75</v>
      </c>
      <c r="F19" s="15">
        <f>INDEX(X_Table_Dairy_Diet_Method1,2,4)</f>
        <v>0.75</v>
      </c>
      <c r="G19" s="15">
        <f>INDEX(X_Table_Dairy_Diet_Method1,2,5)</f>
        <v>0.75</v>
      </c>
      <c r="H19" s="15">
        <f>INDEX(X_Table_Dairy_Diet_Method1,2,6)</f>
        <v>0.75</v>
      </c>
      <c r="I19" s="16" t="s">
        <v>383</v>
      </c>
      <c r="J19" s="16"/>
      <c r="K19" s="16"/>
      <c r="O19" s="15">
        <f>INDEX(X_Table_Dairy_Diet_Method2,2,2)</f>
        <v>0.75</v>
      </c>
      <c r="P19" s="15">
        <f>INDEX(X_Table_Dairy_Diet_Method2,2,3)</f>
        <v>0.75</v>
      </c>
      <c r="Q19" s="15">
        <f>INDEX(X_Table_Dairy_Diet_Method2,2,4)</f>
        <v>0.75</v>
      </c>
      <c r="R19" s="15">
        <f>INDEX(X_Table_Dairy_Diet_Method2,2,5)</f>
        <v>0.75</v>
      </c>
      <c r="S19" s="15">
        <f>INDEX(X_Table_Dairy_Diet_Method2,2,6)</f>
        <v>0.75</v>
      </c>
      <c r="T19" s="16" t="s">
        <v>383</v>
      </c>
      <c r="U19" s="16"/>
      <c r="V19" s="16"/>
    </row>
    <row r="20" spans="1:23" ht="20.100000000000001" customHeight="1" x14ac:dyDescent="0.2">
      <c r="A20" s="5" t="str">
        <f>HYPERLINK("#'Input - Common farm inputs'!A1", "Common farm inputs")</f>
        <v>Common farm inputs</v>
      </c>
    </row>
    <row r="21" spans="1:23" ht="20.100000000000001" customHeight="1" x14ac:dyDescent="0.2">
      <c r="A21" s="5" t="str">
        <f>HYPERLINK("#'Input - Crop pasture farm input'!A1", "Crop pasture farm input")</f>
        <v>Crop pasture farm input</v>
      </c>
      <c r="D21" s="122" t="s">
        <v>384</v>
      </c>
      <c r="O21" s="122" t="s">
        <v>385</v>
      </c>
    </row>
    <row r="22" spans="1:23" ht="20.100000000000001" customHeight="1" x14ac:dyDescent="0.2">
      <c r="A22" s="5" t="str">
        <f>HYPERLINK("#'Input - Livestock farm Inputs'!A1", "Livestock farm Inputs")</f>
        <v>Livestock farm Inputs</v>
      </c>
      <c r="D22" s="123" t="s">
        <v>386</v>
      </c>
      <c r="O22" s="123" t="s">
        <v>387</v>
      </c>
    </row>
    <row r="23" spans="1:23" ht="20.100000000000001" customHeight="1" x14ac:dyDescent="0.2">
      <c r="A23" s="5" t="str">
        <f>HYPERLINK("#'Input - Freight'!A1", "Freight")</f>
        <v>Freight</v>
      </c>
      <c r="D23" s="124" t="s">
        <v>330</v>
      </c>
      <c r="E23" s="124" t="s">
        <v>331</v>
      </c>
      <c r="F23" s="124" t="s">
        <v>332</v>
      </c>
      <c r="G23" s="124" t="s">
        <v>333</v>
      </c>
      <c r="H23" s="124" t="s">
        <v>334</v>
      </c>
      <c r="O23" s="124" t="s">
        <v>330</v>
      </c>
      <c r="P23" s="124" t="s">
        <v>331</v>
      </c>
      <c r="Q23" s="124" t="s">
        <v>332</v>
      </c>
      <c r="R23" s="124" t="s">
        <v>333</v>
      </c>
      <c r="S23" s="124" t="s">
        <v>334</v>
      </c>
    </row>
    <row r="24" spans="1:23" ht="20.100000000000001" customHeight="1" x14ac:dyDescent="0.2">
      <c r="A24" s="5" t="str">
        <f>HYPERLINK("#'Input - Solid waste'!A1", "Solid waste")</f>
        <v>Solid waste</v>
      </c>
      <c r="D24" s="15">
        <f>(0.00795 * (D19 * 100) - 0.0014)</f>
        <v>0.5948500000000001</v>
      </c>
      <c r="E24" s="15">
        <f>(0.00795 * (E19 * 100) - 0.0014)</f>
        <v>0.5948500000000001</v>
      </c>
      <c r="F24" s="15">
        <f>(0.00795 * (F19 * 100) - 0.0014)</f>
        <v>0.5948500000000001</v>
      </c>
      <c r="G24" s="15">
        <f>(0.00795 * (G19 * 100) - 0.0014)</f>
        <v>0.5948500000000001</v>
      </c>
      <c r="H24" s="15">
        <f>(0.00795 * (H19 * 100) - 0.0014)</f>
        <v>0.5948500000000001</v>
      </c>
      <c r="I24" s="16" t="str">
        <f>$E$12</f>
        <v>fraction</v>
      </c>
      <c r="J24" s="16"/>
      <c r="K24" s="16"/>
      <c r="O24" s="15">
        <f>(0.00795 * (O19 * 100) - 0.0014)</f>
        <v>0.5948500000000001</v>
      </c>
      <c r="P24" s="15">
        <f>(0.00795 * (P19 * 100) - 0.0014)</f>
        <v>0.5948500000000001</v>
      </c>
      <c r="Q24" s="15">
        <f>(0.00795 * (Q19 * 100) - 0.0014)</f>
        <v>0.5948500000000001</v>
      </c>
      <c r="R24" s="15">
        <f>(0.00795 * (R19 * 100) - 0.0014)</f>
        <v>0.5948500000000001</v>
      </c>
      <c r="S24" s="15">
        <f>(0.00795 * (S19 * 100) - 0.0014)</f>
        <v>0.5948500000000001</v>
      </c>
      <c r="T24" s="16" t="str">
        <f>$E$12</f>
        <v>fraction</v>
      </c>
      <c r="U24" s="16"/>
      <c r="V24" s="16"/>
    </row>
    <row r="25" spans="1:23" ht="20.100000000000001" customHeight="1" x14ac:dyDescent="0.2">
      <c r="A25" s="5" t="str">
        <f>HYPERLINK("#'Input - Manure sent off-site'!A1", "Manure sent off-site")</f>
        <v>Manure sent off-site</v>
      </c>
    </row>
    <row r="26" spans="1:23" ht="20.100000000000001" customHeight="1" x14ac:dyDescent="0.2">
      <c r="A26" s="5" t="str">
        <f>HYPERLINK("#'Input - Refrigerants'!A1", "Refrigerants")</f>
        <v>Refrigerants</v>
      </c>
    </row>
    <row r="27" spans="1:23" ht="20.100000000000001" customHeight="1" x14ac:dyDescent="0.2">
      <c r="A27" s="5" t="str">
        <f>HYPERLINK("#'Input - Data quality'!A1", "Data quality")</f>
        <v>Data quality</v>
      </c>
      <c r="C27" s="88"/>
      <c r="D27" s="88"/>
      <c r="E27" s="88"/>
      <c r="F27" s="88"/>
      <c r="G27" s="88"/>
      <c r="H27" s="88"/>
      <c r="I27" s="88"/>
      <c r="J27" s="88"/>
      <c r="K27" s="88"/>
      <c r="L27" s="88"/>
      <c r="N27" s="88"/>
      <c r="O27" s="88"/>
      <c r="P27" s="88"/>
      <c r="Q27" s="88"/>
      <c r="R27" s="88"/>
      <c r="S27" s="88"/>
      <c r="T27" s="88"/>
      <c r="U27" s="88"/>
      <c r="V27" s="88"/>
      <c r="W27" s="88"/>
    </row>
    <row r="28" spans="1:23" ht="20.100000000000001" customHeight="1" x14ac:dyDescent="0.2">
      <c r="D28" s="2" t="s">
        <v>1470</v>
      </c>
    </row>
    <row r="29" spans="1:23" ht="20.100000000000001" customHeight="1" x14ac:dyDescent="0.2">
      <c r="D29" s="17" t="s">
        <v>1471</v>
      </c>
    </row>
    <row r="30" spans="1:23" ht="20.100000000000001" customHeight="1" x14ac:dyDescent="0.2">
      <c r="A30" s="6" t="s">
        <v>2</v>
      </c>
      <c r="D30" s="25" t="s">
        <v>1472</v>
      </c>
    </row>
    <row r="31" spans="1:23" ht="20.100000000000001" customHeight="1" x14ac:dyDescent="0.2">
      <c r="A31" s="5" t="str">
        <f>HYPERLINK("#'3.3.1.1-2 Enteric Methane'!A1", "3.3.1.1-2 Enteric methane")</f>
        <v>3.3.1.1-2 Enteric methane</v>
      </c>
      <c r="D31" s="118"/>
      <c r="E31" s="118"/>
    </row>
    <row r="32" spans="1:23" ht="20.100000000000001" customHeight="1" x14ac:dyDescent="0.2">
      <c r="A32" s="119" t="str">
        <f>HYPERLINK("#'4.3.1.1-2 Methane'!A1", "4.3.1.1-2 Manure methane")</f>
        <v>4.3.1.1-2 Manure methane</v>
      </c>
    </row>
    <row r="33" spans="1:20" ht="20.100000000000001" customHeight="1" x14ac:dyDescent="0.2">
      <c r="A33" s="5" t="str">
        <f>HYPERLINK("#'4.3.1.3-4 Direct N20'!A1", "4.3.1.3-4 Direct N20")</f>
        <v>4.3.1.3-4 Direct N20</v>
      </c>
    </row>
    <row r="34" spans="1:20" ht="20.100000000000001" customHeight="1" x14ac:dyDescent="0.2">
      <c r="A34" s="5" t="str">
        <f>HYPERLINK("#'4.3.1.5 Atmos deposition'!A1", "4.3.1.5 Atmos deposition")</f>
        <v>4.3.1.5 Atmos deposition</v>
      </c>
      <c r="D34" s="76" t="s">
        <v>378</v>
      </c>
      <c r="E34" s="1" t="s">
        <v>1473</v>
      </c>
    </row>
    <row r="35" spans="1:20" ht="20.100000000000001" customHeight="1" x14ac:dyDescent="0.2">
      <c r="A35" s="5" t="str">
        <f>HYPERLINK("#'4.3.1.6-7 Leaching and runoff'!A1", "4.3.1.6-7 Leaching &amp; runoff")</f>
        <v>4.3.1.6-7 Leaching &amp; runoff</v>
      </c>
      <c r="D35" s="76" t="s">
        <v>118</v>
      </c>
      <c r="E35" s="9" t="s">
        <v>394</v>
      </c>
    </row>
    <row r="36" spans="1:20" ht="20.100000000000001" customHeight="1" x14ac:dyDescent="0.2">
      <c r="A36" s="5" t="str">
        <f>HYPERLINK("#'4.3.1.8 Manure applied to soils'!A1", "4.3.1.8 Manure applied to soils")</f>
        <v>4.3.1.8 Manure applied to soils</v>
      </c>
    </row>
    <row r="37" spans="1:20" ht="20.100000000000001" customHeight="1" x14ac:dyDescent="0.2">
      <c r="A37" s="5" t="str">
        <f>HYPERLINK("#'4.3.1.9 Soil direct N2O'!A1", "4.3.1.9 Soil direct N2O")</f>
        <v>4.3.1.9 Soil direct N2O</v>
      </c>
      <c r="D37" s="120" t="s">
        <v>1474</v>
      </c>
      <c r="E37" s="125" t="s">
        <v>1475</v>
      </c>
      <c r="F37" s="126"/>
      <c r="G37" s="120"/>
      <c r="H37" s="121" t="s">
        <v>1469</v>
      </c>
      <c r="I37" s="120" t="str">
        <f>X_Cell_Dairy_MilkProductionUnit</f>
        <v>Litres of milk</v>
      </c>
      <c r="O37" s="120" t="s">
        <v>1474</v>
      </c>
      <c r="P37" s="125" t="s">
        <v>1484</v>
      </c>
      <c r="Q37" s="126"/>
      <c r="R37" s="120"/>
      <c r="S37" s="121" t="s">
        <v>1469</v>
      </c>
      <c r="T37" s="120"/>
    </row>
    <row r="38" spans="1:20" ht="20.100000000000001" customHeight="1" x14ac:dyDescent="0.2">
      <c r="A38" s="5" t="str">
        <f>HYPERLINK("#'4.3.1.10-11 Soil Atmos Dep'!A1", "4.3.1.10-11 Soil Atmos Deposition")</f>
        <v>4.3.1.10-11 Soil Atmos Deposition</v>
      </c>
      <c r="D38" s="120" t="s">
        <v>1476</v>
      </c>
      <c r="E38" s="125" t="s">
        <v>1477</v>
      </c>
      <c r="F38" s="126"/>
      <c r="G38" s="120" t="s">
        <v>1482</v>
      </c>
      <c r="H38" s="121" t="s">
        <v>1469</v>
      </c>
      <c r="I38" s="127" t="str" cm="1">
        <f t="array" aca="1" ref="I38" ca="1">HYPERLINK(Common_InputFunctions.Utility_SourceHyperlink($D$42),$D$42)</f>
        <v>M1_Table_MS_j</v>
      </c>
      <c r="O38" s="120" t="s">
        <v>1476</v>
      </c>
      <c r="P38" s="125" t="s">
        <v>1477</v>
      </c>
      <c r="Q38" s="126"/>
      <c r="R38" s="120" t="s">
        <v>1482</v>
      </c>
      <c r="S38" s="121" t="s">
        <v>1469</v>
      </c>
      <c r="T38" s="127"/>
    </row>
    <row r="39" spans="1:20" ht="20.100000000000001" customHeight="1" x14ac:dyDescent="0.2">
      <c r="A39" s="5" t="str">
        <f>HYPERLINK("#'4.3.1.12-13 Soil leach runoff'!A1", "4.3.1.12-13 Soil leach &amp; runoff")</f>
        <v>4.3.1.12-13 Soil leach &amp; runoff</v>
      </c>
      <c r="D39" s="120" t="s">
        <v>1478</v>
      </c>
      <c r="E39" s="125" t="s">
        <v>1479</v>
      </c>
      <c r="F39" s="126"/>
      <c r="G39" s="120" t="s">
        <v>1483</v>
      </c>
      <c r="H39" s="121" t="s">
        <v>1469</v>
      </c>
      <c r="I39" s="120">
        <f>INDEX(X_Table_Dairy_MilkSolidAttributes,2,2)*100</f>
        <v>4</v>
      </c>
      <c r="O39" s="120" t="s">
        <v>1478</v>
      </c>
      <c r="P39" s="125" t="s">
        <v>1479</v>
      </c>
      <c r="Q39" s="126"/>
      <c r="R39" s="120" t="s">
        <v>1483</v>
      </c>
      <c r="S39" s="121" t="s">
        <v>1469</v>
      </c>
      <c r="T39" s="120">
        <f>INDEX(X_Table_Dairy_MilkSolidAttributes,2,3)*100</f>
        <v>4</v>
      </c>
    </row>
    <row r="40" spans="1:20" ht="20.100000000000001" customHeight="1" x14ac:dyDescent="0.2">
      <c r="A40" s="5" t="str">
        <f>HYPERLINK("#'5.1.1.1-2 Inorganic fert N2O'!A1", "5.1.1.1-2 Inorganic fert N2O")</f>
        <v>5.1.1.1-2 Inorganic fert N2O</v>
      </c>
      <c r="D40" s="120" t="s">
        <v>1480</v>
      </c>
      <c r="E40" s="120" t="s">
        <v>1481</v>
      </c>
      <c r="F40" s="120"/>
      <c r="G40" s="120" t="s">
        <v>1483</v>
      </c>
      <c r="H40" s="121" t="s">
        <v>1469</v>
      </c>
      <c r="I40" s="120">
        <f>INDEX(X_Table_Dairy_MilkSolidAttributes,3,2)*100</f>
        <v>3.3000000000000003</v>
      </c>
      <c r="O40" s="120" t="s">
        <v>1480</v>
      </c>
      <c r="P40" s="120" t="s">
        <v>1481</v>
      </c>
      <c r="Q40" s="120"/>
      <c r="R40" s="120" t="s">
        <v>1483</v>
      </c>
      <c r="S40" s="121" t="s">
        <v>1469</v>
      </c>
      <c r="T40" s="120">
        <f>INDEX(X_Table_Dairy_MilkSolidAttributes,3,3)*100</f>
        <v>3.3000000000000003</v>
      </c>
    </row>
    <row r="41" spans="1:20" ht="20.100000000000001" customHeight="1" x14ac:dyDescent="0.2">
      <c r="A41" s="5" t="str">
        <f>HYPERLINK("#'5.1.1.3-4 Inorganic fert CO2'!A1", "5.1.1.3-4 Inorganic fert CO2")</f>
        <v>5.1.1.3-4 Inorganic fert CO2</v>
      </c>
    </row>
    <row r="42" spans="1:20" ht="20.100000000000001" customHeight="1" x14ac:dyDescent="0.2">
      <c r="A42" s="5" t="str">
        <f>HYPERLINK("#'5.2.1.1-2 Organic Fert N2O'!A1", "5.2.1.1-2 Organic fert N2O")</f>
        <v>5.2.1.1-2 Organic fert N2O</v>
      </c>
      <c r="D42" s="122" t="s">
        <v>388</v>
      </c>
    </row>
    <row r="43" spans="1:20" ht="20.100000000000001" customHeight="1" x14ac:dyDescent="0.2">
      <c r="A43" s="5" t="str">
        <f>HYPERLINK("#'5.3.1.1-2 Lime CO2'!A1", "5.3.1.1-2 Lime CO2")</f>
        <v>5.3.1.1-2 Lime CO2</v>
      </c>
      <c r="D43" s="123" t="s">
        <v>389</v>
      </c>
    </row>
    <row r="44" spans="1:20" ht="20.100000000000001" customHeight="1" x14ac:dyDescent="0.2">
      <c r="A44" s="5" t="str">
        <f>HYPERLINK("#'5.4.1.1-4 Atmos deposition'!A1", "5.4.1.1-4 Atmos. deposition")</f>
        <v>5.4.1.1-4 Atmos. deposition</v>
      </c>
      <c r="D44" s="81" t="s">
        <v>330</v>
      </c>
      <c r="E44" s="81" t="s">
        <v>331</v>
      </c>
      <c r="F44" s="81" t="s">
        <v>332</v>
      </c>
      <c r="G44" s="81" t="s">
        <v>333</v>
      </c>
      <c r="H44" s="81" t="s">
        <v>334</v>
      </c>
    </row>
    <row r="45" spans="1:20" ht="20.100000000000001" customHeight="1" x14ac:dyDescent="0.2">
      <c r="A45" s="5" t="str">
        <f>HYPERLINK("#'5.5.1.1-2 Leaching and runoff'!A1", "5.5.1.1-2 Leaching &amp; runoff")</f>
        <v>5.5.1.1-2 Leaching &amp; runoff</v>
      </c>
      <c r="D45" s="15">
        <f>IF($I$37="Milk solids", X_Cell_Dairy_MilkProductionAmount, 0)</f>
        <v>0</v>
      </c>
      <c r="E45" s="15">
        <v>0</v>
      </c>
      <c r="F45" s="15">
        <v>0</v>
      </c>
      <c r="G45" s="15">
        <v>0</v>
      </c>
      <c r="H45" s="15">
        <v>0</v>
      </c>
      <c r="I45" s="16" t="str">
        <f>G38</f>
        <v>kg MS/head/day</v>
      </c>
    </row>
    <row r="46" spans="1:20" ht="20.100000000000001" customHeight="1" x14ac:dyDescent="0.2">
      <c r="A46" s="5" t="str">
        <f>HYPERLINK("#'6.2.1.1-2 Pasture residue N2O'!A1", "6.2.1.1-2 Pasture residue N2O")</f>
        <v>6.2.1.1-2 Pasture residue N2O</v>
      </c>
    </row>
    <row r="47" spans="1:20" ht="20.100000000000001" customHeight="1" x14ac:dyDescent="0.2">
      <c r="A47" s="5" t="str">
        <f>HYPERLINK("#'6.3.1.1-2 Leach runoff pasture'!A1", "6.3.1.1-2 Leach &amp; runoff (pasture)")</f>
        <v>6.3.1.1-2 Leach &amp; runoff (pasture)</v>
      </c>
      <c r="D47" s="122" t="s">
        <v>390</v>
      </c>
      <c r="O47" s="122" t="s">
        <v>391</v>
      </c>
    </row>
    <row r="48" spans="1:20" ht="20.100000000000001" customHeight="1" x14ac:dyDescent="0.2">
      <c r="A48" s="5" t="str">
        <f>HYPERLINK("#'8.1.1.1-2 Transport fuel'!A1", "8.1.1.1-2 Transport fuel")</f>
        <v>8.1.1.1-2 Transport fuel</v>
      </c>
      <c r="D48" s="123" t="s">
        <v>392</v>
      </c>
      <c r="O48" s="123" t="s">
        <v>393</v>
      </c>
    </row>
    <row r="49" spans="1:23" ht="20.100000000000001" customHeight="1" x14ac:dyDescent="0.2">
      <c r="A49" s="5" t="str">
        <f>HYPERLINK("#'8.2.1.1-2 Stationary fuel'!A1", "8.2.1.1-2 Stationary fuel")</f>
        <v>8.2.1.1-2 Stationary fuel</v>
      </c>
      <c r="D49" s="124" t="s">
        <v>330</v>
      </c>
      <c r="E49" s="124" t="s">
        <v>331</v>
      </c>
      <c r="F49" s="124" t="s">
        <v>332</v>
      </c>
      <c r="G49" s="124" t="s">
        <v>333</v>
      </c>
      <c r="H49" s="124" t="s">
        <v>334</v>
      </c>
      <c r="O49" s="124" t="s">
        <v>330</v>
      </c>
      <c r="P49" s="124" t="s">
        <v>331</v>
      </c>
      <c r="Q49" s="124" t="s">
        <v>332</v>
      </c>
      <c r="R49" s="124" t="s">
        <v>333</v>
      </c>
      <c r="S49" s="124" t="s">
        <v>334</v>
      </c>
    </row>
    <row r="50" spans="1:23" ht="20.100000000000001" customHeight="1" x14ac:dyDescent="0.2">
      <c r="A50" s="5" t="str">
        <f>HYPERLINK("#'9.1.1.1-2 Refrigerant use'!A1", "9.1.1.1-2 Refrigerant use")</f>
        <v>9.1.1.1-2 Refrigerant use</v>
      </c>
      <c r="D50" s="15">
        <f>(D45 / (0.01 * ($I$39 + $I$40)))</f>
        <v>0</v>
      </c>
      <c r="E50" s="15">
        <v>0</v>
      </c>
      <c r="F50" s="15">
        <v>0</v>
      </c>
      <c r="G50" s="15">
        <v>0</v>
      </c>
      <c r="H50" s="15">
        <v>0</v>
      </c>
      <c r="I50" s="16" t="s">
        <v>394</v>
      </c>
      <c r="O50" s="15">
        <f>(D45 / (0.01 * ($T$39 + $T$40)))</f>
        <v>0</v>
      </c>
      <c r="P50" s="15">
        <v>0</v>
      </c>
      <c r="Q50" s="15">
        <v>0</v>
      </c>
      <c r="R50" s="15">
        <v>0</v>
      </c>
      <c r="S50" s="15">
        <v>0</v>
      </c>
      <c r="T50" s="16" t="s">
        <v>394</v>
      </c>
    </row>
    <row r="51" spans="1:23" ht="20.100000000000001" customHeight="1" x14ac:dyDescent="0.2">
      <c r="A51" s="5" t="str">
        <f>HYPERLINK("#'10.1.1-2 Solid waste treatment'!A1", "10.1.1.1-2 Solid waste")</f>
        <v>10.1.1.1-2 Solid waste</v>
      </c>
    </row>
    <row r="52" spans="1:23" ht="20.100000000000001" customHeight="1" x14ac:dyDescent="0.2">
      <c r="A52" s="5" t="str">
        <f>HYPERLINK("#'14.1.1-2 Purchased electricity'!A1", "14.1.1-2 Purchased electricity")</f>
        <v>14.1.1-2 Purchased electricity</v>
      </c>
    </row>
    <row r="53" spans="1:23" ht="20.100000000000001" customHeight="1" x14ac:dyDescent="0.2">
      <c r="A53" s="5" t="str">
        <f>HYPERLINK("#'15 Scope 3'!A1", "15 Scope 3")</f>
        <v>15 Scope 3</v>
      </c>
      <c r="C53" s="88"/>
      <c r="D53" s="88"/>
      <c r="E53" s="88"/>
      <c r="F53" s="88"/>
      <c r="G53" s="88"/>
      <c r="H53" s="88"/>
      <c r="I53" s="88"/>
      <c r="J53" s="88"/>
      <c r="K53" s="88"/>
      <c r="L53" s="88"/>
      <c r="N53" s="88"/>
      <c r="O53" s="88"/>
      <c r="P53" s="88"/>
      <c r="Q53" s="88"/>
      <c r="R53" s="88"/>
      <c r="S53" s="88"/>
      <c r="T53" s="88"/>
      <c r="U53" s="88"/>
      <c r="V53" s="88"/>
      <c r="W53" s="88"/>
    </row>
    <row r="54" spans="1:23" ht="20.100000000000001" customHeight="1" x14ac:dyDescent="0.2">
      <c r="A54" s="5" t="str">
        <f>HYPERLINK("#'Calcs - Manure sent off-site'!A1", "Calcs - Manure sent off-site")</f>
        <v>Calcs - Manure sent off-site</v>
      </c>
      <c r="D54" s="2" t="s">
        <v>1485</v>
      </c>
    </row>
    <row r="55" spans="1:23" ht="20.100000000000001" customHeight="1" x14ac:dyDescent="0.2">
      <c r="D55" s="17" t="s">
        <v>1486</v>
      </c>
    </row>
    <row r="56" spans="1:23" ht="20.100000000000001" customHeight="1" x14ac:dyDescent="0.2">
      <c r="D56" s="118"/>
      <c r="E56" s="118"/>
    </row>
    <row r="57" spans="1:23" ht="20.100000000000001" customHeight="1" x14ac:dyDescent="0.2">
      <c r="A57" s="82" t="s">
        <v>1</v>
      </c>
    </row>
    <row r="58" spans="1:23" ht="20.100000000000001" customHeight="1" x14ac:dyDescent="0.2">
      <c r="A58" s="5" t="str">
        <f>HYPERLINK("#'Constants - Dairy'!A1", "Constants - Dairy")</f>
        <v>Constants - Dairy</v>
      </c>
      <c r="D58" s="2"/>
    </row>
    <row r="59" spans="1:23" ht="20.100000000000001" customHeight="1" x14ac:dyDescent="0.2">
      <c r="A59" s="5" t="str">
        <f>HYPERLINK("#'Constants - Ag Residue'!A1", "Constants - Ag residue")</f>
        <v>Constants - Ag residue</v>
      </c>
      <c r="D59" s="76" t="s">
        <v>378</v>
      </c>
      <c r="E59" s="1" t="s">
        <v>1488</v>
      </c>
    </row>
    <row r="60" spans="1:23" ht="20.100000000000001" customHeight="1" x14ac:dyDescent="0.2">
      <c r="A60" s="5" t="str">
        <f>HYPERLINK("#'Constants - Common Livestock'!A1", "Constants - Common Livestock")</f>
        <v>Constants - Common Livestock</v>
      </c>
      <c r="D60" s="76" t="s">
        <v>118</v>
      </c>
      <c r="E60" s="9" t="s">
        <v>1489</v>
      </c>
    </row>
    <row r="61" spans="1:23" ht="20.100000000000001" customHeight="1" x14ac:dyDescent="0.2">
      <c r="A61" s="5" t="str">
        <f>HYPERLINK("#'Constants - Electricity'!A1", "Constants - Electricity")</f>
        <v>Constants - Electricity</v>
      </c>
    </row>
    <row r="62" spans="1:23" ht="20.100000000000001" customHeight="1" x14ac:dyDescent="0.2">
      <c r="A62" s="5" t="str">
        <f>HYPERLINK("#'Constants - Fertiliser'!A1", "Constants - Fertiliser")</f>
        <v>Constants - Fertiliser</v>
      </c>
      <c r="D62" s="120" t="s">
        <v>1474</v>
      </c>
      <c r="E62" s="125" t="s">
        <v>1475</v>
      </c>
      <c r="F62" s="126"/>
      <c r="G62" s="120"/>
      <c r="H62" s="121" t="s">
        <v>1469</v>
      </c>
      <c r="I62" s="120" t="str">
        <f>X_Cell_Dairy_MilkProductionUnit</f>
        <v>Litres of milk</v>
      </c>
    </row>
    <row r="63" spans="1:23" ht="20.100000000000001" customHeight="1" x14ac:dyDescent="0.2">
      <c r="A63" s="5" t="str">
        <f>HYPERLINK("#'Constants - Fuel'!A1", "Constants - Fuel")</f>
        <v>Constants - Fuel</v>
      </c>
      <c r="D63" s="120" t="s">
        <v>1473</v>
      </c>
      <c r="E63" s="125" t="s">
        <v>1490</v>
      </c>
      <c r="F63" s="126"/>
      <c r="G63" s="120" t="s">
        <v>394</v>
      </c>
      <c r="H63" s="128" t="s">
        <v>1469</v>
      </c>
      <c r="I63" s="127" t="str" cm="1">
        <f t="array" aca="1" ref="I63" ca="1">HYPERLINK(Common_InputFunctions.Utility_SourceHyperlink($D$71), $D$71)</f>
        <v>Table_MP_j</v>
      </c>
    </row>
    <row r="64" spans="1:23" ht="20.100000000000001" customHeight="1" x14ac:dyDescent="0.2">
      <c r="A64" s="5" t="str">
        <f>HYPERLINK("#'Constants - Scope 3'!A1", "Constants - Scope 3")</f>
        <v>Constants - Scope 3</v>
      </c>
      <c r="D64" s="120" t="s">
        <v>1473</v>
      </c>
      <c r="E64" s="125" t="s">
        <v>1491</v>
      </c>
      <c r="F64" s="126"/>
      <c r="G64" s="120" t="s">
        <v>394</v>
      </c>
      <c r="H64" s="128" t="s">
        <v>1499</v>
      </c>
      <c r="I64" s="127" t="str" cm="1">
        <f t="array" aca="1" ref="I64" ca="1">HYPERLINK(Common_InputFunctions.Utility_SourceHyperlink($D$47),$D$47)</f>
        <v>M1_Table_MP_j_from_solids</v>
      </c>
    </row>
    <row r="65" spans="1:22" ht="20.100000000000001" customHeight="1" x14ac:dyDescent="0.2">
      <c r="A65" s="5" t="str">
        <f>HYPERLINK("#'Constants - Common'!A1", "Constants - Common")</f>
        <v>Constants - Common</v>
      </c>
      <c r="D65" s="120" t="s">
        <v>1492</v>
      </c>
      <c r="E65" s="125" t="s">
        <v>1493</v>
      </c>
      <c r="F65" s="126"/>
      <c r="G65" s="120" t="s">
        <v>1500</v>
      </c>
      <c r="H65" s="128" t="s">
        <v>1501</v>
      </c>
      <c r="I65" s="120">
        <f>SourceData_Dairy_NetEnergy_Data</f>
        <v>3.0539999999999998</v>
      </c>
    </row>
    <row r="66" spans="1:22" ht="20.100000000000001" customHeight="1" x14ac:dyDescent="0.2">
      <c r="A66" s="5" t="str">
        <f>HYPERLINK("#'Constants - Refrigerants'!A1", "Constants - Refrigerants")</f>
        <v>Constants - Refrigerants</v>
      </c>
      <c r="D66" s="120" t="s">
        <v>1494</v>
      </c>
      <c r="E66" s="125" t="s">
        <v>1495</v>
      </c>
      <c r="F66" s="126"/>
      <c r="G66" s="120" t="s">
        <v>1502</v>
      </c>
      <c r="H66" s="128" t="s">
        <v>1501</v>
      </c>
      <c r="I66" s="120">
        <f>SourceData_Dairy_GrossEnergyContent_Data</f>
        <v>18.399999999999999</v>
      </c>
    </row>
    <row r="67" spans="1:22" ht="20.100000000000001" customHeight="1" x14ac:dyDescent="0.2">
      <c r="A67" s="5" t="str">
        <f>HYPERLINK("#'Constants - Solid Waste'!A1", "Constants - Solid Waste")</f>
        <v>Constants - Solid Waste</v>
      </c>
      <c r="D67" s="120" t="s">
        <v>1496</v>
      </c>
      <c r="E67" s="120" t="s">
        <v>1497</v>
      </c>
      <c r="F67" s="120"/>
      <c r="G67" s="120" t="s">
        <v>383</v>
      </c>
      <c r="H67" s="128" t="s">
        <v>1501</v>
      </c>
      <c r="I67" s="120">
        <f>SourceData_Dairy_EfficiencyOfUseOfMetabolizableEnergy_Data</f>
        <v>0.6</v>
      </c>
    </row>
    <row r="68" spans="1:22" ht="20.100000000000001" customHeight="1" x14ac:dyDescent="0.2">
      <c r="A68" s="5" t="str">
        <f>HYPERLINK("#'Acknowledgements'!A1", "Acknowledgements")</f>
        <v>Acknowledgements</v>
      </c>
      <c r="D68" s="120" t="s">
        <v>1466</v>
      </c>
      <c r="E68" s="125" t="s">
        <v>1498</v>
      </c>
      <c r="F68" s="126"/>
      <c r="G68" s="120" t="s">
        <v>383</v>
      </c>
      <c r="H68" s="128" t="s">
        <v>1503</v>
      </c>
      <c r="I68" s="127" t="str" cm="1">
        <f t="array" aca="1" ref="I68" ca="1">HYPERLINK(Common_InputFunctions.Utility_SourceHyperlink($D$21), $D$21)</f>
        <v>M1_Table_qm_j</v>
      </c>
    </row>
    <row r="71" spans="1:22" ht="20.100000000000001" customHeight="1" x14ac:dyDescent="0.2">
      <c r="D71" s="122" t="s">
        <v>395</v>
      </c>
    </row>
    <row r="72" spans="1:22" ht="20.100000000000001" customHeight="1" x14ac:dyDescent="0.2">
      <c r="D72" s="123" t="s">
        <v>348</v>
      </c>
    </row>
    <row r="73" spans="1:22" ht="20.100000000000001" customHeight="1" x14ac:dyDescent="0.2">
      <c r="D73" s="81" t="s">
        <v>330</v>
      </c>
      <c r="E73" s="81" t="s">
        <v>331</v>
      </c>
      <c r="F73" s="81" t="s">
        <v>332</v>
      </c>
      <c r="G73" s="81" t="s">
        <v>333</v>
      </c>
      <c r="H73" s="81" t="s">
        <v>334</v>
      </c>
    </row>
    <row r="74" spans="1:22" ht="20.100000000000001" customHeight="1" x14ac:dyDescent="0.2">
      <c r="D74" s="15">
        <f>IF(I62="Milk solids", 0, X_Cell_Dairy_MilkProductionAmount)</f>
        <v>20</v>
      </c>
      <c r="E74" s="15">
        <v>0</v>
      </c>
      <c r="F74" s="15">
        <v>0</v>
      </c>
      <c r="G74" s="15">
        <v>0</v>
      </c>
      <c r="H74" s="15">
        <v>0</v>
      </c>
      <c r="I74" s="16" t="s">
        <v>394</v>
      </c>
      <c r="J74" s="16"/>
      <c r="K74" s="16"/>
    </row>
    <row r="76" spans="1:22" ht="20.100000000000001" customHeight="1" x14ac:dyDescent="0.2">
      <c r="D76" s="122" t="s">
        <v>396</v>
      </c>
      <c r="O76" s="122" t="s">
        <v>397</v>
      </c>
    </row>
    <row r="77" spans="1:22" ht="20.100000000000001" customHeight="1" x14ac:dyDescent="0.2">
      <c r="D77" s="123" t="s">
        <v>398</v>
      </c>
      <c r="O77" s="123" t="s">
        <v>399</v>
      </c>
    </row>
    <row r="78" spans="1:22" ht="20.100000000000001" customHeight="1" x14ac:dyDescent="0.2">
      <c r="D78" s="124" t="s">
        <v>330</v>
      </c>
      <c r="E78" s="124" t="s">
        <v>331</v>
      </c>
      <c r="F78" s="124" t="s">
        <v>332</v>
      </c>
      <c r="G78" s="124" t="s">
        <v>333</v>
      </c>
      <c r="H78" s="124" t="s">
        <v>334</v>
      </c>
      <c r="O78" s="124" t="s">
        <v>330</v>
      </c>
      <c r="P78" s="124" t="s">
        <v>331</v>
      </c>
      <c r="Q78" s="124" t="s">
        <v>332</v>
      </c>
      <c r="R78" s="124" t="s">
        <v>333</v>
      </c>
      <c r="S78" s="124" t="s">
        <v>334</v>
      </c>
    </row>
    <row r="79" spans="1:22" ht="20.100000000000001" customHeight="1" x14ac:dyDescent="0.2">
      <c r="A79" s="129" t="str">
        <f>HYPERLINK("#A1", "▲ Back to top")</f>
        <v>▲ Back to top</v>
      </c>
      <c r="D79" s="15">
        <f>(((IF(I62="Milk solids", D50, D74)) * 1.03 * $I$65) / ($I$66 * $I$67 * D24))</f>
        <v>9.5798721636071917</v>
      </c>
      <c r="E79" s="15">
        <f>((E74 * 1.03 * $I$65) / ($I$66 * $I$67 * E24))</f>
        <v>0</v>
      </c>
      <c r="F79" s="15">
        <f>((F74 * 1.03 * $I$65) / ($I$66 * $I$67 * F24))</f>
        <v>0</v>
      </c>
      <c r="G79" s="15">
        <f>((G74 * 1.03 * $I$65) / ($I$66 * $I$67 * G24))</f>
        <v>0</v>
      </c>
      <c r="H79" s="15">
        <f>((H74 * 1.03 * $I$65) / ($I$66 * $I$67 * H24))</f>
        <v>0</v>
      </c>
      <c r="I79" s="16" t="str">
        <f>$E$60</f>
        <v>kg DM/head/day</v>
      </c>
      <c r="J79" s="16"/>
      <c r="K79" s="16"/>
      <c r="O79" s="15">
        <f>(((IF(I62="Milk solids", O50, D74)) * 1.03 * $I$65) / ($I$66 * $I$67 * O24))</f>
        <v>9.5798721636071917</v>
      </c>
      <c r="P79" s="15">
        <f>((E74 * 1.03 * $I$65) / ($I$66 * $I$67 * P24))</f>
        <v>0</v>
      </c>
      <c r="Q79" s="15">
        <f>((F74 * 1.03 * $I$65) / ($I$66 * $I$67 * Q24))</f>
        <v>0</v>
      </c>
      <c r="R79" s="15">
        <f>((G74 * 1.03 * $I$65) / ($I$66 * $I$67 * R24))</f>
        <v>0</v>
      </c>
      <c r="S79" s="15">
        <f>((H74 * 1.03 * $I$65) / ($I$66 * $I$67 * S24))</f>
        <v>0</v>
      </c>
      <c r="T79" s="16" t="str">
        <f>$E$60</f>
        <v>kg DM/head/day</v>
      </c>
      <c r="U79" s="16"/>
      <c r="V79" s="16"/>
    </row>
    <row r="82" spans="3:23" ht="20.100000000000001" customHeight="1" x14ac:dyDescent="0.2">
      <c r="C82" s="88"/>
      <c r="D82" s="88"/>
      <c r="E82" s="88"/>
      <c r="F82" s="88"/>
      <c r="G82" s="88"/>
      <c r="H82" s="88"/>
      <c r="I82" s="88"/>
      <c r="J82" s="88"/>
      <c r="K82" s="88"/>
      <c r="L82" s="88"/>
      <c r="N82" s="88"/>
      <c r="O82" s="88"/>
      <c r="P82" s="88"/>
      <c r="Q82" s="88"/>
      <c r="R82" s="88"/>
      <c r="S82" s="88"/>
      <c r="T82" s="88"/>
      <c r="U82" s="88"/>
      <c r="V82" s="88"/>
      <c r="W82" s="88"/>
    </row>
    <row r="83" spans="3:23" ht="20.100000000000001" customHeight="1" x14ac:dyDescent="0.2">
      <c r="D83" s="2" t="s">
        <v>1504</v>
      </c>
    </row>
    <row r="84" spans="3:23" ht="20.100000000000001" customHeight="1" x14ac:dyDescent="0.2">
      <c r="D84" s="17" t="s">
        <v>1505</v>
      </c>
    </row>
    <row r="85" spans="3:23" ht="20.100000000000001" customHeight="1" x14ac:dyDescent="0.2">
      <c r="D85" s="118"/>
      <c r="E85" s="118"/>
    </row>
    <row r="88" spans="3:23" ht="20.100000000000001" customHeight="1" x14ac:dyDescent="0.2">
      <c r="D88" s="76" t="s">
        <v>378</v>
      </c>
      <c r="E88" s="1" t="s">
        <v>1506</v>
      </c>
    </row>
    <row r="89" spans="3:23" ht="20.100000000000001" customHeight="1" x14ac:dyDescent="0.2">
      <c r="D89" s="76" t="s">
        <v>118</v>
      </c>
      <c r="E89" s="9" t="s">
        <v>1489</v>
      </c>
    </row>
    <row r="91" spans="3:23" ht="20.100000000000001" customHeight="1" x14ac:dyDescent="0.2">
      <c r="D91" s="120" t="s">
        <v>1507</v>
      </c>
      <c r="E91" s="125" t="s">
        <v>1508</v>
      </c>
      <c r="F91" s="126"/>
      <c r="G91" s="120" t="s">
        <v>738</v>
      </c>
      <c r="H91" s="121" t="s">
        <v>1469</v>
      </c>
      <c r="I91" s="127" t="str" cm="1">
        <f t="array" aca="1" ref="I91" ca="1">HYPERLINK(Common_InputFunctions.Utility_SourceHyperlink($D$96), $D$96)</f>
        <v>M1_Table_W_j</v>
      </c>
    </row>
    <row r="92" spans="3:23" ht="20.100000000000001" customHeight="1" x14ac:dyDescent="0.2">
      <c r="D92" s="120" t="s">
        <v>1509</v>
      </c>
      <c r="E92" s="125" t="s">
        <v>1510</v>
      </c>
      <c r="F92" s="126"/>
      <c r="G92" s="120" t="s">
        <v>341</v>
      </c>
      <c r="H92" s="121" t="s">
        <v>1469</v>
      </c>
      <c r="I92" s="127" t="str" cm="1">
        <f t="array" aca="1" ref="I92" ca="1">HYPERLINK(Common_InputFunctions.Utility_SourceHyperlink($D$101), $D$101)</f>
        <v>M1_Table_LWG_j</v>
      </c>
    </row>
    <row r="93" spans="3:23" ht="20.100000000000001" customHeight="1" x14ac:dyDescent="0.2">
      <c r="D93" s="120" t="s">
        <v>1511</v>
      </c>
      <c r="E93" s="125" t="s">
        <v>1512</v>
      </c>
      <c r="F93" s="126"/>
      <c r="G93" s="120" t="s">
        <v>383</v>
      </c>
      <c r="H93" s="128" t="s">
        <v>1501</v>
      </c>
      <c r="I93" s="127" t="str" cm="1">
        <f t="array" aca="1" ref="I93" ca="1">HYPERLINK(Common_InputFunctions.Utility_SourceHyperlink($D$106), $D$106)</f>
        <v>Table_MR_j</v>
      </c>
    </row>
    <row r="94" spans="3:23" ht="20.100000000000001" customHeight="1" x14ac:dyDescent="0.2">
      <c r="D94" s="120" t="s">
        <v>1488</v>
      </c>
      <c r="E94" s="125" t="s">
        <v>1513</v>
      </c>
      <c r="F94" s="126"/>
      <c r="G94" s="120" t="s">
        <v>1489</v>
      </c>
      <c r="H94" s="128" t="s">
        <v>1514</v>
      </c>
      <c r="I94" s="127" t="str" cm="1">
        <f t="array" aca="1" ref="I94" ca="1">HYPERLINK(Common_InputFunctions.Utility_SourceHyperlink($D$76), $D$76)</f>
        <v>M1_Table_MI_j</v>
      </c>
    </row>
    <row r="96" spans="3:23" ht="20.100000000000001" customHeight="1" x14ac:dyDescent="0.2">
      <c r="D96" s="122" t="s">
        <v>400</v>
      </c>
      <c r="O96" s="122" t="s">
        <v>401</v>
      </c>
    </row>
    <row r="97" spans="1:22" ht="20.100000000000001" customHeight="1" x14ac:dyDescent="0.2">
      <c r="D97" s="123" t="s">
        <v>402</v>
      </c>
      <c r="O97" s="123" t="s">
        <v>403</v>
      </c>
    </row>
    <row r="98" spans="1:22" ht="20.100000000000001" customHeight="1" x14ac:dyDescent="0.2">
      <c r="D98" s="81" t="s">
        <v>330</v>
      </c>
      <c r="E98" s="81" t="s">
        <v>331</v>
      </c>
      <c r="F98" s="81" t="s">
        <v>332</v>
      </c>
      <c r="G98" s="81" t="s">
        <v>333</v>
      </c>
      <c r="H98" s="81" t="s">
        <v>334</v>
      </c>
      <c r="O98" s="81" t="s">
        <v>330</v>
      </c>
      <c r="P98" s="81" t="s">
        <v>331</v>
      </c>
      <c r="Q98" s="81" t="s">
        <v>332</v>
      </c>
      <c r="R98" s="81" t="s">
        <v>333</v>
      </c>
      <c r="S98" s="81" t="s">
        <v>334</v>
      </c>
    </row>
    <row r="99" spans="1:22" ht="20.100000000000001" customHeight="1" x14ac:dyDescent="0.2">
      <c r="D99" s="15">
        <f>INDEX(X_Table_Dairy_Liveweight_Method1,2,2)</f>
        <v>550</v>
      </c>
      <c r="E99" s="15">
        <f>INDEX(X_Table_Dairy_Liveweight_Method1,2,3)</f>
        <v>380</v>
      </c>
      <c r="F99" s="15">
        <f>INDEX(X_Table_Dairy_Liveweight_Method1,2,4)</f>
        <v>155</v>
      </c>
      <c r="G99" s="15">
        <f>INDEX(X_Table_Dairy_Liveweight_Method1,2,5)</f>
        <v>600</v>
      </c>
      <c r="H99" s="15">
        <f>INDEX(X_Table_Dairy_Liveweight_Method1,2,6)</f>
        <v>225</v>
      </c>
      <c r="I99" s="16" t="s">
        <v>339</v>
      </c>
      <c r="J99" s="16"/>
      <c r="K99" s="16"/>
      <c r="O99" s="15">
        <f>INDEX(X_Table_Dairy_Liveweight_Method2,2,2)</f>
        <v>550</v>
      </c>
      <c r="P99" s="15">
        <f>INDEX(X_Table_Dairy_Liveweight_Method2,2,3)</f>
        <v>380</v>
      </c>
      <c r="Q99" s="15">
        <f>INDEX(X_Table_Dairy_Liveweight_Method2,2,4)</f>
        <v>155</v>
      </c>
      <c r="R99" s="15">
        <f>INDEX(X_Table_Dairy_Liveweight_Method2,2,5)</f>
        <v>600</v>
      </c>
      <c r="S99" s="15">
        <f>INDEX(X_Table_Dairy_Liveweight_Method2,2,6)</f>
        <v>225</v>
      </c>
      <c r="T99" s="16" t="s">
        <v>339</v>
      </c>
      <c r="U99" s="16"/>
      <c r="V99" s="16"/>
    </row>
    <row r="101" spans="1:22" ht="20.100000000000001" customHeight="1" x14ac:dyDescent="0.2">
      <c r="D101" s="122" t="s">
        <v>404</v>
      </c>
      <c r="O101" s="122" t="s">
        <v>405</v>
      </c>
    </row>
    <row r="102" spans="1:22" ht="20.100000000000001" customHeight="1" x14ac:dyDescent="0.2">
      <c r="D102" s="123" t="s">
        <v>406</v>
      </c>
      <c r="O102" s="123" t="s">
        <v>407</v>
      </c>
    </row>
    <row r="103" spans="1:22" ht="20.100000000000001" customHeight="1" x14ac:dyDescent="0.2">
      <c r="D103" s="81" t="s">
        <v>330</v>
      </c>
      <c r="E103" s="81" t="s">
        <v>331</v>
      </c>
      <c r="F103" s="81" t="s">
        <v>332</v>
      </c>
      <c r="G103" s="81" t="s">
        <v>333</v>
      </c>
      <c r="H103" s="81" t="s">
        <v>334</v>
      </c>
      <c r="O103" s="81" t="s">
        <v>330</v>
      </c>
      <c r="P103" s="81" t="s">
        <v>331</v>
      </c>
      <c r="Q103" s="81" t="s">
        <v>332</v>
      </c>
      <c r="R103" s="81" t="s">
        <v>333</v>
      </c>
      <c r="S103" s="81" t="s">
        <v>334</v>
      </c>
    </row>
    <row r="104" spans="1:22" ht="20.100000000000001" customHeight="1" x14ac:dyDescent="0.2">
      <c r="D104" s="15">
        <f>INDEX(X_Table_Dairy_Liveweight_Method1,3,2)</f>
        <v>1.6E-2</v>
      </c>
      <c r="E104" s="15">
        <f>INDEX(X_Table_Dairy_Liveweight_Method1,3,3)</f>
        <v>0.6</v>
      </c>
      <c r="F104" s="15">
        <f>INDEX(X_Table_Dairy_Liveweight_Method1,3,4)</f>
        <v>0.56999999999999995</v>
      </c>
      <c r="G104" s="15">
        <f>INDEX(X_Table_Dairy_Liveweight_Method1,3,5)</f>
        <v>0.1</v>
      </c>
      <c r="H104" s="15">
        <f>INDEX(X_Table_Dairy_Liveweight_Method1,3,6)</f>
        <v>0.8</v>
      </c>
      <c r="I104" s="16" t="s">
        <v>341</v>
      </c>
      <c r="J104" s="16"/>
      <c r="K104" s="16"/>
      <c r="O104" s="15">
        <f>INDEX(X_Table_Dairy_Liveweight_Method2,3,2)</f>
        <v>1.6E-2</v>
      </c>
      <c r="P104" s="15">
        <f>INDEX(X_Table_Dairy_Liveweight_Method2,3,3)</f>
        <v>0.6</v>
      </c>
      <c r="Q104" s="15">
        <f>INDEX(X_Table_Dairy_Liveweight_Method2,3,4)</f>
        <v>0.56999999999999995</v>
      </c>
      <c r="R104" s="15">
        <f>INDEX(X_Table_Dairy_Liveweight_Method2,3,5)</f>
        <v>0.1</v>
      </c>
      <c r="S104" s="15">
        <f>INDEX(X_Table_Dairy_Liveweight_Method2,3,6)</f>
        <v>0.8</v>
      </c>
      <c r="T104" s="16" t="s">
        <v>341</v>
      </c>
      <c r="U104" s="16"/>
      <c r="V104" s="16"/>
    </row>
    <row r="106" spans="1:22" ht="20.100000000000001" customHeight="1" x14ac:dyDescent="0.2">
      <c r="D106" s="122" t="s">
        <v>408</v>
      </c>
    </row>
    <row r="107" spans="1:22" ht="20.100000000000001" customHeight="1" x14ac:dyDescent="0.2">
      <c r="D107" s="123" t="s">
        <v>409</v>
      </c>
    </row>
    <row r="108" spans="1:22" ht="20.100000000000001" customHeight="1" x14ac:dyDescent="0.2">
      <c r="D108" s="124" t="s">
        <v>330</v>
      </c>
      <c r="E108" s="124" t="s">
        <v>331</v>
      </c>
      <c r="F108" s="124" t="s">
        <v>332</v>
      </c>
      <c r="G108" s="124" t="s">
        <v>333</v>
      </c>
      <c r="H108" s="124" t="s">
        <v>334</v>
      </c>
    </row>
    <row r="109" spans="1:22" ht="20.100000000000001" customHeight="1" x14ac:dyDescent="0.2">
      <c r="A109" s="129" t="str">
        <f>HYPERLINK("#A1", "▲ Back to top")</f>
        <v>▲ Back to top</v>
      </c>
      <c r="D109" s="15">
        <f>'Constants - Dairy'!$E$108</f>
        <v>1.1000000000000001</v>
      </c>
      <c r="E109" s="15">
        <f>'Constants - Dairy'!$E$109</f>
        <v>1</v>
      </c>
      <c r="F109" s="15">
        <f>'Constants - Dairy'!$E$109</f>
        <v>1</v>
      </c>
      <c r="G109" s="15">
        <f>'Constants - Dairy'!$E$109</f>
        <v>1</v>
      </c>
      <c r="H109" s="15">
        <f>'Constants - Dairy'!$E$109</f>
        <v>1</v>
      </c>
      <c r="I109" s="16" t="s">
        <v>346</v>
      </c>
      <c r="J109" s="16"/>
      <c r="K109" s="16"/>
    </row>
    <row r="111" spans="1:22" ht="20.100000000000001" customHeight="1" x14ac:dyDescent="0.2">
      <c r="D111" s="122" t="s">
        <v>410</v>
      </c>
      <c r="O111" s="122" t="s">
        <v>411</v>
      </c>
    </row>
    <row r="112" spans="1:22" ht="20.100000000000001" customHeight="1" x14ac:dyDescent="0.2">
      <c r="D112" s="123" t="s">
        <v>412</v>
      </c>
      <c r="O112" s="123" t="s">
        <v>413</v>
      </c>
    </row>
    <row r="113" spans="3:23" ht="20.100000000000001" customHeight="1" x14ac:dyDescent="0.2">
      <c r="D113" s="124" t="s">
        <v>330</v>
      </c>
      <c r="E113" s="124" t="s">
        <v>331</v>
      </c>
      <c r="F113" s="124" t="s">
        <v>332</v>
      </c>
      <c r="G113" s="124" t="s">
        <v>333</v>
      </c>
      <c r="H113" s="124" t="s">
        <v>334</v>
      </c>
      <c r="O113" s="124" t="s">
        <v>330</v>
      </c>
      <c r="P113" s="124" t="s">
        <v>331</v>
      </c>
      <c r="Q113" s="124" t="s">
        <v>332</v>
      </c>
      <c r="R113" s="124" t="s">
        <v>333</v>
      </c>
      <c r="S113" s="124" t="s">
        <v>334</v>
      </c>
    </row>
    <row r="114" spans="3:23" ht="20.100000000000001" customHeight="1" x14ac:dyDescent="0.2">
      <c r="D114" s="15">
        <f>((1.185 + 0.00454 * D99 - 0.0000026 * D99 ^ 2 + 0.315 * D104) ^ 2 * D109 + D79)</f>
        <v>18.834317684367193</v>
      </c>
      <c r="E114" s="15">
        <f>((1.185 + 0.00454 * E99 - 0.0000026 * E99 ^ 2 + 0.315 * E104) ^ 2 * E109 + E79)</f>
        <v>7.4188685375999972</v>
      </c>
      <c r="F114" s="15">
        <f>((1.185 + 0.00454 * F99 - 0.0000026 * F99 ^ 2 + 0.315 * F104) ^ 2 * F109 + F79)</f>
        <v>4.0231734662249998</v>
      </c>
      <c r="G114" s="15">
        <f>((1.185 + 0.00454 * G99 - 0.0000026 * G99 ^ 2 + 0.315 * G104) ^ 2 * G109 + G79)</f>
        <v>9.0270202499999979</v>
      </c>
      <c r="H114" s="15">
        <f>((1.185 + 0.00454 * H99 - 0.0000026 * H99 ^ 2 + 0.315 * H104) ^ 2 * H109 + H79)</f>
        <v>5.4143472656250013</v>
      </c>
      <c r="I114" s="16" t="str">
        <f>$E$89</f>
        <v>kg DM/head/day</v>
      </c>
      <c r="J114" s="16"/>
      <c r="K114" s="16"/>
      <c r="O114" s="15">
        <f>((1.185 + 0.00454 * O99 - 0.0000026 * O99 ^ 2 + 0.315 * O104) ^ 2 * D109 + O79)</f>
        <v>18.834317684367193</v>
      </c>
      <c r="P114" s="15">
        <f>((1.185 + 0.00454 * P99 - 0.0000026 * P99 ^ 2 + 0.315 * P104) ^ 2 * E109 + P79)</f>
        <v>7.4188685375999972</v>
      </c>
      <c r="Q114" s="15">
        <f>((1.185 + 0.00454 * Q99 - 0.0000026 * Q99 ^ 2 + 0.315 * Q104) ^ 2 * F109 + Q79)</f>
        <v>4.0231734662249998</v>
      </c>
      <c r="R114" s="15">
        <f>((1.185 + 0.00454 * R99 - 0.0000026 * R99 ^ 2 + 0.315 * R104) ^ 2 * G109 + R79)</f>
        <v>9.0270202499999979</v>
      </c>
      <c r="S114" s="15">
        <f>((1.185 + 0.00454 * S99 - 0.0000026 * S99 ^ 2 + 0.315 * S104) ^ 2 * H109 + S79)</f>
        <v>5.4143472656250013</v>
      </c>
      <c r="T114" s="16" t="str">
        <f>$E$89</f>
        <v>kg DM/head/day</v>
      </c>
      <c r="U114" s="16"/>
      <c r="V114" s="16"/>
    </row>
    <row r="117" spans="3:23" ht="20.100000000000001" customHeight="1" x14ac:dyDescent="0.2">
      <c r="C117" s="88"/>
      <c r="D117" s="88"/>
      <c r="E117" s="88"/>
      <c r="F117" s="88"/>
      <c r="G117" s="88"/>
      <c r="H117" s="88"/>
      <c r="I117" s="88"/>
      <c r="J117" s="88"/>
      <c r="K117" s="88"/>
      <c r="L117" s="88"/>
      <c r="N117" s="88"/>
      <c r="O117" s="88"/>
      <c r="P117" s="88"/>
      <c r="Q117" s="88"/>
      <c r="R117" s="88"/>
      <c r="S117" s="88"/>
      <c r="T117" s="88"/>
      <c r="U117" s="88"/>
      <c r="V117" s="88"/>
      <c r="W117" s="88"/>
    </row>
    <row r="118" spans="3:23" ht="20.100000000000001" customHeight="1" x14ac:dyDescent="0.2">
      <c r="D118" s="2" t="s">
        <v>1541</v>
      </c>
    </row>
    <row r="119" spans="3:23" ht="20.100000000000001" customHeight="1" x14ac:dyDescent="0.2">
      <c r="D119" s="17" t="s">
        <v>1542</v>
      </c>
    </row>
    <row r="120" spans="3:23" ht="20.100000000000001" customHeight="1" x14ac:dyDescent="0.2">
      <c r="D120" s="118"/>
      <c r="E120" s="118"/>
    </row>
    <row r="123" spans="3:23" ht="20.100000000000001" customHeight="1" x14ac:dyDescent="0.2">
      <c r="D123" s="76" t="s">
        <v>378</v>
      </c>
      <c r="E123" s="1" t="s">
        <v>1543</v>
      </c>
    </row>
    <row r="124" spans="3:23" ht="20.100000000000001" customHeight="1" x14ac:dyDescent="0.2">
      <c r="D124" s="76" t="s">
        <v>118</v>
      </c>
      <c r="E124" s="9" t="s">
        <v>341</v>
      </c>
    </row>
    <row r="126" spans="3:23" ht="20.100000000000001" customHeight="1" x14ac:dyDescent="0.2">
      <c r="D126" s="120" t="s">
        <v>1506</v>
      </c>
      <c r="E126" s="125" t="s">
        <v>1544</v>
      </c>
      <c r="F126" s="126"/>
      <c r="G126" s="120" t="s">
        <v>1548</v>
      </c>
      <c r="H126" s="128" t="s">
        <v>1549</v>
      </c>
      <c r="I126" s="127" t="str" cm="1">
        <f t="array" aca="1" ref="I126" ca="1">HYPERLINK(Common_InputFunctions.Utility_SourceHyperlink($D$111), $D$111)</f>
        <v>M1_Table_I_j</v>
      </c>
    </row>
    <row r="127" spans="3:23" ht="20.100000000000001" customHeight="1" x14ac:dyDescent="0.2">
      <c r="D127" s="120" t="s">
        <v>1467</v>
      </c>
      <c r="E127" s="125" t="s">
        <v>1545</v>
      </c>
      <c r="F127" s="126"/>
      <c r="G127" s="120" t="s">
        <v>383</v>
      </c>
      <c r="H127" s="121" t="s">
        <v>1469</v>
      </c>
      <c r="I127" s="127" t="str" cm="1">
        <f t="array" aca="1" ref="I127" ca="1">HYPERLINK(Common_InputFunctions.Utility_SourceHyperlink($D$16), $D$16)</f>
        <v>M1_Table_DMD_j</v>
      </c>
    </row>
    <row r="128" spans="3:23" ht="20.100000000000001" customHeight="1" x14ac:dyDescent="0.2">
      <c r="D128" s="120" t="s">
        <v>1546</v>
      </c>
      <c r="E128" s="125" t="s">
        <v>1547</v>
      </c>
      <c r="F128" s="126"/>
      <c r="G128" s="120" t="s">
        <v>383</v>
      </c>
      <c r="H128" s="128" t="s">
        <v>1501</v>
      </c>
      <c r="I128" s="120">
        <f>SourceData_Dairy_AshContent_Data</f>
        <v>0.08</v>
      </c>
    </row>
    <row r="130" spans="1:23" ht="20.100000000000001" customHeight="1" x14ac:dyDescent="0.2">
      <c r="D130" s="122" t="s">
        <v>414</v>
      </c>
      <c r="O130" s="122" t="s">
        <v>415</v>
      </c>
    </row>
    <row r="131" spans="1:23" ht="20.100000000000001" customHeight="1" x14ac:dyDescent="0.2">
      <c r="D131" s="123" t="s">
        <v>416</v>
      </c>
      <c r="O131" s="123" t="s">
        <v>417</v>
      </c>
    </row>
    <row r="132" spans="1:23" ht="20.100000000000001" customHeight="1" x14ac:dyDescent="0.2">
      <c r="D132" s="124" t="s">
        <v>330</v>
      </c>
      <c r="E132" s="124" t="s">
        <v>331</v>
      </c>
      <c r="F132" s="124" t="s">
        <v>332</v>
      </c>
      <c r="G132" s="124" t="s">
        <v>333</v>
      </c>
      <c r="H132" s="124" t="s">
        <v>334</v>
      </c>
      <c r="O132" s="124" t="s">
        <v>330</v>
      </c>
      <c r="P132" s="124" t="s">
        <v>331</v>
      </c>
      <c r="Q132" s="124" t="s">
        <v>332</v>
      </c>
      <c r="R132" s="124" t="s">
        <v>333</v>
      </c>
      <c r="S132" s="124" t="s">
        <v>334</v>
      </c>
    </row>
    <row r="133" spans="1:23" ht="20.100000000000001" customHeight="1" x14ac:dyDescent="0.2">
      <c r="D133" s="15">
        <f>((D114 * (1 - D19) + (0.04 * D114)) * (1 - $I$128))</f>
        <v>5.0249959581891668</v>
      </c>
      <c r="E133" s="15">
        <f>((E114 * (1 - E19) + (0.04 * E114)) * (1 - $I$128))</f>
        <v>1.9793541258316791</v>
      </c>
      <c r="F133" s="15">
        <f>((F114 * (1 - F19) + (0.04 * F114)) * (1 - $I$128))</f>
        <v>1.07338268078883</v>
      </c>
      <c r="G133" s="15">
        <f>((G114 * (1 - G19) + (0.04 * G114)) * (1 - $I$128))</f>
        <v>2.4084090026999996</v>
      </c>
      <c r="H133" s="15">
        <f>((H114 * (1 - H19) + (0.04 * H114)) * (1 - $I$128))</f>
        <v>1.4445478504687506</v>
      </c>
      <c r="I133" s="16" t="str">
        <f>$E$124</f>
        <v>kg/head/day</v>
      </c>
      <c r="O133" s="15">
        <f>((O114 * (1 - O19) + (0.04 * O114)) * (1 - $I$128))</f>
        <v>5.0249959581891668</v>
      </c>
      <c r="P133" s="15">
        <f>((P114 * (1 - P19) + (0.04 * P114)) * (1 - $I$128))</f>
        <v>1.9793541258316791</v>
      </c>
      <c r="Q133" s="15">
        <f>((Q114 * (1 - Q19) + (0.04 * Q114)) * (1 - $I$128))</f>
        <v>1.07338268078883</v>
      </c>
      <c r="R133" s="15">
        <f>((R114 * (1 - R19) + (0.04 * R114)) * (1 - $I$128))</f>
        <v>2.4084090026999996</v>
      </c>
      <c r="S133" s="15">
        <f>((S114 * (1 - S19) + (0.04 * S114)) * (1 - $I$128))</f>
        <v>1.4445478504687506</v>
      </c>
      <c r="T133" s="16" t="str">
        <f>$E$124</f>
        <v>kg/head/day</v>
      </c>
    </row>
    <row r="136" spans="1:23" ht="20.100000000000001" customHeight="1" x14ac:dyDescent="0.2">
      <c r="C136" s="88"/>
      <c r="D136" s="88"/>
      <c r="E136" s="88"/>
      <c r="F136" s="88"/>
      <c r="G136" s="88"/>
      <c r="H136" s="88"/>
      <c r="I136" s="88"/>
      <c r="J136" s="88"/>
      <c r="K136" s="88"/>
      <c r="L136" s="88"/>
      <c r="N136" s="88"/>
      <c r="O136" s="88"/>
      <c r="P136" s="88"/>
      <c r="Q136" s="88"/>
      <c r="R136" s="88"/>
      <c r="S136" s="88"/>
      <c r="T136" s="88"/>
      <c r="U136" s="88"/>
      <c r="V136" s="88"/>
      <c r="W136" s="88"/>
    </row>
    <row r="137" spans="1:23" ht="20.100000000000001" customHeight="1" x14ac:dyDescent="0.2">
      <c r="D137" s="2" t="s">
        <v>1550</v>
      </c>
    </row>
    <row r="138" spans="1:23" ht="20.100000000000001" customHeight="1" x14ac:dyDescent="0.2">
      <c r="D138" s="17" t="s">
        <v>1551</v>
      </c>
      <c r="E138" s="118"/>
    </row>
    <row r="139" spans="1:23" ht="20.100000000000001" customHeight="1" x14ac:dyDescent="0.2">
      <c r="A139" s="129" t="str">
        <f>HYPERLINK("#A1", "▲ Back to top")</f>
        <v>▲ Back to top</v>
      </c>
      <c r="D139" s="118"/>
      <c r="E139" s="118"/>
    </row>
    <row r="140" spans="1:23" ht="20.100000000000001" customHeight="1" x14ac:dyDescent="0.2">
      <c r="D140" s="2"/>
    </row>
    <row r="142" spans="1:23" ht="20.100000000000001" customHeight="1" x14ac:dyDescent="0.2">
      <c r="D142" s="76" t="s">
        <v>378</v>
      </c>
      <c r="E142" s="1" t="s">
        <v>1552</v>
      </c>
    </row>
    <row r="143" spans="1:23" ht="20.100000000000001" customHeight="1" x14ac:dyDescent="0.2">
      <c r="D143" s="76" t="s">
        <v>118</v>
      </c>
      <c r="E143" s="9" t="s">
        <v>383</v>
      </c>
    </row>
    <row r="145" spans="4:22" ht="20.100000000000001" customHeight="1" x14ac:dyDescent="0.2">
      <c r="D145" s="120" t="s">
        <v>1553</v>
      </c>
      <c r="E145" s="120" t="s">
        <v>1554</v>
      </c>
      <c r="F145" s="120"/>
      <c r="G145" s="120" t="s">
        <v>383</v>
      </c>
      <c r="H145" s="121" t="s">
        <v>1469</v>
      </c>
      <c r="I145" s="127" t="str" cm="1">
        <f t="array" aca="1" ref="I145" ca="1">HYPERLINK(Common_InputFunctions.Utility_SourceHyperlink($D$148),$D$148)</f>
        <v>M1_Table_MMS_j_m</v>
      </c>
    </row>
    <row r="146" spans="4:22" ht="20.100000000000001" customHeight="1" x14ac:dyDescent="0.2">
      <c r="D146" s="120" t="s">
        <v>1555</v>
      </c>
      <c r="E146" s="120" t="s">
        <v>1556</v>
      </c>
      <c r="F146" s="120"/>
      <c r="G146" s="120" t="s">
        <v>383</v>
      </c>
      <c r="H146" s="121" t="s">
        <v>1469</v>
      </c>
      <c r="I146" s="127" t="str" cm="1">
        <f t="array" aca="1" ref="I146" ca="1">HYPERLINK(Common_InputFunctions.Utility_SourceHyperlink($D$159),$D$159)</f>
        <v>M1_Table_SS_m</v>
      </c>
    </row>
    <row r="148" spans="4:22" ht="20.100000000000001" customHeight="1" x14ac:dyDescent="0.2">
      <c r="D148" s="122" t="s">
        <v>418</v>
      </c>
      <c r="O148" s="122" t="s">
        <v>419</v>
      </c>
    </row>
    <row r="149" spans="4:22" ht="20.100000000000001" customHeight="1" x14ac:dyDescent="0.2">
      <c r="D149" s="123" t="s">
        <v>420</v>
      </c>
      <c r="O149" s="123" t="s">
        <v>421</v>
      </c>
    </row>
    <row r="150" spans="4:22" ht="20.100000000000001" customHeight="1" x14ac:dyDescent="0.2">
      <c r="D150" s="81" t="s">
        <v>159</v>
      </c>
      <c r="E150" s="81" t="s">
        <v>422</v>
      </c>
      <c r="F150" s="81" t="s">
        <v>330</v>
      </c>
      <c r="G150" s="81" t="s">
        <v>331</v>
      </c>
      <c r="H150" s="81" t="s">
        <v>332</v>
      </c>
      <c r="I150" s="81" t="s">
        <v>333</v>
      </c>
      <c r="J150" s="81" t="s">
        <v>334</v>
      </c>
      <c r="O150" s="81" t="s">
        <v>159</v>
      </c>
      <c r="P150" s="81" t="s">
        <v>422</v>
      </c>
      <c r="Q150" s="81" t="s">
        <v>330</v>
      </c>
      <c r="R150" s="81" t="s">
        <v>331</v>
      </c>
      <c r="S150" s="81" t="s">
        <v>332</v>
      </c>
      <c r="T150" s="81" t="s">
        <v>333</v>
      </c>
      <c r="U150" s="81" t="s">
        <v>334</v>
      </c>
    </row>
    <row r="151" spans="4:22" ht="20.100000000000001" customHeight="1" x14ac:dyDescent="0.2">
      <c r="D151" s="15" t="str">
        <f>INDEX(X_Table_Dairy_ProductionSystems_Method1,2,1)</f>
        <v>Pasture</v>
      </c>
      <c r="E151" s="15" t="str">
        <f>'Constants - Common Livestock'!$E$27</f>
        <v>Pasture range and paddock</v>
      </c>
      <c r="F151" s="15" cm="1">
        <f t="array" aca="1" ref="F151:J151" ca="1">OFFSET(X_Table_Dairy_ProductionSystems_Method1, 1,1,1,5)</f>
        <v>0.53400000000000003</v>
      </c>
      <c r="G151" s="15">
        <f ca="1"/>
        <v>0.53400000000000003</v>
      </c>
      <c r="H151" s="15">
        <f ca="1"/>
        <v>0.53400000000000003</v>
      </c>
      <c r="I151" s="15">
        <f ca="1"/>
        <v>0.53400000000000003</v>
      </c>
      <c r="J151" s="15">
        <f ca="1"/>
        <v>0.53400000000000003</v>
      </c>
      <c r="K151" s="16" t="str">
        <f>$G$145</f>
        <v>fraction</v>
      </c>
      <c r="O151" s="15" t="str">
        <f>INDEX(X_Table_Dairy_ProductionSystems_Method1,2,1)</f>
        <v>Pasture</v>
      </c>
      <c r="P151" s="15" t="str">
        <f>'Constants - Common Livestock'!$E$27</f>
        <v>Pasture range and paddock</v>
      </c>
      <c r="Q151" s="15" cm="1">
        <f t="array" aca="1" ref="Q151:U151" ca="1">OFFSET(X_Table_Dairy_ProductionSystems_Method2, 1,1,1,5)</f>
        <v>0.53400000000000003</v>
      </c>
      <c r="R151" s="15">
        <f ca="1"/>
        <v>0.53400000000000003</v>
      </c>
      <c r="S151" s="15">
        <f ca="1"/>
        <v>0.53400000000000003</v>
      </c>
      <c r="T151" s="15">
        <f ca="1"/>
        <v>0.53400000000000003</v>
      </c>
      <c r="U151" s="15">
        <f ca="1"/>
        <v>0.53400000000000003</v>
      </c>
    </row>
    <row r="152" spans="4:22" ht="20.100000000000001" customHeight="1" x14ac:dyDescent="0.2">
      <c r="D152" s="15" t="str">
        <f>INDEX(X_Table_Dairy_ProductionSystems_Method1,3,1)</f>
        <v>Milking shed</v>
      </c>
      <c r="E152" s="15" t="str">
        <f>INDEX(X_Table_Dairy_Stage1MMS_1_AnaerobicLagoon,2,1)</f>
        <v>Anaerobic lagoon</v>
      </c>
      <c r="F152" s="15" cm="1">
        <f t="array" aca="1" ref="F152:J152" ca="1">OFFSET(X_Table_Dairy_ProductionSystems_Method1, 2,1,1,5)*OFFSET(X_Table_Dairy_Stage1MMS_1_AnaerobicLagoon, 1,1,1,5)</f>
        <v>2.75E-2</v>
      </c>
      <c r="G152" s="15">
        <f ca="1"/>
        <v>2.75E-2</v>
      </c>
      <c r="H152" s="15">
        <f ca="1"/>
        <v>2.75E-2</v>
      </c>
      <c r="I152" s="15">
        <f ca="1"/>
        <v>2.75E-2</v>
      </c>
      <c r="J152" s="15">
        <f ca="1"/>
        <v>2.75E-2</v>
      </c>
      <c r="K152" s="16"/>
      <c r="O152" s="15" t="str">
        <f>INDEX(X_Table_Dairy_ProductionSystems_Method1,3,1)</f>
        <v>Milking shed</v>
      </c>
      <c r="P152" s="15" t="str">
        <f>INDEX(X_Table_Dairy_Stage1MMS_1_AnaerobicLagoon,2,1)</f>
        <v>Anaerobic lagoon</v>
      </c>
      <c r="Q152" s="15" cm="1">
        <f t="array" aca="1" ref="Q152:U152" ca="1">OFFSET(X_Table_Dairy_ProductionSystems_Method2, 2,1,1,5)*OFFSET(X_Table_Dairy_Stage1MMS_1_AnaerobicLagoon, 1,1,1,5)</f>
        <v>2.75E-2</v>
      </c>
      <c r="R152" s="15">
        <f ca="1"/>
        <v>2.75E-2</v>
      </c>
      <c r="S152" s="15">
        <f ca="1"/>
        <v>2.75E-2</v>
      </c>
      <c r="T152" s="15">
        <f ca="1"/>
        <v>2.75E-2</v>
      </c>
      <c r="U152" s="15">
        <f ca="1"/>
        <v>2.75E-2</v>
      </c>
      <c r="V152" s="16" t="str">
        <f>$G$145</f>
        <v>fraction</v>
      </c>
    </row>
    <row r="153" spans="4:22" ht="20.100000000000001" customHeight="1" x14ac:dyDescent="0.2">
      <c r="D153" s="15" t="str">
        <f>INDEX(X_Table_Dairy_ProductionSystems_Method1,3,1)</f>
        <v>Milking shed</v>
      </c>
      <c r="E153" s="15" t="str">
        <f>INDEX(X_Table_Dairy_Stage1MMS_1_SumpAndDispersal,2,1)</f>
        <v>Sump and dispersal system</v>
      </c>
      <c r="F153" s="15" cm="1">
        <f t="array" aca="1" ref="F153:J153" ca="1">OFFSET(X_Table_Dairy_ProductionSystems_Method1, 2,1,1,5)*OFFSET(X_Table_Dairy_Stage1MMS_1_SumpAndDispersal, 1,1,1,5)</f>
        <v>2.75E-2</v>
      </c>
      <c r="G153" s="15">
        <f ca="1"/>
        <v>2.75E-2</v>
      </c>
      <c r="H153" s="15">
        <f ca="1"/>
        <v>2.75E-2</v>
      </c>
      <c r="I153" s="15">
        <f ca="1"/>
        <v>2.75E-2</v>
      </c>
      <c r="J153" s="15">
        <f ca="1"/>
        <v>2.75E-2</v>
      </c>
      <c r="K153" s="16"/>
      <c r="O153" s="15" t="str">
        <f>INDEX(X_Table_Dairy_ProductionSystems_Method1,3,1)</f>
        <v>Milking shed</v>
      </c>
      <c r="P153" s="15" t="str">
        <f>INDEX(X_Table_Dairy_Stage1MMS_1_SumpAndDispersal,2,1)</f>
        <v>Sump and dispersal system</v>
      </c>
      <c r="Q153" s="15" cm="1">
        <f t="array" aca="1" ref="Q153:U153" ca="1">OFFSET(X_Table_Dairy_ProductionSystems_Method2, 2,1,1,5)*OFFSET(X_Table_Dairy_Stage1MMS_1_SumpAndDispersal, 1,1,1,5)</f>
        <v>2.75E-2</v>
      </c>
      <c r="R153" s="15">
        <f ca="1"/>
        <v>2.75E-2</v>
      </c>
      <c r="S153" s="15">
        <f ca="1"/>
        <v>2.75E-2</v>
      </c>
      <c r="T153" s="15">
        <f ca="1"/>
        <v>2.75E-2</v>
      </c>
      <c r="U153" s="15">
        <f ca="1"/>
        <v>2.75E-2</v>
      </c>
      <c r="V153" s="16"/>
    </row>
    <row r="154" spans="4:22" ht="20.100000000000001" customHeight="1" x14ac:dyDescent="0.2">
      <c r="D154" s="15" t="str">
        <f>INDEX(X_Table_Dairy_ProductionSystems_Method1,3,1)</f>
        <v>Milking shed</v>
      </c>
      <c r="E154" s="15" t="str">
        <f>INDEX(X_Table_Dairy_Stage1MMS_1_DrainsToPaddock,2,1)</f>
        <v>Drains to paddock</v>
      </c>
      <c r="F154" s="15" cm="1">
        <f t="array" aca="1" ref="F154:J154" ca="1">OFFSET(X_Table_Dairy_ProductionSystems_Method1, 2,1,1,5)*OFFSET(X_Table_Dairy_Stage1MMS_1_DrainsToPaddock, 1,1,1,5)</f>
        <v>2.75E-2</v>
      </c>
      <c r="G154" s="15">
        <f ca="1"/>
        <v>2.75E-2</v>
      </c>
      <c r="H154" s="15">
        <f ca="1"/>
        <v>2.75E-2</v>
      </c>
      <c r="I154" s="15">
        <f ca="1"/>
        <v>2.75E-2</v>
      </c>
      <c r="J154" s="15">
        <f ca="1"/>
        <v>2.75E-2</v>
      </c>
      <c r="K154" s="16"/>
      <c r="O154" s="15" t="str">
        <f>INDEX(X_Table_Dairy_ProductionSystems_Method1,3,1)</f>
        <v>Milking shed</v>
      </c>
      <c r="P154" s="15" t="str">
        <f>INDEX(X_Table_Dairy_Stage1MMS_1_DrainsToPaddock,2,1)</f>
        <v>Drains to paddock</v>
      </c>
      <c r="Q154" s="15" cm="1">
        <f t="array" aca="1" ref="Q154:U154" ca="1">OFFSET(X_Table_Dairy_ProductionSystems_Method2, 2,1,1,5)*OFFSET(X_Table_Dairy_Stage1MMS_1_DrainsToPaddock, 1,1,1,5)</f>
        <v>2.75E-2</v>
      </c>
      <c r="R154" s="15">
        <f ca="1"/>
        <v>2.75E-2</v>
      </c>
      <c r="S154" s="15">
        <f ca="1"/>
        <v>2.75E-2</v>
      </c>
      <c r="T154" s="15">
        <f ca="1"/>
        <v>2.75E-2</v>
      </c>
      <c r="U154" s="15">
        <f ca="1"/>
        <v>2.75E-2</v>
      </c>
      <c r="V154" s="16"/>
    </row>
    <row r="155" spans="4:22" ht="20.100000000000001" customHeight="1" x14ac:dyDescent="0.2">
      <c r="D155" s="15" t="str">
        <f>INDEX(X_Table_Dairy_ProductionSystems_Method1,4,1)</f>
        <v>Feed pad</v>
      </c>
      <c r="E155" s="15" t="str">
        <f>INDEX(X_Table_Dairy_Stage1MMS_2_AnaerobicLagoon,2,1)</f>
        <v>Anaerobic lagoon</v>
      </c>
      <c r="F155" s="15" cm="1">
        <f t="array" aca="1" ref="F155:J155" ca="1">OFFSET(X_Table_Dairy_ProductionSystems_Method1, 3,1,1,5)*OFFSET(X_Table_Dairy_Stage1MMS_1_AnaerobicLagoon, 1,1,1,5)</f>
        <v>8.8999999999999996E-2</v>
      </c>
      <c r="G155" s="15">
        <f ca="1"/>
        <v>8.8999999999999996E-2</v>
      </c>
      <c r="H155" s="15">
        <f ca="1"/>
        <v>8.8999999999999996E-2</v>
      </c>
      <c r="I155" s="15">
        <f ca="1"/>
        <v>8.8999999999999996E-2</v>
      </c>
      <c r="J155" s="15">
        <f ca="1"/>
        <v>8.8999999999999996E-2</v>
      </c>
      <c r="K155" s="16"/>
      <c r="O155" s="15" t="str">
        <f>INDEX(X_Table_Dairy_ProductionSystems_Method1,4,1)</f>
        <v>Feed pad</v>
      </c>
      <c r="P155" s="15" t="str">
        <f>INDEX(X_Table_Dairy_Stage1MMS_2_AnaerobicLagoon,2,1)</f>
        <v>Anaerobic lagoon</v>
      </c>
      <c r="Q155" s="15" cm="1">
        <f t="array" aca="1" ref="Q155:U155" ca="1">OFFSET(X_Table_Dairy_ProductionSystems_Method2, 3,1,1,5)*OFFSET(X_Table_Dairy_Stage1MMS_1_AnaerobicLagoon, 1,1,1,5)</f>
        <v>8.8999999999999996E-2</v>
      </c>
      <c r="R155" s="15">
        <f ca="1"/>
        <v>8.8999999999999996E-2</v>
      </c>
      <c r="S155" s="15">
        <f ca="1"/>
        <v>8.8999999999999996E-2</v>
      </c>
      <c r="T155" s="15">
        <f ca="1"/>
        <v>8.8999999999999996E-2</v>
      </c>
      <c r="U155" s="15">
        <f ca="1"/>
        <v>8.8999999999999996E-2</v>
      </c>
      <c r="V155" s="16"/>
    </row>
    <row r="156" spans="4:22" ht="20.100000000000001" customHeight="1" x14ac:dyDescent="0.2">
      <c r="D156" s="15" t="str">
        <f>INDEX(X_Table_Dairy_ProductionSystems_Method1,4,1)</f>
        <v>Feed pad</v>
      </c>
      <c r="E156" s="15" t="str">
        <f>INDEX(X_Table_Dairy_Stage1MMS_2_SumpAndDispersal,2,1)</f>
        <v>Sump and dispersal system</v>
      </c>
      <c r="F156" s="15" cm="1">
        <f t="array" aca="1" ref="F156:J156" ca="1">OFFSET(X_Table_Dairy_ProductionSystems_Method1, 3,1,1,5)*OFFSET(X_Table_Dairy_Stage1MMS_1_SumpAndDispersal, 1,1,1,5)</f>
        <v>8.8999999999999996E-2</v>
      </c>
      <c r="G156" s="15">
        <f ca="1"/>
        <v>8.8999999999999996E-2</v>
      </c>
      <c r="H156" s="15">
        <f ca="1"/>
        <v>8.8999999999999996E-2</v>
      </c>
      <c r="I156" s="15">
        <f ca="1"/>
        <v>8.8999999999999996E-2</v>
      </c>
      <c r="J156" s="15">
        <f ca="1"/>
        <v>8.8999999999999996E-2</v>
      </c>
      <c r="K156" s="16"/>
      <c r="O156" s="15" t="str">
        <f>INDEX(X_Table_Dairy_ProductionSystems_Method1,4,1)</f>
        <v>Feed pad</v>
      </c>
      <c r="P156" s="15" t="str">
        <f>INDEX(X_Table_Dairy_Stage1MMS_2_SumpAndDispersal,2,1)</f>
        <v>Sump and dispersal system</v>
      </c>
      <c r="Q156" s="15" cm="1">
        <f t="array" aca="1" ref="Q156:U156" ca="1">OFFSET(X_Table_Dairy_ProductionSystems_Method2, 3,1,1,5)*OFFSET(X_Table_Dairy_Stage1MMS_1_SumpAndDispersal, 1,1,1,5)</f>
        <v>8.8999999999999996E-2</v>
      </c>
      <c r="R156" s="15">
        <f ca="1"/>
        <v>8.8999999999999996E-2</v>
      </c>
      <c r="S156" s="15">
        <f ca="1"/>
        <v>8.8999999999999996E-2</v>
      </c>
      <c r="T156" s="15">
        <f ca="1"/>
        <v>8.8999999999999996E-2</v>
      </c>
      <c r="U156" s="15">
        <f ca="1"/>
        <v>8.8999999999999996E-2</v>
      </c>
      <c r="V156" s="16"/>
    </row>
    <row r="157" spans="4:22" ht="20.100000000000001" customHeight="1" x14ac:dyDescent="0.2">
      <c r="D157" s="15" t="str">
        <f>INDEX(X_Table_Dairy_ProductionSystems_Method1,4,1)</f>
        <v>Feed pad</v>
      </c>
      <c r="E157" s="15" t="str">
        <f>INDEX(X_Table_Dairy_Stage1MMS_2_DrainsToPaddock,2,1)</f>
        <v>Drains to paddock</v>
      </c>
      <c r="F157" s="15" cm="1">
        <f t="array" aca="1" ref="F157:J157" ca="1">OFFSET(X_Table_Dairy_ProductionSystems_Method1, 3,1,1,5)*OFFSET(X_Table_Dairy_Stage1MMS_1_DrainsToPaddock, 1,1,1,5)</f>
        <v>8.8999999999999996E-2</v>
      </c>
      <c r="G157" s="15">
        <f ca="1"/>
        <v>8.8999999999999996E-2</v>
      </c>
      <c r="H157" s="15">
        <f ca="1"/>
        <v>8.8999999999999996E-2</v>
      </c>
      <c r="I157" s="15">
        <f ca="1"/>
        <v>8.8999999999999996E-2</v>
      </c>
      <c r="J157" s="15">
        <f ca="1"/>
        <v>8.8999999999999996E-2</v>
      </c>
      <c r="K157" s="16"/>
      <c r="O157" s="15" t="str">
        <f>INDEX(X_Table_Dairy_ProductionSystems_Method1,4,1)</f>
        <v>Feed pad</v>
      </c>
      <c r="P157" s="15" t="str">
        <f>INDEX(X_Table_Dairy_Stage1MMS_2_DrainsToPaddock,2,1)</f>
        <v>Drains to paddock</v>
      </c>
      <c r="Q157" s="15" cm="1">
        <f t="array" aca="1" ref="Q157:U157" ca="1">OFFSET(X_Table_Dairy_ProductionSystems_Method2, 3,1,1,5)*OFFSET(X_Table_Dairy_Stage1MMS_1_DrainsToPaddock, 1,1,1,5)</f>
        <v>8.8999999999999996E-2</v>
      </c>
      <c r="R157" s="15">
        <f ca="1"/>
        <v>8.8999999999999996E-2</v>
      </c>
      <c r="S157" s="15">
        <f ca="1"/>
        <v>8.8999999999999996E-2</v>
      </c>
      <c r="T157" s="15">
        <f ca="1"/>
        <v>8.8999999999999996E-2</v>
      </c>
      <c r="U157" s="15">
        <f ca="1"/>
        <v>8.8999999999999996E-2</v>
      </c>
      <c r="V157" s="16"/>
    </row>
    <row r="159" spans="4:22" ht="20.100000000000001" customHeight="1" x14ac:dyDescent="0.2">
      <c r="D159" s="122" t="s">
        <v>423</v>
      </c>
      <c r="O159" s="122" t="s">
        <v>424</v>
      </c>
    </row>
    <row r="160" spans="4:22" ht="20.100000000000001" customHeight="1" x14ac:dyDescent="0.2">
      <c r="D160" s="123" t="s">
        <v>425</v>
      </c>
      <c r="O160" s="123" t="s">
        <v>426</v>
      </c>
    </row>
    <row r="161" spans="1:22" ht="20.100000000000001" customHeight="1" x14ac:dyDescent="0.2">
      <c r="D161" s="81" t="s">
        <v>159</v>
      </c>
      <c r="E161" s="81" t="s">
        <v>422</v>
      </c>
      <c r="F161" s="81" t="s">
        <v>427</v>
      </c>
      <c r="O161" s="81" t="s">
        <v>159</v>
      </c>
      <c r="P161" s="81" t="s">
        <v>422</v>
      </c>
      <c r="Q161" s="81" t="s">
        <v>427</v>
      </c>
    </row>
    <row r="162" spans="1:22" ht="20.100000000000001" customHeight="1" x14ac:dyDescent="0.2">
      <c r="D162" s="15" t="str">
        <f>INDEX(X_Table_Dairy_ProductionSystems_Method1,2,1)</f>
        <v>Pasture</v>
      </c>
      <c r="E162" s="15" t="str">
        <f>'Constants - Common Livestock'!$E$27</f>
        <v>Pasture range and paddock</v>
      </c>
      <c r="F162" s="15">
        <v>0</v>
      </c>
      <c r="G162" s="16" t="str">
        <f>$G$146</f>
        <v>fraction</v>
      </c>
      <c r="O162" s="15" t="str">
        <f>INDEX(X_Table_Dairy_ProductionSystems_Method1,2,1)</f>
        <v>Pasture</v>
      </c>
      <c r="P162" s="15" t="str">
        <f>'Constants - Common Livestock'!$E$27</f>
        <v>Pasture range and paddock</v>
      </c>
      <c r="Q162" s="15">
        <v>0</v>
      </c>
      <c r="R162" s="16" t="str">
        <f>$G$146</f>
        <v>fraction</v>
      </c>
    </row>
    <row r="163" spans="1:22" ht="20.100000000000001" customHeight="1" x14ac:dyDescent="0.2">
      <c r="D163" s="15" t="str">
        <f>INDEX(X_Table_Dairy_ProductionSystems_Method1,3,1)</f>
        <v>Milking shed</v>
      </c>
      <c r="E163" s="15" t="str">
        <f>INDEX(X_Table_Dairy_Stage1MMS_1_AnaerobicLagoon,2,1)</f>
        <v>Anaerobic lagoon</v>
      </c>
      <c r="F163" s="15">
        <f>X_Cell_Dairy_Stage1MMS_1_AnaerobicLagoon_AmountSeparated_Method1</f>
        <v>0.2</v>
      </c>
      <c r="O163" s="15" t="str">
        <f>INDEX(X_Table_Dairy_ProductionSystems_Method1,3,1)</f>
        <v>Milking shed</v>
      </c>
      <c r="P163" s="15" t="str">
        <f>INDEX(X_Table_Dairy_Stage1MMS_1_AnaerobicLagoon,2,1)</f>
        <v>Anaerobic lagoon</v>
      </c>
      <c r="Q163" s="15">
        <f>X_Cell_Dairy_Stage1MMS_1_AnaerobicLagoon_AmountSeparated_Method2</f>
        <v>0.2</v>
      </c>
      <c r="R163" s="16"/>
    </row>
    <row r="164" spans="1:22" ht="20.100000000000001" customHeight="1" x14ac:dyDescent="0.2">
      <c r="D164" s="15" t="str">
        <f>INDEX(X_Table_Dairy_ProductionSystems_Method1,3,1)</f>
        <v>Milking shed</v>
      </c>
      <c r="E164" s="15" t="str">
        <f>INDEX(X_Table_Dairy_Stage1MMS_1_SumpAndDispersal,2,1)</f>
        <v>Sump and dispersal system</v>
      </c>
      <c r="F164" s="15">
        <f>X_Cell_Dairy_Stage1MMS_1_SumpAndDispersal_AmountSeparated_Method1</f>
        <v>0.2</v>
      </c>
      <c r="G164" s="16"/>
      <c r="O164" s="15" t="str">
        <f>INDEX(X_Table_Dairy_ProductionSystems_Method1,3,1)</f>
        <v>Milking shed</v>
      </c>
      <c r="P164" s="15" t="str">
        <f>INDEX(X_Table_Dairy_Stage1MMS_1_SumpAndDispersal,2,1)</f>
        <v>Sump and dispersal system</v>
      </c>
      <c r="Q164" s="15">
        <f>X_Cell_Dairy_Stage1MMS_1_SumpAndDispersal_AmountSeparated_Method2</f>
        <v>0.2</v>
      </c>
      <c r="R164" s="16"/>
    </row>
    <row r="165" spans="1:22" ht="20.100000000000001" customHeight="1" x14ac:dyDescent="0.2">
      <c r="D165" s="15" t="str">
        <f>INDEX(X_Table_Dairy_ProductionSystems_Method1,3,1)</f>
        <v>Milking shed</v>
      </c>
      <c r="E165" s="15" t="str">
        <f>INDEX(X_Table_Dairy_Stage1MMS_1_DrainsToPaddock,2,1)</f>
        <v>Drains to paddock</v>
      </c>
      <c r="F165" s="15">
        <f>X_Cell_Dairy_Stage1MMS_1_DrainsToPaddock_AmountSeparated_Method1</f>
        <v>0.2</v>
      </c>
      <c r="G165" s="16"/>
      <c r="O165" s="15" t="str">
        <f>INDEX(X_Table_Dairy_ProductionSystems_Method1,3,1)</f>
        <v>Milking shed</v>
      </c>
      <c r="P165" s="15" t="str">
        <f>INDEX(X_Table_Dairy_Stage1MMS_1_DrainsToPaddock,2,1)</f>
        <v>Drains to paddock</v>
      </c>
      <c r="Q165" s="15">
        <f>X_Cell_Dairy_Stage1MMS_1_DrainsToPaddock_AmountSeparated_Method2</f>
        <v>0.2</v>
      </c>
      <c r="R165" s="16"/>
    </row>
    <row r="166" spans="1:22" ht="20.100000000000001" customHeight="1" x14ac:dyDescent="0.2">
      <c r="D166" s="15" t="str">
        <f>INDEX(X_Table_Dairy_ProductionSystems_Method1,4,1)</f>
        <v>Feed pad</v>
      </c>
      <c r="E166" s="15" t="str">
        <f>INDEX(X_Table_Dairy_Stage1MMS_2_AnaerobicLagoon,2,1)</f>
        <v>Anaerobic lagoon</v>
      </c>
      <c r="F166" s="15">
        <f>X_Cell_Dairy_Stage1MMS_2_AnaerobicLagoon_AmountSeparated_Method1</f>
        <v>0</v>
      </c>
      <c r="G166" s="16"/>
      <c r="O166" s="15" t="str">
        <f>INDEX(X_Table_Dairy_ProductionSystems_Method1,4,1)</f>
        <v>Feed pad</v>
      </c>
      <c r="P166" s="15" t="str">
        <f>INDEX(X_Table_Dairy_Stage1MMS_2_AnaerobicLagoon,2,1)</f>
        <v>Anaerobic lagoon</v>
      </c>
      <c r="Q166" s="15">
        <f>X_Cell_Dairy_Stage1MMS_2_AnaerobicLagoon_AmountSeparated_Method2</f>
        <v>0</v>
      </c>
      <c r="R166" s="16"/>
    </row>
    <row r="167" spans="1:22" ht="20.100000000000001" customHeight="1" x14ac:dyDescent="0.2">
      <c r="D167" s="15" t="str">
        <f>INDEX(X_Table_Dairy_ProductionSystems_Method1,4,1)</f>
        <v>Feed pad</v>
      </c>
      <c r="E167" s="15" t="str">
        <f>INDEX(X_Table_Dairy_Stage1MMS_2_SumpAndDispersal,2,1)</f>
        <v>Sump and dispersal system</v>
      </c>
      <c r="F167" s="15">
        <f>X_Cell_Dairy_Stage1MMS_2_SumpAndDispersal_AmountSeparated_Method1</f>
        <v>0.2</v>
      </c>
      <c r="G167" s="16"/>
      <c r="O167" s="15" t="str">
        <f>INDEX(X_Table_Dairy_ProductionSystems_Method1,4,1)</f>
        <v>Feed pad</v>
      </c>
      <c r="P167" s="15" t="str">
        <f>INDEX(X_Table_Dairy_Stage1MMS_2_SumpAndDispersal,2,1)</f>
        <v>Sump and dispersal system</v>
      </c>
      <c r="Q167" s="15">
        <f>X_Cell_Dairy_Stage1MMS_2_SumpAndDispersal_AmountSeparated_Method2</f>
        <v>0.2</v>
      </c>
      <c r="R167" s="16"/>
    </row>
    <row r="168" spans="1:22" ht="20.100000000000001" customHeight="1" x14ac:dyDescent="0.2">
      <c r="D168" s="15" t="str">
        <f>INDEX(X_Table_Dairy_ProductionSystems_Method1,4,1)</f>
        <v>Feed pad</v>
      </c>
      <c r="E168" s="15" t="str">
        <f>INDEX(X_Table_Dairy_Stage1MMS_2_DrainsToPaddock,2,1)</f>
        <v>Drains to paddock</v>
      </c>
      <c r="F168" s="15">
        <f>X_Cell_Dairy_Stage1MMS_2_DrainsToPaddock_AmountSeparated_Method1</f>
        <v>0.2</v>
      </c>
      <c r="G168" s="16"/>
      <c r="O168" s="15" t="str">
        <f>INDEX(X_Table_Dairy_ProductionSystems_Method1,4,1)</f>
        <v>Feed pad</v>
      </c>
      <c r="P168" s="15" t="str">
        <f>INDEX(X_Table_Dairy_Stage1MMS_2_DrainsToPaddock,2,1)</f>
        <v>Drains to paddock</v>
      </c>
      <c r="Q168" s="15">
        <f>X_Cell_Dairy_Stage1MMS_2_DrainsToPaddock_AmountSeparated_Method2</f>
        <v>0.2</v>
      </c>
      <c r="R168" s="16"/>
    </row>
    <row r="169" spans="1:22" ht="20.100000000000001" customHeight="1" x14ac:dyDescent="0.2">
      <c r="A169" s="129" t="str">
        <f>HYPERLINK("#A1", "▲ Back to top")</f>
        <v>▲ Back to top</v>
      </c>
    </row>
    <row r="170" spans="1:22" ht="20.100000000000001" customHeight="1" x14ac:dyDescent="0.2">
      <c r="D170" s="122" t="s">
        <v>428</v>
      </c>
      <c r="O170" s="122" t="s">
        <v>428</v>
      </c>
    </row>
    <row r="171" spans="1:22" ht="20.100000000000001" customHeight="1" x14ac:dyDescent="0.2">
      <c r="D171" s="123" t="s">
        <v>429</v>
      </c>
      <c r="O171" s="123" t="s">
        <v>430</v>
      </c>
    </row>
    <row r="172" spans="1:22" ht="20.100000000000001" customHeight="1" x14ac:dyDescent="0.2">
      <c r="D172" s="124" t="s">
        <v>159</v>
      </c>
      <c r="E172" s="124" t="s">
        <v>422</v>
      </c>
      <c r="F172" s="124" t="s">
        <v>330</v>
      </c>
      <c r="G172" s="124" t="s">
        <v>331</v>
      </c>
      <c r="H172" s="124" t="s">
        <v>332</v>
      </c>
      <c r="I172" s="124" t="s">
        <v>333</v>
      </c>
      <c r="J172" s="124" t="s">
        <v>334</v>
      </c>
      <c r="O172" s="124" t="s">
        <v>159</v>
      </c>
      <c r="P172" s="124" t="s">
        <v>422</v>
      </c>
      <c r="Q172" s="124" t="s">
        <v>330</v>
      </c>
      <c r="R172" s="124" t="s">
        <v>331</v>
      </c>
      <c r="S172" s="124" t="s">
        <v>332</v>
      </c>
      <c r="T172" s="124" t="s">
        <v>333</v>
      </c>
      <c r="U172" s="124" t="s">
        <v>334</v>
      </c>
    </row>
    <row r="173" spans="1:22" ht="20.100000000000001" customHeight="1" x14ac:dyDescent="0.2">
      <c r="D173" s="15" t="str">
        <f>INDEX(X_Table_Dairy_ProductionSystems_Method1,2,1)</f>
        <v>Pasture</v>
      </c>
      <c r="E173" s="15" t="str">
        <f>'Constants - Common Livestock'!$E$27</f>
        <v>Pasture range and paddock</v>
      </c>
      <c r="F173" s="15">
        <f ca="1">(F151 * (1 - $F162))</f>
        <v>0.53400000000000003</v>
      </c>
      <c r="G173" s="15">
        <f ca="1">(G151 * (1 - $F162))</f>
        <v>0.53400000000000003</v>
      </c>
      <c r="H173" s="15">
        <f ca="1">(H151 * (1 - $F162))</f>
        <v>0.53400000000000003</v>
      </c>
      <c r="I173" s="15">
        <f ca="1">(I151 * (1 - $F162))</f>
        <v>0.53400000000000003</v>
      </c>
      <c r="J173" s="15">
        <f ca="1">(J151 * (1 - $F162))</f>
        <v>0.53400000000000003</v>
      </c>
      <c r="K173" s="16" t="str">
        <f>$E$143</f>
        <v>fraction</v>
      </c>
      <c r="O173" s="15" t="str">
        <f>INDEX(X_Table_Dairy_ProductionSystems_Method1,2,1)</f>
        <v>Pasture</v>
      </c>
      <c r="P173" s="15" t="str">
        <f>'Constants - Common Livestock'!$E$27</f>
        <v>Pasture range and paddock</v>
      </c>
      <c r="Q173" s="15">
        <f ca="1">(Q151 * (1 - $Q162))</f>
        <v>0.53400000000000003</v>
      </c>
      <c r="R173" s="15">
        <f ca="1">(R151 * (1 - $Q162))</f>
        <v>0.53400000000000003</v>
      </c>
      <c r="S173" s="15">
        <f ca="1">(S151 * (1 - $Q162))</f>
        <v>0.53400000000000003</v>
      </c>
      <c r="T173" s="15">
        <f ca="1">(T151 * (1 - $Q162))</f>
        <v>0.53400000000000003</v>
      </c>
      <c r="U173" s="15">
        <f ca="1">(U151 * (1 - $Q162))</f>
        <v>0.53400000000000003</v>
      </c>
      <c r="V173" s="16" t="str">
        <f>$E$143</f>
        <v>fraction</v>
      </c>
    </row>
    <row r="174" spans="1:22" ht="20.100000000000001" customHeight="1" x14ac:dyDescent="0.2">
      <c r="D174" s="15" t="str">
        <f>INDEX(X_Table_Dairy_ProductionSystems_Method1,3,1)</f>
        <v>Milking shed</v>
      </c>
      <c r="E174" s="15" t="str">
        <f>INDEX(X_Table_Dairy_Stage1MMS_1_AnaerobicLagoon,2,1)</f>
        <v>Anaerobic lagoon</v>
      </c>
      <c r="F174" s="15">
        <f ca="1">(F152 * (1 - $F163))</f>
        <v>2.2000000000000002E-2</v>
      </c>
      <c r="G174" s="15">
        <f ca="1">(G152 * (1 - $F163))</f>
        <v>2.2000000000000002E-2</v>
      </c>
      <c r="H174" s="15">
        <f ca="1">(H152 * (1 - $F163))</f>
        <v>2.2000000000000002E-2</v>
      </c>
      <c r="I174" s="15">
        <f ca="1">(I152 * (1 - $F163))</f>
        <v>2.2000000000000002E-2</v>
      </c>
      <c r="J174" s="15">
        <f ca="1">(J152 * (1 - $F163))</f>
        <v>2.2000000000000002E-2</v>
      </c>
      <c r="O174" s="15" t="str">
        <f>INDEX(X_Table_Dairy_ProductionSystems_Method1,3,1)</f>
        <v>Milking shed</v>
      </c>
      <c r="P174" s="15" t="str">
        <f>INDEX(X_Table_Dairy_Stage1MMS_1_AnaerobicLagoon,2,1)</f>
        <v>Anaerobic lagoon</v>
      </c>
      <c r="Q174" s="15">
        <f ca="1">(Q152 * (1 - $Q163))</f>
        <v>2.2000000000000002E-2</v>
      </c>
      <c r="R174" s="15">
        <f ca="1">(R152 * (1 - $Q163))</f>
        <v>2.2000000000000002E-2</v>
      </c>
      <c r="S174" s="15">
        <f ca="1">(S152 * (1 - $Q163))</f>
        <v>2.2000000000000002E-2</v>
      </c>
      <c r="T174" s="15">
        <f ca="1">(T152 * (1 - $Q163))</f>
        <v>2.2000000000000002E-2</v>
      </c>
      <c r="U174" s="15">
        <f ca="1">(U152 * (1 - $Q163))</f>
        <v>2.2000000000000002E-2</v>
      </c>
    </row>
    <row r="175" spans="1:22" ht="20.100000000000001" customHeight="1" x14ac:dyDescent="0.2">
      <c r="D175" s="15" t="str">
        <f>INDEX(X_Table_Dairy_ProductionSystems_Method1,3,1)</f>
        <v>Milking shed</v>
      </c>
      <c r="E175" s="15" t="str">
        <f>INDEX(X_Table_Dairy_Stage1MMS_1_SumpAndDispersal,2,1)</f>
        <v>Sump and dispersal system</v>
      </c>
      <c r="F175" s="15">
        <f ca="1">(F153 * (1 - $F164))</f>
        <v>2.2000000000000002E-2</v>
      </c>
      <c r="G175" s="15">
        <f ca="1">(G153 * (1 - $F164))</f>
        <v>2.2000000000000002E-2</v>
      </c>
      <c r="H175" s="15">
        <f ca="1">(H153 * (1 - $F164))</f>
        <v>2.2000000000000002E-2</v>
      </c>
      <c r="I175" s="15">
        <f ca="1">(I153 * (1 - $F164))</f>
        <v>2.2000000000000002E-2</v>
      </c>
      <c r="J175" s="15">
        <f ca="1">(J153 * (1 - $F164))</f>
        <v>2.2000000000000002E-2</v>
      </c>
      <c r="K175" s="16"/>
      <c r="O175" s="15" t="str">
        <f>INDEX(X_Table_Dairy_ProductionSystems_Method1,3,1)</f>
        <v>Milking shed</v>
      </c>
      <c r="P175" s="15" t="str">
        <f>INDEX(X_Table_Dairy_Stage1MMS_1_SumpAndDispersal,2,1)</f>
        <v>Sump and dispersal system</v>
      </c>
      <c r="Q175" s="15">
        <f ca="1">(Q153 * (1 - $Q164))</f>
        <v>2.2000000000000002E-2</v>
      </c>
      <c r="R175" s="15">
        <f ca="1">(R153 * (1 - $Q164))</f>
        <v>2.2000000000000002E-2</v>
      </c>
      <c r="S175" s="15">
        <f ca="1">(S153 * (1 - $Q164))</f>
        <v>2.2000000000000002E-2</v>
      </c>
      <c r="T175" s="15">
        <f ca="1">(T153 * (1 - $Q164))</f>
        <v>2.2000000000000002E-2</v>
      </c>
      <c r="U175" s="15">
        <f ca="1">(U153 * (1 - $Q164))</f>
        <v>2.2000000000000002E-2</v>
      </c>
      <c r="V175" s="16"/>
    </row>
    <row r="176" spans="1:22" ht="20.100000000000001" customHeight="1" x14ac:dyDescent="0.2">
      <c r="D176" s="15" t="str">
        <f>INDEX(X_Table_Dairy_ProductionSystems_Method1,3,1)</f>
        <v>Milking shed</v>
      </c>
      <c r="E176" s="15" t="str">
        <f>INDEX(X_Table_Dairy_Stage1MMS_1_DrainsToPaddock,2,1)</f>
        <v>Drains to paddock</v>
      </c>
      <c r="F176" s="15">
        <f ca="1">(F154 * (1 - $F165))</f>
        <v>2.2000000000000002E-2</v>
      </c>
      <c r="G176" s="15">
        <f ca="1">(G154 * (1 - $F165))</f>
        <v>2.2000000000000002E-2</v>
      </c>
      <c r="H176" s="15">
        <f ca="1">(H154 * (1 - $F165))</f>
        <v>2.2000000000000002E-2</v>
      </c>
      <c r="I176" s="15">
        <f ca="1">(I154 * (1 - $F165))</f>
        <v>2.2000000000000002E-2</v>
      </c>
      <c r="J176" s="15">
        <f ca="1">(J154 * (1 - $F165))</f>
        <v>2.2000000000000002E-2</v>
      </c>
      <c r="K176" s="16"/>
      <c r="O176" s="15" t="str">
        <f>INDEX(X_Table_Dairy_ProductionSystems_Method1,3,1)</f>
        <v>Milking shed</v>
      </c>
      <c r="P176" s="15" t="str">
        <f>INDEX(X_Table_Dairy_Stage1MMS_1_DrainsToPaddock,2,1)</f>
        <v>Drains to paddock</v>
      </c>
      <c r="Q176" s="15">
        <f ca="1">(Q154 * (1 - $Q165))</f>
        <v>2.2000000000000002E-2</v>
      </c>
      <c r="R176" s="15">
        <f ca="1">(R154 * (1 - $Q165))</f>
        <v>2.2000000000000002E-2</v>
      </c>
      <c r="S176" s="15">
        <f ca="1">(S154 * (1 - $Q165))</f>
        <v>2.2000000000000002E-2</v>
      </c>
      <c r="T176" s="15">
        <f ca="1">(T154 * (1 - $Q165))</f>
        <v>2.2000000000000002E-2</v>
      </c>
      <c r="U176" s="15">
        <f ca="1">(U154 * (1 - $Q165))</f>
        <v>2.2000000000000002E-2</v>
      </c>
      <c r="V176" s="16"/>
    </row>
    <row r="177" spans="3:23" ht="20.100000000000001" customHeight="1" x14ac:dyDescent="0.2">
      <c r="D177" s="15" t="str">
        <f>INDEX(X_Table_Dairy_ProductionSystems_Method1,4,1)</f>
        <v>Feed pad</v>
      </c>
      <c r="E177" s="15" t="str">
        <f>INDEX(X_Table_Dairy_Stage1MMS_2_AnaerobicLagoon,2,1)</f>
        <v>Anaerobic lagoon</v>
      </c>
      <c r="F177" s="15">
        <f ca="1">(F155 * (1 - $F166))</f>
        <v>8.8999999999999996E-2</v>
      </c>
      <c r="G177" s="15">
        <f ca="1">(G155 * (1 - $F166))</f>
        <v>8.8999999999999996E-2</v>
      </c>
      <c r="H177" s="15">
        <f ca="1">(H155 * (1 - $F166))</f>
        <v>8.8999999999999996E-2</v>
      </c>
      <c r="I177" s="15">
        <f ca="1">(I155 * (1 - $F166))</f>
        <v>8.8999999999999996E-2</v>
      </c>
      <c r="J177" s="15">
        <f ca="1">(J155 * (1 - $F166))</f>
        <v>8.8999999999999996E-2</v>
      </c>
      <c r="K177" s="16"/>
      <c r="O177" s="15" t="str">
        <f>INDEX(X_Table_Dairy_ProductionSystems_Method1,4,1)</f>
        <v>Feed pad</v>
      </c>
      <c r="P177" s="15" t="str">
        <f>INDEX(X_Table_Dairy_Stage1MMS_2_AnaerobicLagoon,2,1)</f>
        <v>Anaerobic lagoon</v>
      </c>
      <c r="Q177" s="15">
        <f ca="1">(Q155 * (1 - $Q166))</f>
        <v>8.8999999999999996E-2</v>
      </c>
      <c r="R177" s="15">
        <f ca="1">(R155 * (1 - $Q166))</f>
        <v>8.8999999999999996E-2</v>
      </c>
      <c r="S177" s="15">
        <f ca="1">(S155 * (1 - $Q166))</f>
        <v>8.8999999999999996E-2</v>
      </c>
      <c r="T177" s="15">
        <f ca="1">(T155 * (1 - $Q166))</f>
        <v>8.8999999999999996E-2</v>
      </c>
      <c r="U177" s="15">
        <f ca="1">(U155 * (1 - $Q166))</f>
        <v>8.8999999999999996E-2</v>
      </c>
      <c r="V177" s="16"/>
    </row>
    <row r="178" spans="3:23" ht="20.100000000000001" customHeight="1" x14ac:dyDescent="0.2">
      <c r="D178" s="15" t="str">
        <f>INDEX(X_Table_Dairy_ProductionSystems_Method1,4,1)</f>
        <v>Feed pad</v>
      </c>
      <c r="E178" s="15" t="str">
        <f>INDEX(X_Table_Dairy_Stage1MMS_2_SumpAndDispersal,2,1)</f>
        <v>Sump and dispersal system</v>
      </c>
      <c r="F178" s="15">
        <f ca="1">(F156 * (1 - $F167))</f>
        <v>7.1199999999999999E-2</v>
      </c>
      <c r="G178" s="15">
        <f ca="1">(G156 * (1 - $F167))</f>
        <v>7.1199999999999999E-2</v>
      </c>
      <c r="H178" s="15">
        <f ca="1">(H156 * (1 - $F167))</f>
        <v>7.1199999999999999E-2</v>
      </c>
      <c r="I178" s="15">
        <f ca="1">(I156 * (1 - $F167))</f>
        <v>7.1199999999999999E-2</v>
      </c>
      <c r="J178" s="15">
        <f ca="1">(J156 * (1 - $F167))</f>
        <v>7.1199999999999999E-2</v>
      </c>
      <c r="K178" s="16"/>
      <c r="O178" s="15" t="str">
        <f>INDEX(X_Table_Dairy_ProductionSystems_Method1,4,1)</f>
        <v>Feed pad</v>
      </c>
      <c r="P178" s="15" t="str">
        <f>INDEX(X_Table_Dairy_Stage1MMS_2_SumpAndDispersal,2,1)</f>
        <v>Sump and dispersal system</v>
      </c>
      <c r="Q178" s="15">
        <f ca="1">(Q156 * (1 - $Q167))</f>
        <v>7.1199999999999999E-2</v>
      </c>
      <c r="R178" s="15">
        <f ca="1">(R156 * (1 - $Q167))</f>
        <v>7.1199999999999999E-2</v>
      </c>
      <c r="S178" s="15">
        <f ca="1">(S156 * (1 - $Q167))</f>
        <v>7.1199999999999999E-2</v>
      </c>
      <c r="T178" s="15">
        <f ca="1">(T156 * (1 - $Q167))</f>
        <v>7.1199999999999999E-2</v>
      </c>
      <c r="U178" s="15">
        <f ca="1">(U156 * (1 - $Q167))</f>
        <v>7.1199999999999999E-2</v>
      </c>
      <c r="V178" s="16"/>
    </row>
    <row r="179" spans="3:23" ht="20.100000000000001" customHeight="1" x14ac:dyDescent="0.2">
      <c r="D179" s="15" t="str">
        <f>INDEX(X_Table_Dairy_ProductionSystems_Method1,4,1)</f>
        <v>Feed pad</v>
      </c>
      <c r="E179" s="15" t="str">
        <f>INDEX(X_Table_Dairy_Stage1MMS_2_DrainsToPaddock,2,1)</f>
        <v>Drains to paddock</v>
      </c>
      <c r="F179" s="15">
        <f ca="1">(F157 * (1 - $F168))</f>
        <v>7.1199999999999999E-2</v>
      </c>
      <c r="G179" s="15">
        <f ca="1">(G157 * (1 - $F168))</f>
        <v>7.1199999999999999E-2</v>
      </c>
      <c r="H179" s="15">
        <f ca="1">(H157 * (1 - $F168))</f>
        <v>7.1199999999999999E-2</v>
      </c>
      <c r="I179" s="15">
        <f ca="1">(I157 * (1 - $F168))</f>
        <v>7.1199999999999999E-2</v>
      </c>
      <c r="J179" s="15">
        <f ca="1">(J157 * (1 - $F168))</f>
        <v>7.1199999999999999E-2</v>
      </c>
      <c r="K179" s="16"/>
      <c r="O179" s="15" t="str">
        <f>INDEX(X_Table_Dairy_ProductionSystems_Method1,4,1)</f>
        <v>Feed pad</v>
      </c>
      <c r="P179" s="15" t="str">
        <f>INDEX(X_Table_Dairy_Stage1MMS_2_DrainsToPaddock,2,1)</f>
        <v>Drains to paddock</v>
      </c>
      <c r="Q179" s="15">
        <f ca="1">(Q157 * (1 - $Q168))</f>
        <v>7.1199999999999999E-2</v>
      </c>
      <c r="R179" s="15">
        <f ca="1">(R157 * (1 - $Q168))</f>
        <v>7.1199999999999999E-2</v>
      </c>
      <c r="S179" s="15">
        <f ca="1">(S157 * (1 - $Q168))</f>
        <v>7.1199999999999999E-2</v>
      </c>
      <c r="T179" s="15">
        <f ca="1">(T157 * (1 - $Q168))</f>
        <v>7.1199999999999999E-2</v>
      </c>
      <c r="U179" s="15">
        <f ca="1">(U157 * (1 - $Q168))</f>
        <v>7.1199999999999999E-2</v>
      </c>
      <c r="V179" s="16"/>
    </row>
    <row r="182" spans="3:23" ht="20.100000000000001" customHeight="1" x14ac:dyDescent="0.2">
      <c r="C182" s="88"/>
      <c r="D182" s="88"/>
      <c r="E182" s="88"/>
      <c r="F182" s="88"/>
      <c r="G182" s="88"/>
      <c r="H182" s="88"/>
      <c r="I182" s="88"/>
      <c r="J182" s="88"/>
      <c r="K182" s="88"/>
      <c r="L182" s="88"/>
      <c r="N182" s="88"/>
      <c r="O182" s="88"/>
      <c r="P182" s="88"/>
      <c r="Q182" s="88"/>
      <c r="R182" s="88"/>
      <c r="S182" s="88"/>
      <c r="T182" s="88"/>
      <c r="U182" s="88"/>
      <c r="V182" s="88"/>
      <c r="W182" s="88"/>
    </row>
    <row r="183" spans="3:23" ht="20.100000000000001" customHeight="1" x14ac:dyDescent="0.2">
      <c r="D183" s="2" t="s">
        <v>1557</v>
      </c>
    </row>
    <row r="184" spans="3:23" ht="20.100000000000001" customHeight="1" x14ac:dyDescent="0.2">
      <c r="D184" s="17" t="s">
        <v>1558</v>
      </c>
    </row>
    <row r="185" spans="3:23" ht="20.100000000000001" customHeight="1" x14ac:dyDescent="0.2">
      <c r="D185" s="25" t="s">
        <v>1559</v>
      </c>
    </row>
    <row r="186" spans="3:23" ht="20.100000000000001" customHeight="1" x14ac:dyDescent="0.2">
      <c r="D186" s="118"/>
      <c r="E186" s="118"/>
    </row>
    <row r="188" spans="3:23" ht="20.100000000000001" customHeight="1" x14ac:dyDescent="0.2">
      <c r="D188" s="2"/>
    </row>
    <row r="189" spans="3:23" ht="20.100000000000001" customHeight="1" x14ac:dyDescent="0.2">
      <c r="D189" s="76" t="s">
        <v>378</v>
      </c>
      <c r="E189" s="1" t="s">
        <v>1560</v>
      </c>
    </row>
    <row r="190" spans="3:23" ht="20.100000000000001" customHeight="1" x14ac:dyDescent="0.2">
      <c r="D190" s="76" t="s">
        <v>118</v>
      </c>
      <c r="E190" s="9" t="s">
        <v>383</v>
      </c>
    </row>
    <row r="192" spans="3:23" ht="20.100000000000001" customHeight="1" x14ac:dyDescent="0.2">
      <c r="D192" s="120" t="s">
        <v>1561</v>
      </c>
      <c r="E192" s="120" t="s">
        <v>1562</v>
      </c>
      <c r="F192" s="120"/>
      <c r="G192" s="120" t="s">
        <v>383</v>
      </c>
      <c r="H192" s="121" t="s">
        <v>1469</v>
      </c>
      <c r="I192" s="127" t="str" cm="1">
        <f t="array" aca="1" ref="I192" ca="1">HYPERLINK(Common_InputFunctions.Utility_SourceHyperlink($D$196),$D$196)</f>
        <v>M1_Table_MMS_j_m-4</v>
      </c>
    </row>
    <row r="193" spans="1:22" ht="20.100000000000001" customHeight="1" x14ac:dyDescent="0.2">
      <c r="D193" s="120" t="s">
        <v>1563</v>
      </c>
      <c r="E193" s="120" t="s">
        <v>1564</v>
      </c>
      <c r="F193" s="120"/>
      <c r="G193" s="120" t="s">
        <v>383</v>
      </c>
      <c r="H193" s="121" t="s">
        <v>1469</v>
      </c>
      <c r="I193" s="127" t="str" cm="1">
        <f t="array" aca="1" ref="I193" ca="1">HYPERLINK(Common_InputFunctions.Utility_SourceHyperlink($D$148),$D$148)</f>
        <v>M1_Table_MMS_j_m</v>
      </c>
    </row>
    <row r="194" spans="1:22" ht="20.100000000000001" customHeight="1" x14ac:dyDescent="0.2">
      <c r="D194" s="120" t="s">
        <v>1555</v>
      </c>
      <c r="E194" s="120" t="s">
        <v>1556</v>
      </c>
      <c r="F194" s="120"/>
      <c r="G194" s="120" t="s">
        <v>383</v>
      </c>
      <c r="H194" s="121" t="s">
        <v>1469</v>
      </c>
      <c r="I194" s="127" t="str" cm="1">
        <f t="array" aca="1" ref="I194" ca="1">HYPERLINK(Common_InputFunctions.Utility_SourceHyperlink($D$159),$D$159)</f>
        <v>M1_Table_SS_m</v>
      </c>
    </row>
    <row r="196" spans="1:22" ht="20.100000000000001" customHeight="1" x14ac:dyDescent="0.2">
      <c r="D196" s="122" t="s">
        <v>431</v>
      </c>
      <c r="O196" s="122" t="s">
        <v>432</v>
      </c>
    </row>
    <row r="197" spans="1:22" ht="20.100000000000001" customHeight="1" x14ac:dyDescent="0.2">
      <c r="D197" s="123" t="s">
        <v>433</v>
      </c>
      <c r="O197" s="123" t="s">
        <v>434</v>
      </c>
    </row>
    <row r="198" spans="1:22" ht="20.100000000000001" customHeight="1" x14ac:dyDescent="0.2">
      <c r="D198" s="81" t="s">
        <v>159</v>
      </c>
      <c r="E198" s="81" t="s">
        <v>422</v>
      </c>
      <c r="F198" s="81" t="s">
        <v>330</v>
      </c>
      <c r="G198" s="81" t="s">
        <v>331</v>
      </c>
      <c r="H198" s="81" t="s">
        <v>332</v>
      </c>
      <c r="I198" s="81" t="s">
        <v>333</v>
      </c>
      <c r="J198" s="81" t="s">
        <v>334</v>
      </c>
      <c r="O198" s="81" t="s">
        <v>159</v>
      </c>
      <c r="P198" s="81" t="s">
        <v>422</v>
      </c>
      <c r="Q198" s="81" t="s">
        <v>330</v>
      </c>
      <c r="R198" s="81" t="s">
        <v>331</v>
      </c>
      <c r="S198" s="81" t="s">
        <v>332</v>
      </c>
      <c r="T198" s="81" t="s">
        <v>333</v>
      </c>
      <c r="U198" s="81" t="s">
        <v>334</v>
      </c>
    </row>
    <row r="199" spans="1:22" ht="20.100000000000001" customHeight="1" x14ac:dyDescent="0.2">
      <c r="A199" s="129" t="str">
        <f>HYPERLINK("#A1", "▲ Back to top")</f>
        <v>▲ Back to top</v>
      </c>
      <c r="D199" s="15" t="str">
        <f>INDEX(X_Table_Dairy_ProductionSystems_Method1,3,1)</f>
        <v>Milking shed</v>
      </c>
      <c r="E199" s="15" t="str">
        <f>INDEX(X_Table_Dairy_Stage1MMS_1_SolidStorage,2,1)</f>
        <v>Solid storage (before solid separation)</v>
      </c>
      <c r="F199" s="15" cm="1">
        <f t="array" aca="1" ref="F199:J199" ca="1">OFFSET(X_Table_Dairy_ProductionSystems_Method1, 2,1,1,5)*OFFSET(X_Table_Dairy_Stage1MMS_1_SolidStorage, 1,1,1,5)</f>
        <v>2.75E-2</v>
      </c>
      <c r="G199" s="15">
        <f ca="1"/>
        <v>2.75E-2</v>
      </c>
      <c r="H199" s="15">
        <f ca="1"/>
        <v>2.75E-2</v>
      </c>
      <c r="I199" s="15">
        <f ca="1"/>
        <v>2.75E-2</v>
      </c>
      <c r="J199" s="15">
        <f ca="1"/>
        <v>2.75E-2</v>
      </c>
      <c r="K199" s="16" t="s">
        <v>346</v>
      </c>
      <c r="O199" s="15" t="str">
        <f>INDEX(X_Table_Dairy_ProductionSystems_Method1,3,1)</f>
        <v>Milking shed</v>
      </c>
      <c r="P199" s="15" t="str">
        <f>INDEX(X_Table_Dairy_Stage1MMS_1_SolidStorage,2,1)</f>
        <v>Solid storage (before solid separation)</v>
      </c>
      <c r="Q199" s="15" cm="1">
        <f t="array" aca="1" ref="Q199:U199" ca="1">OFFSET(X_Table_Dairy_ProductionSystems_Method2, 2,1,1,5)*OFFSET(X_Table_Dairy_Stage1MMS_1_SolidStorage, 1,1,1,5)</f>
        <v>2.75E-2</v>
      </c>
      <c r="R199" s="15">
        <f ca="1"/>
        <v>2.75E-2</v>
      </c>
      <c r="S199" s="15">
        <f ca="1"/>
        <v>2.75E-2</v>
      </c>
      <c r="T199" s="15">
        <f ca="1"/>
        <v>2.75E-2</v>
      </c>
      <c r="U199" s="15">
        <f ca="1"/>
        <v>2.75E-2</v>
      </c>
      <c r="V199" s="16" t="s">
        <v>346</v>
      </c>
    </row>
    <row r="200" spans="1:22" ht="20.100000000000001" customHeight="1" x14ac:dyDescent="0.2">
      <c r="D200" s="15" t="str">
        <f>INDEX(X_Table_Dairy_ProductionSystems_Method1,4,1)</f>
        <v>Feed pad</v>
      </c>
      <c r="E200" s="15" t="str">
        <f>INDEX(X_Table_Dairy_Stage1MMS_2_SolidStorage,2,1)</f>
        <v>Solid storage (before solid separation)</v>
      </c>
      <c r="F200" s="15" cm="1">
        <f t="array" aca="1" ref="F200:J200" ca="1">OFFSET(X_Table_Dairy_ProductionSystems_Method1, 3,1,1,5)*OFFSET(X_Table_Dairy_Stage1MMS_1_SolidStorage, 1,1,1,5)</f>
        <v>8.8999999999999996E-2</v>
      </c>
      <c r="G200" s="15">
        <f ca="1"/>
        <v>8.8999999999999996E-2</v>
      </c>
      <c r="H200" s="15">
        <f ca="1"/>
        <v>8.8999999999999996E-2</v>
      </c>
      <c r="I200" s="15">
        <f ca="1"/>
        <v>8.8999999999999996E-2</v>
      </c>
      <c r="J200" s="15">
        <f ca="1"/>
        <v>8.8999999999999996E-2</v>
      </c>
      <c r="K200" s="16" t="s">
        <v>346</v>
      </c>
      <c r="O200" s="15" t="str">
        <f>INDEX(X_Table_Dairy_ProductionSystems_Method1,4,1)</f>
        <v>Feed pad</v>
      </c>
      <c r="P200" s="15" t="str">
        <f>INDEX(X_Table_Dairy_Stage1MMS_2_SolidStorage,2,1)</f>
        <v>Solid storage (before solid separation)</v>
      </c>
      <c r="Q200" s="15" cm="1">
        <f t="array" aca="1" ref="Q200:U200" ca="1">OFFSET(X_Table_Dairy_ProductionSystems_Method2, 3,1,1,5)*OFFSET(X_Table_Dairy_Stage1MMS_1_SolidStorage, 1,1,1,5)</f>
        <v>8.8999999999999996E-2</v>
      </c>
      <c r="R200" s="15">
        <f ca="1"/>
        <v>8.8999999999999996E-2</v>
      </c>
      <c r="S200" s="15">
        <f ca="1"/>
        <v>8.8999999999999996E-2</v>
      </c>
      <c r="T200" s="15">
        <f ca="1"/>
        <v>8.8999999999999996E-2</v>
      </c>
      <c r="U200" s="15">
        <f ca="1"/>
        <v>8.8999999999999996E-2</v>
      </c>
      <c r="V200" s="16" t="s">
        <v>346</v>
      </c>
    </row>
    <row r="202" spans="1:22" ht="20.100000000000001" customHeight="1" x14ac:dyDescent="0.2">
      <c r="D202" s="122" t="s">
        <v>435</v>
      </c>
      <c r="O202" s="122" t="s">
        <v>436</v>
      </c>
    </row>
    <row r="203" spans="1:22" ht="20.100000000000001" customHeight="1" x14ac:dyDescent="0.2">
      <c r="D203" s="123" t="s">
        <v>437</v>
      </c>
      <c r="O203" s="123" t="s">
        <v>438</v>
      </c>
    </row>
    <row r="204" spans="1:22" ht="20.100000000000001" customHeight="1" x14ac:dyDescent="0.2">
      <c r="D204" s="124" t="s">
        <v>159</v>
      </c>
      <c r="E204" s="124" t="s">
        <v>422</v>
      </c>
      <c r="F204" s="124" t="s">
        <v>330</v>
      </c>
      <c r="G204" s="124" t="s">
        <v>331</v>
      </c>
      <c r="H204" s="124" t="s">
        <v>332</v>
      </c>
      <c r="I204" s="124" t="s">
        <v>333</v>
      </c>
      <c r="J204" s="124" t="s">
        <v>334</v>
      </c>
      <c r="O204" s="124" t="s">
        <v>159</v>
      </c>
      <c r="P204" s="124" t="s">
        <v>422</v>
      </c>
      <c r="Q204" s="124" t="s">
        <v>330</v>
      </c>
      <c r="R204" s="124" t="s">
        <v>331</v>
      </c>
      <c r="S204" s="124" t="s">
        <v>332</v>
      </c>
      <c r="T204" s="124" t="s">
        <v>333</v>
      </c>
      <c r="U204" s="124" t="s">
        <v>334</v>
      </c>
    </row>
    <row r="205" spans="1:22" ht="20.100000000000001" customHeight="1" x14ac:dyDescent="0.2">
      <c r="D205" s="15" t="str">
        <f>INDEX(X_Table_Dairy_ProductionSystems_Method1,3,1)</f>
        <v>Milking shed</v>
      </c>
      <c r="E205" s="15" t="s">
        <v>75</v>
      </c>
      <c r="F205" s="15">
        <f ca="1">(F199 + (F152 * $F164) + ($F163 * F154) + (F153 * $F165))</f>
        <v>4.3999999999999997E-2</v>
      </c>
      <c r="G205" s="15">
        <f ca="1">(G199 + (G152 * $F164) + ($F163 * G154) + (G153 * $F165))</f>
        <v>4.3999999999999997E-2</v>
      </c>
      <c r="H205" s="15">
        <f ca="1">(H199 + (H152 * $F164) + ($F163 * H154) + (H153 * $F165))</f>
        <v>4.3999999999999997E-2</v>
      </c>
      <c r="I205" s="15">
        <f ca="1">(I199 + (I152 * $F164) + ($F163 * I154) + (I153 * $F165))</f>
        <v>4.3999999999999997E-2</v>
      </c>
      <c r="J205" s="15">
        <f ca="1">(J199 + (J152 * $F164) + ($F163 * J154) + (J153 * $F165))</f>
        <v>4.3999999999999997E-2</v>
      </c>
      <c r="K205" s="16" t="str">
        <f>$E$190</f>
        <v>fraction</v>
      </c>
      <c r="O205" s="15" t="str">
        <f>INDEX(X_Table_Dairy_ProductionSystems_Method1,3,1)</f>
        <v>Milking shed</v>
      </c>
      <c r="P205" s="15" t="s">
        <v>75</v>
      </c>
      <c r="Q205" s="15">
        <f ca="1">(Q199 + (Q152 * $Q164) + ($Q163 * Q154) + (Q153 * $Q165))</f>
        <v>4.3999999999999997E-2</v>
      </c>
      <c r="R205" s="15">
        <f ca="1">(R199 + (R152 * $Q164) + ($Q163 * R154) + (R153 * $Q165))</f>
        <v>4.3999999999999997E-2</v>
      </c>
      <c r="S205" s="15">
        <f ca="1">(S199 + (S152 * $Q164) + ($Q163 * S154) + (S153 * $Q165))</f>
        <v>4.3999999999999997E-2</v>
      </c>
      <c r="T205" s="15">
        <f ca="1">(T199 + (T152 * $Q164) + ($Q163 * T154) + (T153 * $Q165))</f>
        <v>4.3999999999999997E-2</v>
      </c>
      <c r="U205" s="15">
        <f ca="1">(U199 + (U152 * $Q164) + ($Q163 * U154) + (U153 * $Q165))</f>
        <v>4.3999999999999997E-2</v>
      </c>
      <c r="V205" s="16" t="str">
        <f>$E$190</f>
        <v>fraction</v>
      </c>
    </row>
    <row r="206" spans="1:22" ht="20.100000000000001" customHeight="1" x14ac:dyDescent="0.2">
      <c r="D206" s="15" t="str">
        <f>INDEX(X_Table_Dairy_ProductionSystems_Method1,4,1)</f>
        <v>Feed pad</v>
      </c>
      <c r="E206" s="15" t="s">
        <v>75</v>
      </c>
      <c r="F206" s="15">
        <f ca="1">(F200 + (F155 * $F167) + ($F166 * F157) + (F156 * $F168))</f>
        <v>0.12459999999999999</v>
      </c>
      <c r="G206" s="15">
        <f ca="1">(G200 + (G155 * $F167) + ($F166 * G157) + (G156 * $F168))</f>
        <v>0.12459999999999999</v>
      </c>
      <c r="H206" s="15">
        <f ca="1">(H200 + (H155 * $F167) + ($F166 * H157) + (H156 * $F168))</f>
        <v>0.12459999999999999</v>
      </c>
      <c r="I206" s="15">
        <f ca="1">(I200 + (I155 * $F167) + ($F166 * I157) + (I156 * $F168))</f>
        <v>0.12459999999999999</v>
      </c>
      <c r="J206" s="15">
        <f ca="1">(J200 + (J155 * $F167) + ($F166 * J157) + (J156 * $F168))</f>
        <v>0.12459999999999999</v>
      </c>
      <c r="K206" s="16" t="str">
        <f>$E$190</f>
        <v>fraction</v>
      </c>
      <c r="O206" s="15" t="str">
        <f>INDEX(X_Table_Dairy_ProductionSystems_Method1,4,1)</f>
        <v>Feed pad</v>
      </c>
      <c r="P206" s="15" t="s">
        <v>75</v>
      </c>
      <c r="Q206" s="15">
        <f ca="1">(Q200 + (Q155 * $Q167) + ($Q166 * Q157) + (Q156 * $Q168))</f>
        <v>0.12459999999999999</v>
      </c>
      <c r="R206" s="15">
        <f ca="1">(R200 + (R155 * $Q167) + ($Q166 * R157) + (R156 * $Q168))</f>
        <v>0.12459999999999999</v>
      </c>
      <c r="S206" s="15">
        <f ca="1">(S200 + (S155 * $Q167) + ($Q166 * S157) + (S156 * $Q168))</f>
        <v>0.12459999999999999</v>
      </c>
      <c r="T206" s="15">
        <f ca="1">(T200 + (T155 * $Q167) + ($Q166 * T157) + (T156 * $Q168))</f>
        <v>0.12459999999999999</v>
      </c>
      <c r="U206" s="15">
        <f ca="1">(U200 + (U155 * $Q167) + ($Q166 * U157) + (U156 * $Q168))</f>
        <v>0.12459999999999999</v>
      </c>
      <c r="V206" s="16" t="str">
        <f>$E$190</f>
        <v>fraction</v>
      </c>
    </row>
    <row r="209" spans="3:23" ht="20.100000000000001" customHeight="1" x14ac:dyDescent="0.2">
      <c r="C209" s="88"/>
      <c r="D209" s="88"/>
      <c r="E209" s="88"/>
      <c r="F209" s="88"/>
      <c r="G209" s="88"/>
      <c r="H209" s="88"/>
      <c r="I209" s="88"/>
      <c r="J209" s="88"/>
      <c r="K209" s="88"/>
      <c r="L209" s="88"/>
      <c r="N209" s="88"/>
      <c r="O209" s="88"/>
      <c r="P209" s="88"/>
      <c r="Q209" s="88"/>
      <c r="R209" s="88"/>
      <c r="S209" s="88"/>
      <c r="T209" s="88"/>
      <c r="U209" s="88"/>
      <c r="V209" s="88"/>
      <c r="W209" s="88"/>
    </row>
    <row r="210" spans="3:23" ht="20.100000000000001" customHeight="1" x14ac:dyDescent="0.2">
      <c r="D210" s="2" t="s">
        <v>1565</v>
      </c>
    </row>
    <row r="211" spans="3:23" ht="20.100000000000001" customHeight="1" x14ac:dyDescent="0.2">
      <c r="D211" s="17" t="s">
        <v>1566</v>
      </c>
    </row>
    <row r="212" spans="3:23" ht="20.100000000000001" customHeight="1" x14ac:dyDescent="0.2">
      <c r="D212" s="118"/>
      <c r="E212" s="118"/>
    </row>
    <row r="214" spans="3:23" ht="20.100000000000001" customHeight="1" x14ac:dyDescent="0.2">
      <c r="D214" s="2"/>
    </row>
    <row r="215" spans="3:23" ht="20.100000000000001" customHeight="1" x14ac:dyDescent="0.2">
      <c r="D215" s="76" t="s">
        <v>378</v>
      </c>
      <c r="E215" s="1" t="s">
        <v>1567</v>
      </c>
    </row>
    <row r="216" spans="3:23" ht="20.100000000000001" customHeight="1" x14ac:dyDescent="0.2">
      <c r="D216" s="76" t="s">
        <v>118</v>
      </c>
      <c r="E216" s="9" t="s">
        <v>1518</v>
      </c>
    </row>
    <row r="218" spans="3:23" ht="20.100000000000001" customHeight="1" x14ac:dyDescent="0.2">
      <c r="D218" s="120" t="s">
        <v>1543</v>
      </c>
      <c r="E218" s="125" t="s">
        <v>1568</v>
      </c>
      <c r="F218" s="126"/>
      <c r="G218" s="120" t="s">
        <v>341</v>
      </c>
      <c r="H218" s="128" t="s">
        <v>1579</v>
      </c>
      <c r="I218" s="127" t="str" cm="1">
        <f t="array" aca="1" ref="I218" ca="1">HYPERLINK(Common_InputFunctions.Utility_SourceHyperlink($D$130),$D$130)</f>
        <v>M1_Table_VS_j</v>
      </c>
      <c r="J218" s="120"/>
      <c r="O218" s="120" t="s">
        <v>1543</v>
      </c>
      <c r="P218" s="125" t="s">
        <v>1568</v>
      </c>
      <c r="Q218" s="126"/>
      <c r="R218" s="120" t="s">
        <v>341</v>
      </c>
      <c r="S218" s="128" t="s">
        <v>1579</v>
      </c>
      <c r="T218" s="120"/>
    </row>
    <row r="219" spans="3:23" ht="20.100000000000001" customHeight="1" x14ac:dyDescent="0.2">
      <c r="D219" s="120" t="s">
        <v>1569</v>
      </c>
      <c r="E219" s="125" t="s">
        <v>1570</v>
      </c>
      <c r="F219" s="126"/>
      <c r="G219" s="120" t="s">
        <v>383</v>
      </c>
      <c r="H219" s="128" t="s">
        <v>1580</v>
      </c>
      <c r="I219" s="127" t="str" cm="1">
        <f t="array" aca="1" ref="I219" ca="1">HYPERLINK(Common_InputFunctions.Utility_SourceHyperlink($D$170),$D$170)</f>
        <v>M1_Table_FVS_j_m</v>
      </c>
      <c r="J219" s="127" t="str" cm="1">
        <f t="array" aca="1" ref="J219" ca="1">HYPERLINK(Common_InputFunctions.Utility_SourceHyperlink($D$202),$D$202)</f>
        <v>M1_Table_FVS_j_m-4</v>
      </c>
      <c r="O219" s="120" t="s">
        <v>1569</v>
      </c>
      <c r="P219" s="125" t="s">
        <v>1570</v>
      </c>
      <c r="Q219" s="126"/>
      <c r="R219" s="120" t="s">
        <v>383</v>
      </c>
      <c r="S219" s="128" t="s">
        <v>1580</v>
      </c>
      <c r="T219" s="120"/>
    </row>
    <row r="220" spans="3:23" ht="20.100000000000001" customHeight="1" x14ac:dyDescent="0.2">
      <c r="D220" s="120" t="s">
        <v>1571</v>
      </c>
      <c r="E220" s="125" t="s">
        <v>1572</v>
      </c>
      <c r="F220" s="126"/>
      <c r="G220" s="120" t="s">
        <v>383</v>
      </c>
      <c r="H220" s="128" t="s">
        <v>1501</v>
      </c>
      <c r="I220" s="127" t="str" cm="1">
        <f t="array" aca="1" ref="I220" ca="1">HYPERLINK(Common_InputFunctions.Utility_SourceHyperlink($D$225),$D$225)</f>
        <v>M1_Table_MCF_i_m</v>
      </c>
      <c r="J220" s="120"/>
      <c r="O220" s="120" t="s">
        <v>1571</v>
      </c>
      <c r="P220" s="125" t="s">
        <v>1572</v>
      </c>
      <c r="Q220" s="126"/>
      <c r="R220" s="120" t="s">
        <v>383</v>
      </c>
      <c r="S220" s="128" t="s">
        <v>1501</v>
      </c>
      <c r="T220" s="127" t="str" cm="1">
        <f t="array" aca="1" ref="T220" ca="1">HYPERLINK(Common_InputFunctions.Utility_SourceHyperlink($O$225),$O$225)</f>
        <v>M2_Table_MCF_i_m</v>
      </c>
    </row>
    <row r="221" spans="3:23" ht="20.100000000000001" customHeight="1" x14ac:dyDescent="0.2">
      <c r="D221" s="120" t="s">
        <v>1573</v>
      </c>
      <c r="E221" s="125" t="s">
        <v>1574</v>
      </c>
      <c r="F221" s="126"/>
      <c r="G221" s="120" t="s">
        <v>1581</v>
      </c>
      <c r="H221" s="128" t="s">
        <v>1501</v>
      </c>
      <c r="I221" s="120">
        <f>SourceData_Dairy_MethaneEmissionsPotential_Data</f>
        <v>0.24</v>
      </c>
      <c r="J221" s="120"/>
      <c r="O221" s="120" t="s">
        <v>1573</v>
      </c>
      <c r="P221" s="125" t="s">
        <v>1574</v>
      </c>
      <c r="Q221" s="126"/>
      <c r="R221" s="120" t="s">
        <v>1581</v>
      </c>
      <c r="S221" s="128" t="s">
        <v>1501</v>
      </c>
      <c r="T221" s="120"/>
    </row>
    <row r="222" spans="3:23" ht="20.100000000000001" customHeight="1" x14ac:dyDescent="0.2">
      <c r="D222" s="120" t="s">
        <v>1575</v>
      </c>
      <c r="E222" s="125" t="s">
        <v>1576</v>
      </c>
      <c r="F222" s="126"/>
      <c r="G222" s="120" t="s">
        <v>1582</v>
      </c>
      <c r="H222" s="128" t="s">
        <v>1501</v>
      </c>
      <c r="I222" s="120">
        <f>Common_SourceData_DensityOfMethane_Data</f>
        <v>0.6784</v>
      </c>
      <c r="J222" s="120"/>
      <c r="O222" s="120" t="s">
        <v>1575</v>
      </c>
      <c r="P222" s="125" t="s">
        <v>1576</v>
      </c>
      <c r="Q222" s="126"/>
      <c r="R222" s="120" t="s">
        <v>1582</v>
      </c>
      <c r="S222" s="128" t="s">
        <v>1501</v>
      </c>
      <c r="T222" s="120"/>
    </row>
    <row r="223" spans="3:23" ht="20.100000000000001" customHeight="1" x14ac:dyDescent="0.2">
      <c r="D223" s="120" t="s">
        <v>1577</v>
      </c>
      <c r="E223" s="125" t="s">
        <v>1578</v>
      </c>
      <c r="F223" s="126"/>
      <c r="G223" s="120" t="s">
        <v>1578</v>
      </c>
      <c r="H223" s="121" t="s">
        <v>1469</v>
      </c>
      <c r="I223" s="120" t="str">
        <f>Common_InputFunctions.Utility_LookupValueInTable(X_Cell_Site_State, Table_AustralianStates[Common Name],Table_AustralianStates[Abbreviation])</f>
        <v>WA</v>
      </c>
      <c r="J223" s="120"/>
      <c r="O223" s="120" t="s">
        <v>33</v>
      </c>
      <c r="P223" s="125" t="s">
        <v>1583</v>
      </c>
      <c r="Q223" s="126"/>
      <c r="R223" s="120" t="s">
        <v>1584</v>
      </c>
      <c r="S223" s="121" t="s">
        <v>1469</v>
      </c>
      <c r="T223" s="120">
        <f>X_Cell_Site_AverageTemperature</f>
        <v>18</v>
      </c>
    </row>
    <row r="225" spans="1:22" ht="20.100000000000001" customHeight="1" x14ac:dyDescent="0.2">
      <c r="D225" s="130" t="s">
        <v>439</v>
      </c>
      <c r="O225" s="130" t="s">
        <v>440</v>
      </c>
    </row>
    <row r="226" spans="1:22" ht="20.100000000000001" customHeight="1" x14ac:dyDescent="0.2">
      <c r="D226" s="131" t="s">
        <v>441</v>
      </c>
      <c r="O226" s="131" t="s">
        <v>442</v>
      </c>
    </row>
    <row r="227" spans="1:22" ht="20.100000000000001" customHeight="1" x14ac:dyDescent="0.2">
      <c r="D227" s="124" t="s">
        <v>422</v>
      </c>
      <c r="E227" s="124" t="s">
        <v>443</v>
      </c>
      <c r="O227" s="124" t="s">
        <v>422</v>
      </c>
      <c r="P227" s="124" t="s">
        <v>443</v>
      </c>
    </row>
    <row r="228" spans="1:22" ht="20.100000000000001" customHeight="1" x14ac:dyDescent="0.2">
      <c r="D228" s="132" t="str">
        <f>'Constants - Common Livestock'!$E$27</f>
        <v>Pasture range and paddock</v>
      </c>
      <c r="E228" s="15" cm="1">
        <f t="array" ref="E228">CommonLivestock_InputFunctions.Livestock_LookupMCFState(D228,Table_SourceData_Dairy_MCFjm[NIR reference],$I$223,Table_SourceData_Dairy_MCFjm[#Headers],Table_SourceData_Dairy_MCFjm[#Data])</f>
        <v>0.01</v>
      </c>
      <c r="O228" s="132" t="str">
        <f>'Constants - Common Livestock'!$E$27</f>
        <v>Pasture range and paddock</v>
      </c>
      <c r="P228" s="15" cm="1">
        <f t="array" ref="P228">CommonLivestock_InputFunctions.Livestock_LookupMCFState(O228,Table_SourceData_Dairy_MCFjm[NIR reference],$I$223,Table_SourceData_Dairy_MCFjm[#Headers],Table_SourceData_Dairy_MCFjm[#Data])</f>
        <v>0.01</v>
      </c>
      <c r="Q228" s="69" t="s">
        <v>444</v>
      </c>
      <c r="R228" s="69"/>
    </row>
    <row r="229" spans="1:22" ht="20.100000000000001" customHeight="1" x14ac:dyDescent="0.2">
      <c r="A229" s="129" t="str">
        <f>HYPERLINK("#A1", "▲ Back to top")</f>
        <v>▲ Back to top</v>
      </c>
      <c r="D229" s="132" t="str">
        <f>'Constants - Dairy'!$D$8</f>
        <v>Anaerobic lagoon</v>
      </c>
      <c r="E229" s="15" cm="1">
        <f t="array" ref="E229">CommonLivestock_InputFunctions.Livestock_LookupMCFState(D229,Table_SourceData_Dairy_MCFjm[NIR reference],$I$223,Table_SourceData_Dairy_MCFjm[#Headers],Table_SourceData_Dairy_MCFjm[#Data])</f>
        <v>0.76</v>
      </c>
      <c r="O229" s="132" t="str">
        <f>'Constants - Dairy'!$D$8</f>
        <v>Anaerobic lagoon</v>
      </c>
      <c r="P229" s="15">
        <f>Common_InputFunctions.Common_GetMCFTemperatureZone($T$223, O229,Table_SourceData_Common_MCFTemperatureZone[MAT raw],Table_SourceData_Common_MCFTemperatureZone[#Headers],Table_SourceData_Common_MCFTemperatureZone[#Data])</f>
        <v>0.77</v>
      </c>
    </row>
    <row r="230" spans="1:22" ht="20.100000000000001" customHeight="1" x14ac:dyDescent="0.2">
      <c r="D230" s="132" t="str">
        <f>'Constants - Dairy'!$D$9</f>
        <v>Sump and dispersal system</v>
      </c>
      <c r="E230" s="15" cm="1">
        <f t="array" ref="E230">CommonLivestock_InputFunctions.Livestock_LookupMCFState(D230,Table_SourceData_Dairy_MCFjm[NIR reference],$I$223,Table_SourceData_Dairy_MCFjm[#Headers],Table_SourceData_Dairy_MCFjm[#Data])</f>
        <v>5.0000000000000001E-3</v>
      </c>
      <c r="O230" s="132" t="str">
        <f>'Constants - Dairy'!$D$9</f>
        <v>Sump and dispersal system</v>
      </c>
      <c r="P230" s="15">
        <f>Common_InputFunctions.Common_GetMCFTemperatureZone($T$223, "Daily spread",Table_SourceData_Common_MCFTemperatureZone[MAT raw],Table_SourceData_Common_MCFTemperatureZone[#Headers],Table_SourceData_Common_MCFTemperatureZone[#Data])</f>
        <v>5.0000000000000001E-3</v>
      </c>
      <c r="Q230" s="69" t="s">
        <v>445</v>
      </c>
      <c r="R230" s="69"/>
    </row>
    <row r="231" spans="1:22" ht="20.100000000000001" customHeight="1" x14ac:dyDescent="0.2">
      <c r="D231" s="132" t="str">
        <f>'Constants - Dairy'!$D$10</f>
        <v>Drains to paddock</v>
      </c>
      <c r="E231" s="15" cm="1">
        <f t="array" ref="E231">CommonLivestock_InputFunctions.Livestock_LookupMCFState(D231,Table_SourceData_Dairy_MCFjm[NIR reference],$I$223,Table_SourceData_Dairy_MCFjm[#Headers],Table_SourceData_Dairy_MCFjm[#Data])</f>
        <v>0.18</v>
      </c>
      <c r="O231" s="132" t="str">
        <f>'Constants - Dairy'!$D$10</f>
        <v>Drains to paddock</v>
      </c>
      <c r="P231" s="15">
        <f>Common_InputFunctions.Common_GetMCFTemperatureZone($T$223, "Liquid systems",Table_SourceData_Common_MCFTemperatureZone[MAT raw],Table_SourceData_Common_MCFTemperatureZone[#Headers],Table_SourceData_Common_MCFTemperatureZone[#Data])</f>
        <v>0.22</v>
      </c>
      <c r="Q231" s="69" t="s">
        <v>446</v>
      </c>
      <c r="R231" s="69"/>
    </row>
    <row r="232" spans="1:22" ht="20.100000000000001" customHeight="1" x14ac:dyDescent="0.2">
      <c r="D232" s="132" t="str">
        <f>'Constants - Dairy'!$D$11</f>
        <v>Solid storage</v>
      </c>
      <c r="E232" s="15" cm="1">
        <f t="array" ref="E232">CommonLivestock_InputFunctions.Livestock_LookupMCFState(D232,Table_SourceData_Dairy_MCFjm[NIR reference],$I$223,Table_SourceData_Dairy_MCFjm[#Headers],Table_SourceData_Dairy_MCFjm[#Data])</f>
        <v>0.02</v>
      </c>
      <c r="O232" s="132" t="str">
        <f>'Constants - Dairy'!$D$11</f>
        <v>Solid storage</v>
      </c>
      <c r="P232" s="15">
        <f>Common_InputFunctions.Common_GetMCFTemperatureZone($T$223, O232,Table_SourceData_Common_MCFTemperatureZone[MAT raw],Table_SourceData_Common_MCFTemperatureZone[#Headers],Table_SourceData_Common_MCFTemperatureZone[#Data])</f>
        <v>0.02</v>
      </c>
    </row>
    <row r="234" spans="1:22" ht="20.100000000000001" customHeight="1" x14ac:dyDescent="0.2">
      <c r="D234" s="130" t="s">
        <v>447</v>
      </c>
      <c r="O234" s="130" t="s">
        <v>448</v>
      </c>
    </row>
    <row r="235" spans="1:22" ht="20.100000000000001" customHeight="1" x14ac:dyDescent="0.2">
      <c r="D235" s="131" t="s">
        <v>449</v>
      </c>
      <c r="O235" s="131" t="s">
        <v>450</v>
      </c>
    </row>
    <row r="236" spans="1:22" ht="20.100000000000001" customHeight="1" x14ac:dyDescent="0.2">
      <c r="D236" s="124" t="s">
        <v>159</v>
      </c>
      <c r="E236" s="124" t="s">
        <v>422</v>
      </c>
      <c r="F236" s="124" t="s">
        <v>330</v>
      </c>
      <c r="G236" s="124" t="s">
        <v>331</v>
      </c>
      <c r="H236" s="124" t="s">
        <v>332</v>
      </c>
      <c r="I236" s="124" t="s">
        <v>333</v>
      </c>
      <c r="J236" s="124" t="s">
        <v>334</v>
      </c>
      <c r="O236" s="124" t="s">
        <v>159</v>
      </c>
      <c r="P236" s="124" t="s">
        <v>422</v>
      </c>
      <c r="Q236" s="124" t="s">
        <v>330</v>
      </c>
      <c r="R236" s="124" t="s">
        <v>331</v>
      </c>
      <c r="S236" s="124" t="s">
        <v>332</v>
      </c>
      <c r="T236" s="124" t="s">
        <v>333</v>
      </c>
      <c r="U236" s="124" t="s">
        <v>334</v>
      </c>
    </row>
    <row r="237" spans="1:22" ht="20.100000000000001" customHeight="1" x14ac:dyDescent="0.2">
      <c r="D237" s="15" t="str">
        <f>INDEX(X_Table_Dairy_ProductionSystems_Method1,2,1)</f>
        <v>Pasture</v>
      </c>
      <c r="E237" s="15" t="str">
        <f>'Constants - Common Livestock'!$E$27</f>
        <v>Pasture range and paddock</v>
      </c>
      <c r="F237" s="15">
        <f ca="1">(D$133 * F173 * (_xlfn.XLOOKUP($E237,$D$228:$D$232,$E$228:$E$232)) * $I$221 * $I$222)</f>
        <v>4.3689196218983364E-3</v>
      </c>
      <c r="G237" s="15">
        <f ca="1">(E$133 * G173 * (_xlfn.XLOOKUP($E237,$D$228:$D$232,$E$228:$E$232)) * $I$221 * $I$222)</f>
        <v>1.7209245840165332E-3</v>
      </c>
      <c r="H237" s="15">
        <f ca="1">(F$133 * H173 * (_xlfn.XLOOKUP($E237,$D$228:$D$232,$E$228:$E$232)) * $I$221 * $I$222)</f>
        <v>9.3323909012537774E-4</v>
      </c>
      <c r="I237" s="15">
        <f ca="1">(G$133 * I173 * (_xlfn.XLOOKUP($E237,$D$228:$D$232,$E$228:$E$232)) * $I$221 * $I$222)</f>
        <v>2.0939609577804406E-3</v>
      </c>
      <c r="J237" s="15">
        <f ca="1">(H$133 * J173 * (_xlfn.XLOOKUP($E237,$D$228:$D$232,$E$228:$E$232)) * $I$221 * $I$222)</f>
        <v>1.2559439850690533E-3</v>
      </c>
      <c r="K237" s="16" t="str">
        <f>$E$216</f>
        <v>kg CH4/head/day</v>
      </c>
      <c r="O237" s="15" t="str">
        <f>INDEX(X_Table_Dairy_ProductionSystems_Method1,2,1)</f>
        <v>Pasture</v>
      </c>
      <c r="P237" s="15" t="str">
        <f>'Constants - Common Livestock'!$E$27</f>
        <v>Pasture range and paddock</v>
      </c>
      <c r="Q237" s="15">
        <f ca="1">(O$133 * Q173 * (_xlfn.XLOOKUP($P237,$O$228:$O$232,$P$228:$P$232)) * $I$221 * $I$222)</f>
        <v>4.3689196218983364E-3</v>
      </c>
      <c r="R237" s="15">
        <f ca="1">(P$133 * R173 * (_xlfn.XLOOKUP($P237,$O$228:$O$232,$P$228:$P$232)) * $I$221 * $I$222)</f>
        <v>1.7209245840165332E-3</v>
      </c>
      <c r="S237" s="15">
        <f ca="1">(Q$133 * S173 * (_xlfn.XLOOKUP($P237,$O$228:$O$232,$P$228:$P$232)) * $I$221 * $I$222)</f>
        <v>9.3323909012537774E-4</v>
      </c>
      <c r="T237" s="15">
        <f ca="1">(R$133 * T173 * (_xlfn.XLOOKUP($P237,$O$228:$O$232,$P$228:$P$232)) * $I$221 * $I$222)</f>
        <v>2.0939609577804406E-3</v>
      </c>
      <c r="U237" s="15">
        <f ca="1">(S$133 * U173 * (_xlfn.XLOOKUP($P237,$O$228:$O$232,$P$228:$P$232)) * $I$221 * $I$222)</f>
        <v>1.2559439850690533E-3</v>
      </c>
      <c r="V237" s="16" t="str">
        <f>$E$216</f>
        <v>kg CH4/head/day</v>
      </c>
    </row>
    <row r="238" spans="1:22" ht="20.100000000000001" customHeight="1" x14ac:dyDescent="0.2">
      <c r="D238" s="15" t="str">
        <f>INDEX(X_Table_Dairy_ProductionSystems_Method1,3,1)</f>
        <v>Milking shed</v>
      </c>
      <c r="E238" s="15" t="str">
        <f>INDEX(X_Table_Dairy_Stage1MMS_1_AnaerobicLagoon,2,1)</f>
        <v>Anaerobic lagoon</v>
      </c>
      <c r="F238" s="15">
        <f ca="1">(D$133 * F174 * (_xlfn.XLOOKUP($E238,$D$228:$D$232,$E$228:$E$232)) * $I$221 * $I$222)</f>
        <v>1.367946368504498E-2</v>
      </c>
      <c r="G238" s="15">
        <f ca="1">(E$133 * G174 * (_xlfn.XLOOKUP($E238,$D$228:$D$232,$E$228:$E$232)) * $I$221 * $I$222)</f>
        <v>5.3883631169955861E-3</v>
      </c>
      <c r="H238" s="15">
        <f ca="1">(F$133 * H174 * (_xlfn.XLOOKUP($E238,$D$228:$D$232,$E$228:$E$232)) * $I$221 * $I$222)</f>
        <v>2.922051982564853E-3</v>
      </c>
      <c r="I238" s="15">
        <f ca="1">(G$133 * I174 * (_xlfn.XLOOKUP($E238,$D$228:$D$232,$E$228:$E$232)) * $I$221 * $I$222)</f>
        <v>6.556372137469845E-3</v>
      </c>
      <c r="J238" s="15">
        <f ca="1">(H$133 * J174 * (_xlfn.XLOOKUP($E238,$D$228:$D$232,$E$228:$E$232)) * $I$221 * $I$222)</f>
        <v>3.9324688071825046E-3</v>
      </c>
      <c r="O238" s="15" t="str">
        <f>INDEX(X_Table_Dairy_ProductionSystems_Method1,3,1)</f>
        <v>Milking shed</v>
      </c>
      <c r="P238" s="15" t="str">
        <f>INDEX(X_Table_Dairy_Stage1MMS_1_AnaerobicLagoon,2,1)</f>
        <v>Anaerobic lagoon</v>
      </c>
      <c r="Q238" s="15">
        <f ca="1">(O$133 * Q174 * (_xlfn.XLOOKUP($P238,$O$228:$O$232,$P$228:$P$232)) * $I$221 * $I$222)</f>
        <v>1.3859456628269253E-2</v>
      </c>
      <c r="R238" s="15">
        <f ca="1">(P$133 * R174 * (_xlfn.XLOOKUP($P238,$O$228:$O$232,$P$228:$P$232)) * $I$221 * $I$222)</f>
        <v>5.4592626316928971E-3</v>
      </c>
      <c r="S238" s="15">
        <f ca="1">(Q$133 * S174 * (_xlfn.XLOOKUP($P238,$O$228:$O$232,$P$228:$P$232)) * $I$221 * $I$222)</f>
        <v>2.9605000349670215E-3</v>
      </c>
      <c r="T238" s="15">
        <f ca="1">(R$133 * T174 * (_xlfn.XLOOKUP($P238,$O$228:$O$232,$P$228:$P$232)) * $I$221 * $I$222)</f>
        <v>6.6426401919102386E-3</v>
      </c>
      <c r="U238" s="15">
        <f ca="1">(S$133 * U174 * (_xlfn.XLOOKUP($P238,$O$228:$O$232,$P$228:$P$232)) * $I$221 * $I$222)</f>
        <v>3.9842118178033264E-3</v>
      </c>
    </row>
    <row r="239" spans="1:22" ht="20.100000000000001" customHeight="1" x14ac:dyDescent="0.2">
      <c r="D239" s="15" t="str">
        <f>INDEX(X_Table_Dairy_ProductionSystems_Method1,3,1)</f>
        <v>Milking shed</v>
      </c>
      <c r="E239" s="15" t="str">
        <f>INDEX(X_Table_Dairy_Stage1MMS_1_SumpAndDispersal,2,1)</f>
        <v>Sump and dispersal system</v>
      </c>
      <c r="F239" s="15">
        <f ca="1">(D$133 * F175 * (_xlfn.XLOOKUP($E239,$D$228:$D$232,$E$228:$E$232)) * $I$221 * $I$222)</f>
        <v>8.9996471612138024E-5</v>
      </c>
      <c r="G239" s="15">
        <f ca="1">(E$133 * G175 * (_xlfn.XLOOKUP($E239,$D$228:$D$232,$E$228:$E$232)) * $I$221 * $I$222)</f>
        <v>3.5449757348655176E-5</v>
      </c>
      <c r="H239" s="15">
        <f ca="1">(F$133 * H175 * (_xlfn.XLOOKUP($E239,$D$228:$D$232,$E$228:$E$232)) * $I$221 * $I$222)</f>
        <v>1.9224026201084556E-5</v>
      </c>
      <c r="I239" s="15">
        <f ca="1">(G$133 * I175 * (_xlfn.XLOOKUP($E239,$D$228:$D$232,$E$228:$E$232)) * $I$221 * $I$222)</f>
        <v>4.313402722019635E-5</v>
      </c>
      <c r="J239" s="15">
        <f ca="1">(H$133 * J175 * (_xlfn.XLOOKUP($E239,$D$228:$D$232,$E$228:$E$232)) * $I$221 * $I$222)</f>
        <v>2.587150531041121E-5</v>
      </c>
      <c r="K239" s="16"/>
      <c r="O239" s="15" t="str">
        <f>INDEX(X_Table_Dairy_ProductionSystems_Method1,3,1)</f>
        <v>Milking shed</v>
      </c>
      <c r="P239" s="15" t="str">
        <f>INDEX(X_Table_Dairy_Stage1MMS_1_SumpAndDispersal,2,1)</f>
        <v>Sump and dispersal system</v>
      </c>
      <c r="Q239" s="15">
        <f ca="1">(O$133 * Q175 * (_xlfn.XLOOKUP($P239,$O$228:$O$232,$P$228:$P$232)) * $I$221 * $I$222)</f>
        <v>8.9996471612138024E-5</v>
      </c>
      <c r="R239" s="15">
        <f ca="1">(P$133 * R175 * (_xlfn.XLOOKUP($P239,$O$228:$O$232,$P$228:$P$232)) * $I$221 * $I$222)</f>
        <v>3.5449757348655176E-5</v>
      </c>
      <c r="S239" s="15">
        <f ca="1">(Q$133 * S175 * (_xlfn.XLOOKUP($P239,$O$228:$O$232,$P$228:$P$232)) * $I$221 * $I$222)</f>
        <v>1.9224026201084556E-5</v>
      </c>
      <c r="T239" s="15">
        <f ca="1">(R$133 * T175 * (_xlfn.XLOOKUP($P239,$O$228:$O$232,$P$228:$P$232)) * $I$221 * $I$222)</f>
        <v>4.313402722019635E-5</v>
      </c>
      <c r="U239" s="15">
        <f ca="1">(S$133 * U175 * (_xlfn.XLOOKUP($P239,$O$228:$O$232,$P$228:$P$232)) * $I$221 * $I$222)</f>
        <v>2.587150531041121E-5</v>
      </c>
      <c r="V239" s="16"/>
    </row>
    <row r="240" spans="1:22" ht="20.100000000000001" customHeight="1" x14ac:dyDescent="0.2">
      <c r="D240" s="15" t="str">
        <f>INDEX(X_Table_Dairy_ProductionSystems_Method1,3,1)</f>
        <v>Milking shed</v>
      </c>
      <c r="E240" s="15" t="str">
        <f>INDEX(X_Table_Dairy_Stage1MMS_1_DrainsToPaddock,2,1)</f>
        <v>Drains to paddock</v>
      </c>
      <c r="F240" s="15">
        <f ca="1">(D$133 * F176 * (_xlfn.XLOOKUP($E240,$D$228:$D$232,$E$228:$E$232)) * $I$221 * $I$222)</f>
        <v>3.2398729780369687E-3</v>
      </c>
      <c r="G240" s="15">
        <f ca="1">(E$133 * G176 * (_xlfn.XLOOKUP($E240,$D$228:$D$232,$E$228:$E$232)) * $I$221 * $I$222)</f>
        <v>1.2761912645515865E-3</v>
      </c>
      <c r="H240" s="15">
        <f ca="1">(F$133 * H176 * (_xlfn.XLOOKUP($E240,$D$228:$D$232,$E$228:$E$232)) * $I$221 * $I$222)</f>
        <v>6.9206494323904399E-4</v>
      </c>
      <c r="I240" s="15">
        <f ca="1">(G$133 * I176 * (_xlfn.XLOOKUP($E240,$D$228:$D$232,$E$228:$E$232)) * $I$221 * $I$222)</f>
        <v>1.5528249799270685E-3</v>
      </c>
      <c r="J240" s="15">
        <f ca="1">(H$133 * J176 * (_xlfn.XLOOKUP($E240,$D$228:$D$232,$E$228:$E$232)) * $I$221 * $I$222)</f>
        <v>9.3137419117480342E-4</v>
      </c>
      <c r="K240" s="16"/>
      <c r="O240" s="15" t="str">
        <f>INDEX(X_Table_Dairy_ProductionSystems_Method1,3,1)</f>
        <v>Milking shed</v>
      </c>
      <c r="P240" s="15" t="str">
        <f>INDEX(X_Table_Dairy_Stage1MMS_1_DrainsToPaddock,2,1)</f>
        <v>Drains to paddock</v>
      </c>
      <c r="Q240" s="15">
        <f ca="1">(O$133 * Q176 * (_xlfn.XLOOKUP($P240,$O$228:$O$232,$P$228:$P$232)) * $I$221 * $I$222)</f>
        <v>3.9598447509340724E-3</v>
      </c>
      <c r="R240" s="15">
        <f ca="1">(P$133 * R176 * (_xlfn.XLOOKUP($P240,$O$228:$O$232,$P$228:$P$232)) * $I$221 * $I$222)</f>
        <v>1.5597893233408276E-3</v>
      </c>
      <c r="S240" s="15">
        <f ca="1">(Q$133 * S176 * (_xlfn.XLOOKUP($P240,$O$228:$O$232,$P$228:$P$232)) * $I$221 * $I$222)</f>
        <v>8.4585715284772047E-4</v>
      </c>
      <c r="T240" s="15">
        <f ca="1">(R$133 * T176 * (_xlfn.XLOOKUP($P240,$O$228:$O$232,$P$228:$P$232)) * $I$221 * $I$222)</f>
        <v>1.8978971976886393E-3</v>
      </c>
      <c r="U240" s="15">
        <f ca="1">(S$133 * U176 * (_xlfn.XLOOKUP($P240,$O$228:$O$232,$P$228:$P$232)) * $I$221 * $I$222)</f>
        <v>1.1383462336580932E-3</v>
      </c>
      <c r="V240" s="16"/>
    </row>
    <row r="241" spans="3:23" ht="20.100000000000001" customHeight="1" x14ac:dyDescent="0.2">
      <c r="D241" s="15" t="str">
        <f>INDEX(X_Table_Dairy_ProductionSystems_Method1,3,1)</f>
        <v>Milking shed</v>
      </c>
      <c r="E241" s="15" t="s">
        <v>75</v>
      </c>
      <c r="F241" s="15">
        <f ca="1">(D$133 * F205 * (_xlfn.XLOOKUP($E241,$D$228:$D$232,$E$228:$E$232)) * $I$221 * $I$222)</f>
        <v>7.1997177289710409E-4</v>
      </c>
      <c r="G241" s="15">
        <f ca="1">(E$133 * G205 * (_xlfn.XLOOKUP($E241,$D$228:$D$232,$E$228:$E$232)) * $I$221 * $I$222)</f>
        <v>2.8359805878924141E-4</v>
      </c>
      <c r="H241" s="15">
        <f ca="1">(F$133 * H205 * (_xlfn.XLOOKUP($E241,$D$228:$D$232,$E$228:$E$232)) * $I$221 * $I$222)</f>
        <v>1.5379220960867642E-4</v>
      </c>
      <c r="I241" s="15">
        <f ca="1">(G$133 * I205 * (_xlfn.XLOOKUP($E241,$D$228:$D$232,$E$228:$E$232)) * $I$221 * $I$222)</f>
        <v>3.4507221776157069E-4</v>
      </c>
      <c r="J241" s="15">
        <f ca="1">(H$133 * J205 * (_xlfn.XLOOKUP($E241,$D$228:$D$232,$E$228:$E$232)) * $I$221 * $I$222)</f>
        <v>2.0697204248328968E-4</v>
      </c>
      <c r="K241" s="16"/>
      <c r="O241" s="15" t="str">
        <f>INDEX(X_Table_Dairy_ProductionSystems_Method1,3,1)</f>
        <v>Milking shed</v>
      </c>
      <c r="P241" s="15" t="s">
        <v>75</v>
      </c>
      <c r="Q241" s="15">
        <f ca="1">(O$133 * Q205 * (_xlfn.XLOOKUP($P241,$O$228:$O$232,$P$228:$P$232)) * $I$221 * $I$222)</f>
        <v>7.1997177289710409E-4</v>
      </c>
      <c r="R241" s="15">
        <f ca="1">(P$133 * R205 * (_xlfn.XLOOKUP($P241,$O$228:$O$232,$P$228:$P$232)) * $I$221 * $I$222)</f>
        <v>2.8359805878924141E-4</v>
      </c>
      <c r="S241" s="15">
        <f ca="1">(Q$133 * S205 * (_xlfn.XLOOKUP($P241,$O$228:$O$232,$P$228:$P$232)) * $I$221 * $I$222)</f>
        <v>1.5379220960867642E-4</v>
      </c>
      <c r="T241" s="15">
        <f ca="1">(R$133 * T205 * (_xlfn.XLOOKUP($P241,$O$228:$O$232,$P$228:$P$232)) * $I$221 * $I$222)</f>
        <v>3.4507221776157069E-4</v>
      </c>
      <c r="U241" s="15">
        <f ca="1">(S$133 * U205 * (_xlfn.XLOOKUP($P241,$O$228:$O$232,$P$228:$P$232)) * $I$221 * $I$222)</f>
        <v>2.0697204248328968E-4</v>
      </c>
      <c r="V241" s="16"/>
    </row>
    <row r="242" spans="3:23" ht="20.100000000000001" customHeight="1" x14ac:dyDescent="0.2">
      <c r="D242" s="15" t="str">
        <f>INDEX(X_Table_Dairy_ProductionSystems_Method1,4,1)</f>
        <v>Feed pad</v>
      </c>
      <c r="E242" s="15" t="str">
        <f>INDEX(X_Table_Dairy_Stage1MMS_2_AnaerobicLagoon,2,1)</f>
        <v>Anaerobic lagoon</v>
      </c>
      <c r="F242" s="15">
        <f ca="1">(D$133 * F177 * (_xlfn.XLOOKUP($E242,$D$228:$D$232,$E$228:$E$232)) * $I$221 * $I$222)</f>
        <v>5.5339648544045585E-2</v>
      </c>
      <c r="G242" s="15">
        <f ca="1">(E$133 * G177 * (_xlfn.XLOOKUP($E242,$D$228:$D$232,$E$228:$E$232)) * $I$221 * $I$222)</f>
        <v>2.1798378064209416E-2</v>
      </c>
      <c r="H242" s="15">
        <f ca="1">(F$133 * H177 * (_xlfn.XLOOKUP($E242,$D$228:$D$232,$E$228:$E$232)) * $I$221 * $I$222)</f>
        <v>1.1821028474921448E-2</v>
      </c>
      <c r="I242" s="15">
        <f ca="1">(G$133 * I177 * (_xlfn.XLOOKUP($E242,$D$228:$D$232,$E$228:$E$232)) * $I$221 * $I$222)</f>
        <v>2.6523505465218911E-2</v>
      </c>
      <c r="J242" s="15">
        <f ca="1">(H$133 * J177 * (_xlfn.XLOOKUP($E242,$D$228:$D$232,$E$228:$E$232)) * $I$221 * $I$222)</f>
        <v>1.5908623810874673E-2</v>
      </c>
      <c r="K242" s="16"/>
      <c r="O242" s="15" t="str">
        <f>INDEX(X_Table_Dairy_ProductionSystems_Method1,4,1)</f>
        <v>Feed pad</v>
      </c>
      <c r="P242" s="15" t="str">
        <f>INDEX(X_Table_Dairy_Stage1MMS_2_AnaerobicLagoon,2,1)</f>
        <v>Anaerobic lagoon</v>
      </c>
      <c r="Q242" s="15">
        <f ca="1">(O$133 * Q177 * (_xlfn.XLOOKUP($P242,$O$228:$O$232,$P$228:$P$232)) * $I$221 * $I$222)</f>
        <v>5.6067801814361974E-2</v>
      </c>
      <c r="R242" s="15">
        <f ca="1">(P$133 * R177 * (_xlfn.XLOOKUP($P242,$O$228:$O$232,$P$228:$P$232)) * $I$221 * $I$222)</f>
        <v>2.2085198828212176E-2</v>
      </c>
      <c r="S242" s="15">
        <f ca="1">(Q$133 * S177 * (_xlfn.XLOOKUP($P242,$O$228:$O$232,$P$228:$P$232)) * $I$221 * $I$222)</f>
        <v>1.197656832327568E-2</v>
      </c>
      <c r="T242" s="15">
        <f ca="1">(R$133 * T177 * (_xlfn.XLOOKUP($P242,$O$228:$O$232,$P$228:$P$232)) * $I$221 * $I$222)</f>
        <v>2.687249895818232E-2</v>
      </c>
      <c r="U242" s="15">
        <f ca="1">(S$133 * U177 * (_xlfn.XLOOKUP($P242,$O$228:$O$232,$P$228:$P$232)) * $I$221 * $I$222)</f>
        <v>1.6117947808386185E-2</v>
      </c>
      <c r="V242" s="16"/>
    </row>
    <row r="243" spans="3:23" ht="20.100000000000001" customHeight="1" x14ac:dyDescent="0.2">
      <c r="D243" s="15" t="str">
        <f>INDEX(X_Table_Dairy_ProductionSystems_Method1,4,1)</f>
        <v>Feed pad</v>
      </c>
      <c r="E243" s="15" t="str">
        <f>INDEX(X_Table_Dairy_Stage1MMS_2_SumpAndDispersal,2,1)</f>
        <v>Sump and dispersal system</v>
      </c>
      <c r="F243" s="15">
        <f ca="1">(D$133 * F178 * (_xlfn.XLOOKUP($E243,$D$228:$D$232,$E$228:$E$232)) * $I$221 * $I$222)</f>
        <v>2.9126130812655575E-4</v>
      </c>
      <c r="G243" s="15">
        <f ca="1">(E$133 * G178 * (_xlfn.XLOOKUP($E243,$D$228:$D$232,$E$228:$E$232)) * $I$221 * $I$222)</f>
        <v>1.1472830560110218E-4</v>
      </c>
      <c r="H243" s="15">
        <f ca="1">(F$133 * H178 * (_xlfn.XLOOKUP($E243,$D$228:$D$232,$E$228:$E$232)) * $I$221 * $I$222)</f>
        <v>6.2215939341691832E-5</v>
      </c>
      <c r="I243" s="15">
        <f ca="1">(G$133 * I178 * (_xlfn.XLOOKUP($E243,$D$228:$D$232,$E$228:$E$232)) * $I$221 * $I$222)</f>
        <v>1.3959739718536268E-4</v>
      </c>
      <c r="J243" s="15">
        <f ca="1">(H$133 * J178 * (_xlfn.XLOOKUP($E243,$D$228:$D$232,$E$228:$E$232)) * $I$221 * $I$222)</f>
        <v>8.3729599004603552E-5</v>
      </c>
      <c r="K243" s="16"/>
      <c r="O243" s="15" t="str">
        <f>INDEX(X_Table_Dairy_ProductionSystems_Method1,4,1)</f>
        <v>Feed pad</v>
      </c>
      <c r="P243" s="15" t="str">
        <f>INDEX(X_Table_Dairy_Stage1MMS_2_SumpAndDispersal,2,1)</f>
        <v>Sump and dispersal system</v>
      </c>
      <c r="Q243" s="15">
        <f ca="1">(O$133 * Q178 * (_xlfn.XLOOKUP($P243,$O$228:$O$232,$P$228:$P$232)) * $I$221 * $I$222)</f>
        <v>2.9126130812655575E-4</v>
      </c>
      <c r="R243" s="15">
        <f ca="1">(P$133 * R178 * (_xlfn.XLOOKUP($P243,$O$228:$O$232,$P$228:$P$232)) * $I$221 * $I$222)</f>
        <v>1.1472830560110218E-4</v>
      </c>
      <c r="S243" s="15">
        <f ca="1">(Q$133 * S178 * (_xlfn.XLOOKUP($P243,$O$228:$O$232,$P$228:$P$232)) * $I$221 * $I$222)</f>
        <v>6.2215939341691832E-5</v>
      </c>
      <c r="T243" s="15">
        <f ca="1">(R$133 * T178 * (_xlfn.XLOOKUP($P243,$O$228:$O$232,$P$228:$P$232)) * $I$221 * $I$222)</f>
        <v>1.3959739718536268E-4</v>
      </c>
      <c r="U243" s="15">
        <f ca="1">(S$133 * U178 * (_xlfn.XLOOKUP($P243,$O$228:$O$232,$P$228:$P$232)) * $I$221 * $I$222)</f>
        <v>8.3729599004603552E-5</v>
      </c>
      <c r="V243" s="16"/>
    </row>
    <row r="244" spans="3:23" ht="20.100000000000001" customHeight="1" x14ac:dyDescent="0.2">
      <c r="D244" s="15" t="str">
        <f>INDEX(X_Table_Dairy_ProductionSystems_Method1,4,1)</f>
        <v>Feed pad</v>
      </c>
      <c r="E244" s="15" t="str">
        <f>INDEX(X_Table_Dairy_Stage1MMS_2_DrainsToPaddock,2,1)</f>
        <v>Drains to paddock</v>
      </c>
      <c r="F244" s="15">
        <f ca="1">(D$133 * F179 * (_xlfn.XLOOKUP($E244,$D$228:$D$232,$E$228:$E$232)) * $I$221 * $I$222)</f>
        <v>1.0485407092556005E-2</v>
      </c>
      <c r="G244" s="15">
        <f ca="1">(E$133 * G179 * (_xlfn.XLOOKUP($E244,$D$228:$D$232,$E$228:$E$232)) * $I$221 * $I$222)</f>
        <v>4.1302190016396789E-3</v>
      </c>
      <c r="H244" s="15">
        <f ca="1">(F$133 * H179 * (_xlfn.XLOOKUP($E244,$D$228:$D$232,$E$228:$E$232)) * $I$221 * $I$222)</f>
        <v>2.2397738163009058E-3</v>
      </c>
      <c r="I244" s="15">
        <f ca="1">(G$133 * I179 * (_xlfn.XLOOKUP($E244,$D$228:$D$232,$E$228:$E$232)) * $I$221 * $I$222)</f>
        <v>5.0255062986730567E-3</v>
      </c>
      <c r="J244" s="15">
        <f ca="1">(H$133 * J179 * (_xlfn.XLOOKUP($E244,$D$228:$D$232,$E$228:$E$232)) * $I$221 * $I$222)</f>
        <v>3.0142655641657275E-3</v>
      </c>
      <c r="K244" s="16"/>
      <c r="O244" s="15" t="str">
        <f>INDEX(X_Table_Dairy_ProductionSystems_Method1,4,1)</f>
        <v>Feed pad</v>
      </c>
      <c r="P244" s="15" t="str">
        <f>INDEX(X_Table_Dairy_Stage1MMS_2_DrainsToPaddock,2,1)</f>
        <v>Drains to paddock</v>
      </c>
      <c r="Q244" s="15">
        <f ca="1">(O$133 * Q179 * (_xlfn.XLOOKUP($P244,$O$228:$O$232,$P$228:$P$232)) * $I$221 * $I$222)</f>
        <v>1.2815497557568452E-2</v>
      </c>
      <c r="R244" s="15">
        <f ca="1">(P$133 * R179 * (_xlfn.XLOOKUP($P244,$O$228:$O$232,$P$228:$P$232)) * $I$221 * $I$222)</f>
        <v>5.0480454464484964E-3</v>
      </c>
      <c r="S244" s="15">
        <f ca="1">(Q$133 * S179 * (_xlfn.XLOOKUP($P244,$O$228:$O$232,$P$228:$P$232)) * $I$221 * $I$222)</f>
        <v>2.7375013310344406E-3</v>
      </c>
      <c r="T244" s="15">
        <f ca="1">(R$133 * T179 * (_xlfn.XLOOKUP($P244,$O$228:$O$232,$P$228:$P$232)) * $I$221 * $I$222)</f>
        <v>6.1422854761559592E-3</v>
      </c>
      <c r="U244" s="15">
        <f ca="1">(S$133 * U179 * (_xlfn.XLOOKUP($P244,$O$228:$O$232,$P$228:$P$232)) * $I$221 * $I$222)</f>
        <v>3.684102356202556E-3</v>
      </c>
      <c r="V244" s="16"/>
    </row>
    <row r="245" spans="3:23" ht="20.100000000000001" customHeight="1" x14ac:dyDescent="0.2">
      <c r="D245" s="15" t="str">
        <f>INDEX(X_Table_Dairy_ProductionSystems_Method1,4,1)</f>
        <v>Feed pad</v>
      </c>
      <c r="E245" s="15" t="s">
        <v>75</v>
      </c>
      <c r="F245" s="15">
        <f ca="1">(D$133 * F206 * (_xlfn.XLOOKUP($E245,$D$228:$D$232,$E$228:$E$232)) * $I$221 * $I$222)</f>
        <v>2.0388291568858899E-3</v>
      </c>
      <c r="G245" s="15">
        <f ca="1">(E$133 * G206 * (_xlfn.XLOOKUP($E245,$D$228:$D$232,$E$228:$E$232)) * $I$221 * $I$222)</f>
        <v>8.0309813920771526E-4</v>
      </c>
      <c r="H245" s="15">
        <f ca="1">(F$133 * H206 * (_xlfn.XLOOKUP($E245,$D$228:$D$232,$E$228:$E$232)) * $I$221 * $I$222)</f>
        <v>4.3551157539184287E-4</v>
      </c>
      <c r="I245" s="15">
        <f ca="1">(G$133 * I206 * (_xlfn.XLOOKUP($E245,$D$228:$D$232,$E$228:$E$232)) * $I$221 * $I$222)</f>
        <v>9.7718178029753897E-4</v>
      </c>
      <c r="J245" s="15">
        <f ca="1">(H$133 * J206 * (_xlfn.XLOOKUP($E245,$D$228:$D$232,$E$228:$E$232)) * $I$221 * $I$222)</f>
        <v>5.8610719303222485E-4</v>
      </c>
      <c r="K245" s="16"/>
      <c r="O245" s="15" t="str">
        <f>INDEX(X_Table_Dairy_ProductionSystems_Method1,4,1)</f>
        <v>Feed pad</v>
      </c>
      <c r="P245" s="15" t="s">
        <v>75</v>
      </c>
      <c r="Q245" s="15">
        <f ca="1">(O$133 * Q206 * (_xlfn.XLOOKUP($P245,$O$228:$O$232,$P$228:$P$232)) * $I$221 * $I$222)</f>
        <v>2.0388291568858899E-3</v>
      </c>
      <c r="R245" s="15">
        <f ca="1">(P$133 * R206 * (_xlfn.XLOOKUP($P245,$O$228:$O$232,$P$228:$P$232)) * $I$221 * $I$222)</f>
        <v>8.0309813920771526E-4</v>
      </c>
      <c r="S245" s="15">
        <f ca="1">(Q$133 * S206 * (_xlfn.XLOOKUP($P245,$O$228:$O$232,$P$228:$P$232)) * $I$221 * $I$222)</f>
        <v>4.3551157539184287E-4</v>
      </c>
      <c r="T245" s="15">
        <f ca="1">(R$133 * T206 * (_xlfn.XLOOKUP($P245,$O$228:$O$232,$P$228:$P$232)) * $I$221 * $I$222)</f>
        <v>9.7718178029753897E-4</v>
      </c>
      <c r="U245" s="15">
        <f ca="1">(S$133 * U206 * (_xlfn.XLOOKUP($P245,$O$228:$O$232,$P$228:$P$232)) * $I$221 * $I$222)</f>
        <v>5.8610719303222485E-4</v>
      </c>
      <c r="V245" s="16"/>
    </row>
    <row r="248" spans="3:23" ht="20.100000000000001" customHeight="1" x14ac:dyDescent="0.2">
      <c r="C248" s="88"/>
      <c r="D248" s="88"/>
      <c r="E248" s="88"/>
      <c r="F248" s="88"/>
      <c r="G248" s="88"/>
      <c r="H248" s="88"/>
      <c r="I248" s="88"/>
      <c r="J248" s="88"/>
      <c r="K248" s="88"/>
      <c r="L248" s="88"/>
      <c r="N248" s="88"/>
      <c r="O248" s="88"/>
      <c r="P248" s="88"/>
      <c r="Q248" s="88"/>
      <c r="R248" s="88"/>
      <c r="S248" s="88"/>
      <c r="T248" s="88"/>
      <c r="U248" s="88"/>
      <c r="V248" s="88"/>
      <c r="W248" s="88"/>
    </row>
    <row r="249" spans="3:23" ht="20.100000000000001" customHeight="1" x14ac:dyDescent="0.2">
      <c r="D249" s="2" t="s">
        <v>1585</v>
      </c>
    </row>
    <row r="250" spans="3:23" ht="20.100000000000001" customHeight="1" x14ac:dyDescent="0.2">
      <c r="D250" s="17" t="s">
        <v>1586</v>
      </c>
    </row>
    <row r="251" spans="3:23" ht="20.100000000000001" customHeight="1" x14ac:dyDescent="0.2">
      <c r="D251" s="25" t="s">
        <v>1587</v>
      </c>
    </row>
    <row r="252" spans="3:23" ht="20.100000000000001" customHeight="1" x14ac:dyDescent="0.2">
      <c r="D252" s="118"/>
      <c r="E252" s="118"/>
    </row>
    <row r="253" spans="3:23" ht="20.100000000000001" customHeight="1" x14ac:dyDescent="0.2">
      <c r="D253" s="2"/>
    </row>
    <row r="254" spans="3:23" ht="20.100000000000001" customHeight="1" x14ac:dyDescent="0.2">
      <c r="D254" s="2"/>
    </row>
    <row r="255" spans="3:23" ht="20.100000000000001" customHeight="1" x14ac:dyDescent="0.2">
      <c r="D255" s="76" t="s">
        <v>378</v>
      </c>
      <c r="E255" s="1" t="s">
        <v>1588</v>
      </c>
    </row>
    <row r="256" spans="3:23" ht="20.100000000000001" customHeight="1" x14ac:dyDescent="0.2">
      <c r="D256" s="76" t="s">
        <v>118</v>
      </c>
      <c r="E256" s="9" t="s">
        <v>5</v>
      </c>
    </row>
    <row r="258" spans="1:15" ht="20.100000000000001" customHeight="1" x14ac:dyDescent="0.2">
      <c r="D258" s="120" t="s">
        <v>1523</v>
      </c>
      <c r="E258" s="125" t="s">
        <v>1524</v>
      </c>
      <c r="F258" s="133"/>
      <c r="G258" s="126"/>
      <c r="H258" s="120" t="s">
        <v>335</v>
      </c>
      <c r="I258" s="121" t="s">
        <v>1469</v>
      </c>
      <c r="J258" s="127" t="str" cm="1">
        <f t="array" aca="1" ref="J258" ca="1">HYPERLINK(Common_InputFunctions.Utility_SourceHyperlink($D$267),$D$267)</f>
        <v>Table_N_j</v>
      </c>
    </row>
    <row r="259" spans="1:15" ht="20.100000000000001" customHeight="1" x14ac:dyDescent="0.2">
      <c r="A259" s="129" t="str">
        <f>HYPERLINK("#A1", "▲ Back to top")</f>
        <v>▲ Back to top</v>
      </c>
      <c r="D259" s="120" t="s">
        <v>1589</v>
      </c>
      <c r="E259" s="125" t="s">
        <v>1590</v>
      </c>
      <c r="F259" s="133"/>
      <c r="G259" s="126"/>
      <c r="H259" s="120" t="s">
        <v>1518</v>
      </c>
      <c r="I259" s="128" t="s">
        <v>1598</v>
      </c>
      <c r="J259" s="127" t="str" cm="1">
        <f t="array" aca="1" ref="J259" ca="1">HYPERLINK(Common_InputFunctions.Utility_SourceHyperlink($D$234),$D$234)</f>
        <v>M1_M_j_m</v>
      </c>
    </row>
    <row r="260" spans="1:15" ht="20.100000000000001" customHeight="1" x14ac:dyDescent="0.2">
      <c r="D260" s="120" t="s">
        <v>1527</v>
      </c>
      <c r="E260" s="125" t="s">
        <v>1591</v>
      </c>
      <c r="F260" s="133"/>
      <c r="G260" s="126"/>
      <c r="H260" s="120" t="s">
        <v>1540</v>
      </c>
      <c r="I260" s="121" t="s">
        <v>1469</v>
      </c>
      <c r="J260" s="127" t="str" cm="1">
        <f t="array" aca="1" ref="J260" ca="1">HYPERLINK(Common_InputFunctions.Utility_SourceHyperlink($D$272),$D$272)</f>
        <v>M1_Table_D_j</v>
      </c>
    </row>
    <row r="261" spans="1:15" ht="20.100000000000001" customHeight="1" x14ac:dyDescent="0.2">
      <c r="D261" s="120" t="s">
        <v>1529</v>
      </c>
      <c r="E261" s="125" t="s">
        <v>1530</v>
      </c>
      <c r="F261" s="133"/>
      <c r="G261" s="126"/>
      <c r="H261" s="120" t="s">
        <v>335</v>
      </c>
      <c r="I261" s="121" t="s">
        <v>1469</v>
      </c>
      <c r="J261" s="127" t="str" cm="1">
        <f t="array" aca="1" ref="J261" ca="1">HYPERLINK(Common_InputFunctions.Utility_SourceHyperlink($D$267),$D$267)</f>
        <v>Table_N_j</v>
      </c>
    </row>
    <row r="262" spans="1:15" ht="20.100000000000001" customHeight="1" x14ac:dyDescent="0.2">
      <c r="D262" s="120" t="s">
        <v>1592</v>
      </c>
      <c r="E262" s="125" t="s">
        <v>1593</v>
      </c>
      <c r="F262" s="133"/>
      <c r="G262" s="126"/>
      <c r="H262" s="120" t="s">
        <v>1518</v>
      </c>
      <c r="I262" s="128" t="s">
        <v>1598</v>
      </c>
      <c r="J262" s="127" t="str" cm="1">
        <f t="array" aca="1" ref="J262" ca="1">HYPERLINK(Common_InputFunctions.Utility_SourceHyperlink($D$234),$D$234)</f>
        <v>M1_M_j_m</v>
      </c>
    </row>
    <row r="263" spans="1:15" ht="20.100000000000001" customHeight="1" x14ac:dyDescent="0.2">
      <c r="D263" s="120" t="s">
        <v>1533</v>
      </c>
      <c r="E263" s="125" t="s">
        <v>1594</v>
      </c>
      <c r="F263" s="133"/>
      <c r="G263" s="126"/>
      <c r="H263" s="120" t="s">
        <v>1540</v>
      </c>
      <c r="I263" s="121" t="s">
        <v>1469</v>
      </c>
      <c r="J263" s="127" t="str" cm="1">
        <f t="array" aca="1" ref="J263" ca="1">HYPERLINK(Common_InputFunctions.Utility_SourceHyperlink($D$272),$D$272)</f>
        <v>M1_Table_D_j</v>
      </c>
    </row>
    <row r="264" spans="1:15" ht="20.100000000000001" customHeight="1" x14ac:dyDescent="0.2">
      <c r="D264" s="120" t="s">
        <v>1595</v>
      </c>
      <c r="E264" s="125" t="s">
        <v>1596</v>
      </c>
      <c r="F264" s="133"/>
      <c r="G264" s="126"/>
      <c r="H264" s="120" t="s">
        <v>1518</v>
      </c>
      <c r="I264" s="128" t="s">
        <v>1501</v>
      </c>
      <c r="J264" s="127" t="str" cm="1">
        <f t="array" aca="1" ref="J264" ca="1">HYPERLINK(Common_InputFunctions.Utility_SourceHyperlink($D$277),$D$277)</f>
        <v>Table_MPW_manure_j-3-5</v>
      </c>
    </row>
    <row r="265" spans="1:15" ht="20.100000000000001" customHeight="1" x14ac:dyDescent="0.2">
      <c r="D265" s="120" t="s">
        <v>1535</v>
      </c>
      <c r="E265" s="125" t="s">
        <v>1597</v>
      </c>
      <c r="F265" s="133"/>
      <c r="G265" s="126"/>
      <c r="H265" s="120" t="s">
        <v>1540</v>
      </c>
      <c r="I265" s="121" t="s">
        <v>1469</v>
      </c>
      <c r="J265" s="127" t="str" cm="1">
        <f t="array" aca="1" ref="J265" ca="1">HYPERLINK(Common_InputFunctions.Utility_SourceHyperlink($D$282),$D$282)</f>
        <v>M1_Table_DPW_j</v>
      </c>
    </row>
    <row r="267" spans="1:15" ht="20.100000000000001" customHeight="1" x14ac:dyDescent="0.2">
      <c r="D267" s="122" t="s">
        <v>451</v>
      </c>
    </row>
    <row r="268" spans="1:15" ht="20.100000000000001" customHeight="1" x14ac:dyDescent="0.2">
      <c r="D268" s="123" t="s">
        <v>452</v>
      </c>
    </row>
    <row r="269" spans="1:15" ht="20.100000000000001" customHeight="1" x14ac:dyDescent="0.2">
      <c r="D269" s="81" t="s">
        <v>330</v>
      </c>
      <c r="E269" s="81" t="s">
        <v>331</v>
      </c>
      <c r="F269" s="81" t="s">
        <v>332</v>
      </c>
      <c r="G269" s="81" t="s">
        <v>333</v>
      </c>
      <c r="H269" s="81" t="s">
        <v>334</v>
      </c>
    </row>
    <row r="270" spans="1:15" ht="20.100000000000001" customHeight="1" x14ac:dyDescent="0.2">
      <c r="D270" s="134">
        <f>INDEX(X_Table_Dairy_HerdMovement,2,2)</f>
        <v>100</v>
      </c>
      <c r="E270" s="134">
        <f>INDEX(X_Table_Dairy_HerdMovement,2,3)</f>
        <v>100</v>
      </c>
      <c r="F270" s="134">
        <f>INDEX(X_Table_Dairy_HerdMovement,2,4)</f>
        <v>100</v>
      </c>
      <c r="G270" s="134">
        <f>INDEX(X_Table_Dairy_HerdMovement,2,5)</f>
        <v>100</v>
      </c>
      <c r="H270" s="134">
        <f>INDEX(X_Table_Dairy_HerdMovement,2,6)</f>
        <v>100</v>
      </c>
      <c r="I270" s="16" t="s">
        <v>453</v>
      </c>
    </row>
    <row r="272" spans="1:15" ht="20.100000000000001" customHeight="1" x14ac:dyDescent="0.2">
      <c r="D272" s="122" t="s">
        <v>454</v>
      </c>
      <c r="O272" s="122" t="s">
        <v>455</v>
      </c>
    </row>
    <row r="273" spans="4:20" ht="20.100000000000001" customHeight="1" x14ac:dyDescent="0.2">
      <c r="D273" s="123" t="s">
        <v>456</v>
      </c>
      <c r="O273" s="123" t="s">
        <v>457</v>
      </c>
    </row>
    <row r="274" spans="4:20" ht="20.100000000000001" customHeight="1" x14ac:dyDescent="0.2">
      <c r="D274" s="81" t="s">
        <v>330</v>
      </c>
      <c r="E274" s="81" t="s">
        <v>331</v>
      </c>
      <c r="F274" s="81" t="s">
        <v>332</v>
      </c>
      <c r="G274" s="81" t="s">
        <v>333</v>
      </c>
      <c r="H274" s="81" t="s">
        <v>334</v>
      </c>
      <c r="O274" s="81" t="s">
        <v>330</v>
      </c>
      <c r="P274" s="81" t="s">
        <v>331</v>
      </c>
      <c r="Q274" s="81" t="s">
        <v>332</v>
      </c>
      <c r="R274" s="81" t="s">
        <v>333</v>
      </c>
      <c r="S274" s="81" t="s">
        <v>334</v>
      </c>
    </row>
    <row r="275" spans="4:20" ht="20.100000000000001" customHeight="1" x14ac:dyDescent="0.2">
      <c r="D275" s="15">
        <f>INDEX(X_Table_Dairy_DurationOfStay_Method1,2,2)</f>
        <v>365</v>
      </c>
      <c r="E275" s="15">
        <f>INDEX(X_Table_Dairy_DurationOfStay_Method1,2,3)</f>
        <v>365</v>
      </c>
      <c r="F275" s="15">
        <f>INDEX(X_Table_Dairy_DurationOfStay_Method1,2,4)</f>
        <v>281</v>
      </c>
      <c r="G275" s="15">
        <f>INDEX(X_Table_Dairy_DurationOfStay_Method1,2,5)</f>
        <v>365</v>
      </c>
      <c r="H275" s="15">
        <f>INDEX(X_Table_Dairy_DurationOfStay_Method1,2,6)</f>
        <v>281</v>
      </c>
      <c r="I275" s="16" t="s">
        <v>112</v>
      </c>
      <c r="O275" s="15">
        <f>INDEX(X_Table_Dairy_DurationOfStay_Method2,2,2)</f>
        <v>365</v>
      </c>
      <c r="P275" s="15">
        <f>INDEX(X_Table_Dairy_DurationOfStay_Method2,2,3)</f>
        <v>365</v>
      </c>
      <c r="Q275" s="15">
        <f>INDEX(X_Table_Dairy_DurationOfStay_Method2,2,4)</f>
        <v>281</v>
      </c>
      <c r="R275" s="15">
        <f>INDEX(X_Table_Dairy_DurationOfStay_Method2,2,5)</f>
        <v>365</v>
      </c>
      <c r="S275" s="15">
        <f>INDEX(X_Table_Dairy_DurationOfStay_Method2,2,6)</f>
        <v>281</v>
      </c>
      <c r="T275" s="16" t="s">
        <v>112</v>
      </c>
    </row>
    <row r="277" spans="4:20" ht="20.100000000000001" customHeight="1" x14ac:dyDescent="0.2">
      <c r="D277" s="122" t="s">
        <v>458</v>
      </c>
    </row>
    <row r="278" spans="4:20" ht="20.100000000000001" customHeight="1" x14ac:dyDescent="0.2">
      <c r="D278" s="123" t="s">
        <v>459</v>
      </c>
    </row>
    <row r="279" spans="4:20" ht="20.100000000000001" customHeight="1" x14ac:dyDescent="0.2">
      <c r="D279" s="124" t="s">
        <v>330</v>
      </c>
      <c r="E279" s="124" t="s">
        <v>331</v>
      </c>
      <c r="F279" s="124" t="s">
        <v>332</v>
      </c>
      <c r="G279" s="124" t="s">
        <v>333</v>
      </c>
      <c r="H279" s="124" t="s">
        <v>334</v>
      </c>
    </row>
    <row r="280" spans="4:20" ht="20.100000000000001" customHeight="1" x14ac:dyDescent="0.2">
      <c r="D280" s="15">
        <v>0</v>
      </c>
      <c r="E280" s="15">
        <v>0</v>
      </c>
      <c r="F280" s="15">
        <f>'Constants - Dairy'!$E$63</f>
        <v>1.7600000000000001E-2</v>
      </c>
      <c r="G280" s="15">
        <v>0</v>
      </c>
      <c r="H280" s="15">
        <f>'Constants - Dairy'!$E$64</f>
        <v>2.0400000000000001E-2</v>
      </c>
      <c r="I280" s="16" t="s">
        <v>460</v>
      </c>
    </row>
    <row r="282" spans="4:20" ht="20.100000000000001" customHeight="1" x14ac:dyDescent="0.2">
      <c r="D282" s="122" t="s">
        <v>461</v>
      </c>
      <c r="O282" s="122" t="s">
        <v>461</v>
      </c>
    </row>
    <row r="283" spans="4:20" ht="20.100000000000001" customHeight="1" x14ac:dyDescent="0.2">
      <c r="D283" s="123" t="s">
        <v>462</v>
      </c>
      <c r="O283" s="123" t="s">
        <v>462</v>
      </c>
    </row>
    <row r="284" spans="4:20" ht="20.100000000000001" customHeight="1" x14ac:dyDescent="0.2">
      <c r="D284" s="124" t="s">
        <v>330</v>
      </c>
      <c r="E284" s="124" t="s">
        <v>331</v>
      </c>
      <c r="F284" s="124" t="s">
        <v>332</v>
      </c>
      <c r="G284" s="124" t="s">
        <v>333</v>
      </c>
      <c r="H284" s="124" t="s">
        <v>334</v>
      </c>
      <c r="O284" s="81" t="s">
        <v>330</v>
      </c>
      <c r="P284" s="81" t="s">
        <v>331</v>
      </c>
      <c r="Q284" s="81" t="s">
        <v>332</v>
      </c>
      <c r="R284" s="81" t="s">
        <v>333</v>
      </c>
      <c r="S284" s="81" t="s">
        <v>334</v>
      </c>
    </row>
    <row r="285" spans="4:20" ht="20.100000000000001" customHeight="1" x14ac:dyDescent="0.2">
      <c r="D285" s="15">
        <f>INDEX(X_Table_Dairy_DurationOfStay_Method1,3,2)</f>
        <v>0</v>
      </c>
      <c r="E285" s="15">
        <f>INDEX(X_Table_Dairy_DurationOfStay_Method1,3,3)</f>
        <v>0</v>
      </c>
      <c r="F285" s="15">
        <f>INDEX(X_Table_Dairy_DurationOfStay_Method1,3,4)</f>
        <v>84</v>
      </c>
      <c r="G285" s="15">
        <f>INDEX(X_Table_Dairy_DurationOfStay_Method1,3,5)</f>
        <v>0</v>
      </c>
      <c r="H285" s="15">
        <f>INDEX(X_Table_Dairy_DurationOfStay_Method1,3,6)</f>
        <v>84</v>
      </c>
      <c r="I285" s="16" t="s">
        <v>112</v>
      </c>
      <c r="O285" s="15">
        <f>INDEX(X_Table_Dairy_DurationOfStay_Method2,3,2)</f>
        <v>0</v>
      </c>
      <c r="P285" s="15">
        <f>INDEX(X_Table_Dairy_DurationOfStay_Method2,3,3)</f>
        <v>0</v>
      </c>
      <c r="Q285" s="15">
        <f>INDEX(X_Table_Dairy_DurationOfStay_Method2,3,4)</f>
        <v>84</v>
      </c>
      <c r="R285" s="15">
        <f>INDEX(X_Table_Dairy_DurationOfStay_Method2,3,5)</f>
        <v>0</v>
      </c>
      <c r="S285" s="15">
        <f>INDEX(X_Table_Dairy_DurationOfStay_Method2,3,6)</f>
        <v>84</v>
      </c>
      <c r="T285" s="16" t="s">
        <v>112</v>
      </c>
    </row>
    <row r="287" spans="4:20" ht="20.100000000000001" customHeight="1" x14ac:dyDescent="0.2">
      <c r="D287" s="122" t="s">
        <v>463</v>
      </c>
      <c r="O287" s="122" t="s">
        <v>463</v>
      </c>
    </row>
    <row r="288" spans="4:20" ht="20.100000000000001" customHeight="1" x14ac:dyDescent="0.2">
      <c r="D288" s="123" t="s">
        <v>464</v>
      </c>
      <c r="O288" s="123" t="s">
        <v>465</v>
      </c>
    </row>
    <row r="289" spans="1:21" ht="20.100000000000001" customHeight="1" x14ac:dyDescent="0.2">
      <c r="A289" s="129" t="str">
        <f>HYPERLINK("#A1", "▲ Back to top")</f>
        <v>▲ Back to top</v>
      </c>
      <c r="D289" s="124" t="s">
        <v>159</v>
      </c>
      <c r="E289" s="124" t="s">
        <v>422</v>
      </c>
      <c r="F289" s="124" t="s">
        <v>330</v>
      </c>
      <c r="G289" s="124" t="s">
        <v>331</v>
      </c>
      <c r="H289" s="124" t="s">
        <v>332</v>
      </c>
      <c r="I289" s="124" t="s">
        <v>333</v>
      </c>
      <c r="J289" s="124" t="s">
        <v>334</v>
      </c>
      <c r="O289" s="124" t="s">
        <v>159</v>
      </c>
      <c r="P289" s="124" t="s">
        <v>422</v>
      </c>
      <c r="Q289" s="124" t="s">
        <v>330</v>
      </c>
      <c r="R289" s="124" t="s">
        <v>331</v>
      </c>
      <c r="S289" s="124" t="s">
        <v>332</v>
      </c>
      <c r="T289" s="124" t="s">
        <v>333</v>
      </c>
      <c r="U289" s="124" t="s">
        <v>334</v>
      </c>
    </row>
    <row r="290" spans="1:21" ht="20.100000000000001" customHeight="1" x14ac:dyDescent="0.2">
      <c r="D290" s="15" t="str">
        <f>INDEX(X_Table_Dairy_ProductionSystems_Method1,2,1)</f>
        <v>Pasture</v>
      </c>
      <c r="E290" s="15" t="str">
        <f>'Constants - Common Livestock'!$E$27</f>
        <v>Pasture range and paddock</v>
      </c>
      <c r="F290" s="15">
        <f ca="1">(((D$270 * F237 * D$275) + (0 * 0 * 0) + (0 * 0 * 0)) * 10 ^ -3)</f>
        <v>0.15946556619928928</v>
      </c>
      <c r="G290" s="15">
        <f ca="1">(((E$270 * G237 * E$275) + (0 * 0 * 0) + (0 * 0 * 0)) * 10 ^ -3)</f>
        <v>6.2813747316603469E-2</v>
      </c>
      <c r="H290" s="15">
        <f ca="1">(((0 * 0 * 0) + (F$270 * H237 * F$275) + (F$270 * F$280 * F$285)) * 10 ^ -3)</f>
        <v>0.17406401843252312</v>
      </c>
      <c r="I290" s="15">
        <f ca="1">(((G$270 * I237 * G$275) + (0 * 0 * 0) + (0 * 0 * 0)) * 10 ^ -3)</f>
        <v>7.6429574958986099E-2</v>
      </c>
      <c r="J290" s="15">
        <f ca="1">(((0 * 0 * 0) + (H$270 * J237 * H$275) + (H$270 * H$280 * H$285)) * 10 ^ -3)</f>
        <v>0.20665202598044041</v>
      </c>
      <c r="O290" s="15" t="str">
        <f>INDEX(X_Table_Dairy_ProductionSystems_Method1,2,1)</f>
        <v>Pasture</v>
      </c>
      <c r="P290" s="15" t="str">
        <f>'Constants - Common Livestock'!$E$27</f>
        <v>Pasture range and paddock</v>
      </c>
      <c r="Q290" s="15">
        <f ca="1">(((D$270 * Q237 * O$275) + (0 * 0 * 0) + (0 * 0 * 0)) * 10 ^ -3)</f>
        <v>0.15946556619928928</v>
      </c>
      <c r="R290" s="15">
        <f ca="1">(((E$270 * R237 * P$275) + (0 * 0 * 0) + (0 * 0 * 0)) * 10 ^ -3)</f>
        <v>6.2813747316603469E-2</v>
      </c>
      <c r="S290" s="15">
        <f ca="1">(((0 * 0 * 0) + (F$270 * S237 * Q$275) + (F$270 * F$280 * Q$285)) * 10 ^ -3)</f>
        <v>0.17406401843252312</v>
      </c>
      <c r="T290" s="15">
        <f ca="1">(((G$270 * T237 * R$275) + (0 * 0 * 0) + (0 * 0 * 0)) * 10 ^ -3)</f>
        <v>7.6429574958986099E-2</v>
      </c>
      <c r="U290" s="15">
        <f ca="1">(((0 * 0 * 0) + (H$270 * U237 * S$275) + (H$270 * H$280 * S$285)) * 10 ^ -3)</f>
        <v>0.20665202598044041</v>
      </c>
    </row>
    <row r="291" spans="1:21" ht="20.100000000000001" customHeight="1" x14ac:dyDescent="0.2">
      <c r="D291" s="15" t="str">
        <f>INDEX(X_Table_Dairy_ProductionSystems_Method1,3,1)</f>
        <v>Milking shed</v>
      </c>
      <c r="E291" s="15" t="str">
        <f>INDEX(X_Table_Dairy_Stage1MMS_1_AnaerobicLagoon,2,1)</f>
        <v>Anaerobic lagoon</v>
      </c>
      <c r="F291" s="15">
        <f ca="1">(((D$270 * F238 * D$275) + (0 * 0 * 0) + (0 * 0 * 0)) * 10 ^ -3)</f>
        <v>0.49930042450414175</v>
      </c>
      <c r="G291" s="15">
        <f ca="1">(((E$270 * G238 * E$275) + (0 * 0 * 0) + (0 * 0 * 0)) * 10 ^ -3)</f>
        <v>0.1966752537703389</v>
      </c>
      <c r="H291" s="15">
        <f ca="1">(((0 * 0 * 0) + (F$270 * H238 * F$275) + (F$270 * F$280 * F$285)) * 10 ^ -3)</f>
        <v>0.22994966071007236</v>
      </c>
      <c r="I291" s="15">
        <f ca="1">(((G$270 * I238 * G$275) + (0 * 0 * 0) + (0 * 0 * 0)) * 10 ^ -3)</f>
        <v>0.23930758301764934</v>
      </c>
      <c r="J291" s="15">
        <f ca="1">(((0 * 0 * 0) + (H$270 * J238 * H$275) + (H$270 * H$280 * H$285)) * 10 ^ -3)</f>
        <v>0.28186237348182841</v>
      </c>
      <c r="O291" s="15" t="str">
        <f>INDEX(X_Table_Dairy_ProductionSystems_Method1,3,1)</f>
        <v>Milking shed</v>
      </c>
      <c r="P291" s="15" t="str">
        <f>INDEX(X_Table_Dairy_Stage1MMS_1_AnaerobicLagoon,2,1)</f>
        <v>Anaerobic lagoon</v>
      </c>
      <c r="Q291" s="15">
        <f ca="1">(((D$270 * Q238 * O$275) + (0 * 0 * 0) + (0 * 0 * 0)) * 10 ^ -3)</f>
        <v>0.50587016693182774</v>
      </c>
      <c r="R291" s="15">
        <f ca="1">(((E$270 * R238 * P$275) + (0 * 0 * 0) + (0 * 0 * 0)) * 10 ^ -3)</f>
        <v>0.19926308605679074</v>
      </c>
      <c r="S291" s="15">
        <f ca="1">(((0 * 0 * 0) + (F$270 * S238 * Q$275) + (F$270 * F$280 * Q$285)) * 10 ^ -3)</f>
        <v>0.23103005098257332</v>
      </c>
      <c r="T291" s="15">
        <f ca="1">(((G$270 * T238 * R$275) + (0 * 0 * 0) + (0 * 0 * 0)) * 10 ^ -3)</f>
        <v>0.24245636700472373</v>
      </c>
      <c r="U291" s="15">
        <f ca="1">(((0 * 0 * 0) + (H$270 * U238 * S$275) + (H$270 * H$280 * S$285)) * 10 ^ -3)</f>
        <v>0.2833163520802735</v>
      </c>
    </row>
    <row r="292" spans="1:21" ht="20.100000000000001" customHeight="1" x14ac:dyDescent="0.2">
      <c r="D292" s="15" t="str">
        <f>INDEX(X_Table_Dairy_ProductionSystems_Method1,3,1)</f>
        <v>Milking shed</v>
      </c>
      <c r="E292" s="15" t="str">
        <f>INDEX(X_Table_Dairy_Stage1MMS_1_SumpAndDispersal,2,1)</f>
        <v>Sump and dispersal system</v>
      </c>
      <c r="F292" s="15">
        <f ca="1">(((D$270 * F239 * D$275) + (0 * 0 * 0) + (0 * 0 * 0)) * 10 ^ -3)</f>
        <v>3.2848712138430379E-3</v>
      </c>
      <c r="G292" s="15">
        <f ca="1">(((E$270 * G239 * E$275) + (0 * 0 * 0) + (0 * 0 * 0)) * 10 ^ -3)</f>
        <v>1.293916143225914E-3</v>
      </c>
      <c r="H292" s="15">
        <f ca="1">(((0 * 0 * 0) + (F$270 * H239 * F$275) + (F$270 * F$280 * F$285)) * 10 ^ -3)</f>
        <v>0.14838019513625048</v>
      </c>
      <c r="I292" s="15">
        <f ca="1">(((G$270 * I239 * G$275) + (0 * 0 * 0) + (0 * 0 * 0)) * 10 ^ -3)</f>
        <v>1.5743919935371669E-3</v>
      </c>
      <c r="J292" s="15">
        <f ca="1">(((0 * 0 * 0) + (H$270 * J239 * H$275) + (H$270 * H$280 * H$285)) * 10 ^ -3)</f>
        <v>0.17208698929922259</v>
      </c>
      <c r="O292" s="15" t="str">
        <f>INDEX(X_Table_Dairy_ProductionSystems_Method1,3,1)</f>
        <v>Milking shed</v>
      </c>
      <c r="P292" s="15" t="str">
        <f>INDEX(X_Table_Dairy_Stage1MMS_1_SumpAndDispersal,2,1)</f>
        <v>Sump and dispersal system</v>
      </c>
      <c r="Q292" s="15">
        <f ca="1">(((D$270 * Q239 * O$275) + (0 * 0 * 0) + (0 * 0 * 0)) * 10 ^ -3)</f>
        <v>3.2848712138430379E-3</v>
      </c>
      <c r="R292" s="15">
        <f ca="1">(((E$270 * R239 * P$275) + (0 * 0 * 0) + (0 * 0 * 0)) * 10 ^ -3)</f>
        <v>1.293916143225914E-3</v>
      </c>
      <c r="S292" s="15">
        <f ca="1">(((0 * 0 * 0) + (F$270 * S239 * Q$275) + (F$270 * F$280 * Q$285)) * 10 ^ -3)</f>
        <v>0.14838019513625048</v>
      </c>
      <c r="T292" s="15">
        <f ca="1">(((G$270 * T239 * R$275) + (0 * 0 * 0) + (0 * 0 * 0)) * 10 ^ -3)</f>
        <v>1.5743919935371669E-3</v>
      </c>
      <c r="U292" s="15">
        <f ca="1">(((0 * 0 * 0) + (H$270 * U239 * S$275) + (H$270 * H$280 * S$285)) * 10 ^ -3)</f>
        <v>0.17208698929922259</v>
      </c>
    </row>
    <row r="293" spans="1:21" ht="20.100000000000001" customHeight="1" x14ac:dyDescent="0.2">
      <c r="D293" s="15" t="str">
        <f>INDEX(X_Table_Dairy_ProductionSystems_Method1,3,1)</f>
        <v>Milking shed</v>
      </c>
      <c r="E293" s="15" t="str">
        <f>INDEX(X_Table_Dairy_Stage1MMS_1_DrainsToPaddock,2,1)</f>
        <v>Drains to paddock</v>
      </c>
      <c r="F293" s="15">
        <f ca="1">(((D$270 * F240 * D$275) + (0 * 0 * 0) + (0 * 0 * 0)) * 10 ^ -3)</f>
        <v>0.11825536369834934</v>
      </c>
      <c r="G293" s="15">
        <f ca="1">(((E$270 * G240 * E$275) + (0 * 0 * 0) + (0 * 0 * 0)) * 10 ^ -3)</f>
        <v>4.6580981156132899E-2</v>
      </c>
      <c r="H293" s="15">
        <f ca="1">(((0 * 0 * 0) + (F$270 * H240 * F$275) + (F$270 * F$280 * F$285)) * 10 ^ -3)</f>
        <v>0.16728702490501715</v>
      </c>
      <c r="I293" s="15">
        <f ca="1">(((G$270 * I240 * G$275) + (0 * 0 * 0) + (0 * 0 * 0)) * 10 ^ -3)</f>
        <v>5.6678111767338002E-2</v>
      </c>
      <c r="J293" s="15">
        <f ca="1">(((0 * 0 * 0) + (H$270 * J240 * H$275) + (H$270 * H$280 * H$285)) * 10 ^ -3)</f>
        <v>0.197531614772012</v>
      </c>
      <c r="O293" s="15" t="str">
        <f>INDEX(X_Table_Dairy_ProductionSystems_Method1,3,1)</f>
        <v>Milking shed</v>
      </c>
      <c r="P293" s="15" t="str">
        <f>INDEX(X_Table_Dairy_Stage1MMS_1_DrainsToPaddock,2,1)</f>
        <v>Drains to paddock</v>
      </c>
      <c r="Q293" s="15">
        <f ca="1">(((D$270 * Q240 * O$275) + (0 * 0 * 0) + (0 * 0 * 0)) * 10 ^ -3)</f>
        <v>0.14453433340909366</v>
      </c>
      <c r="R293" s="15">
        <f ca="1">(((E$270 * R240 * P$275) + (0 * 0 * 0) + (0 * 0 * 0)) * 10 ^ -3)</f>
        <v>5.6932310301940216E-2</v>
      </c>
      <c r="S293" s="15">
        <f ca="1">(((0 * 0 * 0) + (F$270 * S240 * Q$275) + (F$270 * F$280 * Q$285)) * 10 ^ -3)</f>
        <v>0.17160858599502096</v>
      </c>
      <c r="T293" s="15">
        <f ca="1">(((G$270 * T240 * R$275) + (0 * 0 * 0) + (0 * 0 * 0)) * 10 ^ -3)</f>
        <v>6.9273247715635339E-2</v>
      </c>
      <c r="U293" s="15">
        <f ca="1">(((0 * 0 * 0) + (H$270 * U240 * S$275) + (H$270 * H$280 * S$285)) * 10 ^ -3)</f>
        <v>0.20334752916579243</v>
      </c>
    </row>
    <row r="294" spans="1:21" ht="20.100000000000001" customHeight="1" x14ac:dyDescent="0.2">
      <c r="D294" s="15" t="str">
        <f>INDEX(X_Table_Dairy_ProductionSystems_Method1,3,1)</f>
        <v>Milking shed</v>
      </c>
      <c r="E294" s="15" t="s">
        <v>75</v>
      </c>
      <c r="F294" s="15">
        <f ca="1">(((D$270 * F241 * D$275) + (0 * 0 * 0) + (0 * 0 * 0)) * 10 ^ -3)</f>
        <v>2.6278969710744299E-2</v>
      </c>
      <c r="G294" s="15">
        <f ca="1">(((E$270 * G241 * E$275) + (0 * 0 * 0) + (0 * 0 * 0)) * 10 ^ -3)</f>
        <v>1.0351329145807312E-2</v>
      </c>
      <c r="H294" s="15">
        <f ca="1">(((0 * 0 * 0) + (F$270 * H241 * F$275) + (F$270 * F$280 * F$285)) * 10 ^ -3)</f>
        <v>0.15216156109000381</v>
      </c>
      <c r="I294" s="15">
        <f ca="1">(((G$270 * I241 * G$275) + (0 * 0 * 0) + (0 * 0 * 0)) * 10 ^ -3)</f>
        <v>1.259513594829733E-2</v>
      </c>
      <c r="J294" s="15">
        <f ca="1">(((0 * 0 * 0) + (H$270 * J241 * H$275) + (H$270 * H$280 * H$285)) * 10 ^ -3)</f>
        <v>0.17717591439378047</v>
      </c>
      <c r="O294" s="15" t="str">
        <f>INDEX(X_Table_Dairy_ProductionSystems_Method1,3,1)</f>
        <v>Milking shed</v>
      </c>
      <c r="P294" s="15" t="s">
        <v>75</v>
      </c>
      <c r="Q294" s="15">
        <f ca="1">(((D$270 * Q241 * O$275) + (0 * 0 * 0) + (0 * 0 * 0)) * 10 ^ -3)</f>
        <v>2.6278969710744299E-2</v>
      </c>
      <c r="R294" s="15">
        <f ca="1">(((E$270 * R241 * P$275) + (0 * 0 * 0) + (0 * 0 * 0)) * 10 ^ -3)</f>
        <v>1.0351329145807312E-2</v>
      </c>
      <c r="S294" s="15">
        <f ca="1">(((0 * 0 * 0) + (F$270 * S241 * Q$275) + (F$270 * F$280 * Q$285)) * 10 ^ -3)</f>
        <v>0.15216156109000381</v>
      </c>
      <c r="T294" s="15">
        <f ca="1">(((G$270 * T241 * R$275) + (0 * 0 * 0) + (0 * 0 * 0)) * 10 ^ -3)</f>
        <v>1.259513594829733E-2</v>
      </c>
      <c r="U294" s="15">
        <f ca="1">(((0 * 0 * 0) + (H$270 * U241 * S$275) + (H$270 * H$280 * S$285)) * 10 ^ -3)</f>
        <v>0.17717591439378047</v>
      </c>
    </row>
    <row r="295" spans="1:21" ht="20.100000000000001" customHeight="1" x14ac:dyDescent="0.2">
      <c r="D295" s="15" t="str">
        <f>INDEX(X_Table_Dairy_ProductionSystems_Method1,4,1)</f>
        <v>Feed pad</v>
      </c>
      <c r="E295" s="15" t="str">
        <f>INDEX(X_Table_Dairy_Stage1MMS_2_AnaerobicLagoon,2,1)</f>
        <v>Anaerobic lagoon</v>
      </c>
      <c r="F295" s="15">
        <f ca="1">(((D$270 * F242 * D$275) + (0 * 0 * 0) + (0 * 0 * 0)) * 10 ^ -3)</f>
        <v>2.0198971718576639</v>
      </c>
      <c r="G295" s="15">
        <f ca="1">(((E$270 * G242 * E$275) + (0 * 0 * 0) + (0 * 0 * 0)) * 10 ^ -3)</f>
        <v>0.79564079934364373</v>
      </c>
      <c r="H295" s="15">
        <f ca="1">(((0 * 0 * 0) + (F$270 * H242 * F$275) + (F$270 * F$280 * F$285)) * 10 ^ -3)</f>
        <v>0.48001090014529268</v>
      </c>
      <c r="I295" s="15">
        <f ca="1">(((G$270 * I242 * G$275) + (0 * 0 * 0) + (0 * 0 * 0)) * 10 ^ -3)</f>
        <v>0.96810794948049028</v>
      </c>
      <c r="J295" s="15">
        <f ca="1">(((0 * 0 * 0) + (H$270 * J242 * H$275) + (H$270 * H$280 * H$285)) * 10 ^ -3)</f>
        <v>0.6183923290855784</v>
      </c>
      <c r="O295" s="15" t="str">
        <f>INDEX(X_Table_Dairy_ProductionSystems_Method1,4,1)</f>
        <v>Feed pad</v>
      </c>
      <c r="P295" s="15" t="str">
        <f>INDEX(X_Table_Dairy_Stage1MMS_2_AnaerobicLagoon,2,1)</f>
        <v>Anaerobic lagoon</v>
      </c>
      <c r="Q295" s="15">
        <f ca="1">(((D$270 * Q242 * O$275) + (0 * 0 * 0) + (0 * 0 * 0)) * 10 ^ -3)</f>
        <v>2.046474766224212</v>
      </c>
      <c r="R295" s="15">
        <f ca="1">(((E$270 * R242 * P$275) + (0 * 0 * 0) + (0 * 0 * 0)) * 10 ^ -3)</f>
        <v>0.80610975722974443</v>
      </c>
      <c r="S295" s="15">
        <f ca="1">(((0 * 0 * 0) + (F$270 * S242 * Q$275) + (F$270 * F$280 * Q$285)) * 10 ^ -3)</f>
        <v>0.48438156988404663</v>
      </c>
      <c r="T295" s="15">
        <f ca="1">(((G$270 * T242 * R$275) + (0 * 0 * 0) + (0 * 0 * 0)) * 10 ^ -3)</f>
        <v>0.98084621197365474</v>
      </c>
      <c r="U295" s="15">
        <f ca="1">(((0 * 0 * 0) + (H$270 * U242 * S$275) + (H$270 * H$280 * S$285)) * 10 ^ -3)</f>
        <v>0.62427433341565175</v>
      </c>
    </row>
    <row r="296" spans="1:21" ht="20.100000000000001" customHeight="1" x14ac:dyDescent="0.2">
      <c r="D296" s="15" t="str">
        <f>INDEX(X_Table_Dairy_ProductionSystems_Method1,4,1)</f>
        <v>Feed pad</v>
      </c>
      <c r="E296" s="15" t="str">
        <f>INDEX(X_Table_Dairy_Stage1MMS_2_SumpAndDispersal,2,1)</f>
        <v>Sump and dispersal system</v>
      </c>
      <c r="F296" s="15">
        <f ca="1">(((D$270 * F243 * D$275) + (0 * 0 * 0) + (0 * 0 * 0)) * 10 ^ -3)</f>
        <v>1.0631037746619285E-2</v>
      </c>
      <c r="G296" s="15">
        <f ca="1">(((E$270 * G243 * E$275) + (0 * 0 * 0) + (0 * 0 * 0)) * 10 ^ -3)</f>
        <v>4.1875831544402296E-3</v>
      </c>
      <c r="H296" s="15">
        <f ca="1">(((0 * 0 * 0) + (F$270 * H243 * F$275) + (F$270 * F$280 * F$285)) * 10 ^ -3)</f>
        <v>0.14958826789550153</v>
      </c>
      <c r="I296" s="15">
        <f ca="1">(((G$270 * I243 * G$275) + (0 * 0 * 0) + (0 * 0 * 0)) * 10 ^ -3)</f>
        <v>5.095304997265738E-3</v>
      </c>
      <c r="J296" s="15">
        <f ca="1">(((0 * 0 * 0) + (H$270 * J243 * H$275) + (H$270 * H$280 * H$285)) * 10 ^ -3)</f>
        <v>0.17371280173202935</v>
      </c>
      <c r="O296" s="15" t="str">
        <f>INDEX(X_Table_Dairy_ProductionSystems_Method1,4,1)</f>
        <v>Feed pad</v>
      </c>
      <c r="P296" s="15" t="str">
        <f>INDEX(X_Table_Dairy_Stage1MMS_2_SumpAndDispersal,2,1)</f>
        <v>Sump and dispersal system</v>
      </c>
      <c r="Q296" s="15">
        <f ca="1">(((D$270 * Q243 * O$275) + (0 * 0 * 0) + (0 * 0 * 0)) * 10 ^ -3)</f>
        <v>1.0631037746619285E-2</v>
      </c>
      <c r="R296" s="15">
        <f ca="1">(((E$270 * R243 * P$275) + (0 * 0 * 0) + (0 * 0 * 0)) * 10 ^ -3)</f>
        <v>4.1875831544402296E-3</v>
      </c>
      <c r="S296" s="15">
        <f ca="1">(((0 * 0 * 0) + (F$270 * S243 * Q$275) + (F$270 * F$280 * Q$285)) * 10 ^ -3)</f>
        <v>0.14958826789550153</v>
      </c>
      <c r="T296" s="15">
        <f ca="1">(((G$270 * T243 * R$275) + (0 * 0 * 0) + (0 * 0 * 0)) * 10 ^ -3)</f>
        <v>5.095304997265738E-3</v>
      </c>
      <c r="U296" s="15">
        <f ca="1">(((0 * 0 * 0) + (H$270 * U243 * S$275) + (H$270 * H$280 * S$285)) * 10 ^ -3)</f>
        <v>0.17371280173202935</v>
      </c>
    </row>
    <row r="297" spans="1:21" ht="20.100000000000001" customHeight="1" x14ac:dyDescent="0.2">
      <c r="D297" s="15" t="str">
        <f>INDEX(X_Table_Dairy_ProductionSystems_Method1,4,1)</f>
        <v>Feed pad</v>
      </c>
      <c r="E297" s="15" t="str">
        <f>INDEX(X_Table_Dairy_Stage1MMS_2_DrainsToPaddock,2,1)</f>
        <v>Drains to paddock</v>
      </c>
      <c r="F297" s="15">
        <f ca="1">(((D$270 * F244 * D$275) + (0 * 0 * 0) + (0 * 0 * 0)) * 10 ^ -3)</f>
        <v>0.38271735887829422</v>
      </c>
      <c r="G297" s="15">
        <f ca="1">(((E$270 * G244 * E$275) + (0 * 0 * 0) + (0 * 0 * 0)) * 10 ^ -3)</f>
        <v>0.15075299355984828</v>
      </c>
      <c r="H297" s="15">
        <f ca="1">(((0 * 0 * 0) + (F$270 * H244 * F$275) + (F$270 * F$280 * F$285)) * 10 ^ -3)</f>
        <v>0.21077764423805545</v>
      </c>
      <c r="I297" s="15">
        <f ca="1">(((G$270 * I244 * G$275) + (0 * 0 * 0) + (0 * 0 * 0)) * 10 ^ -3)</f>
        <v>0.18343097990156659</v>
      </c>
      <c r="J297" s="15">
        <f ca="1">(((0 * 0 * 0) + (H$270 * J244 * H$275) + (H$270 * H$280 * H$285)) * 10 ^ -3)</f>
        <v>0.25606086235305697</v>
      </c>
      <c r="O297" s="15" t="str">
        <f>INDEX(X_Table_Dairy_ProductionSystems_Method1,4,1)</f>
        <v>Feed pad</v>
      </c>
      <c r="P297" s="15" t="str">
        <f>INDEX(X_Table_Dairy_Stage1MMS_2_DrainsToPaddock,2,1)</f>
        <v>Drains to paddock</v>
      </c>
      <c r="Q297" s="15">
        <f ca="1">(((D$270 * Q244 * O$275) + (0 * 0 * 0) + (0 * 0 * 0)) * 10 ^ -3)</f>
        <v>0.46776566085124849</v>
      </c>
      <c r="R297" s="15">
        <f ca="1">(((E$270 * R244 * P$275) + (0 * 0 * 0) + (0 * 0 * 0)) * 10 ^ -3)</f>
        <v>0.18425365879537009</v>
      </c>
      <c r="S297" s="15">
        <f ca="1">(((0 * 0 * 0) + (F$270 * S244 * Q$275) + (F$270 * F$280 * Q$285)) * 10 ^ -3)</f>
        <v>0.22476378740206779</v>
      </c>
      <c r="T297" s="15">
        <f ca="1">(((G$270 * T244 * R$275) + (0 * 0 * 0) + (0 * 0 * 0)) * 10 ^ -3)</f>
        <v>0.22419341987969252</v>
      </c>
      <c r="U297" s="15">
        <f ca="1">(((0 * 0 * 0) + (H$270 * U244 * S$275) + (H$270 * H$280 * S$285)) * 10 ^ -3)</f>
        <v>0.27488327620929182</v>
      </c>
    </row>
    <row r="298" spans="1:21" ht="20.100000000000001" customHeight="1" x14ac:dyDescent="0.2">
      <c r="D298" s="15" t="str">
        <f>INDEX(X_Table_Dairy_ProductionSystems_Method1,4,1)</f>
        <v>Feed pad</v>
      </c>
      <c r="E298" s="15" t="s">
        <v>75</v>
      </c>
      <c r="F298" s="15">
        <f ca="1">(((D$270 * F245 * D$275) + (0 * 0 * 0) + (0 * 0 * 0)) * 10 ^ -3)</f>
        <v>7.4417264226334975E-2</v>
      </c>
      <c r="G298" s="15">
        <f ca="1">(((E$270 * G245 * E$275) + (0 * 0 * 0) + (0 * 0 * 0)) * 10 ^ -3)</f>
        <v>2.9313082081081607E-2</v>
      </c>
      <c r="H298" s="15">
        <f ca="1">(((0 * 0 * 0) + (F$270 * H245 * F$275) + (F$270 * F$280 * F$285)) * 10 ^ -3)</f>
        <v>0.16007787526851078</v>
      </c>
      <c r="I298" s="15">
        <f ca="1">(((G$270 * I245 * G$275) + (0 * 0 * 0) + (0 * 0 * 0)) * 10 ^ -3)</f>
        <v>3.5667134980860167E-2</v>
      </c>
      <c r="J298" s="15">
        <f ca="1">(((0 * 0 * 0) + (H$270 * J245 * H$275) + (H$270 * H$280 * H$285)) * 10 ^ -3)</f>
        <v>0.18782961212420554</v>
      </c>
      <c r="O298" s="15" t="str">
        <f>INDEX(X_Table_Dairy_ProductionSystems_Method1,4,1)</f>
        <v>Feed pad</v>
      </c>
      <c r="P298" s="15" t="s">
        <v>75</v>
      </c>
      <c r="Q298" s="15">
        <f ca="1">(((D$270 * Q245 * O$275) + (0 * 0 * 0) + (0 * 0 * 0)) * 10 ^ -3)</f>
        <v>7.4417264226334975E-2</v>
      </c>
      <c r="R298" s="15">
        <f ca="1">(((E$270 * R245 * P$275) + (0 * 0 * 0) + (0 * 0 * 0)) * 10 ^ -3)</f>
        <v>2.9313082081081607E-2</v>
      </c>
      <c r="S298" s="15">
        <f ca="1">(((0 * 0 * 0) + (F$270 * S245 * Q$275) + (F$270 * F$280 * Q$285)) * 10 ^ -3)</f>
        <v>0.16007787526851078</v>
      </c>
      <c r="T298" s="15">
        <f ca="1">(((G$270 * T245 * R$275) + (0 * 0 * 0) + (0 * 0 * 0)) * 10 ^ -3)</f>
        <v>3.5667134980860167E-2</v>
      </c>
      <c r="U298" s="15">
        <f ca="1">(((0 * 0 * 0) + (H$270 * U245 * S$275) + (H$270 * H$280 * S$285)) * 10 ^ -3)</f>
        <v>0.18782961212420554</v>
      </c>
    </row>
    <row r="300" spans="1:21" ht="20.100000000000001" customHeight="1" x14ac:dyDescent="0.2">
      <c r="D300" s="87" t="s">
        <v>466</v>
      </c>
      <c r="E300" s="90">
        <f ca="1">SUM(F290:J298)</f>
        <v>10.314345551795777</v>
      </c>
      <c r="F300" s="89" t="str">
        <f>$E$256</f>
        <v>t CH4</v>
      </c>
      <c r="O300" s="87" t="s">
        <v>467</v>
      </c>
      <c r="P300" s="90">
        <f ca="1">SUM(Q290:U298)</f>
        <v>10.64070664267806</v>
      </c>
      <c r="Q300" s="89" t="str">
        <f>$E$256</f>
        <v>t CH4</v>
      </c>
    </row>
    <row r="302" spans="1:21" ht="20.100000000000001" customHeight="1" x14ac:dyDescent="0.2">
      <c r="D302" s="132" t="str" cm="1">
        <f t="array" ref="D302:E303">Common_Equations.Common_ConvertCH4ToCO2e_Arguments()</f>
        <v>ECH4</v>
      </c>
      <c r="E302" s="135" t="str">
        <v>Methane emissions (t CH4)</v>
      </c>
      <c r="F302" s="136"/>
      <c r="G302" s="15">
        <f ca="1">VEERG_4_3_1_1__1_TotalAnnualMethaneFromManureManagement_Result_Method1</f>
        <v>10.314345551795777</v>
      </c>
      <c r="H302" s="16"/>
      <c r="O302" s="132" t="str" cm="1">
        <f t="array" ref="O302:P303">Common_Equations.Common_ConvertCH4ToCO2e_Arguments()</f>
        <v>ECH4</v>
      </c>
      <c r="P302" s="135" t="str">
        <v>Methane emissions (t CH4)</v>
      </c>
      <c r="Q302" s="136"/>
      <c r="R302" s="15">
        <f ca="1">VEERG_4_3_1_1__1_TotalAnnualMethaneFromManureManagement_Result_Method2</f>
        <v>10.64070664267806</v>
      </c>
      <c r="S302" s="16" t="s">
        <v>5</v>
      </c>
    </row>
    <row r="303" spans="1:21" ht="20.100000000000001" customHeight="1" x14ac:dyDescent="0.2">
      <c r="D303" s="132" t="str">
        <v>GWPCH4</v>
      </c>
      <c r="E303" s="135" t="str">
        <v>Global warming potential for methane (t CO2-e / t CH4)</v>
      </c>
      <c r="F303" s="136"/>
      <c r="G303" s="15">
        <f>Common_InputFunctions.Utility_LookupValueInTableNumber("CH4",Table_GWPData[Gas],Table_GWPData[CO2-e factor])</f>
        <v>28</v>
      </c>
      <c r="O303" s="132" t="str">
        <v>GWPCH4</v>
      </c>
      <c r="P303" s="135" t="str">
        <v>Global warming potential for methane (t CO2-e / t CH4)</v>
      </c>
      <c r="Q303" s="136"/>
      <c r="R303" s="15">
        <f>Common_InputFunctions.Utility_LookupValueInTableNumber("CH4",Table_GWPData[Gas],Table_GWPData[CO2-e factor])</f>
        <v>28</v>
      </c>
    </row>
    <row r="305" spans="4:17" ht="20.100000000000001" customHeight="1" x14ac:dyDescent="0.2">
      <c r="D305" s="88" t="s">
        <v>468</v>
      </c>
      <c r="E305" s="88" cm="1">
        <f t="array" aca="1" ref="E305" ca="1">Common_Equations.Common_ConvertCH4ToCO2e(G302,G303)</f>
        <v>288.80167545028172</v>
      </c>
      <c r="F305" s="93" t="str" cm="1">
        <f t="array" ref="F305">Common_Equations.Common_ConvertN2OToCO2e_Unit()</f>
        <v>t CO2e</v>
      </c>
      <c r="O305" s="88" t="s">
        <v>469</v>
      </c>
      <c r="P305" s="88" cm="1">
        <f t="array" aca="1" ref="P305" ca="1">Common_Equations.Common_ConvertCH4ToCO2e(R302,R303)</f>
        <v>297.9397859949857</v>
      </c>
      <c r="Q305" s="93"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1D646846-6AF1-453C-B8A6-F8044D0C3924}"/>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5F9B-002A-4F95-859C-5B81ACEA9E90}">
  <sheetPr>
    <tabColor rgb="FF008000"/>
  </sheetPr>
  <dimension ref="A1:U292"/>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470</v>
      </c>
    </row>
    <row r="2" spans="1:21" s="3" customFormat="1" ht="20.100000000000001" customHeight="1" x14ac:dyDescent="0.2">
      <c r="A2"/>
    </row>
    <row r="3" spans="1:21" ht="20.100000000000001" customHeight="1" x14ac:dyDescent="0.2">
      <c r="A3" s="5" t="str">
        <f>HYPERLINK("#'Home'!A1", "Home")</f>
        <v>Home</v>
      </c>
      <c r="C3" s="22"/>
      <c r="D3" s="22" t="s">
        <v>129</v>
      </c>
      <c r="E3" s="22"/>
      <c r="F3" s="22"/>
      <c r="G3" s="22"/>
      <c r="H3" s="22"/>
      <c r="I3" s="22"/>
      <c r="J3" s="22"/>
      <c r="K3" s="22"/>
      <c r="M3" s="22"/>
      <c r="N3" s="22" t="s">
        <v>130</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1599</v>
      </c>
    </row>
    <row r="6" spans="1:21" ht="20.100000000000001" customHeight="1" x14ac:dyDescent="0.2">
      <c r="A6" s="5" t="str">
        <f>HYPERLINK("#'Results'!A1", "Results")</f>
        <v>Results</v>
      </c>
      <c r="D6" s="17" t="s">
        <v>1600</v>
      </c>
    </row>
    <row r="7" spans="1:21" ht="20.100000000000001" customHeight="1" x14ac:dyDescent="0.2">
      <c r="D7" s="118"/>
      <c r="E7" s="118"/>
    </row>
    <row r="9" spans="1:21" ht="20.100000000000001" customHeight="1" x14ac:dyDescent="0.2">
      <c r="A9" s="7" t="s">
        <v>0</v>
      </c>
    </row>
    <row r="10" spans="1:21" ht="20.100000000000001" customHeight="1" x14ac:dyDescent="0.2">
      <c r="A10" s="5" t="str">
        <f>HYPERLINK("#'Input - Enterprise'!A1", "Enterprise")</f>
        <v>Enterprise</v>
      </c>
      <c r="D10" s="76" t="s">
        <v>378</v>
      </c>
      <c r="E10" s="1" t="s">
        <v>1601</v>
      </c>
    </row>
    <row r="11" spans="1:21" ht="20.100000000000001" customHeight="1" x14ac:dyDescent="0.2">
      <c r="A11" s="5" t="str">
        <f>HYPERLINK("#'Input - Site'!A1", "Site")</f>
        <v>Site</v>
      </c>
      <c r="D11" s="76" t="s">
        <v>118</v>
      </c>
      <c r="E11" s="9" t="s">
        <v>1602</v>
      </c>
    </row>
    <row r="12" spans="1:21" ht="20.100000000000001" customHeight="1" x14ac:dyDescent="0.2">
      <c r="A12" s="5" t="str">
        <f>HYPERLINK("#'Input - Dairy'!A1", "Dairy")</f>
        <v>Dairy</v>
      </c>
    </row>
    <row r="13" spans="1:21" ht="20.100000000000001" customHeight="1" x14ac:dyDescent="0.2">
      <c r="A13" s="5" t="str">
        <f>HYPERLINK("#'Input - Livestock sales'!A1", "Livestock sales")</f>
        <v>Livestock sales</v>
      </c>
      <c r="D13" s="120" t="s">
        <v>1507</v>
      </c>
      <c r="E13" s="120" t="s">
        <v>1508</v>
      </c>
      <c r="F13" s="120" t="s">
        <v>339</v>
      </c>
      <c r="G13" s="121" t="s">
        <v>1469</v>
      </c>
      <c r="H13" s="127" t="str" cm="1">
        <f t="array" aca="1" ref="H13" ca="1">HYPERLINK(Common_InputFunctions.Utility_SourceHyperlink($D$16),$D$16)</f>
        <v>M1_Table_W_j</v>
      </c>
    </row>
    <row r="14" spans="1:21" ht="20.100000000000001" customHeight="1" x14ac:dyDescent="0.2">
      <c r="A14" s="5" t="str">
        <f>HYPERLINK("#'Input - Dairy cattle purchases'!A1", "Dairy cattle purchases")</f>
        <v>Dairy cattle purchases</v>
      </c>
      <c r="D14" s="120" t="s">
        <v>1603</v>
      </c>
      <c r="E14" s="120" t="s">
        <v>1604</v>
      </c>
      <c r="F14" s="120" t="s">
        <v>339</v>
      </c>
      <c r="G14" s="128" t="s">
        <v>1501</v>
      </c>
      <c r="H14" s="127" t="str" cm="1">
        <f t="array" aca="1" ref="H14" ca="1">HYPERLINK(Common_InputFunctions.Utility_SourceHyperlink($D$21),$D$21)</f>
        <v>Table_WR_j</v>
      </c>
    </row>
    <row r="15" spans="1:21" ht="20.100000000000001" customHeight="1" x14ac:dyDescent="0.2">
      <c r="A15" s="5" t="str">
        <f>HYPERLINK("#'Input - Pasture'!A1", "Pasture")</f>
        <v>Pasture</v>
      </c>
    </row>
    <row r="16" spans="1:21" ht="20.100000000000001" customHeight="1" x14ac:dyDescent="0.2">
      <c r="A16" s="5" t="str">
        <f>HYPERLINK("#'Input - Fert Prod System'!A1", "Fert Prod System")</f>
        <v>Fert Prod System</v>
      </c>
      <c r="D16" s="122" t="s">
        <v>400</v>
      </c>
      <c r="N16" s="122" t="s">
        <v>401</v>
      </c>
    </row>
    <row r="17" spans="1:21" ht="20.100000000000001" customHeight="1" x14ac:dyDescent="0.2">
      <c r="A17" s="5" t="str">
        <f>HYPERLINK("#'Input - Fertiliser'!A1", "Fertiliser")</f>
        <v>Fertiliser</v>
      </c>
      <c r="D17" s="123" t="s">
        <v>402</v>
      </c>
      <c r="N17" s="123" t="s">
        <v>403</v>
      </c>
    </row>
    <row r="18" spans="1:21" ht="20.100000000000001" customHeight="1" x14ac:dyDescent="0.2">
      <c r="A18" s="5" t="str">
        <f>HYPERLINK("#'Input - Fuel'!A1", "Fuel")</f>
        <v>Fuel</v>
      </c>
      <c r="D18" s="81" t="s">
        <v>330</v>
      </c>
      <c r="E18" s="81" t="s">
        <v>331</v>
      </c>
      <c r="F18" s="81" t="s">
        <v>332</v>
      </c>
      <c r="G18" s="81" t="s">
        <v>333</v>
      </c>
      <c r="H18" s="81" t="s">
        <v>334</v>
      </c>
      <c r="N18" s="81" t="s">
        <v>330</v>
      </c>
      <c r="O18" s="81" t="s">
        <v>331</v>
      </c>
      <c r="P18" s="81" t="s">
        <v>332</v>
      </c>
      <c r="Q18" s="81" t="s">
        <v>333</v>
      </c>
      <c r="R18" s="81" t="s">
        <v>334</v>
      </c>
    </row>
    <row r="19" spans="1:21" ht="20.100000000000001" customHeight="1" x14ac:dyDescent="0.2">
      <c r="A19" s="5" t="str">
        <f>HYPERLINK("#'Input - Electricity'!A1", "Electricity")</f>
        <v>Electricity</v>
      </c>
      <c r="D19" s="15">
        <f>INDEX(X_Table_Dairy_Liveweight_Method1,2,2)</f>
        <v>550</v>
      </c>
      <c r="E19" s="15">
        <f>INDEX(X_Table_Dairy_Liveweight_Method1,2,3)</f>
        <v>380</v>
      </c>
      <c r="F19" s="15">
        <f>INDEX(X_Table_Dairy_Liveweight_Method1,2,4)</f>
        <v>155</v>
      </c>
      <c r="G19" s="15">
        <f>INDEX(X_Table_Dairy_Liveweight_Method1,2,5)</f>
        <v>600</v>
      </c>
      <c r="H19" s="15">
        <f>INDEX(X_Table_Dairy_Liveweight_Method1,2,6)</f>
        <v>225</v>
      </c>
      <c r="I19" s="16" t="s">
        <v>339</v>
      </c>
      <c r="N19" s="15">
        <f>INDEX(X_Table_Dairy_Liveweight_Method2,2,2)</f>
        <v>550</v>
      </c>
      <c r="O19" s="15">
        <f>INDEX(X_Table_Dairy_Liveweight_Method2,2,3)</f>
        <v>380</v>
      </c>
      <c r="P19" s="15">
        <f>INDEX(X_Table_Dairy_Liveweight_Method2,2,4)</f>
        <v>155</v>
      </c>
      <c r="Q19" s="15">
        <f>INDEX(X_Table_Dairy_Liveweight_Method2,2,5)</f>
        <v>600</v>
      </c>
      <c r="R19" s="15">
        <f>INDEX(X_Table_Dairy_Liveweight_Method2,2,6)</f>
        <v>225</v>
      </c>
      <c r="S19" s="16" t="s">
        <v>339</v>
      </c>
    </row>
    <row r="20" spans="1:21" ht="20.100000000000001" customHeight="1" x14ac:dyDescent="0.2">
      <c r="A20" s="5" t="str">
        <f>HYPERLINK("#'Input - Common farm inputs'!A1", "Common farm inputs")</f>
        <v>Common farm inputs</v>
      </c>
    </row>
    <row r="21" spans="1:21" ht="20.100000000000001" customHeight="1" x14ac:dyDescent="0.2">
      <c r="A21" s="5" t="str">
        <f>HYPERLINK("#'Input - Crop pasture farm input'!A1", "Crop pasture farm input")</f>
        <v>Crop pasture farm input</v>
      </c>
      <c r="D21" s="122" t="s">
        <v>471</v>
      </c>
    </row>
    <row r="22" spans="1:21" ht="20.100000000000001" customHeight="1" x14ac:dyDescent="0.2">
      <c r="A22" s="5" t="str">
        <f>HYPERLINK("#'Input - Livestock farm Inputs'!A1", "Livestock farm Inputs")</f>
        <v>Livestock farm Inputs</v>
      </c>
      <c r="D22" s="123" t="s">
        <v>472</v>
      </c>
    </row>
    <row r="23" spans="1:21" ht="20.100000000000001" customHeight="1" x14ac:dyDescent="0.2">
      <c r="A23" s="5" t="str">
        <f>HYPERLINK("#'Input - Freight'!A1", "Freight")</f>
        <v>Freight</v>
      </c>
      <c r="D23" s="124" t="s">
        <v>330</v>
      </c>
      <c r="E23" s="124" t="s">
        <v>331</v>
      </c>
      <c r="F23" s="124" t="s">
        <v>332</v>
      </c>
      <c r="G23" s="124" t="s">
        <v>333</v>
      </c>
      <c r="H23" s="124" t="s">
        <v>334</v>
      </c>
    </row>
    <row r="24" spans="1:21" ht="20.100000000000001" customHeight="1" x14ac:dyDescent="0.2">
      <c r="A24" s="5" t="str">
        <f>HYPERLINK("#'Input - Solid waste'!A1", "Solid waste")</f>
        <v>Solid waste</v>
      </c>
      <c r="D24" s="15" cm="1">
        <f t="array" ref="D24">Table_SourceData_Dairy_WRj[Milking cows]</f>
        <v>590</v>
      </c>
      <c r="E24" s="15" cm="1">
        <f t="array" ref="E24">Table_SourceData_Dairy_WRj[Heifers &gt; 1]</f>
        <v>590</v>
      </c>
      <c r="F24" s="15" cm="1">
        <f t="array" ref="F24">Table_SourceData_Dairy_WRj[Heifers &lt; 1 (weaned)]</f>
        <v>590</v>
      </c>
      <c r="G24" s="15" cm="1">
        <f t="array" ref="G24">Table_SourceData_Dairy_WRj[Bulls &gt; 1]</f>
        <v>770</v>
      </c>
      <c r="H24" s="15" cm="1">
        <f t="array" ref="H24">Table_SourceData_Dairy_WRj[Bulls &lt; 1 (weaned)]</f>
        <v>770</v>
      </c>
      <c r="I24" s="16" t="s">
        <v>339</v>
      </c>
    </row>
    <row r="25" spans="1:21" ht="20.100000000000001" customHeight="1" x14ac:dyDescent="0.2">
      <c r="A25" s="5" t="str">
        <f>HYPERLINK("#'Input - Manure sent off-site'!A1", "Manure sent off-site")</f>
        <v>Manure sent off-site</v>
      </c>
    </row>
    <row r="26" spans="1:21" ht="20.100000000000001" customHeight="1" x14ac:dyDescent="0.2">
      <c r="A26" s="5" t="str">
        <f>HYPERLINK("#'Input - Refrigerants'!A1", "Refrigerants")</f>
        <v>Refrigerants</v>
      </c>
      <c r="D26" s="122" t="s">
        <v>473</v>
      </c>
      <c r="N26" s="122" t="s">
        <v>473</v>
      </c>
    </row>
    <row r="27" spans="1:21" ht="20.100000000000001" customHeight="1" x14ac:dyDescent="0.2">
      <c r="A27" s="5" t="str">
        <f>HYPERLINK("#'Input - Data quality'!A1", "Data quality")</f>
        <v>Data quality</v>
      </c>
      <c r="D27" s="123" t="s">
        <v>474</v>
      </c>
      <c r="N27" s="123" t="s">
        <v>475</v>
      </c>
    </row>
    <row r="28" spans="1:21" ht="20.100000000000001" customHeight="1" x14ac:dyDescent="0.2">
      <c r="D28" s="124" t="s">
        <v>330</v>
      </c>
      <c r="E28" s="124" t="s">
        <v>331</v>
      </c>
      <c r="F28" s="124" t="s">
        <v>332</v>
      </c>
      <c r="G28" s="124" t="s">
        <v>333</v>
      </c>
      <c r="H28" s="124" t="s">
        <v>334</v>
      </c>
      <c r="N28" s="124" t="s">
        <v>330</v>
      </c>
      <c r="O28" s="124" t="s">
        <v>331</v>
      </c>
      <c r="P28" s="124" t="s">
        <v>332</v>
      </c>
      <c r="Q28" s="124" t="s">
        <v>333</v>
      </c>
      <c r="R28" s="124" t="s">
        <v>334</v>
      </c>
    </row>
    <row r="29" spans="1:21" ht="20.100000000000001" customHeight="1" x14ac:dyDescent="0.2">
      <c r="D29" s="15">
        <f>(D19 / D24)</f>
        <v>0.93220338983050843</v>
      </c>
      <c r="E29" s="15">
        <f>(E19 / E24)</f>
        <v>0.64406779661016944</v>
      </c>
      <c r="F29" s="15">
        <f>(F19 / F24)</f>
        <v>0.26271186440677968</v>
      </c>
      <c r="G29" s="15">
        <f>(G19 / G24)</f>
        <v>0.77922077922077926</v>
      </c>
      <c r="H29" s="15">
        <f>(H19 / H24)</f>
        <v>0.29220779220779219</v>
      </c>
      <c r="I29" s="16" t="str">
        <f>$E$11</f>
        <v>ratio</v>
      </c>
      <c r="N29" s="15">
        <f>(N19 / D24)</f>
        <v>0.93220338983050843</v>
      </c>
      <c r="O29" s="15">
        <f>(O19 / E24)</f>
        <v>0.64406779661016944</v>
      </c>
      <c r="P29" s="15">
        <f>(P19 / F24)</f>
        <v>0.26271186440677968</v>
      </c>
      <c r="Q29" s="15">
        <f>(Q19 / G24)</f>
        <v>0.77922077922077926</v>
      </c>
      <c r="R29" s="15">
        <f>(R19 / H24)</f>
        <v>0.29220779220779219</v>
      </c>
      <c r="S29" s="16" t="str">
        <f>$E$11</f>
        <v>ratio</v>
      </c>
    </row>
    <row r="30" spans="1:21" ht="20.100000000000001" customHeight="1" x14ac:dyDescent="0.2">
      <c r="A30" s="6" t="s">
        <v>2</v>
      </c>
    </row>
    <row r="31" spans="1:21" ht="20.100000000000001" customHeight="1" x14ac:dyDescent="0.2">
      <c r="A31" s="5" t="str">
        <f>HYPERLINK("#'3.3.1.1-2 Enteric Methane'!A1", "3.3.1.1-2 Enteric methane")</f>
        <v>3.3.1.1-2 Enteric methane</v>
      </c>
    </row>
    <row r="32" spans="1:21" ht="20.100000000000001" customHeight="1" x14ac:dyDescent="0.2">
      <c r="A32" s="5" t="str">
        <f>HYPERLINK("#'4.3.1.1-2 Methane'!A1", "4.3.1.1-2 Manure methane")</f>
        <v>4.3.1.1-2 Manure methane</v>
      </c>
      <c r="C32" s="88"/>
      <c r="D32" s="88"/>
      <c r="E32" s="88"/>
      <c r="F32" s="88"/>
      <c r="G32" s="88"/>
      <c r="H32" s="88"/>
      <c r="I32" s="88"/>
      <c r="J32" s="88"/>
      <c r="K32" s="88"/>
      <c r="M32" s="88"/>
      <c r="N32" s="88"/>
      <c r="O32" s="88"/>
      <c r="P32" s="88"/>
      <c r="Q32" s="88"/>
      <c r="R32" s="88"/>
      <c r="S32" s="88"/>
      <c r="T32" s="88"/>
      <c r="U32" s="88"/>
    </row>
    <row r="33" spans="1:14" ht="20.100000000000001" customHeight="1" x14ac:dyDescent="0.2">
      <c r="A33" s="119" t="str">
        <f>HYPERLINK("#'4.3.1.3-4 Direct N20'!A1", "4.3.1.3-4 Direct N20")</f>
        <v>4.3.1.3-4 Direct N20</v>
      </c>
      <c r="D33" s="2" t="s">
        <v>1605</v>
      </c>
    </row>
    <row r="34" spans="1:14" ht="20.100000000000001" customHeight="1" x14ac:dyDescent="0.2">
      <c r="A34" s="5" t="str">
        <f>HYPERLINK("#'4.3.1.5 Atmos deposition'!A1", "4.3.1.5 Atmos deposition")</f>
        <v>4.3.1.5 Atmos deposition</v>
      </c>
      <c r="D34" s="17" t="s">
        <v>1606</v>
      </c>
    </row>
    <row r="35" spans="1:14" ht="20.100000000000001" customHeight="1" x14ac:dyDescent="0.2">
      <c r="A35" s="5" t="str">
        <f>HYPERLINK("#'4.3.1.6-7 Leaching and runoff'!A1", "4.3.1.6-7 Leaching &amp; runoff")</f>
        <v>4.3.1.6-7 Leaching &amp; runoff</v>
      </c>
      <c r="D35" s="118"/>
      <c r="E35" s="118"/>
    </row>
    <row r="36" spans="1:14" ht="20.100000000000001" customHeight="1" x14ac:dyDescent="0.2">
      <c r="A36" s="5" t="str">
        <f>HYPERLINK("#'4.3.1.8 Manure applied to soils'!A1", "4.3.1.8 Manure applied to soils")</f>
        <v>4.3.1.8 Manure applied to soils</v>
      </c>
    </row>
    <row r="37" spans="1:14" ht="20.100000000000001" customHeight="1" x14ac:dyDescent="0.2">
      <c r="A37" s="5" t="str">
        <f>HYPERLINK("#'4.3.1.9 Soil direct N2O'!A1", "4.3.1.9 Soil direct N2O")</f>
        <v>4.3.1.9 Soil direct N2O</v>
      </c>
      <c r="D37" s="2"/>
      <c r="F37" s="2"/>
    </row>
    <row r="38" spans="1:14" ht="20.100000000000001" customHeight="1" x14ac:dyDescent="0.2">
      <c r="A38" s="5" t="str">
        <f>HYPERLINK("#'4.3.1.10-11 Soil Atmos Dep'!A1", "4.3.1.10-11 Soil Atmos Deposition")</f>
        <v>4.3.1.10-11 Soil Atmos Deposition</v>
      </c>
    </row>
    <row r="39" spans="1:14" ht="20.100000000000001" customHeight="1" x14ac:dyDescent="0.2">
      <c r="A39" s="5" t="str">
        <f>HYPERLINK("#'4.3.1.12-13 Soil leach runoff'!A1", "4.3.1.12-13 Soil leach &amp; runoff")</f>
        <v>4.3.1.12-13 Soil leach &amp; runoff</v>
      </c>
      <c r="D39" s="76" t="s">
        <v>378</v>
      </c>
      <c r="E39" s="1" t="s">
        <v>1607</v>
      </c>
    </row>
    <row r="40" spans="1:14" ht="20.100000000000001" customHeight="1" x14ac:dyDescent="0.2">
      <c r="A40" s="5" t="str">
        <f>HYPERLINK("#'5.1.1.1-2 Inorganic fert N2O'!A1", "5.1.1.1-2 Inorganic fert N2O")</f>
        <v>5.1.1.1-2 Inorganic fert N2O</v>
      </c>
      <c r="D40" s="76" t="s">
        <v>118</v>
      </c>
      <c r="E40" s="9" t="s">
        <v>1602</v>
      </c>
    </row>
    <row r="41" spans="1:14" ht="20.100000000000001" customHeight="1" x14ac:dyDescent="0.2">
      <c r="A41" s="5" t="str">
        <f>HYPERLINK("#'5.1.1.3-4 Inorganic fert CO2'!A1", "5.1.1.3-4 Inorganic fert CO2")</f>
        <v>5.1.1.3-4 Inorganic fert CO2</v>
      </c>
    </row>
    <row r="42" spans="1:14" ht="20.100000000000001" customHeight="1" x14ac:dyDescent="0.2">
      <c r="A42" s="5" t="str">
        <f>HYPERLINK("#'5.2.1.1-2 Organic Fert N2O'!A1", "5.2.1.1-2 Organic fert N2O")</f>
        <v>5.2.1.1-2 Organic fert N2O</v>
      </c>
      <c r="D42" s="120" t="s">
        <v>1506</v>
      </c>
      <c r="E42" s="125" t="s">
        <v>1608</v>
      </c>
      <c r="F42" s="126"/>
      <c r="G42" s="120" t="s">
        <v>1548</v>
      </c>
      <c r="H42" s="128" t="s">
        <v>1549</v>
      </c>
      <c r="I42" s="127" t="str" cm="1">
        <f t="array" aca="1" ref="I42" ca="1">HYPERLINK(Common_InputFunctions.Utility_SourceHyperlink($D$47),$D$47)</f>
        <v>M1_Table_I_j</v>
      </c>
    </row>
    <row r="43" spans="1:14" ht="20.100000000000001" customHeight="1" x14ac:dyDescent="0.2">
      <c r="A43" s="5" t="str">
        <f>HYPERLINK("#'5.3.1.1-2 Lime CO2'!A1", "5.3.1.1-2 Lime CO2")</f>
        <v>5.3.1.1-2 Lime CO2</v>
      </c>
      <c r="D43" s="120" t="s">
        <v>1507</v>
      </c>
      <c r="E43" s="125" t="s">
        <v>1508</v>
      </c>
      <c r="F43" s="126"/>
      <c r="G43" s="120" t="s">
        <v>339</v>
      </c>
      <c r="H43" s="121" t="s">
        <v>1469</v>
      </c>
      <c r="I43" s="127" t="str" cm="1">
        <f t="array" aca="1" ref="I43" ca="1">HYPERLINK(Common_InputFunctions.Utility_SourceHyperlink($D$16),$D$16)</f>
        <v>M1_Table_W_j</v>
      </c>
    </row>
    <row r="44" spans="1:14" ht="20.100000000000001" customHeight="1" x14ac:dyDescent="0.2">
      <c r="A44" s="5" t="str">
        <f>HYPERLINK("#'5.4.1.1-4 Atmos deposition'!A1", "5.4.1.1-4 Atmos. deposition")</f>
        <v>5.4.1.1-4 Atmos. deposition</v>
      </c>
      <c r="D44" s="120" t="s">
        <v>1511</v>
      </c>
      <c r="E44" s="125" t="s">
        <v>1512</v>
      </c>
      <c r="F44" s="126"/>
      <c r="G44" s="120"/>
      <c r="H44" s="128" t="s">
        <v>1501</v>
      </c>
      <c r="I44" s="127" t="str" cm="1">
        <f t="array" aca="1" ref="I44" ca="1">HYPERLINK(Common_InputFunctions.Utility_SourceHyperlink($D$52),$D$52)</f>
        <v>Table_MR_j</v>
      </c>
    </row>
    <row r="45" spans="1:14" ht="20.100000000000001" customHeight="1" x14ac:dyDescent="0.2">
      <c r="A45" s="5" t="str">
        <f>HYPERLINK("#'5.5.1.1-2 Leaching and runoff'!A1", "5.5.1.1-2 Leaching &amp; runoff")</f>
        <v>5.5.1.1-2 Leaching &amp; runoff</v>
      </c>
      <c r="D45" s="120" t="s">
        <v>1488</v>
      </c>
      <c r="E45" s="125" t="s">
        <v>1513</v>
      </c>
      <c r="F45" s="126"/>
      <c r="G45" s="120" t="s">
        <v>1548</v>
      </c>
      <c r="H45" s="128" t="s">
        <v>1514</v>
      </c>
      <c r="I45" s="127" t="str" cm="1">
        <f t="array" aca="1" ref="I45" ca="1">HYPERLINK(Common_InputFunctions.Utility_SourceHyperlink($D$57),$D$57)</f>
        <v>M1_Table_MI_j</v>
      </c>
    </row>
    <row r="46" spans="1:14" ht="20.100000000000001" customHeight="1" x14ac:dyDescent="0.2">
      <c r="A46" s="5" t="str">
        <f>HYPERLINK("#'6.2.1.1-2 Pasture residue N2O'!A1", "6.2.1.1-2 Pasture residue N2O")</f>
        <v>6.2.1.1-2 Pasture residue N2O</v>
      </c>
    </row>
    <row r="47" spans="1:14" ht="20.100000000000001" customHeight="1" x14ac:dyDescent="0.2">
      <c r="A47" s="5" t="str">
        <f>HYPERLINK("#'6.3.1.1-2 Leach runoff pasture'!A1", "6.3.1.1-2 Leach &amp; runoff (pasture)")</f>
        <v>6.3.1.1-2 Leach &amp; runoff (pasture)</v>
      </c>
      <c r="D47" s="122" t="s">
        <v>410</v>
      </c>
      <c r="N47" s="122" t="s">
        <v>411</v>
      </c>
    </row>
    <row r="48" spans="1:14" ht="20.100000000000001" customHeight="1" x14ac:dyDescent="0.2">
      <c r="A48" s="5" t="str">
        <f>HYPERLINK("#'8.1.1.1-2 Transport fuel'!A1", "8.1.1.1-2 Transport fuel")</f>
        <v>8.1.1.1-2 Transport fuel</v>
      </c>
      <c r="D48" s="123" t="s">
        <v>412</v>
      </c>
      <c r="N48" s="123" t="s">
        <v>413</v>
      </c>
    </row>
    <row r="49" spans="1:19" ht="20.100000000000001" customHeight="1" x14ac:dyDescent="0.2">
      <c r="A49" s="5" t="str">
        <f>HYPERLINK("#'8.2.1.1-2 Stationary fuel'!A1", "8.2.1.1-2 Stationary fuel")</f>
        <v>8.2.1.1-2 Stationary fuel</v>
      </c>
      <c r="D49" s="124" t="s">
        <v>330</v>
      </c>
      <c r="E49" s="124" t="s">
        <v>331</v>
      </c>
      <c r="F49" s="124" t="s">
        <v>332</v>
      </c>
      <c r="G49" s="124" t="s">
        <v>333</v>
      </c>
      <c r="H49" s="124" t="s">
        <v>334</v>
      </c>
      <c r="N49" s="124" t="s">
        <v>330</v>
      </c>
      <c r="O49" s="124" t="s">
        <v>331</v>
      </c>
      <c r="P49" s="124" t="s">
        <v>332</v>
      </c>
      <c r="Q49" s="124" t="s">
        <v>333</v>
      </c>
      <c r="R49" s="124" t="s">
        <v>334</v>
      </c>
    </row>
    <row r="50" spans="1:19" ht="20.100000000000001" customHeight="1" x14ac:dyDescent="0.2">
      <c r="A50" s="5" t="str">
        <f>HYPERLINK("#'9.1.1.1-2 Refrigerant use'!A1", "9.1.1.1-2 Refrigerant use")</f>
        <v>9.1.1.1-2 Refrigerant use</v>
      </c>
      <c r="D50" s="15">
        <f>INDEX(M1_Table_I_j,2,1)</f>
        <v>18.834317684367193</v>
      </c>
      <c r="E50" s="15">
        <f>INDEX(M1_Table_I_j,2,2)</f>
        <v>7.4188685375999972</v>
      </c>
      <c r="F50" s="15">
        <f>INDEX(M1_Table_I_j,2,3)</f>
        <v>4.0231734662249998</v>
      </c>
      <c r="G50" s="15">
        <f>INDEX(M1_Table_I_j,2,4)</f>
        <v>9.0270202499999979</v>
      </c>
      <c r="H50" s="15">
        <f>INDEX(M1_Table_I_j,2,5)</f>
        <v>5.4143472656250013</v>
      </c>
      <c r="I50" s="16" t="str">
        <f>G42</f>
        <v>kgDM/head/day</v>
      </c>
      <c r="N50" s="15">
        <f>INDEX(M2_Table_I_j,2,1)</f>
        <v>18.834317684367193</v>
      </c>
      <c r="O50" s="15">
        <f>INDEX(M2_Table_I_j,2,2)</f>
        <v>7.4188685375999972</v>
      </c>
      <c r="P50" s="15">
        <f>INDEX(M2_Table_I_j,2,3)</f>
        <v>4.0231734662249998</v>
      </c>
      <c r="Q50" s="15">
        <f>INDEX(M2_Table_I_j,2,4)</f>
        <v>9.0270202499999979</v>
      </c>
      <c r="R50" s="15">
        <f>INDEX(M2_Table_I_j,2,5)</f>
        <v>5.4143472656250013</v>
      </c>
      <c r="S50" s="16" t="str">
        <f>'4.3.1.1-2 Methane'!T114</f>
        <v>kg DM/head/day</v>
      </c>
    </row>
    <row r="51" spans="1:19" ht="20.100000000000001" customHeight="1" x14ac:dyDescent="0.2">
      <c r="A51" s="5" t="str">
        <f>HYPERLINK("#'10.1.1-2 Solid waste treatment'!A1", "10.1.1.1-2 Solid waste")</f>
        <v>10.1.1.1-2 Solid waste</v>
      </c>
    </row>
    <row r="52" spans="1:19" ht="20.100000000000001" customHeight="1" x14ac:dyDescent="0.2">
      <c r="A52" s="5" t="str">
        <f>HYPERLINK("#'14.1.1-2 Purchased electricity'!A1", "14.1.1-2 Purchased electricity")</f>
        <v>14.1.1-2 Purchased electricity</v>
      </c>
      <c r="D52" s="122" t="s">
        <v>408</v>
      </c>
    </row>
    <row r="53" spans="1:19" ht="20.100000000000001" customHeight="1" x14ac:dyDescent="0.2">
      <c r="A53" s="5" t="str">
        <f>HYPERLINK("#'15 Scope 3'!A1", "15 Scope 3")</f>
        <v>15 Scope 3</v>
      </c>
      <c r="D53" s="123" t="s">
        <v>409</v>
      </c>
    </row>
    <row r="54" spans="1:19" ht="20.100000000000001" customHeight="1" x14ac:dyDescent="0.2">
      <c r="A54" s="5" t="str">
        <f>HYPERLINK("#'Calcs - Manure sent off-site'!A1", "Calcs - Manure sent off-site")</f>
        <v>Calcs - Manure sent off-site</v>
      </c>
      <c r="D54" s="124" t="s">
        <v>330</v>
      </c>
      <c r="E54" s="124" t="s">
        <v>331</v>
      </c>
      <c r="F54" s="124" t="s">
        <v>332</v>
      </c>
      <c r="G54" s="124" t="s">
        <v>333</v>
      </c>
      <c r="H54" s="124" t="s">
        <v>334</v>
      </c>
    </row>
    <row r="55" spans="1:19" ht="20.100000000000001" customHeight="1" x14ac:dyDescent="0.2">
      <c r="D55" s="15">
        <f>'Constants - Dairy'!$E$108</f>
        <v>1.1000000000000001</v>
      </c>
      <c r="E55" s="15">
        <f>'Constants - Dairy'!$E$109</f>
        <v>1</v>
      </c>
      <c r="F55" s="15">
        <f>'Constants - Dairy'!$E$109</f>
        <v>1</v>
      </c>
      <c r="G55" s="15">
        <f>'Constants - Dairy'!$E$109</f>
        <v>1</v>
      </c>
      <c r="H55" s="15">
        <f>'Constants - Dairy'!$E$109</f>
        <v>1</v>
      </c>
      <c r="I55" s="16">
        <f>G44</f>
        <v>0</v>
      </c>
    </row>
    <row r="57" spans="1:19" ht="20.100000000000001" customHeight="1" x14ac:dyDescent="0.2">
      <c r="A57" s="82" t="s">
        <v>1</v>
      </c>
      <c r="D57" s="122" t="s">
        <v>396</v>
      </c>
    </row>
    <row r="58" spans="1:19" ht="20.100000000000001" customHeight="1" x14ac:dyDescent="0.2">
      <c r="A58" s="5" t="str">
        <f>HYPERLINK("#'Constants - Dairy'!A1", "Constants - Dairy")</f>
        <v>Constants - Dairy</v>
      </c>
      <c r="D58" s="123" t="s">
        <v>398</v>
      </c>
    </row>
    <row r="59" spans="1:19" ht="20.100000000000001" customHeight="1" x14ac:dyDescent="0.2">
      <c r="A59" s="5" t="str">
        <f>HYPERLINK("#'Constants - Ag Residue'!A1", "Constants - Ag residue")</f>
        <v>Constants - Ag residue</v>
      </c>
      <c r="D59" s="124" t="s">
        <v>330</v>
      </c>
      <c r="E59" s="124" t="s">
        <v>331</v>
      </c>
      <c r="F59" s="124" t="s">
        <v>332</v>
      </c>
      <c r="G59" s="124" t="s">
        <v>333</v>
      </c>
      <c r="H59" s="124" t="s">
        <v>334</v>
      </c>
    </row>
    <row r="60" spans="1:19" ht="20.100000000000001" customHeight="1" x14ac:dyDescent="0.2">
      <c r="A60" s="5" t="str">
        <f>HYPERLINK("#'Constants - Common Livestock'!A1", "Constants - Common Livestock")</f>
        <v>Constants - Common Livestock</v>
      </c>
      <c r="D60" s="15">
        <f>INDEX(M1_Table_MI_j,2,1)</f>
        <v>9.5798721636071917</v>
      </c>
      <c r="E60" s="15">
        <f>INDEX(M1_Table_MI_j,2,2)</f>
        <v>0</v>
      </c>
      <c r="F60" s="15">
        <f>INDEX(M1_Table_MI_j,2,3)</f>
        <v>0</v>
      </c>
      <c r="G60" s="15">
        <f>INDEX(M1_Table_MI_j,2,4)</f>
        <v>0</v>
      </c>
      <c r="H60" s="15">
        <f>INDEX(M1_Table_MI_j,2,5)</f>
        <v>0</v>
      </c>
      <c r="I60" s="16" t="str">
        <f>'4.3.1.1-2 Methane'!I79</f>
        <v>kg DM/head/day</v>
      </c>
    </row>
    <row r="61" spans="1:19" ht="20.100000000000001" customHeight="1" x14ac:dyDescent="0.2">
      <c r="A61" s="5" t="str">
        <f>HYPERLINK("#'Constants - Electricity'!A1", "Constants - Electricity")</f>
        <v>Constants - Electricity</v>
      </c>
    </row>
    <row r="62" spans="1:19" ht="20.100000000000001" customHeight="1" x14ac:dyDescent="0.2">
      <c r="A62" s="5" t="str">
        <f>HYPERLINK("#'Constants - Fertiliser'!A1", "Constants - Fertiliser")</f>
        <v>Constants - Fertiliser</v>
      </c>
      <c r="D62" s="122" t="s">
        <v>476</v>
      </c>
      <c r="N62" s="122" t="s">
        <v>477</v>
      </c>
    </row>
    <row r="63" spans="1:19" ht="20.100000000000001" customHeight="1" x14ac:dyDescent="0.2">
      <c r="A63" s="5" t="str">
        <f>HYPERLINK("#'Constants - Fuel'!A1", "Constants - Fuel")</f>
        <v>Constants - Fuel</v>
      </c>
      <c r="D63" s="123" t="s">
        <v>478</v>
      </c>
      <c r="N63" s="123" t="s">
        <v>479</v>
      </c>
    </row>
    <row r="64" spans="1:19" ht="20.100000000000001" customHeight="1" x14ac:dyDescent="0.2">
      <c r="A64" s="5" t="str">
        <f>HYPERLINK("#'Constants - Scope 3'!A1", "Constants - Scope 3")</f>
        <v>Constants - Scope 3</v>
      </c>
      <c r="D64" s="124" t="s">
        <v>330</v>
      </c>
      <c r="E64" s="124" t="s">
        <v>331</v>
      </c>
      <c r="F64" s="124" t="s">
        <v>332</v>
      </c>
      <c r="G64" s="124" t="s">
        <v>333</v>
      </c>
      <c r="H64" s="124" t="s">
        <v>334</v>
      </c>
      <c r="N64" s="124" t="s">
        <v>330</v>
      </c>
      <c r="O64" s="124" t="s">
        <v>331</v>
      </c>
      <c r="P64" s="124" t="s">
        <v>332</v>
      </c>
      <c r="Q64" s="124" t="s">
        <v>333</v>
      </c>
      <c r="R64" s="124" t="s">
        <v>334</v>
      </c>
    </row>
    <row r="65" spans="1:21" ht="20.100000000000001" customHeight="1" x14ac:dyDescent="0.2">
      <c r="A65" s="5" t="str">
        <f>HYPERLINK("#'Constants - Common'!A1", "Constants - Common")</f>
        <v>Constants - Common</v>
      </c>
      <c r="D65" s="15">
        <f>(D50 / (((1.185 + 0.00454 * D19 - 0.0000026 * D19 ^ 2) ^ 2 * D55) + D60))</f>
        <v>1.0017090166233036</v>
      </c>
      <c r="E65" s="15">
        <f>(E50 / (((1.185 + 0.00454 * E19 - 0.0000026 * E19 ^ 2) ^ 2 * E55) + E60))</f>
        <v>1.1546862260954116</v>
      </c>
      <c r="F65" s="15">
        <f>(F50 / (((1.185 + 0.00454 * F19 - 0.0000026 * F19 ^ 2) ^ 2 * F55) + F60))</f>
        <v>1.206300296845944</v>
      </c>
      <c r="G65" s="15">
        <f>(G50 / (((1.185 + 0.00454 * G19 - 0.0000026 * G19 ^ 2) ^ 2 * G55) + G60))</f>
        <v>1.0213029780639273</v>
      </c>
      <c r="H65" s="15">
        <f>(H50 / (((1.185 + 0.00454 * H19 - 0.0000026 * H19 ^ 2) ^ 2 * H55) + H60))</f>
        <v>1.2576570545672616</v>
      </c>
      <c r="I65" s="16" t="str">
        <f>$E$40</f>
        <v>ratio</v>
      </c>
      <c r="N65" s="15">
        <f>(N50 / (((1.185 + 0.00454 * N19 - 0.0000026 * N19 ^ 2) ^ 2 * D55) + D60))</f>
        <v>1.0017090166233036</v>
      </c>
      <c r="O65" s="15">
        <f>(O50 / (((1.185 + 0.00454 * O19 - 0.0000026 * O19 ^ 2) ^ 2 * E55) + E60))</f>
        <v>1.1546862260954116</v>
      </c>
      <c r="P65" s="15">
        <f>(P50 / (((1.185 + 0.00454 * P19 - 0.0000026 * P19 ^ 2) ^ 2 * F55) + F60))</f>
        <v>1.206300296845944</v>
      </c>
      <c r="Q65" s="15">
        <f>(Q50 / (((1.185 + 0.00454 * Q19 - 0.0000026 * Q19 ^ 2) ^ 2 * G55) + G60))</f>
        <v>1.0213029780639273</v>
      </c>
      <c r="R65" s="15">
        <f>(R50 / (((1.185 + 0.00454 * R19 - 0.0000026 * R19 ^ 2) ^ 2 * H55) + H60))</f>
        <v>1.2576570545672616</v>
      </c>
      <c r="S65" s="16" t="str">
        <f>$E$40</f>
        <v>ratio</v>
      </c>
    </row>
    <row r="66" spans="1:21" ht="20.100000000000001" customHeight="1" x14ac:dyDescent="0.2">
      <c r="A66" s="5" t="str">
        <f>HYPERLINK("#'Constants - Refrigerants'!A1", "Constants - Refrigerants")</f>
        <v>Constants - Refrigerants</v>
      </c>
    </row>
    <row r="67" spans="1:21" ht="20.100000000000001" customHeight="1" x14ac:dyDescent="0.2">
      <c r="A67" s="5" t="str">
        <f>HYPERLINK("#'Constants - Solid Waste'!A1", "Constants - Solid Waste")</f>
        <v>Constants - Solid Waste</v>
      </c>
    </row>
    <row r="68" spans="1:21" ht="20.100000000000001" customHeight="1" x14ac:dyDescent="0.2">
      <c r="A68" s="5" t="str">
        <f>HYPERLINK("#'Acknowledgements'!A1", "Acknowledgements")</f>
        <v>Acknowledgements</v>
      </c>
      <c r="C68" s="88"/>
      <c r="D68" s="88"/>
      <c r="E68" s="88"/>
      <c r="F68" s="88"/>
      <c r="G68" s="88"/>
      <c r="H68" s="88"/>
      <c r="I68" s="88"/>
      <c r="J68" s="88"/>
      <c r="K68" s="88"/>
      <c r="M68" s="88"/>
      <c r="N68" s="88"/>
      <c r="O68" s="88"/>
      <c r="P68" s="88"/>
      <c r="Q68" s="88"/>
      <c r="R68" s="88"/>
      <c r="S68" s="88"/>
      <c r="T68" s="88"/>
      <c r="U68" s="88"/>
    </row>
    <row r="69" spans="1:21" ht="20.100000000000001" customHeight="1" x14ac:dyDescent="0.2">
      <c r="D69" s="2" t="s">
        <v>1609</v>
      </c>
    </row>
    <row r="70" spans="1:21" ht="20.100000000000001" customHeight="1" x14ac:dyDescent="0.2">
      <c r="D70" s="17" t="s">
        <v>1610</v>
      </c>
    </row>
    <row r="71" spans="1:21" ht="20.100000000000001" customHeight="1" x14ac:dyDescent="0.2">
      <c r="D71" s="25" t="s">
        <v>1611</v>
      </c>
    </row>
    <row r="72" spans="1:21" ht="20.100000000000001" customHeight="1" x14ac:dyDescent="0.2">
      <c r="D72" s="118"/>
      <c r="E72" s="118"/>
    </row>
    <row r="75" spans="1:21" ht="20.100000000000001" customHeight="1" x14ac:dyDescent="0.2">
      <c r="D75" s="76" t="s">
        <v>378</v>
      </c>
      <c r="E75" s="1" t="s">
        <v>1612</v>
      </c>
    </row>
    <row r="76" spans="1:21" ht="20.100000000000001" customHeight="1" x14ac:dyDescent="0.2">
      <c r="D76" s="76" t="s">
        <v>118</v>
      </c>
      <c r="E76" s="9" t="s">
        <v>1613</v>
      </c>
    </row>
    <row r="78" spans="1:21" ht="20.100000000000001" customHeight="1" x14ac:dyDescent="0.2">
      <c r="D78" s="120" t="s">
        <v>1474</v>
      </c>
      <c r="E78" s="125" t="s">
        <v>1475</v>
      </c>
      <c r="F78" s="126"/>
      <c r="G78" s="120"/>
      <c r="H78" s="121" t="s">
        <v>1469</v>
      </c>
      <c r="I78" s="120" t="str">
        <f>X_Cell_Dairy_MilkProductionUnit</f>
        <v>Litres of milk</v>
      </c>
    </row>
    <row r="79" spans="1:21" ht="20.100000000000001" customHeight="1" x14ac:dyDescent="0.2">
      <c r="A79" s="129" t="str">
        <f>HYPERLINK("#A1", "▲ Back to top")</f>
        <v>▲ Back to top</v>
      </c>
      <c r="D79" s="120" t="s">
        <v>1473</v>
      </c>
      <c r="E79" s="125" t="s">
        <v>1490</v>
      </c>
      <c r="F79" s="126"/>
      <c r="G79" s="120" t="s">
        <v>394</v>
      </c>
      <c r="H79" s="121" t="s">
        <v>1469</v>
      </c>
      <c r="I79" s="127" t="str" cm="1">
        <f t="array" aca="1" ref="I79" ca="1">HYPERLINK(Common_InputFunctions.Utility_SourceHyperlink($D$90),$D$90)</f>
        <v>Table_MP_j</v>
      </c>
    </row>
    <row r="80" spans="1:21" ht="20.100000000000001" customHeight="1" x14ac:dyDescent="0.2">
      <c r="D80" s="120" t="s">
        <v>1473</v>
      </c>
      <c r="E80" s="125" t="s">
        <v>1491</v>
      </c>
      <c r="F80" s="126"/>
      <c r="G80" s="120" t="s">
        <v>394</v>
      </c>
      <c r="H80" s="128" t="s">
        <v>1499</v>
      </c>
      <c r="I80" s="127" t="str" cm="1">
        <f t="array" aca="1" ref="I80" ca="1">HYPERLINK(Common_InputFunctions.Utility_SourceHyperlink($D$85),$D$85)</f>
        <v>M1_Table_MP_j_from_solids</v>
      </c>
    </row>
    <row r="81" spans="4:19" ht="20.100000000000001" customHeight="1" x14ac:dyDescent="0.2">
      <c r="D81" s="120" t="s">
        <v>1607</v>
      </c>
      <c r="E81" s="125" t="s">
        <v>1614</v>
      </c>
      <c r="F81" s="126"/>
      <c r="G81" s="120"/>
      <c r="H81" s="128" t="s">
        <v>1616</v>
      </c>
      <c r="I81" s="127" t="str" cm="1">
        <f t="array" aca="1" ref="I81" ca="1">HYPERLINK(Common_InputFunctions.Utility_SourceHyperlink($D$62),$D$62)</f>
        <v>M1_Table_L_j</v>
      </c>
    </row>
    <row r="82" spans="4:19" ht="20.100000000000001" customHeight="1" x14ac:dyDescent="0.2">
      <c r="D82" s="120" t="s">
        <v>1601</v>
      </c>
      <c r="E82" s="125" t="s">
        <v>1615</v>
      </c>
      <c r="F82" s="126"/>
      <c r="G82" s="120"/>
      <c r="H82" s="128" t="s">
        <v>1617</v>
      </c>
      <c r="I82" s="127" t="str" cm="1">
        <f t="array" aca="1" ref="I82" ca="1">HYPERLINK(Common_InputFunctions.Utility_SourceHyperlink($D$26),$D$26)</f>
        <v>M1_Table_Z_j</v>
      </c>
    </row>
    <row r="83" spans="4:19" ht="20.100000000000001" customHeight="1" x14ac:dyDescent="0.2">
      <c r="D83" s="120" t="s">
        <v>1509</v>
      </c>
      <c r="E83" s="125" t="s">
        <v>1510</v>
      </c>
      <c r="F83" s="126"/>
      <c r="G83" s="120" t="s">
        <v>341</v>
      </c>
      <c r="H83" s="121" t="s">
        <v>1469</v>
      </c>
      <c r="I83" s="127" t="str" cm="1">
        <f t="array" aca="1" ref="I83" ca="1">HYPERLINK(Common_InputFunctions.Utility_SourceHyperlink($D$95),$D$95)</f>
        <v>M1_Table_LWG_j</v>
      </c>
    </row>
    <row r="85" spans="4:19" ht="20.100000000000001" customHeight="1" x14ac:dyDescent="0.2">
      <c r="D85" s="122" t="s">
        <v>390</v>
      </c>
      <c r="N85" s="122" t="s">
        <v>391</v>
      </c>
    </row>
    <row r="86" spans="4:19" ht="20.100000000000001" customHeight="1" x14ac:dyDescent="0.2">
      <c r="D86" s="123" t="s">
        <v>392</v>
      </c>
      <c r="N86" s="123" t="s">
        <v>393</v>
      </c>
    </row>
    <row r="87" spans="4:19" ht="20.100000000000001" customHeight="1" x14ac:dyDescent="0.2">
      <c r="D87" s="124" t="s">
        <v>330</v>
      </c>
      <c r="E87" s="124" t="s">
        <v>331</v>
      </c>
      <c r="F87" s="124" t="s">
        <v>332</v>
      </c>
      <c r="G87" s="124" t="s">
        <v>333</v>
      </c>
      <c r="H87" s="124" t="s">
        <v>334</v>
      </c>
      <c r="N87" s="124" t="s">
        <v>330</v>
      </c>
      <c r="O87" s="124" t="s">
        <v>331</v>
      </c>
      <c r="P87" s="124" t="s">
        <v>332</v>
      </c>
      <c r="Q87" s="124" t="s">
        <v>333</v>
      </c>
      <c r="R87" s="124" t="s">
        <v>334</v>
      </c>
    </row>
    <row r="88" spans="4:19" ht="20.100000000000001" customHeight="1" x14ac:dyDescent="0.2">
      <c r="D88" s="15">
        <f>INDEX(M1_Table_MP_j_from_solids,2,1)</f>
        <v>0</v>
      </c>
      <c r="E88" s="15">
        <v>0</v>
      </c>
      <c r="F88" s="15">
        <v>0</v>
      </c>
      <c r="G88" s="15">
        <v>0</v>
      </c>
      <c r="H88" s="15">
        <v>0</v>
      </c>
      <c r="I88" s="16" t="str">
        <f>$G$80</f>
        <v>L/head/day</v>
      </c>
      <c r="N88" s="15">
        <f>INDEX(M2_Table_MP_j_from_solids,2,1)</f>
        <v>0</v>
      </c>
      <c r="O88" s="15">
        <v>0</v>
      </c>
      <c r="P88" s="15">
        <v>0</v>
      </c>
      <c r="Q88" s="15">
        <v>0</v>
      </c>
      <c r="R88" s="15">
        <v>0</v>
      </c>
      <c r="S88" s="16" t="str">
        <f>$G$80</f>
        <v>L/head/day</v>
      </c>
    </row>
    <row r="90" spans="4:19" ht="20.100000000000001" customHeight="1" x14ac:dyDescent="0.2">
      <c r="D90" s="122" t="s">
        <v>395</v>
      </c>
    </row>
    <row r="91" spans="4:19" ht="20.100000000000001" customHeight="1" x14ac:dyDescent="0.2">
      <c r="D91" s="123" t="s">
        <v>348</v>
      </c>
    </row>
    <row r="92" spans="4:19" ht="20.100000000000001" customHeight="1" x14ac:dyDescent="0.2">
      <c r="D92" s="81" t="s">
        <v>330</v>
      </c>
      <c r="E92" s="81" t="s">
        <v>331</v>
      </c>
      <c r="F92" s="81" t="s">
        <v>332</v>
      </c>
      <c r="G92" s="81" t="s">
        <v>333</v>
      </c>
      <c r="H92" s="81" t="s">
        <v>334</v>
      </c>
    </row>
    <row r="93" spans="4:19" ht="20.100000000000001" customHeight="1" x14ac:dyDescent="0.2">
      <c r="D93" s="15">
        <f>INDEX(Table_MP_j_Consumer_1,2,1)</f>
        <v>20</v>
      </c>
      <c r="E93" s="15">
        <v>0</v>
      </c>
      <c r="F93" s="15">
        <v>0</v>
      </c>
      <c r="G93" s="15">
        <v>0</v>
      </c>
      <c r="H93" s="15">
        <v>0</v>
      </c>
      <c r="I93" s="16" t="str">
        <f>$G$79</f>
        <v>L/head/day</v>
      </c>
    </row>
    <row r="95" spans="4:19" ht="20.100000000000001" customHeight="1" x14ac:dyDescent="0.2">
      <c r="D95" s="122" t="s">
        <v>404</v>
      </c>
      <c r="N95" s="122" t="s">
        <v>405</v>
      </c>
    </row>
    <row r="96" spans="4:19" ht="20.100000000000001" customHeight="1" x14ac:dyDescent="0.2">
      <c r="D96" s="123" t="s">
        <v>406</v>
      </c>
      <c r="N96" s="123" t="s">
        <v>407</v>
      </c>
    </row>
    <row r="97" spans="1:21" ht="20.100000000000001" customHeight="1" x14ac:dyDescent="0.2">
      <c r="D97" s="81" t="s">
        <v>330</v>
      </c>
      <c r="E97" s="81" t="s">
        <v>331</v>
      </c>
      <c r="F97" s="81" t="s">
        <v>332</v>
      </c>
      <c r="G97" s="81" t="s">
        <v>333</v>
      </c>
      <c r="H97" s="81" t="s">
        <v>334</v>
      </c>
      <c r="N97" s="81" t="s">
        <v>330</v>
      </c>
      <c r="O97" s="81" t="s">
        <v>331</v>
      </c>
      <c r="P97" s="81" t="s">
        <v>332</v>
      </c>
      <c r="Q97" s="81" t="s">
        <v>333</v>
      </c>
      <c r="R97" s="81" t="s">
        <v>334</v>
      </c>
    </row>
    <row r="98" spans="1:21" ht="20.100000000000001" customHeight="1" x14ac:dyDescent="0.2">
      <c r="D98" s="15">
        <f>INDEX(X_Table_Dairy_Liveweight_Method1,3,2)</f>
        <v>1.6E-2</v>
      </c>
      <c r="E98" s="15">
        <f>INDEX(X_Table_Dairy_Liveweight_Method1,3,3)</f>
        <v>0.6</v>
      </c>
      <c r="F98" s="15">
        <f>INDEX(X_Table_Dairy_Liveweight_Method1,3,4)</f>
        <v>0.56999999999999995</v>
      </c>
      <c r="G98" s="15">
        <f>INDEX(X_Table_Dairy_Liveweight_Method1,3,5)</f>
        <v>0.1</v>
      </c>
      <c r="H98" s="15">
        <f>INDEX(X_Table_Dairy_Liveweight_Method1,3,6)</f>
        <v>0.8</v>
      </c>
      <c r="I98" s="16" t="str">
        <f>$G$83</f>
        <v>kg/head/day</v>
      </c>
      <c r="N98" s="15">
        <f>INDEX(X_Table_Dairy_Liveweight_Method2,3,2)</f>
        <v>1.6E-2</v>
      </c>
      <c r="O98" s="15">
        <f>INDEX(X_Table_Dairy_Liveweight_Method2,3,3)</f>
        <v>0.6</v>
      </c>
      <c r="P98" s="15">
        <f>INDEX(X_Table_Dairy_Liveweight_Method2,3,4)</f>
        <v>0.56999999999999995</v>
      </c>
      <c r="Q98" s="15">
        <f>INDEX(X_Table_Dairy_Liveweight_Method2,3,5)</f>
        <v>0.1</v>
      </c>
      <c r="R98" s="15">
        <f>INDEX(X_Table_Dairy_Liveweight_Method2,3,6)</f>
        <v>0.8</v>
      </c>
      <c r="S98" s="16" t="str">
        <f>$G$83</f>
        <v>kg/head/day</v>
      </c>
    </row>
    <row r="100" spans="1:21" ht="20.100000000000001" customHeight="1" x14ac:dyDescent="0.2">
      <c r="D100" s="122" t="s">
        <v>480</v>
      </c>
      <c r="N100" s="122" t="s">
        <v>481</v>
      </c>
    </row>
    <row r="101" spans="1:21" ht="20.100000000000001" customHeight="1" x14ac:dyDescent="0.2">
      <c r="D101" s="123" t="s">
        <v>482</v>
      </c>
      <c r="N101" s="123" t="s">
        <v>483</v>
      </c>
    </row>
    <row r="102" spans="1:21" ht="20.100000000000001" customHeight="1" x14ac:dyDescent="0.2">
      <c r="D102" s="124" t="s">
        <v>330</v>
      </c>
      <c r="E102" s="124" t="s">
        <v>331</v>
      </c>
      <c r="F102" s="124" t="s">
        <v>332</v>
      </c>
      <c r="G102" s="124" t="s">
        <v>333</v>
      </c>
      <c r="H102" s="124" t="s">
        <v>334</v>
      </c>
      <c r="N102" s="124" t="s">
        <v>330</v>
      </c>
      <c r="O102" s="124" t="s">
        <v>331</v>
      </c>
      <c r="P102" s="124" t="s">
        <v>332</v>
      </c>
      <c r="Q102" s="124" t="s">
        <v>333</v>
      </c>
      <c r="R102" s="124" t="s">
        <v>334</v>
      </c>
    </row>
    <row r="103" spans="1:21" ht="20.100000000000001" customHeight="1" x14ac:dyDescent="0.2">
      <c r="D103" s="15">
        <f>(((0.032 * (IF($I$78="Milk solids", D88, D93)) * 1.03) / 6.38) + ((0.212 - 0.008 * (D65 - 2) - ((0.14 - 0.008 * (D65 - 2)) / (1 + EXP(-6 * (D29 - 0.4))))) * (D98 * 0.92)) * (1 / 6.25))</f>
        <v>0.10350619833262559</v>
      </c>
      <c r="E103" s="15">
        <f>(((0.032 * (IF($I$78="Milk solids", E88, E93)) * 1.03) / 6.38) + ((0.212 - 0.008 * (E65 - 2) - ((0.14 - 0.008 * (E65 - 2)) / (1 + EXP(-6 * (E29 - 0.4))))) * (E98 * 0.92)) * (1 / 6.25))</f>
        <v>8.7932411900846184E-3</v>
      </c>
      <c r="F103" s="15">
        <f>(((0.032 * (IF($I$78="Milk solids", F88, F93)) * 1.03) / 6.38) + ((0.212 - 0.008 * (F65 - 2) - ((0.14 - 0.008 * (F65 - 2)) / (1 + EXP(-6 * (F29 - 0.4))))) * (F98 * 0.92)) * (1 / 6.25))</f>
        <v>1.4575548166167214E-2</v>
      </c>
      <c r="G103" s="15">
        <f>(((0.032 * (IF($I$78="Milk solids", G88, G93)) * 1.03) / 6.38) + ((0.212 - 0.008 * (G65 - 2) - ((0.14 - 0.008 * (G65 - 2)) / (1 + EXP(-6 * (G29 - 0.4))))) * (G98 * 0.92)) * (1 / 6.25))</f>
        <v>1.2626203146474683E-3</v>
      </c>
      <c r="H103" s="15">
        <f>(((0.032 * (IF($I$78="Milk solids", H88, H93)) * 1.03) / 6.38) + ((0.212 - 0.008 * (H65 - 2) - ((0.14 - 0.008 * (H65 - 2)) / (1 + EXP(-6 * (H29 - 0.4))))) * (H98 * 0.92)) * (1 / 6.25))</f>
        <v>1.9757354894894087E-2</v>
      </c>
      <c r="I103" s="16" t="str">
        <f>$E$76</f>
        <v>kg N/head/day</v>
      </c>
      <c r="N103" s="15">
        <f>(((0.032 * (IF($I$78="Milk solids",N88,D93)) * 1.03) / 6.38) + ((0.212 - 0.008 * (N65 - 2) - ((0.14 - 0.008 * (N65 - 2)) / (1 + EXP(-6 * (N29 - 0.4))))) * (N98 * 0.92)) * (1 / 6.25))</f>
        <v>0.10350619833262559</v>
      </c>
      <c r="O103" s="15">
        <f>(((0.032 * (IF($I$78="Milk solids",O88,E93)) * 1.03) / 6.38) + ((0.212 - 0.008 * (O65 - 2) - ((0.14 - 0.008 * (O65 - 2)) / (1 + EXP(-6 * (O29 - 0.4))))) * (O98 * 0.92)) * (1 / 6.25))</f>
        <v>8.7932411900846184E-3</v>
      </c>
      <c r="P103" s="15">
        <f>(((0.032 * (IF($I$78="Milk solids",P88,F93)) * 1.03) / 6.38) + ((0.212 - 0.008 * (P65 - 2) - ((0.14 - 0.008 * (P65 - 2)) / (1 + EXP(-6 * (P29 - 0.4))))) * (P98 * 0.92)) * (1 / 6.25))</f>
        <v>1.4575548166167214E-2</v>
      </c>
      <c r="Q103" s="15">
        <f>(((0.032 * (IF($I$78="Milk solids",Q88,G93)) * 1.03) / 6.38) + ((0.212 - 0.008 * (Q65 - 2) - ((0.14 - 0.008 * (Q65 - 2)) / (1 + EXP(-6 * (Q29 - 0.4))))) * (Q98 * 0.92)) * (1 / 6.25))</f>
        <v>1.2626203146474683E-3</v>
      </c>
      <c r="R103" s="15">
        <f>(((0.032 * (IF($I$78="Milk solids",R88,H93)) * 1.03) / 6.38) + ((0.212 - 0.008 * (R65 - 2) - ((0.14 - 0.008 * (R65 - 2)) / (1 + EXP(-6 * (R29 - 0.4))))) * (R98 * 0.92)) * (1 / 6.25))</f>
        <v>1.9757354894894087E-2</v>
      </c>
      <c r="S103" s="16" t="str">
        <f>$E$76</f>
        <v>kg N/head/day</v>
      </c>
    </row>
    <row r="106" spans="1:21" ht="20.100000000000001" customHeight="1" x14ac:dyDescent="0.2">
      <c r="C106" s="88"/>
      <c r="D106" s="88"/>
      <c r="E106" s="88"/>
      <c r="F106" s="88"/>
      <c r="G106" s="88"/>
      <c r="H106" s="88"/>
      <c r="I106" s="88"/>
      <c r="J106" s="88"/>
      <c r="K106" s="88"/>
      <c r="M106" s="88"/>
      <c r="N106" s="88"/>
      <c r="O106" s="88"/>
      <c r="P106" s="88"/>
      <c r="Q106" s="88"/>
      <c r="R106" s="88"/>
      <c r="S106" s="88"/>
      <c r="T106" s="88"/>
      <c r="U106" s="88"/>
    </row>
    <row r="107" spans="1:21" ht="20.100000000000001" customHeight="1" x14ac:dyDescent="0.2">
      <c r="D107" s="2" t="s">
        <v>1618</v>
      </c>
    </row>
    <row r="108" spans="1:21" ht="20.100000000000001" customHeight="1" x14ac:dyDescent="0.2">
      <c r="D108" s="17" t="s">
        <v>1619</v>
      </c>
    </row>
    <row r="109" spans="1:21" ht="20.100000000000001" customHeight="1" x14ac:dyDescent="0.2">
      <c r="A109" s="129" t="str">
        <f>HYPERLINK("#A1", "▲ Back to top")</f>
        <v>▲ Back to top</v>
      </c>
      <c r="D109" s="118"/>
      <c r="E109" s="118"/>
    </row>
    <row r="111" spans="1:21" ht="20.100000000000001" customHeight="1" x14ac:dyDescent="0.2">
      <c r="D111" s="2"/>
    </row>
    <row r="112" spans="1:21" ht="20.100000000000001" customHeight="1" x14ac:dyDescent="0.2">
      <c r="D112" s="76" t="s">
        <v>378</v>
      </c>
      <c r="E112" s="1" t="s">
        <v>1620</v>
      </c>
    </row>
    <row r="113" spans="4:19" ht="20.100000000000001" customHeight="1" x14ac:dyDescent="0.2">
      <c r="D113" s="76" t="s">
        <v>118</v>
      </c>
      <c r="E113" s="9" t="s">
        <v>341</v>
      </c>
    </row>
    <row r="115" spans="4:19" ht="20.100000000000001" customHeight="1" x14ac:dyDescent="0.2">
      <c r="D115" s="120" t="str" cm="1">
        <f t="array" ref="D115:G116">(_xlfn.MAKEARRAY(2, 4, _xlfn.LAMBDA(_xlpm.r,_xlpm.c, INDEX({"I_j","dry matter intake","kgDM/head/day","Calculated from 3.3.1.1 (3)";"CP_j","crude protein content of feed intake","fraction","Input"}, _xlpm.r, _xlpm.c))))</f>
        <v>I_j</v>
      </c>
      <c r="E115" s="120" t="str">
        <v>dry matter intake</v>
      </c>
      <c r="F115" s="120" t="str">
        <v>kgDM/head/day</v>
      </c>
      <c r="G115" s="128" t="str">
        <v>Calculated from 3.3.1.1 (3)</v>
      </c>
      <c r="H115" s="127" t="str" cm="1">
        <f t="array" aca="1" ref="H115" ca="1">HYPERLINK(Common_InputFunctions.Utility_SourceHyperlink($D$47),$D$47)</f>
        <v>M1_Table_I_j</v>
      </c>
    </row>
    <row r="116" spans="4:19" ht="20.100000000000001" customHeight="1" x14ac:dyDescent="0.2">
      <c r="D116" s="120" t="str">
        <v>CP_j</v>
      </c>
      <c r="E116" s="120" t="str">
        <v>crude protein content of feed intake</v>
      </c>
      <c r="F116" s="120" t="str">
        <v>fraction</v>
      </c>
      <c r="G116" s="121" t="str">
        <v>Input</v>
      </c>
      <c r="H116" s="127" t="str" cm="1">
        <f t="array" aca="1" ref="H116" ca="1">HYPERLINK(Common_InputFunctions.Utility_SourceHyperlink($D$118),$D$118)</f>
        <v>M1_Table_CP_j</v>
      </c>
    </row>
    <row r="118" spans="4:19" ht="20.100000000000001" customHeight="1" x14ac:dyDescent="0.2">
      <c r="D118" s="122" t="s">
        <v>484</v>
      </c>
      <c r="N118" s="122" t="s">
        <v>485</v>
      </c>
    </row>
    <row r="119" spans="4:19" ht="20.100000000000001" customHeight="1" x14ac:dyDescent="0.2">
      <c r="D119" s="123" t="s">
        <v>486</v>
      </c>
      <c r="N119" s="123" t="s">
        <v>487</v>
      </c>
    </row>
    <row r="120" spans="4:19" ht="20.100000000000001" customHeight="1" x14ac:dyDescent="0.2">
      <c r="D120" s="81" t="s">
        <v>330</v>
      </c>
      <c r="E120" s="81" t="s">
        <v>331</v>
      </c>
      <c r="F120" s="81" t="s">
        <v>332</v>
      </c>
      <c r="G120" s="81" t="s">
        <v>333</v>
      </c>
      <c r="H120" s="81" t="s">
        <v>334</v>
      </c>
      <c r="N120" s="81" t="s">
        <v>330</v>
      </c>
      <c r="O120" s="81" t="s">
        <v>331</v>
      </c>
      <c r="P120" s="81" t="s">
        <v>332</v>
      </c>
      <c r="Q120" s="81" t="s">
        <v>333</v>
      </c>
      <c r="R120" s="81" t="s">
        <v>334</v>
      </c>
    </row>
    <row r="121" spans="4:19" ht="20.100000000000001" customHeight="1" x14ac:dyDescent="0.2">
      <c r="D121" s="15">
        <f>INDEX(X_Table_Dairy_Diet_Method1,3,2)</f>
        <v>0.2</v>
      </c>
      <c r="E121" s="15">
        <f>INDEX(X_Table_Dairy_Diet_Method1,3,3)</f>
        <v>0.2</v>
      </c>
      <c r="F121" s="15">
        <f>INDEX(X_Table_Dairy_Diet_Method1,3,4)</f>
        <v>0.2</v>
      </c>
      <c r="G121" s="15">
        <f>INDEX(X_Table_Dairy_Diet_Method1,3,5)</f>
        <v>0.2</v>
      </c>
      <c r="H121" s="15">
        <f>INDEX(X_Table_Dairy_Diet_Method1,3,6)</f>
        <v>0.2</v>
      </c>
      <c r="I121" s="16" t="str">
        <f>$F$116</f>
        <v>fraction</v>
      </c>
      <c r="N121" s="15">
        <f>INDEX(X_Table_Dairy_Diet_Method2,3,2)</f>
        <v>0.2</v>
      </c>
      <c r="O121" s="15">
        <f>INDEX(X_Table_Dairy_Diet_Method2,3,3)</f>
        <v>0.2</v>
      </c>
      <c r="P121" s="15">
        <f>INDEX(X_Table_Dairy_Diet_Method2,3,4)</f>
        <v>0.2</v>
      </c>
      <c r="Q121" s="15">
        <f>INDEX(X_Table_Dairy_Diet_Method2,3,5)</f>
        <v>0.2</v>
      </c>
      <c r="R121" s="15">
        <f>INDEX(X_Table_Dairy_Diet_Method2,3,6)</f>
        <v>0.2</v>
      </c>
      <c r="S121" s="16" t="str">
        <f>$F$116</f>
        <v>fraction</v>
      </c>
    </row>
    <row r="123" spans="4:19" ht="20.100000000000001" customHeight="1" x14ac:dyDescent="0.2">
      <c r="D123" s="122" t="s">
        <v>488</v>
      </c>
      <c r="N123" s="122" t="s">
        <v>489</v>
      </c>
    </row>
    <row r="124" spans="4:19" ht="20.100000000000001" customHeight="1" x14ac:dyDescent="0.2">
      <c r="D124" s="123" t="s">
        <v>490</v>
      </c>
      <c r="N124" s="123" t="s">
        <v>491</v>
      </c>
    </row>
    <row r="125" spans="4:19" ht="20.100000000000001" customHeight="1" x14ac:dyDescent="0.2">
      <c r="D125" s="124" t="s">
        <v>330</v>
      </c>
      <c r="E125" s="124" t="s">
        <v>331</v>
      </c>
      <c r="F125" s="124" t="s">
        <v>332</v>
      </c>
      <c r="G125" s="124" t="s">
        <v>333</v>
      </c>
      <c r="H125" s="124" t="s">
        <v>334</v>
      </c>
      <c r="N125" s="124" t="s">
        <v>330</v>
      </c>
      <c r="O125" s="124" t="s">
        <v>331</v>
      </c>
      <c r="P125" s="124" t="s">
        <v>332</v>
      </c>
      <c r="Q125" s="124" t="s">
        <v>333</v>
      </c>
      <c r="R125" s="124" t="s">
        <v>334</v>
      </c>
    </row>
    <row r="126" spans="4:19" ht="20.100000000000001" customHeight="1" x14ac:dyDescent="0.2">
      <c r="D126" s="15">
        <f>(D50 * D121)</f>
        <v>3.7668635368734389</v>
      </c>
      <c r="E126" s="15">
        <f>(E50 * E121)</f>
        <v>1.4837737075199995</v>
      </c>
      <c r="F126" s="15">
        <f>(F50 * F121)</f>
        <v>0.80463469324500003</v>
      </c>
      <c r="G126" s="15">
        <f>(G50 * G121)</f>
        <v>1.8054040499999997</v>
      </c>
      <c r="H126" s="15">
        <f>(H50 * H121)</f>
        <v>1.0828694531250003</v>
      </c>
      <c r="I126" s="16" t="str">
        <f>$E$113</f>
        <v>kg/head/day</v>
      </c>
      <c r="N126" s="15">
        <f>(N50 * N121)</f>
        <v>3.7668635368734389</v>
      </c>
      <c r="O126" s="15">
        <f>(O50 * O121)</f>
        <v>1.4837737075199995</v>
      </c>
      <c r="P126" s="15">
        <f>(P50 * P121)</f>
        <v>0.80463469324500003</v>
      </c>
      <c r="Q126" s="15">
        <f>(Q50 * Q121)</f>
        <v>1.8054040499999997</v>
      </c>
      <c r="R126" s="15">
        <f>(R50 * R121)</f>
        <v>1.0828694531250003</v>
      </c>
      <c r="S126" s="16" t="str">
        <f>$E$113</f>
        <v>kg/head/day</v>
      </c>
    </row>
    <row r="129" spans="1:21" ht="20.100000000000001" customHeight="1" x14ac:dyDescent="0.2">
      <c r="C129" s="88"/>
      <c r="D129" s="88"/>
      <c r="E129" s="88"/>
      <c r="F129" s="88"/>
      <c r="G129" s="88"/>
      <c r="H129" s="88"/>
      <c r="I129" s="88"/>
      <c r="J129" s="88"/>
      <c r="K129" s="88"/>
      <c r="M129" s="88"/>
      <c r="N129" s="88"/>
      <c r="O129" s="88"/>
      <c r="P129" s="88"/>
      <c r="Q129" s="88"/>
      <c r="R129" s="88"/>
      <c r="S129" s="88"/>
      <c r="T129" s="88"/>
      <c r="U129" s="88"/>
    </row>
    <row r="130" spans="1:21" ht="20.100000000000001" customHeight="1" x14ac:dyDescent="0.2">
      <c r="D130" s="2" t="s">
        <v>1621</v>
      </c>
    </row>
    <row r="131" spans="1:21" ht="20.100000000000001" customHeight="1" x14ac:dyDescent="0.2">
      <c r="D131" s="17" t="s">
        <v>1622</v>
      </c>
    </row>
    <row r="132" spans="1:21" ht="20.100000000000001" customHeight="1" x14ac:dyDescent="0.2">
      <c r="D132" s="118"/>
      <c r="E132" s="118"/>
    </row>
    <row r="134" spans="1:21" ht="20.100000000000001" customHeight="1" x14ac:dyDescent="0.2">
      <c r="D134" s="2"/>
    </row>
    <row r="136" spans="1:21" ht="20.100000000000001" customHeight="1" x14ac:dyDescent="0.2">
      <c r="D136" s="76" t="s">
        <v>378</v>
      </c>
      <c r="E136" s="1" t="s">
        <v>1623</v>
      </c>
    </row>
    <row r="137" spans="1:21" ht="20.100000000000001" customHeight="1" x14ac:dyDescent="0.2">
      <c r="D137" s="76" t="s">
        <v>118</v>
      </c>
      <c r="E137" s="9" t="s">
        <v>1613</v>
      </c>
    </row>
    <row r="139" spans="1:21" ht="20.100000000000001" customHeight="1" x14ac:dyDescent="0.2">
      <c r="A139" s="129" t="str">
        <f>HYPERLINK("#A1", "▲ Back to top")</f>
        <v>▲ Back to top</v>
      </c>
      <c r="D139" s="120" t="s">
        <v>1620</v>
      </c>
      <c r="E139" s="125" t="s">
        <v>1624</v>
      </c>
      <c r="F139" s="126"/>
      <c r="G139" s="120" t="s">
        <v>341</v>
      </c>
      <c r="H139" s="128" t="s">
        <v>1627</v>
      </c>
      <c r="I139" s="127" t="str" cm="1">
        <f t="array" aca="1" ref="I139" ca="1">HYPERLINK(Common_InputFunctions.Utility_SourceHyperlink($D$123),$D$123)</f>
        <v>M1_Table_CPI_j</v>
      </c>
    </row>
    <row r="140" spans="1:21" ht="20.100000000000001" customHeight="1" x14ac:dyDescent="0.2">
      <c r="D140" s="120" t="s">
        <v>1612</v>
      </c>
      <c r="E140" s="125" t="s">
        <v>1625</v>
      </c>
      <c r="F140" s="126"/>
      <c r="G140" s="120" t="s">
        <v>1613</v>
      </c>
      <c r="H140" s="128" t="s">
        <v>1628</v>
      </c>
      <c r="I140" s="127" t="str" cm="1">
        <f t="array" aca="1" ref="I140" ca="1">HYPERLINK(Common_InputFunctions.Utility_SourceHyperlink($D$100),$D$100)</f>
        <v>M1_Table_NR_j</v>
      </c>
    </row>
    <row r="141" spans="1:21" ht="20.100000000000001" customHeight="1" x14ac:dyDescent="0.2">
      <c r="D141" s="120" t="s">
        <v>1507</v>
      </c>
      <c r="E141" s="125" t="s">
        <v>1626</v>
      </c>
      <c r="F141" s="126"/>
      <c r="G141" s="120" t="s">
        <v>738</v>
      </c>
      <c r="H141" s="121" t="s">
        <v>1469</v>
      </c>
      <c r="I141" s="127" t="str" cm="1">
        <f t="array" aca="1" ref="I141" ca="1">HYPERLINK(Common_InputFunctions.Utility_SourceHyperlink($D$16),$D$16)</f>
        <v>M1_Table_W_j</v>
      </c>
    </row>
    <row r="143" spans="1:21" ht="20.100000000000001" customHeight="1" x14ac:dyDescent="0.2">
      <c r="D143" s="122" t="s">
        <v>492</v>
      </c>
      <c r="N143" s="122" t="s">
        <v>493</v>
      </c>
    </row>
    <row r="144" spans="1:21" ht="20.100000000000001" customHeight="1" x14ac:dyDescent="0.2">
      <c r="D144" s="123" t="s">
        <v>494</v>
      </c>
      <c r="N144" s="123" t="s">
        <v>495</v>
      </c>
    </row>
    <row r="145" spans="3:21" ht="20.100000000000001" customHeight="1" x14ac:dyDescent="0.2">
      <c r="D145" s="124" t="s">
        <v>330</v>
      </c>
      <c r="E145" s="124" t="s">
        <v>331</v>
      </c>
      <c r="F145" s="124" t="s">
        <v>332</v>
      </c>
      <c r="G145" s="124" t="s">
        <v>333</v>
      </c>
      <c r="H145" s="124" t="s">
        <v>334</v>
      </c>
      <c r="N145" s="124" t="s">
        <v>330</v>
      </c>
      <c r="O145" s="124" t="s">
        <v>331</v>
      </c>
      <c r="P145" s="124" t="s">
        <v>332</v>
      </c>
      <c r="Q145" s="124" t="s">
        <v>333</v>
      </c>
      <c r="R145" s="124" t="s">
        <v>334</v>
      </c>
    </row>
    <row r="146" spans="3:21" ht="20.100000000000001" customHeight="1" x14ac:dyDescent="0.2">
      <c r="D146" s="15">
        <f>((D126 / 6.25) - D103 - ((1.1 * 10 ^ -4 * D19 ^ 0.75) / 6.25))</f>
        <v>0.49719309694578667</v>
      </c>
      <c r="E146" s="15">
        <f>((E126 / 6.25) - E103 - ((1.1 * 10 ^ -4 * E19 ^ 0.75) / 6.25))</f>
        <v>0.22709576921272823</v>
      </c>
      <c r="F146" s="15">
        <f>((F126 / 6.25) - F103 - ((1.1 * 10 ^ -4 * F19 ^ 0.75) / 6.25))</f>
        <v>0.1133928568810149</v>
      </c>
      <c r="G146" s="15">
        <f>((G126 / 6.25) - G103 - ((1.1 * 10 ^ -4 * G19 ^ 0.75) / 6.25))</f>
        <v>0.28546836331241399</v>
      </c>
      <c r="H146" s="15">
        <f>((H126 / 6.25) - H103 - ((1.1 * 10 ^ -4 * H19 ^ 0.75) / 6.25))</f>
        <v>0.15247929000170721</v>
      </c>
      <c r="I146" s="16" t="str">
        <f>$E$137</f>
        <v>kg N/head/day</v>
      </c>
      <c r="N146" s="15">
        <f>((N126 / 6.25) - N103 - ((1.1 * 10 ^ -4 * N19 ^ 0.75) / 6.25))</f>
        <v>0.49719309694578667</v>
      </c>
      <c r="O146" s="15">
        <f>((O126 / 6.25) - O103 - ((1.1 * 10 ^ -4 * O19 ^ 0.75) / 6.25))</f>
        <v>0.22709576921272823</v>
      </c>
      <c r="P146" s="15">
        <f>((P126 / 6.25) - P103 - ((1.1 * 10 ^ -4 * P19 ^ 0.75) / 6.25))</f>
        <v>0.1133928568810149</v>
      </c>
      <c r="Q146" s="15">
        <f>((Q126 / 6.25) - Q103 - ((1.1 * 10 ^ -4 * Q19 ^ 0.75) / 6.25))</f>
        <v>0.28546836331241399</v>
      </c>
      <c r="R146" s="15">
        <f>((R126 / 6.25) - R103 - ((1.1 * 10 ^ -4 * R19 ^ 0.75) / 6.25))</f>
        <v>0.15247929000170721</v>
      </c>
      <c r="S146" s="16" t="str">
        <f>$E$137</f>
        <v>kg N/head/day</v>
      </c>
    </row>
    <row r="149" spans="3:21" ht="20.100000000000001" customHeight="1" x14ac:dyDescent="0.2">
      <c r="C149" s="88"/>
      <c r="D149" s="88"/>
      <c r="E149" s="88"/>
      <c r="F149" s="88"/>
      <c r="G149" s="88"/>
      <c r="H149" s="88"/>
      <c r="I149" s="88"/>
      <c r="J149" s="88"/>
      <c r="K149" s="88"/>
      <c r="M149" s="88"/>
      <c r="N149" s="88"/>
      <c r="O149" s="88"/>
      <c r="P149" s="88"/>
      <c r="Q149" s="88"/>
      <c r="R149" s="88"/>
      <c r="S149" s="88"/>
      <c r="T149" s="88"/>
      <c r="U149" s="88"/>
    </row>
    <row r="150" spans="3:21" ht="20.100000000000001" customHeight="1" x14ac:dyDescent="0.2">
      <c r="D150" s="2" t="s">
        <v>1629</v>
      </c>
    </row>
    <row r="151" spans="3:21" ht="20.100000000000001" customHeight="1" x14ac:dyDescent="0.2">
      <c r="D151" s="17" t="s">
        <v>1630</v>
      </c>
    </row>
    <row r="152" spans="3:21" ht="20.100000000000001" customHeight="1" x14ac:dyDescent="0.2">
      <c r="D152" s="25" t="s">
        <v>1631</v>
      </c>
    </row>
    <row r="153" spans="3:21" ht="20.100000000000001" customHeight="1" x14ac:dyDescent="0.2">
      <c r="D153" s="118"/>
      <c r="E153" s="118"/>
    </row>
    <row r="155" spans="3:21" ht="20.100000000000001" customHeight="1" x14ac:dyDescent="0.2">
      <c r="D155" s="2"/>
    </row>
    <row r="156" spans="3:21" ht="20.100000000000001" customHeight="1" x14ac:dyDescent="0.2">
      <c r="D156" s="76" t="s">
        <v>378</v>
      </c>
      <c r="E156" s="1" t="s">
        <v>1632</v>
      </c>
    </row>
    <row r="157" spans="3:21" ht="20.100000000000001" customHeight="1" x14ac:dyDescent="0.2">
      <c r="D157" s="76" t="s">
        <v>118</v>
      </c>
      <c r="E157" s="9" t="s">
        <v>1301</v>
      </c>
    </row>
    <row r="159" spans="3:21" ht="20.100000000000001" customHeight="1" x14ac:dyDescent="0.2">
      <c r="D159" s="120" t="s">
        <v>1523</v>
      </c>
      <c r="E159" s="125" t="s">
        <v>1524</v>
      </c>
      <c r="F159" s="126"/>
      <c r="G159" s="120" t="s">
        <v>335</v>
      </c>
      <c r="H159" s="121" t="s">
        <v>1469</v>
      </c>
      <c r="I159" s="127" t="str" cm="1">
        <f t="array" aca="1" ref="I159" ca="1">HYPERLINK(Common_InputFunctions.Utility_SourceHyperlink($D$163),$D$163)</f>
        <v>Table_N_j</v>
      </c>
    </row>
    <row r="160" spans="3:21" ht="20.100000000000001" customHeight="1" x14ac:dyDescent="0.2">
      <c r="D160" s="120" t="s">
        <v>1633</v>
      </c>
      <c r="E160" s="125" t="s">
        <v>1634</v>
      </c>
      <c r="F160" s="126"/>
      <c r="G160" s="120" t="s">
        <v>1613</v>
      </c>
      <c r="H160" s="128" t="s">
        <v>1636</v>
      </c>
      <c r="I160" s="127" t="str" cm="1">
        <f t="array" aca="1" ref="I160" ca="1">HYPERLINK(Common_InputFunctions.Utility_SourceHyperlink($D$143),$D$143)</f>
        <v>M1_Table_NE_j</v>
      </c>
    </row>
    <row r="161" spans="1:19" ht="20.100000000000001" customHeight="1" x14ac:dyDescent="0.2">
      <c r="D161" s="120" t="s">
        <v>1527</v>
      </c>
      <c r="E161" s="125" t="s">
        <v>1635</v>
      </c>
      <c r="F161" s="126"/>
      <c r="G161" s="120" t="s">
        <v>1540</v>
      </c>
      <c r="H161" s="121" t="s">
        <v>1469</v>
      </c>
      <c r="I161" s="127" t="str" cm="1">
        <f t="array" aca="1" ref="I161" ca="1">HYPERLINK(Common_InputFunctions.Utility_SourceHyperlink($D$168),$D$168)</f>
        <v>M1_Table_D_j-1-2-4</v>
      </c>
    </row>
    <row r="163" spans="1:19" ht="20.100000000000001" customHeight="1" x14ac:dyDescent="0.2">
      <c r="D163" s="122" t="s">
        <v>451</v>
      </c>
    </row>
    <row r="164" spans="1:19" ht="20.100000000000001" customHeight="1" x14ac:dyDescent="0.2">
      <c r="D164" s="123" t="s">
        <v>452</v>
      </c>
    </row>
    <row r="165" spans="1:19" ht="20.100000000000001" customHeight="1" x14ac:dyDescent="0.2">
      <c r="D165" s="81" t="s">
        <v>330</v>
      </c>
      <c r="E165" s="81" t="s">
        <v>331</v>
      </c>
      <c r="F165" s="81" t="s">
        <v>332</v>
      </c>
      <c r="G165" s="81" t="s">
        <v>333</v>
      </c>
      <c r="H165" s="81" t="s">
        <v>334</v>
      </c>
    </row>
    <row r="166" spans="1:19" ht="20.100000000000001" customHeight="1" x14ac:dyDescent="0.2">
      <c r="D166" s="134">
        <f>INDEX(X_Table_Dairy_HerdMovement,2,2)</f>
        <v>100</v>
      </c>
      <c r="E166" s="134">
        <f>INDEX(X_Table_Dairy_HerdMovement,2,3)</f>
        <v>100</v>
      </c>
      <c r="F166" s="134">
        <f>INDEX(X_Table_Dairy_HerdMovement,2,4)</f>
        <v>100</v>
      </c>
      <c r="G166" s="134">
        <f>INDEX(X_Table_Dairy_HerdMovement,2,5)</f>
        <v>100</v>
      </c>
      <c r="H166" s="134">
        <f>INDEX(X_Table_Dairy_HerdMovement,2,6)</f>
        <v>100</v>
      </c>
      <c r="I166" s="16" t="str">
        <f>G159</f>
        <v>head</v>
      </c>
    </row>
    <row r="168" spans="1:19" ht="20.100000000000001" customHeight="1" x14ac:dyDescent="0.2">
      <c r="D168" s="122" t="s">
        <v>496</v>
      </c>
      <c r="N168" s="122" t="s">
        <v>497</v>
      </c>
    </row>
    <row r="169" spans="1:19" ht="20.100000000000001" customHeight="1" x14ac:dyDescent="0.2">
      <c r="A169" s="129" t="str">
        <f>HYPERLINK("#A1", "▲ Back to top")</f>
        <v>▲ Back to top</v>
      </c>
      <c r="D169" s="123" t="s">
        <v>498</v>
      </c>
      <c r="N169" s="123" t="s">
        <v>499</v>
      </c>
    </row>
    <row r="170" spans="1:19" ht="20.100000000000001" customHeight="1" x14ac:dyDescent="0.2">
      <c r="D170" s="81" t="s">
        <v>330</v>
      </c>
      <c r="E170" s="81" t="s">
        <v>331</v>
      </c>
      <c r="F170" s="81" t="s">
        <v>332</v>
      </c>
      <c r="G170" s="81" t="s">
        <v>333</v>
      </c>
      <c r="H170" s="81" t="s">
        <v>334</v>
      </c>
      <c r="N170" s="81" t="s">
        <v>330</v>
      </c>
      <c r="O170" s="81" t="s">
        <v>331</v>
      </c>
      <c r="P170" s="81" t="s">
        <v>332</v>
      </c>
      <c r="Q170" s="81" t="s">
        <v>333</v>
      </c>
      <c r="R170" s="81" t="s">
        <v>334</v>
      </c>
    </row>
    <row r="171" spans="1:19" ht="20.100000000000001" customHeight="1" x14ac:dyDescent="0.2">
      <c r="D171" s="15">
        <f>INDEX(X_Table_Dairy_DurationOfStay_Method1,2,2)</f>
        <v>365</v>
      </c>
      <c r="E171" s="15">
        <f>INDEX(X_Table_Dairy_DurationOfStay_Method1,2,3)</f>
        <v>365</v>
      </c>
      <c r="F171" s="15">
        <v>0</v>
      </c>
      <c r="G171" s="15">
        <f>INDEX(X_Table_Dairy_DurationOfStay_Method1,2,5)</f>
        <v>365</v>
      </c>
      <c r="H171" s="15">
        <v>0</v>
      </c>
      <c r="I171" s="16" t="str">
        <f>G161</f>
        <v>days</v>
      </c>
      <c r="N171" s="15">
        <f>INDEX(X_Table_Dairy_DurationOfStay_Method2,2,2)</f>
        <v>365</v>
      </c>
      <c r="O171" s="15">
        <f>INDEX(X_Table_Dairy_DurationOfStay_Method2,2,3)</f>
        <v>365</v>
      </c>
      <c r="P171" s="15">
        <v>0</v>
      </c>
      <c r="Q171" s="15">
        <f>INDEX(X_Table_Dairy_DurationOfStay_Method2,2,5)</f>
        <v>365</v>
      </c>
      <c r="R171" s="15">
        <v>0</v>
      </c>
      <c r="S171" s="16" t="s">
        <v>112</v>
      </c>
    </row>
    <row r="173" spans="1:19" ht="20.100000000000001" customHeight="1" x14ac:dyDescent="0.2">
      <c r="D173" s="122" t="s">
        <v>500</v>
      </c>
      <c r="N173" s="122" t="s">
        <v>501</v>
      </c>
    </row>
    <row r="174" spans="1:19" ht="20.100000000000001" customHeight="1" x14ac:dyDescent="0.2">
      <c r="D174" s="123" t="s">
        <v>502</v>
      </c>
      <c r="N174" s="123" t="s">
        <v>503</v>
      </c>
    </row>
    <row r="175" spans="1:19" ht="20.100000000000001" customHeight="1" x14ac:dyDescent="0.2">
      <c r="D175" s="124" t="s">
        <v>330</v>
      </c>
      <c r="E175" s="124" t="s">
        <v>331</v>
      </c>
      <c r="F175" s="124" t="s">
        <v>332</v>
      </c>
      <c r="G175" s="124" t="s">
        <v>333</v>
      </c>
      <c r="H175" s="124" t="s">
        <v>334</v>
      </c>
      <c r="N175" s="124" t="s">
        <v>330</v>
      </c>
      <c r="O175" s="124" t="s">
        <v>331</v>
      </c>
      <c r="P175" s="124" t="s">
        <v>332</v>
      </c>
      <c r="Q175" s="124" t="s">
        <v>333</v>
      </c>
      <c r="R175" s="124" t="s">
        <v>334</v>
      </c>
    </row>
    <row r="176" spans="1:19" ht="20.100000000000001" customHeight="1" x14ac:dyDescent="0.2">
      <c r="D176" s="15">
        <f>(D166 * D146 * D171)</f>
        <v>18147.548038521214</v>
      </c>
      <c r="E176" s="15">
        <f>(E166 * E146 * E171)</f>
        <v>8288.9955762645804</v>
      </c>
      <c r="F176" s="15">
        <f>(F166 * F146 * F171)</f>
        <v>0</v>
      </c>
      <c r="G176" s="15">
        <f>(G166 * G146 * G171)</f>
        <v>10419.59526090311</v>
      </c>
      <c r="H176" s="15">
        <f>(H166 * H146 * H171)</f>
        <v>0</v>
      </c>
      <c r="I176" s="16" t="str">
        <f>$E$157</f>
        <v>kg N</v>
      </c>
      <c r="N176" s="15">
        <f>(D166 * N146 * N171)</f>
        <v>18147.548038521214</v>
      </c>
      <c r="O176" s="15">
        <f>(E166 * O146 * O171)</f>
        <v>8288.9955762645804</v>
      </c>
      <c r="P176" s="15">
        <f>(F166 * P146 * P171)</f>
        <v>0</v>
      </c>
      <c r="Q176" s="15">
        <f>(G166 * Q146 * Q171)</f>
        <v>10419.59526090311</v>
      </c>
      <c r="R176" s="15">
        <f>(H166 * R146 * R171)</f>
        <v>0</v>
      </c>
      <c r="S176" s="16" t="str">
        <f>$E$157</f>
        <v>kg N</v>
      </c>
    </row>
    <row r="179" spans="3:21" ht="20.100000000000001" customHeight="1" x14ac:dyDescent="0.2">
      <c r="C179" s="88"/>
      <c r="D179" s="88"/>
      <c r="E179" s="88"/>
      <c r="F179" s="88"/>
      <c r="G179" s="88"/>
      <c r="H179" s="88"/>
      <c r="I179" s="88"/>
      <c r="J179" s="88"/>
      <c r="K179" s="88"/>
      <c r="M179" s="88"/>
      <c r="N179" s="88"/>
      <c r="O179" s="88"/>
      <c r="P179" s="88"/>
      <c r="Q179" s="88"/>
      <c r="R179" s="88"/>
      <c r="S179" s="88"/>
      <c r="T179" s="88"/>
      <c r="U179" s="88"/>
    </row>
    <row r="180" spans="3:21" ht="20.100000000000001" customHeight="1" x14ac:dyDescent="0.2">
      <c r="D180" s="2" t="s">
        <v>1637</v>
      </c>
    </row>
    <row r="181" spans="3:21" ht="20.100000000000001" customHeight="1" x14ac:dyDescent="0.2">
      <c r="D181" s="17" t="s">
        <v>1638</v>
      </c>
    </row>
    <row r="182" spans="3:21" ht="20.100000000000001" customHeight="1" x14ac:dyDescent="0.2">
      <c r="D182" s="25" t="s">
        <v>1639</v>
      </c>
    </row>
    <row r="183" spans="3:21" ht="20.100000000000001" customHeight="1" x14ac:dyDescent="0.2">
      <c r="D183" s="118"/>
      <c r="E183" s="118"/>
    </row>
    <row r="184" spans="3:21" ht="20.100000000000001" customHeight="1" x14ac:dyDescent="0.2">
      <c r="D184" s="2"/>
    </row>
    <row r="185" spans="3:21" ht="20.100000000000001" customHeight="1" x14ac:dyDescent="0.2">
      <c r="D185" s="2"/>
    </row>
    <row r="186" spans="3:21" ht="20.100000000000001" customHeight="1" x14ac:dyDescent="0.2">
      <c r="D186" s="76" t="s">
        <v>378</v>
      </c>
      <c r="E186" s="1" t="s">
        <v>1640</v>
      </c>
    </row>
    <row r="187" spans="3:21" ht="20.100000000000001" customHeight="1" x14ac:dyDescent="0.2">
      <c r="D187" s="76" t="s">
        <v>118</v>
      </c>
      <c r="E187" s="9" t="s">
        <v>1301</v>
      </c>
    </row>
    <row r="189" spans="3:21" ht="20.100000000000001" customHeight="1" x14ac:dyDescent="0.2">
      <c r="D189" s="120" t="s">
        <v>1529</v>
      </c>
      <c r="E189" s="125" t="s">
        <v>1530</v>
      </c>
      <c r="F189" s="126"/>
      <c r="G189" s="120" t="s">
        <v>335</v>
      </c>
      <c r="H189" s="121" t="s">
        <v>1469</v>
      </c>
      <c r="I189" s="127" t="str" cm="1">
        <f t="array" aca="1" ref="I189" ca="1">HYPERLINK(Common_InputFunctions.Utility_SourceHyperlink($D$163),$D$163)</f>
        <v>Table_N_j</v>
      </c>
    </row>
    <row r="190" spans="3:21" ht="20.100000000000001" customHeight="1" x14ac:dyDescent="0.2">
      <c r="D190" s="120" t="s">
        <v>1641</v>
      </c>
      <c r="E190" s="125" t="s">
        <v>1642</v>
      </c>
      <c r="F190" s="126"/>
      <c r="G190" s="120" t="s">
        <v>1613</v>
      </c>
      <c r="H190" s="128" t="s">
        <v>1636</v>
      </c>
      <c r="I190" s="127" t="str" cm="1">
        <f t="array" aca="1" ref="I190" ca="1">HYPERLINK(Common_InputFunctions.Utility_SourceHyperlink($D$143),$D$143)</f>
        <v>M1_Table_NE_j</v>
      </c>
    </row>
    <row r="191" spans="3:21" ht="20.100000000000001" customHeight="1" x14ac:dyDescent="0.2">
      <c r="D191" s="120" t="s">
        <v>1643</v>
      </c>
      <c r="E191" s="125" t="s">
        <v>1644</v>
      </c>
      <c r="F191" s="126"/>
      <c r="G191" s="120" t="s">
        <v>1613</v>
      </c>
      <c r="H191" s="128" t="s">
        <v>1501</v>
      </c>
      <c r="I191" s="127" t="str" cm="1">
        <f t="array" aca="1" ref="I191" ca="1">HYPERLINK(Common_InputFunctions.Utility_SourceHyperlink($D$195),$D$195)</f>
        <v>Table_NPW_j-3-5</v>
      </c>
    </row>
    <row r="192" spans="3:21" ht="20.100000000000001" customHeight="1" x14ac:dyDescent="0.2">
      <c r="D192" s="120" t="s">
        <v>1533</v>
      </c>
      <c r="E192" s="125" t="s">
        <v>1645</v>
      </c>
      <c r="F192" s="126"/>
      <c r="G192" s="120" t="s">
        <v>1540</v>
      </c>
      <c r="H192" s="121" t="s">
        <v>1469</v>
      </c>
      <c r="I192" s="127" t="str" cm="1">
        <f t="array" aca="1" ref="I192" ca="1">HYPERLINK(Common_InputFunctions.Utility_SourceHyperlink($D$200),$D$200)</f>
        <v>M1_Table_D_j-3-5</v>
      </c>
    </row>
    <row r="193" spans="1:19" ht="20.100000000000001" customHeight="1" x14ac:dyDescent="0.2">
      <c r="D193" s="120" t="s">
        <v>1535</v>
      </c>
      <c r="E193" s="125" t="s">
        <v>1646</v>
      </c>
      <c r="F193" s="126"/>
      <c r="G193" s="120" t="s">
        <v>1540</v>
      </c>
      <c r="H193" s="121" t="s">
        <v>1469</v>
      </c>
      <c r="I193" s="127" t="str" cm="1">
        <f t="array" aca="1" ref="I193" ca="1">HYPERLINK(Common_InputFunctions.Utility_SourceHyperlink($D$205),$D$205)</f>
        <v>M1_Table_DPW_j</v>
      </c>
    </row>
    <row r="195" spans="1:19" ht="20.100000000000001" customHeight="1" x14ac:dyDescent="0.2">
      <c r="D195" s="122" t="s">
        <v>504</v>
      </c>
    </row>
    <row r="196" spans="1:19" ht="20.100000000000001" customHeight="1" x14ac:dyDescent="0.2">
      <c r="D196" s="123" t="s">
        <v>505</v>
      </c>
    </row>
    <row r="197" spans="1:19" ht="20.100000000000001" customHeight="1" x14ac:dyDescent="0.2">
      <c r="D197" s="124" t="s">
        <v>330</v>
      </c>
      <c r="E197" s="124" t="s">
        <v>331</v>
      </c>
      <c r="F197" s="124" t="s">
        <v>332</v>
      </c>
      <c r="G197" s="124" t="s">
        <v>333</v>
      </c>
      <c r="H197" s="124" t="s">
        <v>334</v>
      </c>
    </row>
    <row r="198" spans="1:19" ht="20.100000000000001" customHeight="1" x14ac:dyDescent="0.2">
      <c r="D198" s="15">
        <v>0</v>
      </c>
      <c r="E198" s="15">
        <v>0</v>
      </c>
      <c r="F198" s="15">
        <f>'Constants - Dairy'!$G$63</f>
        <v>1.37E-2</v>
      </c>
      <c r="G198" s="15">
        <v>0</v>
      </c>
      <c r="H198" s="15">
        <f>'Constants - Dairy'!$G$64</f>
        <v>9.1999999999999998E-3</v>
      </c>
      <c r="I198" s="16" t="str">
        <f>G191</f>
        <v>kg N/head/day</v>
      </c>
    </row>
    <row r="199" spans="1:19" ht="20.100000000000001" customHeight="1" x14ac:dyDescent="0.2">
      <c r="A199" s="129" t="str">
        <f>HYPERLINK("#A1", "▲ Back to top")</f>
        <v>▲ Back to top</v>
      </c>
    </row>
    <row r="200" spans="1:19" ht="20.100000000000001" customHeight="1" x14ac:dyDescent="0.2">
      <c r="D200" s="122" t="s">
        <v>506</v>
      </c>
      <c r="N200" s="122" t="s">
        <v>506</v>
      </c>
    </row>
    <row r="201" spans="1:19" ht="20.100000000000001" customHeight="1" x14ac:dyDescent="0.2">
      <c r="D201" s="123" t="s">
        <v>507</v>
      </c>
      <c r="N201" s="123" t="s">
        <v>508</v>
      </c>
    </row>
    <row r="202" spans="1:19" ht="20.100000000000001" customHeight="1" x14ac:dyDescent="0.2">
      <c r="D202" s="81" t="s">
        <v>330</v>
      </c>
      <c r="E202" s="81" t="s">
        <v>331</v>
      </c>
      <c r="F202" s="81" t="s">
        <v>332</v>
      </c>
      <c r="G202" s="81" t="s">
        <v>333</v>
      </c>
      <c r="H202" s="81" t="s">
        <v>334</v>
      </c>
      <c r="N202" s="81" t="s">
        <v>330</v>
      </c>
      <c r="O202" s="81" t="s">
        <v>331</v>
      </c>
      <c r="P202" s="81" t="s">
        <v>332</v>
      </c>
      <c r="Q202" s="81" t="s">
        <v>333</v>
      </c>
      <c r="R202" s="81" t="s">
        <v>334</v>
      </c>
    </row>
    <row r="203" spans="1:19" ht="20.100000000000001" customHeight="1" x14ac:dyDescent="0.2">
      <c r="D203" s="15">
        <v>0</v>
      </c>
      <c r="E203" s="15">
        <v>0</v>
      </c>
      <c r="F203" s="15">
        <f>INDEX(X_Table_Dairy_DurationOfStay_Method1,2,4)</f>
        <v>281</v>
      </c>
      <c r="G203" s="15">
        <v>0</v>
      </c>
      <c r="H203" s="15">
        <f>INDEX(X_Table_Dairy_DurationOfStay_Method1,2,6)</f>
        <v>281</v>
      </c>
      <c r="I203" s="16" t="str">
        <f>$G$192</f>
        <v>days</v>
      </c>
      <c r="N203" s="15">
        <v>0</v>
      </c>
      <c r="O203" s="15">
        <v>0</v>
      </c>
      <c r="P203" s="15">
        <f>INDEX(X_Table_Dairy_DurationOfStay_Method2,2,4)</f>
        <v>281</v>
      </c>
      <c r="Q203" s="15">
        <v>0</v>
      </c>
      <c r="R203" s="15">
        <f>INDEX(X_Table_Dairy_DurationOfStay_Method2,2,6)</f>
        <v>281</v>
      </c>
      <c r="S203" s="16" t="str">
        <f>$G$192</f>
        <v>days</v>
      </c>
    </row>
    <row r="205" spans="1:19" ht="20.100000000000001" customHeight="1" x14ac:dyDescent="0.2">
      <c r="D205" s="122" t="s">
        <v>461</v>
      </c>
      <c r="N205" s="122" t="s">
        <v>461</v>
      </c>
    </row>
    <row r="206" spans="1:19" ht="20.100000000000001" customHeight="1" x14ac:dyDescent="0.2">
      <c r="D206" s="123" t="s">
        <v>462</v>
      </c>
      <c r="N206" s="123" t="s">
        <v>509</v>
      </c>
    </row>
    <row r="207" spans="1:19" ht="20.100000000000001" customHeight="1" x14ac:dyDescent="0.2">
      <c r="D207" s="81" t="s">
        <v>330</v>
      </c>
      <c r="E207" s="81" t="s">
        <v>331</v>
      </c>
      <c r="F207" s="81" t="s">
        <v>332</v>
      </c>
      <c r="G207" s="81" t="s">
        <v>333</v>
      </c>
      <c r="H207" s="81" t="s">
        <v>334</v>
      </c>
      <c r="N207" s="81" t="s">
        <v>330</v>
      </c>
      <c r="O207" s="81" t="s">
        <v>331</v>
      </c>
      <c r="P207" s="81" t="s">
        <v>332</v>
      </c>
      <c r="Q207" s="81" t="s">
        <v>333</v>
      </c>
      <c r="R207" s="81" t="s">
        <v>334</v>
      </c>
    </row>
    <row r="208" spans="1:19" ht="20.100000000000001" customHeight="1" x14ac:dyDescent="0.2">
      <c r="D208" s="15">
        <f>INDEX(X_Table_Dairy_DurationOfStay_Method1,3,2)</f>
        <v>0</v>
      </c>
      <c r="E208" s="15">
        <f>INDEX(X_Table_Dairy_DurationOfStay_Method1,3,3)</f>
        <v>0</v>
      </c>
      <c r="F208" s="15">
        <f>INDEX(X_Table_Dairy_DurationOfStay_Method1,3,4)</f>
        <v>84</v>
      </c>
      <c r="G208" s="15">
        <f>INDEX(X_Table_Dairy_DurationOfStay_Method1,3,5)</f>
        <v>0</v>
      </c>
      <c r="H208" s="15">
        <f>INDEX(X_Table_Dairy_DurationOfStay_Method1,3,6)</f>
        <v>84</v>
      </c>
      <c r="I208" s="16" t="str">
        <f>$G$193</f>
        <v>days</v>
      </c>
      <c r="N208" s="15">
        <f>INDEX(X_Table_Dairy_DurationOfStay_Method1,3,2)</f>
        <v>0</v>
      </c>
      <c r="O208" s="15">
        <f>INDEX(X_Table_Dairy_DurationOfStay_Method1,3,3)</f>
        <v>0</v>
      </c>
      <c r="P208" s="15">
        <f>INDEX(X_Table_Dairy_DurationOfStay_Method2,3,4)</f>
        <v>84</v>
      </c>
      <c r="Q208" s="15">
        <f>INDEX(X_Table_Dairy_DurationOfStay_Method1,3,5)</f>
        <v>0</v>
      </c>
      <c r="R208" s="15">
        <f>INDEX(X_Table_Dairy_DurationOfStay_Method2,3,6)</f>
        <v>84</v>
      </c>
      <c r="S208" s="16" t="str">
        <f>$G$193</f>
        <v>days</v>
      </c>
    </row>
    <row r="210" spans="3:21" ht="20.100000000000001" customHeight="1" x14ac:dyDescent="0.2">
      <c r="D210" s="122" t="s">
        <v>510</v>
      </c>
      <c r="N210" s="122" t="s">
        <v>510</v>
      </c>
    </row>
    <row r="211" spans="3:21" ht="20.100000000000001" customHeight="1" x14ac:dyDescent="0.2">
      <c r="D211" s="123" t="s">
        <v>511</v>
      </c>
      <c r="N211" s="123" t="s">
        <v>512</v>
      </c>
    </row>
    <row r="212" spans="3:21" ht="20.100000000000001" customHeight="1" x14ac:dyDescent="0.2">
      <c r="D212" s="124" t="s">
        <v>330</v>
      </c>
      <c r="E212" s="124" t="s">
        <v>331</v>
      </c>
      <c r="F212" s="124" t="s">
        <v>332</v>
      </c>
      <c r="G212" s="124" t="s">
        <v>333</v>
      </c>
      <c r="H212" s="124" t="s">
        <v>334</v>
      </c>
      <c r="N212" s="124" t="s">
        <v>330</v>
      </c>
      <c r="O212" s="124" t="s">
        <v>331</v>
      </c>
      <c r="P212" s="124" t="s">
        <v>332</v>
      </c>
      <c r="Q212" s="124" t="s">
        <v>333</v>
      </c>
      <c r="R212" s="124" t="s">
        <v>334</v>
      </c>
    </row>
    <row r="213" spans="3:21" ht="20.100000000000001" customHeight="1" x14ac:dyDescent="0.2">
      <c r="D213" s="15">
        <f>((D166 * D146 * D203) + (D166 * D198 * D208))</f>
        <v>0</v>
      </c>
      <c r="E213" s="15">
        <f>((E166 * E146 * E203) + (E166 * E198 * E208))</f>
        <v>0</v>
      </c>
      <c r="F213" s="15">
        <f>((F166 * F146 * F203) + (F166 * F198 * F208))</f>
        <v>3301.419278356519</v>
      </c>
      <c r="G213" s="15">
        <f>((G166 * G146 * G203) + (G166 * G198 * G208))</f>
        <v>0</v>
      </c>
      <c r="H213" s="15">
        <f>((H166 * H146 * H203) + (H166 * H198 * H208))</f>
        <v>4361.9480490479727</v>
      </c>
      <c r="I213" s="16" t="str">
        <f>$E$187</f>
        <v>kg N</v>
      </c>
      <c r="N213" s="15">
        <f>((D166 * N146 * N203) + (D166 * D198 * N208))</f>
        <v>0</v>
      </c>
      <c r="O213" s="15">
        <f>((E166 * O146 * O203) + (E166 * E198 * O208))</f>
        <v>0</v>
      </c>
      <c r="P213" s="15">
        <f>((F166 * P146 * P203) + (F166 * F198 * P208))</f>
        <v>3301.419278356519</v>
      </c>
      <c r="Q213" s="15">
        <f>((G166 * Q146 * Q203) + (G166 * G198 * Q208))</f>
        <v>0</v>
      </c>
      <c r="R213" s="15">
        <f>((H166 * R146 * R203) + (H166 * H198 * R208))</f>
        <v>4361.9480490479727</v>
      </c>
      <c r="S213" s="16" t="str">
        <f>$E$187</f>
        <v>kg N</v>
      </c>
    </row>
    <row r="216" spans="3:21" ht="20.100000000000001" customHeight="1" x14ac:dyDescent="0.2">
      <c r="C216" s="88"/>
      <c r="D216" s="88"/>
      <c r="E216" s="88"/>
      <c r="F216" s="88"/>
      <c r="G216" s="88"/>
      <c r="H216" s="88"/>
      <c r="I216" s="88"/>
      <c r="J216" s="88"/>
      <c r="K216" s="88"/>
      <c r="M216" s="88"/>
      <c r="N216" s="88"/>
      <c r="O216" s="88"/>
      <c r="P216" s="88"/>
      <c r="Q216" s="88"/>
      <c r="R216" s="88"/>
      <c r="S216" s="88"/>
      <c r="T216" s="88"/>
      <c r="U216" s="88"/>
    </row>
    <row r="217" spans="3:21" ht="20.100000000000001" customHeight="1" x14ac:dyDescent="0.2">
      <c r="D217" s="2" t="s">
        <v>1647</v>
      </c>
    </row>
    <row r="218" spans="3:21" ht="20.100000000000001" customHeight="1" x14ac:dyDescent="0.2">
      <c r="D218" s="17" t="s">
        <v>1648</v>
      </c>
    </row>
    <row r="219" spans="3:21" ht="20.100000000000001" customHeight="1" x14ac:dyDescent="0.2">
      <c r="D219" s="118"/>
      <c r="E219" s="118"/>
    </row>
    <row r="221" spans="3:21" ht="20.100000000000001" customHeight="1" x14ac:dyDescent="0.2">
      <c r="D221" s="2"/>
    </row>
    <row r="222" spans="3:21" ht="20.100000000000001" customHeight="1" x14ac:dyDescent="0.2">
      <c r="D222" s="76" t="s">
        <v>378</v>
      </c>
      <c r="E222" s="1" t="s">
        <v>1649</v>
      </c>
    </row>
    <row r="223" spans="3:21" ht="20.100000000000001" customHeight="1" x14ac:dyDescent="0.2">
      <c r="D223" s="76" t="s">
        <v>118</v>
      </c>
      <c r="E223" s="9" t="s">
        <v>1301</v>
      </c>
    </row>
    <row r="225" spans="1:20" ht="20.100000000000001" customHeight="1" x14ac:dyDescent="0.2">
      <c r="D225" s="120" t="s">
        <v>1650</v>
      </c>
      <c r="E225" s="120" t="s">
        <v>1651</v>
      </c>
      <c r="F225" s="120"/>
      <c r="G225" s="120" t="s">
        <v>1301</v>
      </c>
      <c r="H225" s="128" t="s">
        <v>1653</v>
      </c>
      <c r="I225" s="127" t="str" cm="1">
        <f t="array" aca="1" ref="I225" ca="1">HYPERLINK(Common_InputFunctions.Utility_SourceHyperlink($D$173),$D$173)</f>
        <v>M1_Table_AE_j-1-2-4</v>
      </c>
      <c r="J225" s="127" t="str" cm="1">
        <f t="array" aca="1" ref="J225" ca="1">HYPERLINK(Common_InputFunctions.Utility_SourceHyperlink($D$210),$D$210)</f>
        <v>M1_Table_AE_j</v>
      </c>
    </row>
    <row r="226" spans="1:20" ht="20.100000000000001" customHeight="1" x14ac:dyDescent="0.2">
      <c r="D226" s="120" t="s">
        <v>1553</v>
      </c>
      <c r="E226" s="120" t="s">
        <v>1652</v>
      </c>
      <c r="F226" s="120"/>
      <c r="G226" s="120" t="s">
        <v>383</v>
      </c>
      <c r="H226" s="121" t="s">
        <v>1469</v>
      </c>
      <c r="I226" s="127" t="str" cm="1">
        <f t="array" aca="1" ref="I226" ca="1">HYPERLINK(Common_InputFunctions.Utility_SourceHyperlink($D$228),$D$228)</f>
        <v>M1_Table_MMS_j_m</v>
      </c>
      <c r="J226" s="127" t="str" cm="1">
        <f t="array" aca="1" ref="J226" ca="1">HYPERLINK(Common_InputFunctions.Utility_SourceHyperlink($D$228),$D$228)</f>
        <v>M1_Table_MMS_j_m</v>
      </c>
    </row>
    <row r="228" spans="1:20" ht="20.100000000000001" customHeight="1" x14ac:dyDescent="0.2">
      <c r="D228" s="122" t="s">
        <v>418</v>
      </c>
      <c r="N228" s="122" t="s">
        <v>419</v>
      </c>
    </row>
    <row r="229" spans="1:20" ht="20.100000000000001" customHeight="1" x14ac:dyDescent="0.2">
      <c r="A229" s="129" t="str">
        <f>HYPERLINK("#A1", "▲ Back to top")</f>
        <v>▲ Back to top</v>
      </c>
      <c r="D229" s="123" t="s">
        <v>513</v>
      </c>
      <c r="N229" s="123" t="s">
        <v>514</v>
      </c>
    </row>
    <row r="230" spans="1:20" ht="20.100000000000001" customHeight="1" x14ac:dyDescent="0.2">
      <c r="D230" s="81" t="s">
        <v>159</v>
      </c>
      <c r="E230" s="81" t="s">
        <v>422</v>
      </c>
      <c r="F230" s="81" t="s">
        <v>330</v>
      </c>
      <c r="G230" s="81" t="s">
        <v>331</v>
      </c>
      <c r="H230" s="81" t="s">
        <v>332</v>
      </c>
      <c r="I230" s="81" t="s">
        <v>333</v>
      </c>
      <c r="J230" s="81" t="s">
        <v>334</v>
      </c>
      <c r="N230" s="81" t="s">
        <v>159</v>
      </c>
      <c r="O230" s="81" t="s">
        <v>422</v>
      </c>
      <c r="P230" s="81" t="s">
        <v>330</v>
      </c>
      <c r="Q230" s="81" t="s">
        <v>331</v>
      </c>
      <c r="R230" s="81" t="s">
        <v>332</v>
      </c>
      <c r="S230" s="81" t="s">
        <v>333</v>
      </c>
      <c r="T230" s="81" t="s">
        <v>334</v>
      </c>
    </row>
    <row r="231" spans="1:20" ht="20.100000000000001" customHeight="1" x14ac:dyDescent="0.2">
      <c r="D231" s="15" t="str">
        <f>INDEX(X_Table_Dairy_ProductionSystems_Method1,3,1)</f>
        <v>Milking shed</v>
      </c>
      <c r="E231" s="15" t="str">
        <f>INDEX(X_Table_Dairy_Stage1MMS_1_AnaerobicLagoon,2,1)</f>
        <v>Anaerobic lagoon</v>
      </c>
      <c r="F231" s="15" cm="1">
        <f t="array" ref="F231">InputFunctions_Dairy.CalculateFractionInMMSAfterSolidSeparation(INDEX(X_Table_Dairy_ProductionSystems_Method1, 3, 2),INDEX(X_Table_Dairy_Stage1MMS_1_AnaerobicLagoon,2,2),X_Cell_Dairy_Stage1MMS_1_AnaerobicLagoon_AmountSeparated_Method1)</f>
        <v>2.2000000000000002E-2</v>
      </c>
      <c r="G231" s="15" cm="1">
        <f t="array" ref="G231">InputFunctions_Dairy.CalculateFractionInMMSAfterSolidSeparation(INDEX(X_Table_Dairy_ProductionSystems_Method1, 3, 3),INDEX(X_Table_Dairy_Stage1MMS_1_AnaerobicLagoon,2,3),X_Cell_Dairy_Stage1MMS_1_AnaerobicLagoon_AmountSeparated_Method1)</f>
        <v>2.2000000000000002E-2</v>
      </c>
      <c r="H231" s="15" cm="1">
        <f t="array" ref="H231">InputFunctions_Dairy.CalculateFractionInMMSAfterSolidSeparation(INDEX(X_Table_Dairy_ProductionSystems_Method1, 3, 4),INDEX(X_Table_Dairy_Stage1MMS_1_AnaerobicLagoon,2,4),X_Cell_Dairy_Stage1MMS_1_AnaerobicLagoon_AmountSeparated_Method1)</f>
        <v>2.2000000000000002E-2</v>
      </c>
      <c r="I231" s="15" cm="1">
        <f t="array" ref="I231">InputFunctions_Dairy.CalculateFractionInMMSAfterSolidSeparation(INDEX(X_Table_Dairy_ProductionSystems_Method1, 3, 5),INDEX(X_Table_Dairy_Stage1MMS_1_AnaerobicLagoon,2,5),X_Cell_Dairy_Stage1MMS_1_AnaerobicLagoon_AmountSeparated_Method1)</f>
        <v>2.2000000000000002E-2</v>
      </c>
      <c r="J231" s="15" cm="1">
        <f t="array" ref="J231">InputFunctions_Dairy.CalculateFractionInMMSAfterSolidSeparation(INDEX(X_Table_Dairy_ProductionSystems_Method1, 3, 6),INDEX(X_Table_Dairy_Stage1MMS_1_AnaerobicLagoon,2,6),X_Cell_Dairy_Stage1MMS_1_AnaerobicLagoon_AmountSeparated_Method1)</f>
        <v>2.2000000000000002E-2</v>
      </c>
      <c r="N231" s="15" t="str">
        <f>INDEX(X_Table_Dairy_ProductionSystems_Method1,3,1)</f>
        <v>Milking shed</v>
      </c>
      <c r="O231" s="15" t="str">
        <f>INDEX(X_Table_Dairy_Stage1MMS_1_AnaerobicLagoon,2,1)</f>
        <v>Anaerobic lagoon</v>
      </c>
      <c r="P231" s="15" cm="1">
        <f t="array" ref="P231">InputFunctions_Dairy.CalculateFractionInMMSAfterSolidSeparation(INDEX(X_Table_Dairy_ProductionSystems_Method2, 3, 2),INDEX(X_Table_Dairy_Stage1MMS_1_AnaerobicLagoon,2,2),X_Cell_Dairy_Stage1MMS_1_AnaerobicLagoon_AmountSeparated_Method2)</f>
        <v>2.2000000000000002E-2</v>
      </c>
      <c r="Q231" s="15" cm="1">
        <f t="array" ref="Q231">InputFunctions_Dairy.CalculateFractionInMMSAfterSolidSeparation(INDEX(X_Table_Dairy_ProductionSystems_Method2, 3, 3),INDEX(X_Table_Dairy_Stage1MMS_1_AnaerobicLagoon,2,3),X_Cell_Dairy_Stage1MMS_1_AnaerobicLagoon_AmountSeparated_Method2)</f>
        <v>2.2000000000000002E-2</v>
      </c>
      <c r="R231" s="15" cm="1">
        <f t="array" ref="R231">InputFunctions_Dairy.CalculateFractionInMMSAfterSolidSeparation(INDEX(X_Table_Dairy_ProductionSystems_Method2, 3, 4),INDEX(X_Table_Dairy_Stage1MMS_1_AnaerobicLagoon,2,4),X_Cell_Dairy_Stage1MMS_1_AnaerobicLagoon_AmountSeparated_Method2)</f>
        <v>2.2000000000000002E-2</v>
      </c>
      <c r="S231" s="15" cm="1">
        <f t="array" ref="S231">InputFunctions_Dairy.CalculateFractionInMMSAfterSolidSeparation(INDEX(X_Table_Dairy_ProductionSystems_Method2, 3, 5),INDEX(X_Table_Dairy_Stage1MMS_1_AnaerobicLagoon,2,5),X_Cell_Dairy_Stage1MMS_1_AnaerobicLagoon_AmountSeparated_Method2)</f>
        <v>2.2000000000000002E-2</v>
      </c>
      <c r="T231" s="15"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1:20" ht="20.100000000000001" customHeight="1" x14ac:dyDescent="0.2">
      <c r="D232" s="15" t="str">
        <f>INDEX(X_Table_Dairy_ProductionSystems_Method1,3,1)</f>
        <v>Milking shed</v>
      </c>
      <c r="E232" s="15" t="str">
        <f>INDEX(X_Table_Dairy_Stage1MMS_1_SumpAndDispersal,2,1)</f>
        <v>Sump and dispersal system</v>
      </c>
      <c r="F232" s="15" cm="1">
        <f t="array" ref="F232">InputFunctions_Dairy.CalculateFractionInMMSAfterSolidSeparation(INDEX(X_Table_Dairy_ProductionSystems_Method1, 3, 2),INDEX(X_Table_Dairy_Stage1MMS_1_SumpAndDispersal,2,2),X_Cell_Dairy_Stage1MMS_1_AnaerobicLagoon_AmountSeparated_Method1)</f>
        <v>2.2000000000000002E-2</v>
      </c>
      <c r="G232" s="15" cm="1">
        <f t="array" ref="G232">InputFunctions_Dairy.CalculateFractionInMMSAfterSolidSeparation(INDEX(X_Table_Dairy_ProductionSystems_Method1, 3, 3),INDEX(X_Table_Dairy_Stage1MMS_1_SumpAndDispersal,2,3),X_Cell_Dairy_Stage1MMS_1_AnaerobicLagoon_AmountSeparated_Method1)</f>
        <v>2.2000000000000002E-2</v>
      </c>
      <c r="H232" s="15" cm="1">
        <f t="array" ref="H232">InputFunctions_Dairy.CalculateFractionInMMSAfterSolidSeparation(INDEX(X_Table_Dairy_ProductionSystems_Method1, 3, 4),INDEX(X_Table_Dairy_Stage1MMS_1_SumpAndDispersal,2,4),X_Cell_Dairy_Stage1MMS_1_AnaerobicLagoon_AmountSeparated_Method1)</f>
        <v>2.2000000000000002E-2</v>
      </c>
      <c r="I232" s="15" cm="1">
        <f t="array" ref="I232">InputFunctions_Dairy.CalculateFractionInMMSAfterSolidSeparation(INDEX(X_Table_Dairy_ProductionSystems_Method1, 3, 5),INDEX(X_Table_Dairy_Stage1MMS_1_SumpAndDispersal,2,5),X_Cell_Dairy_Stage1MMS_1_AnaerobicLagoon_AmountSeparated_Method1)</f>
        <v>2.2000000000000002E-2</v>
      </c>
      <c r="J232" s="15" cm="1">
        <f t="array" ref="J232">InputFunctions_Dairy.CalculateFractionInMMSAfterSolidSeparation(INDEX(X_Table_Dairy_ProductionSystems_Method1, 3, 6),INDEX(X_Table_Dairy_Stage1MMS_1_SumpAndDispersal,2,6),X_Cell_Dairy_Stage1MMS_1_AnaerobicLagoon_AmountSeparated_Method1)</f>
        <v>2.2000000000000002E-2</v>
      </c>
      <c r="N232" s="15" t="str">
        <f>INDEX(X_Table_Dairy_ProductionSystems_Method1,3,1)</f>
        <v>Milking shed</v>
      </c>
      <c r="O232" s="15" t="str">
        <f>INDEX(X_Table_Dairy_Stage1MMS_1_SumpAndDispersal,2,1)</f>
        <v>Sump and dispersal system</v>
      </c>
      <c r="P232" s="15" cm="1">
        <f t="array" ref="P232">InputFunctions_Dairy.CalculateFractionInMMSAfterSolidSeparation(INDEX(X_Table_Dairy_ProductionSystems_Method2, 3, 2),INDEX(X_Table_Dairy_Stage1MMS_1_SumpAndDispersal,2,2),X_Cell_Dairy_Stage1MMS_1_AnaerobicLagoon_AmountSeparated_Method2)</f>
        <v>2.2000000000000002E-2</v>
      </c>
      <c r="Q232" s="15" cm="1">
        <f t="array" ref="Q232">InputFunctions_Dairy.CalculateFractionInMMSAfterSolidSeparation(INDEX(X_Table_Dairy_ProductionSystems_Method2, 3, 3),INDEX(X_Table_Dairy_Stage1MMS_1_SumpAndDispersal,2,3),X_Cell_Dairy_Stage1MMS_1_AnaerobicLagoon_AmountSeparated_Method2)</f>
        <v>2.2000000000000002E-2</v>
      </c>
      <c r="R232" s="15" cm="1">
        <f t="array" ref="R232">InputFunctions_Dairy.CalculateFractionInMMSAfterSolidSeparation(INDEX(X_Table_Dairy_ProductionSystems_Method2, 3, 4),INDEX(X_Table_Dairy_Stage1MMS_1_SumpAndDispersal,2,4),X_Cell_Dairy_Stage1MMS_1_AnaerobicLagoon_AmountSeparated_Method2)</f>
        <v>2.2000000000000002E-2</v>
      </c>
      <c r="S232" s="15" cm="1">
        <f t="array" ref="S232">InputFunctions_Dairy.CalculateFractionInMMSAfterSolidSeparation(INDEX(X_Table_Dairy_ProductionSystems_Method2, 3, 5),INDEX(X_Table_Dairy_Stage1MMS_1_SumpAndDispersal,2,5),X_Cell_Dairy_Stage1MMS_1_AnaerobicLagoon_AmountSeparated_Method2)</f>
        <v>2.2000000000000002E-2</v>
      </c>
      <c r="T232" s="15"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1:20" ht="20.100000000000001" customHeight="1" x14ac:dyDescent="0.2">
      <c r="D233" s="15" t="str">
        <f>INDEX(X_Table_Dairy_ProductionSystems_Method1,3,1)</f>
        <v>Milking shed</v>
      </c>
      <c r="E233" s="15" t="str">
        <f>INDEX(X_Table_Dairy_Stage1MMS_1_DrainsToPaddock,2,1)</f>
        <v>Drains to paddock</v>
      </c>
      <c r="F233" s="15" cm="1">
        <f t="array" ref="F233">InputFunctions_Dairy.CalculateFractionInMMSAfterSolidSeparation(INDEX(X_Table_Dairy_ProductionSystems_Method1, 3, 2),INDEX(X_Table_Dairy_Stage1MMS_1_DrainsToPaddock,2,2),X_Cell_Dairy_Stage1MMS_1_AnaerobicLagoon_AmountSeparated_Method1)</f>
        <v>2.2000000000000002E-2</v>
      </c>
      <c r="G233" s="15" cm="1">
        <f t="array" ref="G233">InputFunctions_Dairy.CalculateFractionInMMSAfterSolidSeparation(INDEX(X_Table_Dairy_ProductionSystems_Method1, 3, 3),INDEX(X_Table_Dairy_Stage1MMS_1_DrainsToPaddock,2,3),X_Cell_Dairy_Stage1MMS_1_AnaerobicLagoon_AmountSeparated_Method1)</f>
        <v>2.2000000000000002E-2</v>
      </c>
      <c r="H233" s="15" cm="1">
        <f t="array" ref="H233">InputFunctions_Dairy.CalculateFractionInMMSAfterSolidSeparation(INDEX(X_Table_Dairy_ProductionSystems_Method1, 3, 4),INDEX(X_Table_Dairy_Stage1MMS_1_DrainsToPaddock,2,4),X_Cell_Dairy_Stage1MMS_1_AnaerobicLagoon_AmountSeparated_Method1)</f>
        <v>2.2000000000000002E-2</v>
      </c>
      <c r="I233" s="15" cm="1">
        <f t="array" ref="I233">InputFunctions_Dairy.CalculateFractionInMMSAfterSolidSeparation(INDEX(X_Table_Dairy_ProductionSystems_Method1, 3, 5),INDEX(X_Table_Dairy_Stage1MMS_1_DrainsToPaddock,2,5),X_Cell_Dairy_Stage1MMS_1_AnaerobicLagoon_AmountSeparated_Method1)</f>
        <v>2.2000000000000002E-2</v>
      </c>
      <c r="J233" s="15" cm="1">
        <f t="array" ref="J233">InputFunctions_Dairy.CalculateFractionInMMSAfterSolidSeparation(INDEX(X_Table_Dairy_ProductionSystems_Method1, 3, 6),INDEX(X_Table_Dairy_Stage1MMS_1_DrainsToPaddock,2,6),X_Cell_Dairy_Stage1MMS_1_AnaerobicLagoon_AmountSeparated_Method1)</f>
        <v>2.2000000000000002E-2</v>
      </c>
      <c r="N233" s="15" t="str">
        <f>INDEX(X_Table_Dairy_ProductionSystems_Method1,3,1)</f>
        <v>Milking shed</v>
      </c>
      <c r="O233" s="15" t="str">
        <f>INDEX(X_Table_Dairy_Stage1MMS_1_DrainsToPaddock,2,1)</f>
        <v>Drains to paddock</v>
      </c>
      <c r="P233" s="15" cm="1">
        <f t="array" ref="P233">InputFunctions_Dairy.CalculateFractionInMMSAfterSolidSeparation(INDEX(X_Table_Dairy_ProductionSystems_Method2, 3, 2),INDEX(X_Table_Dairy_Stage1MMS_1_DrainsToPaddock,2,2),X_Cell_Dairy_Stage1MMS_1_AnaerobicLagoon_AmountSeparated_Method2)</f>
        <v>2.2000000000000002E-2</v>
      </c>
      <c r="Q233" s="15" cm="1">
        <f t="array" ref="Q233">InputFunctions_Dairy.CalculateFractionInMMSAfterSolidSeparation(INDEX(X_Table_Dairy_ProductionSystems_Method2, 3, 3),INDEX(X_Table_Dairy_Stage1MMS_1_DrainsToPaddock,2,3),X_Cell_Dairy_Stage1MMS_1_AnaerobicLagoon_AmountSeparated_Method2)</f>
        <v>2.2000000000000002E-2</v>
      </c>
      <c r="R233" s="15" cm="1">
        <f t="array" ref="R233">InputFunctions_Dairy.CalculateFractionInMMSAfterSolidSeparation(INDEX(X_Table_Dairy_ProductionSystems_Method2, 3, 4),INDEX(X_Table_Dairy_Stage1MMS_1_DrainsToPaddock,2,4),X_Cell_Dairy_Stage1MMS_1_AnaerobicLagoon_AmountSeparated_Method2)</f>
        <v>2.2000000000000002E-2</v>
      </c>
      <c r="S233" s="15" cm="1">
        <f t="array" ref="S233">InputFunctions_Dairy.CalculateFractionInMMSAfterSolidSeparation(INDEX(X_Table_Dairy_ProductionSystems_Method2, 3, 5),INDEX(X_Table_Dairy_Stage1MMS_1_DrainsToPaddock,2,5),X_Cell_Dairy_Stage1MMS_1_AnaerobicLagoon_AmountSeparated_Method2)</f>
        <v>2.2000000000000002E-2</v>
      </c>
      <c r="T233" s="15"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1:20" ht="20.100000000000001" customHeight="1" x14ac:dyDescent="0.2">
      <c r="D234" s="15" t="str">
        <f>INDEX(X_Table_Dairy_ProductionSystems_Method1,3,1)</f>
        <v>Milking shed</v>
      </c>
      <c r="E234" s="15" t="s">
        <v>75</v>
      </c>
      <c r="F234" s="15"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15"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15"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15"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15"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15" t="str">
        <f>INDEX(X_Table_Dairy_ProductionSystems_Method1,3,1)</f>
        <v>Milking shed</v>
      </c>
      <c r="O234" s="15" t="s">
        <v>75</v>
      </c>
      <c r="P234" s="15"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15"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15"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15"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15"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1:20" ht="20.100000000000001" customHeight="1" x14ac:dyDescent="0.2">
      <c r="D235" s="15" t="str">
        <f>INDEX(X_Table_Dairy_ProductionSystems_Method1,4,1)</f>
        <v>Feed pad</v>
      </c>
      <c r="E235" s="15" t="str">
        <f>INDEX(X_Table_Dairy_Stage1MMS_2_AnaerobicLagoon,2,1)</f>
        <v>Anaerobic lagoon</v>
      </c>
      <c r="F235" s="15" cm="1">
        <f t="array" ref="F235">InputFunctions_Dairy.CalculateFractionInMMSAfterSolidSeparation(INDEX(X_Table_Dairy_ProductionSystems_Method1, 4, 2),INDEX(X_Table_Dairy_Stage1MMS_2_AnaerobicLagoon,2,2),X_Cell_Dairy_Stage1MMS_2_AnaerobicLagoon_AmountSeparated_Method1)</f>
        <v>8.8999999999999996E-2</v>
      </c>
      <c r="G235" s="15" cm="1">
        <f t="array" ref="G235">InputFunctions_Dairy.CalculateFractionInMMSAfterSolidSeparation(INDEX(X_Table_Dairy_ProductionSystems_Method1, 4, 3),INDEX(X_Table_Dairy_Stage1MMS_2_AnaerobicLagoon,2,3),X_Cell_Dairy_Stage1MMS_2_AnaerobicLagoon_AmountSeparated_Method1)</f>
        <v>8.8999999999999996E-2</v>
      </c>
      <c r="H235" s="15" cm="1">
        <f t="array" ref="H235">InputFunctions_Dairy.CalculateFractionInMMSAfterSolidSeparation(INDEX(X_Table_Dairy_ProductionSystems_Method1, 4, 4),INDEX(X_Table_Dairy_Stage1MMS_2_AnaerobicLagoon,2,4),X_Cell_Dairy_Stage1MMS_2_AnaerobicLagoon_AmountSeparated_Method1)</f>
        <v>8.8999999999999996E-2</v>
      </c>
      <c r="I235" s="15" cm="1">
        <f t="array" ref="I235">InputFunctions_Dairy.CalculateFractionInMMSAfterSolidSeparation(INDEX(X_Table_Dairy_ProductionSystems_Method1, 4, 5),INDEX(X_Table_Dairy_Stage1MMS_2_AnaerobicLagoon,2,5),X_Cell_Dairy_Stage1MMS_2_AnaerobicLagoon_AmountSeparated_Method1)</f>
        <v>8.8999999999999996E-2</v>
      </c>
      <c r="J235" s="15" cm="1">
        <f t="array" ref="J235">InputFunctions_Dairy.CalculateFractionInMMSAfterSolidSeparation(INDEX(X_Table_Dairy_ProductionSystems_Method1, 4, 6),INDEX(X_Table_Dairy_Stage1MMS_2_AnaerobicLagoon,2,6),X_Cell_Dairy_Stage1MMS_2_AnaerobicLagoon_AmountSeparated_Method1)</f>
        <v>8.8999999999999996E-2</v>
      </c>
      <c r="N235" s="15" t="str">
        <f>INDEX(X_Table_Dairy_ProductionSystems_Method1,4,1)</f>
        <v>Feed pad</v>
      </c>
      <c r="O235" s="15" t="str">
        <f>INDEX(X_Table_Dairy_Stage1MMS_2_AnaerobicLagoon,2,1)</f>
        <v>Anaerobic lagoon</v>
      </c>
      <c r="P235" s="15" cm="1">
        <f t="array" ref="P235">InputFunctions_Dairy.CalculateFractionInMMSAfterSolidSeparation(INDEX(X_Table_Dairy_ProductionSystems_Method2, 4, 2),INDEX(X_Table_Dairy_Stage1MMS_2_AnaerobicLagoon,2,2),X_Cell_Dairy_Stage1MMS_2_AnaerobicLagoon_AmountSeparated_Method2)</f>
        <v>8.8999999999999996E-2</v>
      </c>
      <c r="Q235" s="15" cm="1">
        <f t="array" ref="Q235">InputFunctions_Dairy.CalculateFractionInMMSAfterSolidSeparation(INDEX(X_Table_Dairy_ProductionSystems_Method2, 4, 3),INDEX(X_Table_Dairy_Stage1MMS_2_AnaerobicLagoon,2,3),X_Cell_Dairy_Stage1MMS_2_AnaerobicLagoon_AmountSeparated_Method2)</f>
        <v>8.8999999999999996E-2</v>
      </c>
      <c r="R235" s="15" cm="1">
        <f t="array" ref="R235">InputFunctions_Dairy.CalculateFractionInMMSAfterSolidSeparation(INDEX(X_Table_Dairy_ProductionSystems_Method2, 4, 4),INDEX(X_Table_Dairy_Stage1MMS_2_AnaerobicLagoon,2,4),X_Cell_Dairy_Stage1MMS_2_AnaerobicLagoon_AmountSeparated_Method2)</f>
        <v>8.8999999999999996E-2</v>
      </c>
      <c r="S235" s="15" cm="1">
        <f t="array" ref="S235">InputFunctions_Dairy.CalculateFractionInMMSAfterSolidSeparation(INDEX(X_Table_Dairy_ProductionSystems_Method2, 4, 5),INDEX(X_Table_Dairy_Stage1MMS_2_AnaerobicLagoon,2,5),X_Cell_Dairy_Stage1MMS_2_AnaerobicLagoon_AmountSeparated_Method2)</f>
        <v>8.8999999999999996E-2</v>
      </c>
      <c r="T235" s="15"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1:20" ht="20.100000000000001" customHeight="1" x14ac:dyDescent="0.2">
      <c r="D236" s="15" t="str">
        <f>INDEX(X_Table_Dairy_ProductionSystems_Method1,4,1)</f>
        <v>Feed pad</v>
      </c>
      <c r="E236" s="15" t="str">
        <f>INDEX(X_Table_Dairy_Stage1MMS_2_SumpAndDispersal,2,1)</f>
        <v>Sump and dispersal system</v>
      </c>
      <c r="F236" s="15"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15"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15"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15"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15"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15" t="str">
        <f>INDEX(X_Table_Dairy_ProductionSystems_Method1,4,1)</f>
        <v>Feed pad</v>
      </c>
      <c r="O236" s="15" t="str">
        <f>INDEX(X_Table_Dairy_Stage1MMS_2_SumpAndDispersal,2,1)</f>
        <v>Sump and dispersal system</v>
      </c>
      <c r="P236" s="15"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15"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15"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15"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15"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1:20" ht="20.100000000000001" customHeight="1" x14ac:dyDescent="0.2">
      <c r="D237" s="15" t="str">
        <f>INDEX(X_Table_Dairy_ProductionSystems_Method1,4,1)</f>
        <v>Feed pad</v>
      </c>
      <c r="E237" s="15" t="str">
        <f>INDEX(X_Table_Dairy_Stage1MMS_2_DrainsToPaddock,2,1)</f>
        <v>Drains to paddock</v>
      </c>
      <c r="F237" s="15" cm="1">
        <f t="array" ref="F237">InputFunctions_Dairy.CalculateFractionInMMSAfterSolidSeparation(INDEX(X_Table_Dairy_ProductionSystems_Method1, 4, 2),INDEX(X_Table_Dairy_Stage1MMS_2_DrainsToPaddock,2,2),X_Cell_Dairy_Stage1MMS_2_DrainsToPaddock_AmountSeparated_Method1)</f>
        <v>7.1199999999999999E-2</v>
      </c>
      <c r="G237" s="15" cm="1">
        <f t="array" ref="G237">InputFunctions_Dairy.CalculateFractionInMMSAfterSolidSeparation(INDEX(X_Table_Dairy_ProductionSystems_Method1, 4, 3),INDEX(X_Table_Dairy_Stage1MMS_2_DrainsToPaddock,2,3),X_Cell_Dairy_Stage1MMS_2_DrainsToPaddock_AmountSeparated_Method1)</f>
        <v>7.1199999999999999E-2</v>
      </c>
      <c r="H237" s="15" cm="1">
        <f t="array" ref="H237">InputFunctions_Dairy.CalculateFractionInMMSAfterSolidSeparation(INDEX(X_Table_Dairy_ProductionSystems_Method1, 4, 4),INDEX(X_Table_Dairy_Stage1MMS_2_DrainsToPaddock,2,4),X_Cell_Dairy_Stage1MMS_2_DrainsToPaddock_AmountSeparated_Method1)</f>
        <v>7.1199999999999999E-2</v>
      </c>
      <c r="I237" s="15" cm="1">
        <f t="array" ref="I237">InputFunctions_Dairy.CalculateFractionInMMSAfterSolidSeparation(INDEX(X_Table_Dairy_ProductionSystems_Method1, 4, 5),INDEX(X_Table_Dairy_Stage1MMS_2_DrainsToPaddock,2,5),X_Cell_Dairy_Stage1MMS_2_DrainsToPaddock_AmountSeparated_Method1)</f>
        <v>7.1199999999999999E-2</v>
      </c>
      <c r="J237" s="15" cm="1">
        <f t="array" ref="J237">InputFunctions_Dairy.CalculateFractionInMMSAfterSolidSeparation(INDEX(X_Table_Dairy_ProductionSystems_Method1, 4, 6),INDEX(X_Table_Dairy_Stage1MMS_2_DrainsToPaddock,2,6),X_Cell_Dairy_Stage1MMS_2_DrainsToPaddock_AmountSeparated_Method1)</f>
        <v>7.1199999999999999E-2</v>
      </c>
      <c r="N237" s="15" t="str">
        <f>INDEX(X_Table_Dairy_ProductionSystems_Method1,4,1)</f>
        <v>Feed pad</v>
      </c>
      <c r="O237" s="15" t="str">
        <f>INDEX(X_Table_Dairy_Stage1MMS_2_DrainsToPaddock,2,1)</f>
        <v>Drains to paddock</v>
      </c>
      <c r="P237" s="15" cm="1">
        <f t="array" ref="P237">InputFunctions_Dairy.CalculateFractionInMMSAfterSolidSeparation(INDEX(X_Table_Dairy_ProductionSystems_Method2, 4, 2),INDEX(X_Table_Dairy_Stage1MMS_2_DrainsToPaddock,2,2),X_Cell_Dairy_Stage1MMS_2_DrainsToPaddock_AmountSeparated_Method2)</f>
        <v>7.1199999999999999E-2</v>
      </c>
      <c r="Q237" s="15" cm="1">
        <f t="array" ref="Q237">InputFunctions_Dairy.CalculateFractionInMMSAfterSolidSeparation(INDEX(X_Table_Dairy_ProductionSystems_Method2, 4, 3),INDEX(X_Table_Dairy_Stage1MMS_2_DrainsToPaddock,2,3),X_Cell_Dairy_Stage1MMS_2_DrainsToPaddock_AmountSeparated_Method2)</f>
        <v>7.1199999999999999E-2</v>
      </c>
      <c r="R237" s="15" cm="1">
        <f t="array" ref="R237">InputFunctions_Dairy.CalculateFractionInMMSAfterSolidSeparation(INDEX(X_Table_Dairy_ProductionSystems_Method2, 4, 4),INDEX(X_Table_Dairy_Stage1MMS_2_DrainsToPaddock,2,4),X_Cell_Dairy_Stage1MMS_2_DrainsToPaddock_AmountSeparated_Method2)</f>
        <v>7.1199999999999999E-2</v>
      </c>
      <c r="S237" s="15" cm="1">
        <f t="array" ref="S237">InputFunctions_Dairy.CalculateFractionInMMSAfterSolidSeparation(INDEX(X_Table_Dairy_ProductionSystems_Method2, 4, 5),INDEX(X_Table_Dairy_Stage1MMS_2_DrainsToPaddock,2,5),X_Cell_Dairy_Stage1MMS_2_DrainsToPaddock_AmountSeparated_Method2)</f>
        <v>7.1199999999999999E-2</v>
      </c>
      <c r="T237" s="15"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1:20" ht="20.100000000000001" customHeight="1" x14ac:dyDescent="0.2">
      <c r="D238" s="15" t="str">
        <f>INDEX(X_Table_Dairy_ProductionSystems_Method1,4,1)</f>
        <v>Feed pad</v>
      </c>
      <c r="E238" s="15" t="s">
        <v>75</v>
      </c>
      <c r="F238" s="15"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15"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15"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15"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15"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15" t="str">
        <f>INDEX(X_Table_Dairy_ProductionSystems_Method1,4,1)</f>
        <v>Feed pad</v>
      </c>
      <c r="O238" s="15" t="str">
        <f>INDEX(X_Table_Dairy_Stage1MMS_2_SolidStorage,2,1)</f>
        <v>Solid storage (before solid separation)</v>
      </c>
      <c r="P238" s="15"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15"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15"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15"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15"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1:20" ht="20.100000000000001" customHeight="1" x14ac:dyDescent="0.2">
      <c r="Q239" s="137"/>
    </row>
    <row r="240" spans="1:20" ht="20.100000000000001" customHeight="1" x14ac:dyDescent="0.2">
      <c r="D240" s="122" t="s">
        <v>515</v>
      </c>
      <c r="N240" s="122" t="s">
        <v>516</v>
      </c>
    </row>
    <row r="241" spans="3:21" ht="20.100000000000001" customHeight="1" x14ac:dyDescent="0.2">
      <c r="D241" s="123" t="s">
        <v>517</v>
      </c>
      <c r="N241" s="123" t="s">
        <v>518</v>
      </c>
    </row>
    <row r="242" spans="3:21" ht="20.100000000000001" customHeight="1" x14ac:dyDescent="0.2">
      <c r="D242" s="124" t="s">
        <v>159</v>
      </c>
      <c r="E242" s="124" t="s">
        <v>422</v>
      </c>
      <c r="F242" s="124" t="s">
        <v>330</v>
      </c>
      <c r="G242" s="124" t="s">
        <v>331</v>
      </c>
      <c r="H242" s="124" t="s">
        <v>332</v>
      </c>
      <c r="I242" s="124" t="s">
        <v>333</v>
      </c>
      <c r="J242" s="124" t="s">
        <v>334</v>
      </c>
      <c r="N242" s="124" t="s">
        <v>159</v>
      </c>
      <c r="O242" s="124" t="s">
        <v>422</v>
      </c>
      <c r="P242" s="124" t="s">
        <v>330</v>
      </c>
      <c r="Q242" s="124" t="s">
        <v>331</v>
      </c>
      <c r="R242" s="124" t="s">
        <v>332</v>
      </c>
      <c r="S242" s="124" t="s">
        <v>333</v>
      </c>
      <c r="T242" s="124" t="s">
        <v>334</v>
      </c>
    </row>
    <row r="243" spans="3:21" ht="20.100000000000001" customHeight="1" x14ac:dyDescent="0.2">
      <c r="D243" s="15" t="str">
        <f>INDEX(X_Table_Dairy_ProductionSystems_Method1,3,1)</f>
        <v>Milking shed</v>
      </c>
      <c r="E243" s="15" t="str">
        <f>INDEX(X_Table_Dairy_Stage1MMS_1_AnaerobicLagoon,2,1)</f>
        <v>Anaerobic lagoon</v>
      </c>
      <c r="F243" s="15">
        <f>((D$176+D$213) * F231)</f>
        <v>399.24605684746678</v>
      </c>
      <c r="G243" s="15">
        <f>((E$176+E$213) * G231)</f>
        <v>182.35790267782079</v>
      </c>
      <c r="H243" s="15">
        <f>((F$176+F$213) * H231)</f>
        <v>72.631224123843424</v>
      </c>
      <c r="I243" s="15">
        <f>((G$176+G$213) * I231)</f>
        <v>229.23109573986844</v>
      </c>
      <c r="J243" s="15">
        <f>((H$176+H$213) * J231)</f>
        <v>95.962857079055411</v>
      </c>
      <c r="N243" s="15" t="str">
        <f>INDEX(X_Table_Dairy_ProductionSystems_Method1,3,1)</f>
        <v>Milking shed</v>
      </c>
      <c r="O243" s="15" t="str">
        <f>INDEX(X_Table_Dairy_Stage1MMS_1_AnaerobicLagoon,2,1)</f>
        <v>Anaerobic lagoon</v>
      </c>
      <c r="P243" s="15">
        <f>((N$176+N$213) * P231)</f>
        <v>399.24605684746678</v>
      </c>
      <c r="Q243" s="15">
        <f>((O$176+O$213) * Q231)</f>
        <v>182.35790267782079</v>
      </c>
      <c r="R243" s="15">
        <f>((P$176+P$213) * R231)</f>
        <v>72.631224123843424</v>
      </c>
      <c r="S243" s="15">
        <f>((Q$176+Q$213) * S231)</f>
        <v>229.23109573986844</v>
      </c>
      <c r="T243" s="15">
        <f>((R$176+R$213) * T231)</f>
        <v>95.962857079055411</v>
      </c>
    </row>
    <row r="244" spans="3:21" ht="20.100000000000001" customHeight="1" x14ac:dyDescent="0.2">
      <c r="D244" s="15" t="str">
        <f>INDEX(X_Table_Dairy_ProductionSystems_Method1,3,1)</f>
        <v>Milking shed</v>
      </c>
      <c r="E244" s="15" t="str">
        <f>INDEX(X_Table_Dairy_Stage1MMS_1_SumpAndDispersal,2,1)</f>
        <v>Sump and dispersal system</v>
      </c>
      <c r="F244" s="15">
        <f>((D$176+D$213) * F232)</f>
        <v>399.24605684746678</v>
      </c>
      <c r="G244" s="15">
        <f>((E$176+E$213) * G232)</f>
        <v>182.35790267782079</v>
      </c>
      <c r="H244" s="15">
        <f>((F$176+F$213) * H232)</f>
        <v>72.631224123843424</v>
      </c>
      <c r="I244" s="15">
        <f>((G$176+G$213) * I232)</f>
        <v>229.23109573986844</v>
      </c>
      <c r="J244" s="15">
        <f>((H$176+H$213) * J232)</f>
        <v>95.962857079055411</v>
      </c>
      <c r="N244" s="15" t="str">
        <f>INDEX(X_Table_Dairy_ProductionSystems_Method1,3,1)</f>
        <v>Milking shed</v>
      </c>
      <c r="O244" s="15" t="str">
        <f>INDEX(X_Table_Dairy_Stage1MMS_1_SumpAndDispersal,2,1)</f>
        <v>Sump and dispersal system</v>
      </c>
      <c r="P244" s="15">
        <f>((N$176+N$213) * P232)</f>
        <v>399.24605684746678</v>
      </c>
      <c r="Q244" s="15">
        <f>((O$176+O$213) * Q232)</f>
        <v>182.35790267782079</v>
      </c>
      <c r="R244" s="15">
        <f>((P$176+P$213) * R232)</f>
        <v>72.631224123843424</v>
      </c>
      <c r="S244" s="15">
        <f>((Q$176+Q$213) * S232)</f>
        <v>229.23109573986844</v>
      </c>
      <c r="T244" s="15">
        <f>((R$176+R$213) * T232)</f>
        <v>95.962857079055411</v>
      </c>
    </row>
    <row r="245" spans="3:21" ht="20.100000000000001" customHeight="1" x14ac:dyDescent="0.2">
      <c r="D245" s="15" t="str">
        <f>INDEX(X_Table_Dairy_ProductionSystems_Method1,3,1)</f>
        <v>Milking shed</v>
      </c>
      <c r="E245" s="15" t="str">
        <f>INDEX(X_Table_Dairy_Stage1MMS_1_DrainsToPaddock,2,1)</f>
        <v>Drains to paddock</v>
      </c>
      <c r="F245" s="15">
        <f>((D$176+D$213) * F233)</f>
        <v>399.24605684746678</v>
      </c>
      <c r="G245" s="15">
        <f>((E$176+E$213) * G233)</f>
        <v>182.35790267782079</v>
      </c>
      <c r="H245" s="15">
        <f>((F$176+F$213) * H233)</f>
        <v>72.631224123843424</v>
      </c>
      <c r="I245" s="15">
        <f>((G$176+G$213) * I233)</f>
        <v>229.23109573986844</v>
      </c>
      <c r="J245" s="15">
        <f>((H$176+H$213) * J233)</f>
        <v>95.962857079055411</v>
      </c>
      <c r="N245" s="15" t="str">
        <f>INDEX(X_Table_Dairy_ProductionSystems_Method1,3,1)</f>
        <v>Milking shed</v>
      </c>
      <c r="O245" s="15" t="str">
        <f>INDEX(X_Table_Dairy_Stage1MMS_1_DrainsToPaddock,2,1)</f>
        <v>Drains to paddock</v>
      </c>
      <c r="P245" s="15">
        <f>((N$176+N$213) * P233)</f>
        <v>399.24605684746678</v>
      </c>
      <c r="Q245" s="15">
        <f>((O$176+O$213) * Q233)</f>
        <v>182.35790267782079</v>
      </c>
      <c r="R245" s="15">
        <f>((P$176+P$213) * R233)</f>
        <v>72.631224123843424</v>
      </c>
      <c r="S245" s="15">
        <f>((Q$176+Q$213) * S233)</f>
        <v>229.23109573986844</v>
      </c>
      <c r="T245" s="15">
        <f>((R$176+R$213) * T233)</f>
        <v>95.962857079055411</v>
      </c>
    </row>
    <row r="246" spans="3:21" ht="20.100000000000001" customHeight="1" x14ac:dyDescent="0.2">
      <c r="D246" s="15" t="str">
        <f>INDEX(X_Table_Dairy_ProductionSystems_Method1,3,1)</f>
        <v>Milking shed</v>
      </c>
      <c r="E246" s="15" t="s">
        <v>75</v>
      </c>
      <c r="F246" s="15">
        <f>((D$176+D$213) * F234)</f>
        <v>798.49211369493332</v>
      </c>
      <c r="G246" s="15">
        <f>((E$176+E$213) * G234)</f>
        <v>364.71580535564152</v>
      </c>
      <c r="H246" s="15">
        <f>((F$176+F$213) * H234)</f>
        <v>145.26244824768682</v>
      </c>
      <c r="I246" s="15">
        <f>((G$176+G$213) * I234)</f>
        <v>458.46219147973682</v>
      </c>
      <c r="J246" s="15">
        <f>((H$176+H$213) * J234)</f>
        <v>191.92571415811079</v>
      </c>
      <c r="N246" s="15" t="str">
        <f>INDEX(X_Table_Dairy_ProductionSystems_Method1,3,1)</f>
        <v>Milking shed</v>
      </c>
      <c r="O246" s="15" t="s">
        <v>75</v>
      </c>
      <c r="P246" s="15">
        <f>((N$176+N$213) * P234)</f>
        <v>798.49211369493332</v>
      </c>
      <c r="Q246" s="15">
        <f>((O$176+O$213) * Q234)</f>
        <v>364.71580535564152</v>
      </c>
      <c r="R246" s="15">
        <f>((P$176+P$213) * R234)</f>
        <v>145.26244824768682</v>
      </c>
      <c r="S246" s="15">
        <f>((Q$176+Q$213) * S234)</f>
        <v>458.46219147973682</v>
      </c>
      <c r="T246" s="15">
        <f>((R$176+R$213) * T234)</f>
        <v>191.92571415811079</v>
      </c>
    </row>
    <row r="247" spans="3:21" ht="20.100000000000001" customHeight="1" x14ac:dyDescent="0.2">
      <c r="D247" s="15" t="str">
        <f>INDEX(X_Table_Dairy_ProductionSystems_Method1,4,1)</f>
        <v>Feed pad</v>
      </c>
      <c r="E247" s="15" t="str">
        <f>INDEX(X_Table_Dairy_Stage1MMS_2_AnaerobicLagoon,2,1)</f>
        <v>Anaerobic lagoon</v>
      </c>
      <c r="F247" s="15">
        <f>((D$176+D$213) * F235)</f>
        <v>1615.131775428388</v>
      </c>
      <c r="G247" s="15">
        <f>((E$176+E$213) * G235)</f>
        <v>737.72060628754764</v>
      </c>
      <c r="H247" s="15">
        <f>((F$176+F$213) * H235)</f>
        <v>293.82631577373019</v>
      </c>
      <c r="I247" s="15">
        <f>((G$176+G$213) * I235)</f>
        <v>927.34397822037681</v>
      </c>
      <c r="J247" s="15">
        <f>((H$176+H$213) * J235)</f>
        <v>388.21337636526954</v>
      </c>
      <c r="N247" s="15" t="str">
        <f>INDEX(X_Table_Dairy_ProductionSystems_Method1,4,1)</f>
        <v>Feed pad</v>
      </c>
      <c r="O247" s="15" t="str">
        <f>INDEX(X_Table_Dairy_Stage1MMS_2_AnaerobicLagoon,2,1)</f>
        <v>Anaerobic lagoon</v>
      </c>
      <c r="P247" s="15">
        <f>((N$176+N$213) * P235)</f>
        <v>1615.131775428388</v>
      </c>
      <c r="Q247" s="15">
        <f>((O$176+O$213) * Q235)</f>
        <v>737.72060628754764</v>
      </c>
      <c r="R247" s="15">
        <f>((P$176+P$213) * R235)</f>
        <v>293.82631577373019</v>
      </c>
      <c r="S247" s="15">
        <f>((Q$176+Q$213) * S235)</f>
        <v>927.34397822037681</v>
      </c>
      <c r="T247" s="15">
        <f>((R$176+R$213) * T235)</f>
        <v>388.21337636526954</v>
      </c>
    </row>
    <row r="248" spans="3:21" ht="20.100000000000001" customHeight="1" x14ac:dyDescent="0.2">
      <c r="D248" s="15" t="str">
        <f>INDEX(X_Table_Dairy_ProductionSystems_Method1,4,1)</f>
        <v>Feed pad</v>
      </c>
      <c r="E248" s="15" t="str">
        <f>INDEX(X_Table_Dairy_Stage1MMS_2_SumpAndDispersal,2,1)</f>
        <v>Sump and dispersal system</v>
      </c>
      <c r="F248" s="15">
        <f>((D$176+D$213) * F236)</f>
        <v>1292.1054203427104</v>
      </c>
      <c r="G248" s="15">
        <f>((E$176+E$213) * G236)</f>
        <v>590.17648503003818</v>
      </c>
      <c r="H248" s="15">
        <f>((F$176+F$213) * H236)</f>
        <v>235.06105261898415</v>
      </c>
      <c r="I248" s="15">
        <f>((G$176+G$213) * I236)</f>
        <v>741.87518257630143</v>
      </c>
      <c r="J248" s="15">
        <f>((H$176+H$213) * J236)</f>
        <v>310.57070109221564</v>
      </c>
      <c r="N248" s="15" t="str">
        <f>INDEX(X_Table_Dairy_ProductionSystems_Method1,4,1)</f>
        <v>Feed pad</v>
      </c>
      <c r="O248" s="15" t="str">
        <f>INDEX(X_Table_Dairy_Stage1MMS_2_SumpAndDispersal,2,1)</f>
        <v>Sump and dispersal system</v>
      </c>
      <c r="P248" s="15">
        <f>((N$176+N$213) * P236)</f>
        <v>1292.1054203427104</v>
      </c>
      <c r="Q248" s="15">
        <f>((O$176+O$213) * Q236)</f>
        <v>590.17648503003818</v>
      </c>
      <c r="R248" s="15">
        <f>((P$176+P$213) * R236)</f>
        <v>235.06105261898415</v>
      </c>
      <c r="S248" s="15">
        <f>((Q$176+Q$213) * S236)</f>
        <v>741.87518257630143</v>
      </c>
      <c r="T248" s="15">
        <f>((R$176+R$213) * T236)</f>
        <v>310.57070109221564</v>
      </c>
    </row>
    <row r="249" spans="3:21" ht="20.100000000000001" customHeight="1" x14ac:dyDescent="0.2">
      <c r="D249" s="15" t="str">
        <f>INDEX(X_Table_Dairy_ProductionSystems_Method1,4,1)</f>
        <v>Feed pad</v>
      </c>
      <c r="E249" s="15" t="str">
        <f>INDEX(X_Table_Dairy_Stage1MMS_2_DrainsToPaddock,2,1)</f>
        <v>Drains to paddock</v>
      </c>
      <c r="F249" s="15">
        <f>((D$176+D$213) * F237)</f>
        <v>1292.1054203427104</v>
      </c>
      <c r="G249" s="15">
        <f>((E$176+E$213) * G237)</f>
        <v>590.17648503003818</v>
      </c>
      <c r="H249" s="15">
        <f>((F$176+F$213) * H237)</f>
        <v>235.06105261898415</v>
      </c>
      <c r="I249" s="15">
        <f>((G$176+G$213) * I237)</f>
        <v>741.87518257630143</v>
      </c>
      <c r="J249" s="15">
        <f>((H$176+H$213) * J237)</f>
        <v>310.57070109221564</v>
      </c>
      <c r="N249" s="15" t="str">
        <f>INDEX(X_Table_Dairy_ProductionSystems_Method1,4,1)</f>
        <v>Feed pad</v>
      </c>
      <c r="O249" s="15" t="str">
        <f>INDEX(X_Table_Dairy_Stage1MMS_2_DrainsToPaddock,2,1)</f>
        <v>Drains to paddock</v>
      </c>
      <c r="P249" s="15">
        <f>((N$176+N$213) * P237)</f>
        <v>1292.1054203427104</v>
      </c>
      <c r="Q249" s="15">
        <f>((O$176+O$213) * Q237)</f>
        <v>590.17648503003818</v>
      </c>
      <c r="R249" s="15">
        <f>((P$176+P$213) * R237)</f>
        <v>235.06105261898415</v>
      </c>
      <c r="S249" s="15">
        <f>((Q$176+Q$213) * S237)</f>
        <v>741.87518257630143</v>
      </c>
      <c r="T249" s="15">
        <f>((R$176+R$213) * T237)</f>
        <v>310.57070109221564</v>
      </c>
    </row>
    <row r="250" spans="3:21" ht="20.100000000000001" customHeight="1" x14ac:dyDescent="0.2">
      <c r="D250" s="15" t="str">
        <f>INDEX(X_Table_Dairy_ProductionSystems_Method1,4,1)</f>
        <v>Feed pad</v>
      </c>
      <c r="E250" s="15" t="s">
        <v>75</v>
      </c>
      <c r="F250" s="15">
        <f>((D$176+D$213) * F238)</f>
        <v>2261.1844855997429</v>
      </c>
      <c r="G250" s="15">
        <f>((E$176+E$213) * G238)</f>
        <v>1032.8088488025667</v>
      </c>
      <c r="H250" s="15">
        <f>((F$176+F$213) * H238)</f>
        <v>411.35684208322226</v>
      </c>
      <c r="I250" s="15">
        <f>((G$176+G$213) * I238)</f>
        <v>1298.2815695085274</v>
      </c>
      <c r="J250" s="15">
        <f>((H$176+H$213) * J238)</f>
        <v>543.49872691137739</v>
      </c>
      <c r="N250" s="15" t="str">
        <f>INDEX(X_Table_Dairy_ProductionSystems_Method1,4,1)</f>
        <v>Feed pad</v>
      </c>
      <c r="O250" s="15" t="s">
        <v>75</v>
      </c>
      <c r="P250" s="15">
        <f>((N$176+N$213) * P238)</f>
        <v>2261.1844855997429</v>
      </c>
      <c r="Q250" s="15">
        <f>((O$176+O$213) * Q238)</f>
        <v>1032.8088488025667</v>
      </c>
      <c r="R250" s="15">
        <f>((P$176+P$213) * R238)</f>
        <v>411.35684208322226</v>
      </c>
      <c r="S250" s="15">
        <f>((Q$176+Q$213) * S238)</f>
        <v>1298.2815695085274</v>
      </c>
      <c r="T250" s="15">
        <f>((R$176+R$213) * T238)</f>
        <v>543.49872691137739</v>
      </c>
    </row>
    <row r="253" spans="3:21" ht="20.100000000000001" customHeight="1" x14ac:dyDescent="0.2">
      <c r="C253" s="88"/>
      <c r="D253" s="88"/>
      <c r="E253" s="88"/>
      <c r="F253" s="88"/>
      <c r="G253" s="88"/>
      <c r="H253" s="88"/>
      <c r="I253" s="88"/>
      <c r="J253" s="88"/>
      <c r="K253" s="88"/>
      <c r="M253" s="88"/>
      <c r="N253" s="88"/>
      <c r="O253" s="88"/>
      <c r="P253" s="88"/>
      <c r="Q253" s="88"/>
      <c r="R253" s="88"/>
      <c r="S253" s="88"/>
      <c r="T253" s="88"/>
      <c r="U253" s="88"/>
    </row>
    <row r="254" spans="3:21" ht="20.100000000000001" customHeight="1" x14ac:dyDescent="0.2">
      <c r="D254" s="2" t="s">
        <v>1654</v>
      </c>
    </row>
    <row r="255" spans="3:21" ht="20.100000000000001" customHeight="1" x14ac:dyDescent="0.2">
      <c r="D255" s="17" t="s">
        <v>1655</v>
      </c>
    </row>
    <row r="256" spans="3:21" ht="20.100000000000001" customHeight="1" x14ac:dyDescent="0.2">
      <c r="D256" s="118"/>
      <c r="E256" s="118"/>
    </row>
    <row r="258" spans="1:9" ht="20.100000000000001" customHeight="1" x14ac:dyDescent="0.2">
      <c r="D258" s="2"/>
    </row>
    <row r="259" spans="1:9" ht="20.100000000000001" customHeight="1" x14ac:dyDescent="0.2">
      <c r="A259" s="129" t="str">
        <f>HYPERLINK("#A1", "▲ Back to top")</f>
        <v>▲ Back to top</v>
      </c>
      <c r="D259" s="76" t="s">
        <v>378</v>
      </c>
      <c r="E259" s="1" t="s">
        <v>1656</v>
      </c>
    </row>
    <row r="260" spans="1:9" ht="20.100000000000001" customHeight="1" x14ac:dyDescent="0.2">
      <c r="D260" s="76" t="s">
        <v>118</v>
      </c>
      <c r="E260" s="9" t="s">
        <v>11</v>
      </c>
    </row>
    <row r="262" spans="1:9" ht="20.100000000000001" customHeight="1" x14ac:dyDescent="0.2">
      <c r="D262" s="120" t="s">
        <v>1649</v>
      </c>
      <c r="E262" s="120" t="s">
        <v>1657</v>
      </c>
      <c r="F262" s="120"/>
      <c r="G262" s="120" t="s">
        <v>1301</v>
      </c>
      <c r="H262" s="128" t="s">
        <v>1662</v>
      </c>
      <c r="I262" s="127" t="str" cm="1">
        <f t="array" aca="1" ref="I262" ca="1">HYPERLINK(Common_InputFunctions.Utility_SourceHyperlink($D$240),$D$240)</f>
        <v>M1_Table_MN_j_m</v>
      </c>
    </row>
    <row r="263" spans="1:9" ht="20.100000000000001" customHeight="1" x14ac:dyDescent="0.2">
      <c r="D263" s="120" t="s">
        <v>1658</v>
      </c>
      <c r="E263" s="120" t="s">
        <v>1659</v>
      </c>
      <c r="F263" s="120"/>
      <c r="G263" s="120" t="s">
        <v>1663</v>
      </c>
      <c r="H263" s="128" t="s">
        <v>1501</v>
      </c>
      <c r="I263" s="127" t="str" cm="1">
        <f t="array" aca="1" ref="I263" ca="1">HYPERLINK(Common_InputFunctions.Utility_SourceHyperlink($D$266),$D$266)</f>
        <v>Table_EF_m</v>
      </c>
    </row>
    <row r="264" spans="1:9" ht="20.100000000000001" customHeight="1" x14ac:dyDescent="0.2">
      <c r="D264" s="120" t="s">
        <v>1660</v>
      </c>
      <c r="E264" s="120" t="s">
        <v>1661</v>
      </c>
      <c r="F264" s="120"/>
      <c r="G264" s="120" t="s">
        <v>383</v>
      </c>
      <c r="H264" s="128" t="s">
        <v>1501</v>
      </c>
      <c r="I264" s="120">
        <f>Common_InputFunctions.Utility_LookupValueInTableNumber("N2O",Table_GasToMolecularConversionFactor[Gas],Table_GasToMolecularConversionFactor[Conversion factor combined])</f>
        <v>1.5714285714285714</v>
      </c>
    </row>
    <row r="266" spans="1:9" ht="20.100000000000001" customHeight="1" x14ac:dyDescent="0.2">
      <c r="D266" s="122" t="s">
        <v>519</v>
      </c>
    </row>
    <row r="267" spans="1:9" ht="20.100000000000001" customHeight="1" x14ac:dyDescent="0.2">
      <c r="D267" s="123" t="s">
        <v>520</v>
      </c>
    </row>
    <row r="268" spans="1:9" ht="20.100000000000001" customHeight="1" x14ac:dyDescent="0.2">
      <c r="D268" s="124" t="s">
        <v>422</v>
      </c>
      <c r="E268" s="124" t="s">
        <v>521</v>
      </c>
    </row>
    <row r="269" spans="1:9" ht="20.100000000000001" customHeight="1" x14ac:dyDescent="0.2">
      <c r="D269" s="15" t="str" cm="1">
        <f t="array" ref="D269:D273">Table_SourceData_Dairy_EFmFracGASM[NIR reference]</f>
        <v>Pasture range and paddock</v>
      </c>
      <c r="E269" s="15" cm="1">
        <f t="array" ref="E269:E273">Table_SourceData_Dairy_EFmFracGASM[EFm]</f>
        <v>0</v>
      </c>
    </row>
    <row r="270" spans="1:9" ht="20.100000000000001" customHeight="1" x14ac:dyDescent="0.2">
      <c r="D270" s="15" t="str">
        <v>Anaerobic lagoon</v>
      </c>
      <c r="E270" s="15">
        <v>0</v>
      </c>
    </row>
    <row r="271" spans="1:9" ht="20.100000000000001" customHeight="1" x14ac:dyDescent="0.2">
      <c r="D271" s="15" t="str">
        <v>Sump and dispersal system</v>
      </c>
      <c r="E271" s="15">
        <v>0</v>
      </c>
    </row>
    <row r="272" spans="1:9" ht="20.100000000000001" customHeight="1" x14ac:dyDescent="0.2">
      <c r="D272" s="15" t="str">
        <v>Drains to paddock</v>
      </c>
      <c r="E272" s="15">
        <v>0</v>
      </c>
    </row>
    <row r="273" spans="4:20" ht="20.100000000000001" customHeight="1" x14ac:dyDescent="0.2">
      <c r="D273" s="15" t="str">
        <v>Solid storage</v>
      </c>
      <c r="E273" s="15">
        <v>5.0000000000000001E-3</v>
      </c>
    </row>
    <row r="275" spans="4:20" ht="20.100000000000001" customHeight="1" x14ac:dyDescent="0.2">
      <c r="D275" s="122" t="s">
        <v>522</v>
      </c>
      <c r="N275" s="122" t="s">
        <v>523</v>
      </c>
    </row>
    <row r="276" spans="4:20" ht="20.100000000000001" customHeight="1" x14ac:dyDescent="0.2">
      <c r="D276" s="123" t="s">
        <v>524</v>
      </c>
      <c r="N276" s="123" t="s">
        <v>525</v>
      </c>
    </row>
    <row r="277" spans="4:20" ht="20.100000000000001" customHeight="1" x14ac:dyDescent="0.2">
      <c r="D277" s="124" t="s">
        <v>159</v>
      </c>
      <c r="E277" s="124" t="s">
        <v>422</v>
      </c>
      <c r="F277" s="124" t="s">
        <v>330</v>
      </c>
      <c r="G277" s="124" t="s">
        <v>331</v>
      </c>
      <c r="H277" s="124" t="s">
        <v>332</v>
      </c>
      <c r="I277" s="124" t="s">
        <v>333</v>
      </c>
      <c r="J277" s="124" t="s">
        <v>334</v>
      </c>
      <c r="N277" s="124" t="s">
        <v>159</v>
      </c>
      <c r="O277" s="124" t="s">
        <v>422</v>
      </c>
      <c r="P277" s="124" t="s">
        <v>330</v>
      </c>
      <c r="Q277" s="124" t="s">
        <v>331</v>
      </c>
      <c r="R277" s="124" t="s">
        <v>332</v>
      </c>
      <c r="S277" s="124" t="s">
        <v>333</v>
      </c>
      <c r="T277" s="124" t="s">
        <v>334</v>
      </c>
    </row>
    <row r="278" spans="4:20" ht="20.100000000000001" customHeight="1" x14ac:dyDescent="0.2">
      <c r="D278" s="15" t="str">
        <f>INDEX(X_Table_Dairy_ProductionSystems_Method1,3,1)</f>
        <v>Milking shed</v>
      </c>
      <c r="E278" s="15" t="str">
        <f>INDEX(X_Table_Dairy_Stage1MMS_1_AnaerobicLagoon,2,1)</f>
        <v>Anaerobic lagoon</v>
      </c>
      <c r="F278" s="15">
        <f>(F243 * $E270 * $I$264 * 10 ^ -3)</f>
        <v>0</v>
      </c>
      <c r="G278" s="15">
        <f>(G243 * $E270 * $I$264 * 10 ^ -3)</f>
        <v>0</v>
      </c>
      <c r="H278" s="15">
        <f>(H243 * $E270 * $I$264 * 10 ^ -3)</f>
        <v>0</v>
      </c>
      <c r="I278" s="15">
        <f>(I243 * $E270 * $I$264 * 10 ^ -3)</f>
        <v>0</v>
      </c>
      <c r="J278" s="15">
        <f>(J243 * $E270 * $I$264 * 10 ^ -3)</f>
        <v>0</v>
      </c>
      <c r="N278" s="15" t="str">
        <f>INDEX(X_Table_Dairy_ProductionSystems_Method1,3,1)</f>
        <v>Milking shed</v>
      </c>
      <c r="O278" s="15" t="str">
        <f>INDEX(X_Table_Dairy_Stage1MMS_1_AnaerobicLagoon,2,1)</f>
        <v>Anaerobic lagoon</v>
      </c>
      <c r="P278" s="15">
        <f>(P243 * $E270 * $I$264 * 10 ^ -3)</f>
        <v>0</v>
      </c>
      <c r="Q278" s="15">
        <f>(Q243 * $E270 * $I$264 * 10 ^ -3)</f>
        <v>0</v>
      </c>
      <c r="R278" s="15">
        <f>(R243 * $E270 * $I$264 * 10 ^ -3)</f>
        <v>0</v>
      </c>
      <c r="S278" s="15">
        <f>(S243 * $E270 * $I$264 * 10 ^ -3)</f>
        <v>0</v>
      </c>
      <c r="T278" s="15">
        <f>(T243 * $E270 * $I$264 * 10 ^ -3)</f>
        <v>0</v>
      </c>
    </row>
    <row r="279" spans="4:20" ht="20.100000000000001" customHeight="1" x14ac:dyDescent="0.2">
      <c r="D279" s="15" t="str">
        <f>INDEX(X_Table_Dairy_ProductionSystems_Method1,3,1)</f>
        <v>Milking shed</v>
      </c>
      <c r="E279" s="15" t="str">
        <f>INDEX(X_Table_Dairy_Stage1MMS_1_SumpAndDispersal,2,1)</f>
        <v>Sump and dispersal system</v>
      </c>
      <c r="F279" s="15">
        <f>(F244 * $E271 * $I$264 * 10 ^ -3)</f>
        <v>0</v>
      </c>
      <c r="G279" s="15">
        <f>(G244 * $E271 * $I$264 * 10 ^ -3)</f>
        <v>0</v>
      </c>
      <c r="H279" s="15">
        <f>(H244 * $E271 * $I$264 * 10 ^ -3)</f>
        <v>0</v>
      </c>
      <c r="I279" s="15">
        <f>(I244 * $E271 * $I$264 * 10 ^ -3)</f>
        <v>0</v>
      </c>
      <c r="J279" s="15">
        <f>(J244 * $E271 * $I$264 * 10 ^ -3)</f>
        <v>0</v>
      </c>
      <c r="N279" s="15" t="str">
        <f>INDEX(X_Table_Dairy_ProductionSystems_Method1,3,1)</f>
        <v>Milking shed</v>
      </c>
      <c r="O279" s="15" t="str">
        <f>INDEX(X_Table_Dairy_Stage1MMS_1_SumpAndDispersal,2,1)</f>
        <v>Sump and dispersal system</v>
      </c>
      <c r="P279" s="15">
        <f>(P244 * $E271 * $I$264 * 10 ^ -3)</f>
        <v>0</v>
      </c>
      <c r="Q279" s="15">
        <f>(Q244 * $E271 * $I$264 * 10 ^ -3)</f>
        <v>0</v>
      </c>
      <c r="R279" s="15">
        <f>(R244 * $E271 * $I$264 * 10 ^ -3)</f>
        <v>0</v>
      </c>
      <c r="S279" s="15">
        <f>(S244 * $E271 * $I$264 * 10 ^ -3)</f>
        <v>0</v>
      </c>
      <c r="T279" s="15">
        <f>(T244 * $E271 * $I$264 * 10 ^ -3)</f>
        <v>0</v>
      </c>
    </row>
    <row r="280" spans="4:20" ht="20.100000000000001" customHeight="1" x14ac:dyDescent="0.2">
      <c r="D280" s="15" t="str">
        <f>INDEX(X_Table_Dairy_ProductionSystems_Method1,3,1)</f>
        <v>Milking shed</v>
      </c>
      <c r="E280" s="15" t="str">
        <f>INDEX(X_Table_Dairy_Stage1MMS_1_DrainsToPaddock,2,1)</f>
        <v>Drains to paddock</v>
      </c>
      <c r="F280" s="15">
        <f>(F245 * $E272 * $I$264 * 10 ^ -3)</f>
        <v>0</v>
      </c>
      <c r="G280" s="15">
        <f>(G245 * $E272 * $I$264 * 10 ^ -3)</f>
        <v>0</v>
      </c>
      <c r="H280" s="15">
        <f>(H245 * $E272 * $I$264 * 10 ^ -3)</f>
        <v>0</v>
      </c>
      <c r="I280" s="15">
        <f>(I245 * $E272 * $I$264 * 10 ^ -3)</f>
        <v>0</v>
      </c>
      <c r="J280" s="15">
        <f>(J245 * $E272 * $I$264 * 10 ^ -3)</f>
        <v>0</v>
      </c>
      <c r="N280" s="15" t="str">
        <f>INDEX(X_Table_Dairy_ProductionSystems_Method1,3,1)</f>
        <v>Milking shed</v>
      </c>
      <c r="O280" s="15" t="str">
        <f>INDEX(X_Table_Dairy_Stage1MMS_1_DrainsToPaddock,2,1)</f>
        <v>Drains to paddock</v>
      </c>
      <c r="P280" s="15">
        <f>(P245 * $E272 * $I$264 * 10 ^ -3)</f>
        <v>0</v>
      </c>
      <c r="Q280" s="15">
        <f>(Q245 * $E272 * $I$264 * 10 ^ -3)</f>
        <v>0</v>
      </c>
      <c r="R280" s="15">
        <f>(R245 * $E272 * $I$264 * 10 ^ -3)</f>
        <v>0</v>
      </c>
      <c r="S280" s="15">
        <f>(S245 * $E272 * $I$264 * 10 ^ -3)</f>
        <v>0</v>
      </c>
      <c r="T280" s="15">
        <f>(T245 * $E272 * $I$264 * 10 ^ -3)</f>
        <v>0</v>
      </c>
    </row>
    <row r="281" spans="4:20" ht="20.100000000000001" customHeight="1" x14ac:dyDescent="0.2">
      <c r="D281" s="15" t="str">
        <f>INDEX(X_Table_Dairy_ProductionSystems_Method1,3,1)</f>
        <v>Milking shed</v>
      </c>
      <c r="E281" s="15" t="s">
        <v>75</v>
      </c>
      <c r="F281" s="15">
        <f>(F246 * $E273 * $I$264 * 10 ^ -3)</f>
        <v>6.2738666076030481E-3</v>
      </c>
      <c r="G281" s="15">
        <f>(G246 * $E273 * $I$264 * 10 ^ -3)</f>
        <v>2.8656241849371834E-3</v>
      </c>
      <c r="H281" s="15">
        <f>(H246 * $E273 * $I$264 * 10 ^ -3)</f>
        <v>1.1413478076603965E-3</v>
      </c>
      <c r="I281" s="15">
        <f>(I246 * $E273 * $I$264 * 10 ^ -3)</f>
        <v>3.6022029330550747E-3</v>
      </c>
      <c r="J281" s="15">
        <f>(J246 * $E273 * $I$264 * 10 ^ -3)</f>
        <v>1.5079877540994421E-3</v>
      </c>
      <c r="N281" s="15" t="str">
        <f>INDEX(X_Table_Dairy_ProductionSystems_Method1,3,1)</f>
        <v>Milking shed</v>
      </c>
      <c r="O281" s="15" t="s">
        <v>75</v>
      </c>
      <c r="P281" s="15">
        <f>(P246 * $E273 * $I$264 * 10 ^ -3)</f>
        <v>6.2738666076030481E-3</v>
      </c>
      <c r="Q281" s="15">
        <f>(Q246 * $E273 * $I$264 * 10 ^ -3)</f>
        <v>2.8656241849371834E-3</v>
      </c>
      <c r="R281" s="15">
        <f>(R246 * $E273 * $I$264 * 10 ^ -3)</f>
        <v>1.1413478076603965E-3</v>
      </c>
      <c r="S281" s="15">
        <f>(S246 * $E273 * $I$264 * 10 ^ -3)</f>
        <v>3.6022029330550747E-3</v>
      </c>
      <c r="T281" s="15">
        <f>(T246 * $E273 * $I$264 * 10 ^ -3)</f>
        <v>1.5079877540994421E-3</v>
      </c>
    </row>
    <row r="282" spans="4:20" ht="20.100000000000001" customHeight="1" x14ac:dyDescent="0.2">
      <c r="D282" s="15" t="str">
        <f>INDEX(X_Table_Dairy_ProductionSystems_Method1,4,1)</f>
        <v>Feed pad</v>
      </c>
      <c r="E282" s="15" t="str">
        <f>INDEX(X_Table_Dairy_Stage1MMS_2_AnaerobicLagoon,2,1)</f>
        <v>Anaerobic lagoon</v>
      </c>
      <c r="F282" s="15">
        <f>(F247 * $E270 * $I$264 * 10 ^ -3)</f>
        <v>0</v>
      </c>
      <c r="G282" s="15">
        <f>(G247 * $E270 * $I$264 * 10 ^ -3)</f>
        <v>0</v>
      </c>
      <c r="H282" s="15">
        <f>(H247 * $E270 * $I$264 * 10 ^ -3)</f>
        <v>0</v>
      </c>
      <c r="I282" s="15">
        <f>(I247 * $E270 * $I$264 * 10 ^ -3)</f>
        <v>0</v>
      </c>
      <c r="J282" s="15">
        <f>(J247 * $E270 * $I$264 * 10 ^ -3)</f>
        <v>0</v>
      </c>
      <c r="N282" s="15" t="str">
        <f>INDEX(X_Table_Dairy_ProductionSystems_Method1,4,1)</f>
        <v>Feed pad</v>
      </c>
      <c r="O282" s="15" t="str">
        <f>INDEX(X_Table_Dairy_Stage1MMS_2_AnaerobicLagoon,2,1)</f>
        <v>Anaerobic lagoon</v>
      </c>
      <c r="P282" s="15">
        <f>(P247 * $E270 * $I$264 * 10 ^ -3)</f>
        <v>0</v>
      </c>
      <c r="Q282" s="15">
        <f>(Q247 * $E270 * $I$264 * 10 ^ -3)</f>
        <v>0</v>
      </c>
      <c r="R282" s="15">
        <f>(R247 * $E270 * $I$264 * 10 ^ -3)</f>
        <v>0</v>
      </c>
      <c r="S282" s="15">
        <f>(S247 * $E270 * $I$264 * 10 ^ -3)</f>
        <v>0</v>
      </c>
      <c r="T282" s="15">
        <f>(T247 * $E270 * $I$264 * 10 ^ -3)</f>
        <v>0</v>
      </c>
    </row>
    <row r="283" spans="4:20" ht="20.100000000000001" customHeight="1" x14ac:dyDescent="0.2">
      <c r="D283" s="15" t="str">
        <f>INDEX(X_Table_Dairy_ProductionSystems_Method1,4,1)</f>
        <v>Feed pad</v>
      </c>
      <c r="E283" s="15" t="str">
        <f>INDEX(X_Table_Dairy_Stage1MMS_2_SumpAndDispersal,2,1)</f>
        <v>Sump and dispersal system</v>
      </c>
      <c r="F283" s="15">
        <f>(F248 * $E271 * $I$264 * 10 ^ -3)</f>
        <v>0</v>
      </c>
      <c r="G283" s="15">
        <f>(G248 * $E271 * $I$264 * 10 ^ -3)</f>
        <v>0</v>
      </c>
      <c r="H283" s="15">
        <f>(H248 * $E271 * $I$264 * 10 ^ -3)</f>
        <v>0</v>
      </c>
      <c r="I283" s="15">
        <f>(I248 * $E271 * $I$264 * 10 ^ -3)</f>
        <v>0</v>
      </c>
      <c r="J283" s="15">
        <f>(J248 * $E271 * $I$264 * 10 ^ -3)</f>
        <v>0</v>
      </c>
      <c r="N283" s="15" t="str">
        <f>INDEX(X_Table_Dairy_ProductionSystems_Method1,4,1)</f>
        <v>Feed pad</v>
      </c>
      <c r="O283" s="15" t="str">
        <f>INDEX(X_Table_Dairy_Stage1MMS_2_SumpAndDispersal,2,1)</f>
        <v>Sump and dispersal system</v>
      </c>
      <c r="P283" s="15">
        <f>(P248 * $E271 * $I$264 * 10 ^ -3)</f>
        <v>0</v>
      </c>
      <c r="Q283" s="15">
        <f>(Q248 * $E271 * $I$264 * 10 ^ -3)</f>
        <v>0</v>
      </c>
      <c r="R283" s="15">
        <f>(R248 * $E271 * $I$264 * 10 ^ -3)</f>
        <v>0</v>
      </c>
      <c r="S283" s="15">
        <f>(S248 * $E271 * $I$264 * 10 ^ -3)</f>
        <v>0</v>
      </c>
      <c r="T283" s="15">
        <f>(T248 * $E271 * $I$264 * 10 ^ -3)</f>
        <v>0</v>
      </c>
    </row>
    <row r="284" spans="4:20" ht="20.100000000000001" customHeight="1" x14ac:dyDescent="0.2">
      <c r="D284" s="15" t="str">
        <f>INDEX(X_Table_Dairy_ProductionSystems_Method1,4,1)</f>
        <v>Feed pad</v>
      </c>
      <c r="E284" s="15" t="str">
        <f>INDEX(X_Table_Dairy_Stage1MMS_2_DrainsToPaddock,2,1)</f>
        <v>Drains to paddock</v>
      </c>
      <c r="F284" s="15">
        <f>(F249 * $E272 * $I$264 * 10 ^ -3)</f>
        <v>0</v>
      </c>
      <c r="G284" s="15">
        <f>(G249 * $E272 * $I$264 * 10 ^ -3)</f>
        <v>0</v>
      </c>
      <c r="H284" s="15">
        <f>(H249 * $E272 * $I$264 * 10 ^ -3)</f>
        <v>0</v>
      </c>
      <c r="I284" s="15">
        <f>(I249 * $E272 * $I$264 * 10 ^ -3)</f>
        <v>0</v>
      </c>
      <c r="J284" s="15">
        <f>(J249 * $E272 * $I$264 * 10 ^ -3)</f>
        <v>0</v>
      </c>
      <c r="N284" s="15" t="str">
        <f>INDEX(X_Table_Dairy_ProductionSystems_Method1,4,1)</f>
        <v>Feed pad</v>
      </c>
      <c r="O284" s="15" t="str">
        <f>INDEX(X_Table_Dairy_Stage1MMS_2_DrainsToPaddock,2,1)</f>
        <v>Drains to paddock</v>
      </c>
      <c r="P284" s="15">
        <f>(P249 * $E272 * $I$264 * 10 ^ -3)</f>
        <v>0</v>
      </c>
      <c r="Q284" s="15">
        <f>(Q249 * $E272 * $I$264 * 10 ^ -3)</f>
        <v>0</v>
      </c>
      <c r="R284" s="15">
        <f>(R249 * $E272 * $I$264 * 10 ^ -3)</f>
        <v>0</v>
      </c>
      <c r="S284" s="15">
        <f>(S249 * $E272 * $I$264 * 10 ^ -3)</f>
        <v>0</v>
      </c>
      <c r="T284" s="15">
        <f>(T249 * $E272 * $I$264 * 10 ^ -3)</f>
        <v>0</v>
      </c>
    </row>
    <row r="285" spans="4:20" ht="20.100000000000001" customHeight="1" x14ac:dyDescent="0.2">
      <c r="D285" s="15" t="str">
        <f>INDEX(X_Table_Dairy_ProductionSystems_Method1,4,1)</f>
        <v>Feed pad</v>
      </c>
      <c r="E285" s="15" t="s">
        <v>75</v>
      </c>
      <c r="F285" s="15">
        <f>(F250 * $E273 * $I$264 * 10 ^ -3)</f>
        <v>1.7766449529712264E-2</v>
      </c>
      <c r="G285" s="15">
        <f>(G250 * $E273 * $I$264 * 10 ^ -3)</f>
        <v>8.1149266691630251E-3</v>
      </c>
      <c r="H285" s="15">
        <f>(H250 * $E273 * $I$264 * 10 ^ -3)</f>
        <v>3.2320894735110321E-3</v>
      </c>
      <c r="I285" s="15">
        <f>(I250 * $E273 * $I$264 * 10 ^ -3)</f>
        <v>1.0200783760424144E-2</v>
      </c>
      <c r="J285" s="15">
        <f>(J250 * $E273 * $I$264 * 10 ^ -3)</f>
        <v>4.2703471400179658E-3</v>
      </c>
      <c r="N285" s="15" t="str">
        <f>INDEX(X_Table_Dairy_ProductionSystems_Method1,4,1)</f>
        <v>Feed pad</v>
      </c>
      <c r="O285" s="15" t="s">
        <v>75</v>
      </c>
      <c r="P285" s="15">
        <f>(P250 * $E273 * $I$264 * 10 ^ -3)</f>
        <v>1.7766449529712264E-2</v>
      </c>
      <c r="Q285" s="15">
        <f>(Q250 * $E273 * $I$264 * 10 ^ -3)</f>
        <v>8.1149266691630251E-3</v>
      </c>
      <c r="R285" s="15">
        <f>(R250 * $E273 * $I$264 * 10 ^ -3)</f>
        <v>3.2320894735110321E-3</v>
      </c>
      <c r="S285" s="15">
        <f>(S250 * $E273 * $I$264 * 10 ^ -3)</f>
        <v>1.0200783760424144E-2</v>
      </c>
      <c r="T285" s="15">
        <f>(T250 * $E273 * $I$264 * 10 ^ -3)</f>
        <v>4.2703471400179658E-3</v>
      </c>
    </row>
    <row r="287" spans="4:20" ht="20.100000000000001" customHeight="1" x14ac:dyDescent="0.2">
      <c r="D287" s="87" t="s">
        <v>526</v>
      </c>
      <c r="E287" s="90">
        <f>SUM(F278:J285)</f>
        <v>5.8975625860183567E-2</v>
      </c>
      <c r="F287" s="89" t="str">
        <f>$E$260</f>
        <v>t N2O</v>
      </c>
      <c r="N287" s="87" t="s">
        <v>526</v>
      </c>
      <c r="O287" s="90">
        <f>SUM(P278:T285)</f>
        <v>5.8975625860183567E-2</v>
      </c>
      <c r="P287" s="89" t="str">
        <f>$E$260</f>
        <v>t N2O</v>
      </c>
    </row>
    <row r="289" spans="1:17" ht="20.100000000000001" customHeight="1" x14ac:dyDescent="0.2">
      <c r="A289" s="129" t="str">
        <f>HYPERLINK("#A1", "▲ Back to top")</f>
        <v>▲ Back to top</v>
      </c>
      <c r="D289" s="132" t="str" cm="1">
        <f t="array" ref="D289:E290">Common_Equations.Common_ConvertN2OToCO2e_Arguments()</f>
        <v>EN2O</v>
      </c>
      <c r="E289" s="135" t="str">
        <v>Nitrous oxide emissions (t N2O)</v>
      </c>
      <c r="F289" s="136"/>
      <c r="G289" s="15">
        <f>VEERG_4_3_1_3__1_TotalAnnualDirectNitrousOxideEmissionsFromMMS_Result_Method1</f>
        <v>5.8975625860183567E-2</v>
      </c>
      <c r="N289" s="132" t="str" cm="1">
        <f t="array" ref="N289:O290">Common_Equations.Common_ConvertN2OToCO2e_Arguments()</f>
        <v>EN2O</v>
      </c>
      <c r="O289" s="135" t="str">
        <v>Nitrous oxide emissions (t N2O)</v>
      </c>
      <c r="P289" s="136"/>
      <c r="Q289" s="15">
        <f>VEERG_4_3_1_3__1_TotalAnnualDirectNitrousOxideEmissionsFromMMS_Result_Method2</f>
        <v>5.8975625860183567E-2</v>
      </c>
    </row>
    <row r="290" spans="1:17" ht="20.100000000000001" customHeight="1" x14ac:dyDescent="0.2">
      <c r="D290" s="132" t="str">
        <v>GWPN2O</v>
      </c>
      <c r="E290" s="135" t="str">
        <v>Global warming potential for nitrous oxide (t CO2-e / t N2O)</v>
      </c>
      <c r="F290" s="136"/>
      <c r="G290" s="15">
        <f>Common_InputFunctions.Utility_LookupValueInTableNumber("N2O",Table_GWPData[Gas],Table_GWPData[CO2-e factor])</f>
        <v>265</v>
      </c>
      <c r="N290" s="132" t="str">
        <v>GWPN2O</v>
      </c>
      <c r="O290" s="135" t="str">
        <v>Global warming potential for nitrous oxide (t CO2-e / t N2O)</v>
      </c>
      <c r="P290" s="136"/>
      <c r="Q290" s="15">
        <f>Common_InputFunctions.Utility_LookupValueInTableNumber("N2O",Table_GWPData[Gas],Table_GWPData[CO2-e factor])</f>
        <v>265</v>
      </c>
    </row>
    <row r="292" spans="1:17" ht="20.100000000000001" customHeight="1" x14ac:dyDescent="0.2">
      <c r="D292" s="88" t="s">
        <v>527</v>
      </c>
      <c r="E292" s="88" cm="1">
        <f t="array" ref="E292">Common_Equations.Common_ConvertN2OToCO2e(G289,G290)</f>
        <v>15.628540852948646</v>
      </c>
      <c r="F292" s="93" t="str" cm="1">
        <f t="array" ref="F292">Common_Equations.Common_ConvertN2OToCO2e_Unit()</f>
        <v>t CO2e</v>
      </c>
      <c r="N292" s="88" t="s">
        <v>527</v>
      </c>
      <c r="O292" s="88" cm="1">
        <f t="array" ref="O292">Common_Equations.Common_ConvertN2OToCO2e(Q289,Q290)</f>
        <v>15.628540852948646</v>
      </c>
      <c r="P292" s="93" t="str" cm="1">
        <f t="array" ref="P292">Common_Equations.Common_ConvertN2OToCO2e_Unit()</f>
        <v>t CO2e</v>
      </c>
    </row>
  </sheetData>
  <dataValidations count="1">
    <dataValidation operator="equal" allowBlank="1" showInputMessage="1" showErrorMessage="1" sqref="O113:T113 O285 N90:P90 D79:E79 E108:J108 E73:F73 F113:J113 O278 E231 E250 O231 E238 E243 O234 O243 E272 E269 O250 E278 E285 E234 E246 O246 E281 O281" xr:uid="{079D5F3D-8793-417D-A2C7-5B6A21FC406A}"/>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828A-683E-434B-B9D7-1EEC8F8FC628}">
  <sheetPr>
    <tabColor rgb="FF008000"/>
  </sheetPr>
  <dimension ref="A1:W73"/>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528</v>
      </c>
    </row>
    <row r="2" spans="1:23" s="3" customFormat="1" ht="20.100000000000001" customHeight="1" x14ac:dyDescent="0.2">
      <c r="A2"/>
    </row>
    <row r="3" spans="1:23" ht="20.100000000000001" customHeight="1" x14ac:dyDescent="0.2">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D5" s="2" t="s">
        <v>1664</v>
      </c>
    </row>
    <row r="6" spans="1:23" ht="20.100000000000001" customHeight="1" x14ac:dyDescent="0.2">
      <c r="A6" s="5" t="str">
        <f>HYPERLINK("#'Results'!A1", "Results")</f>
        <v>Results</v>
      </c>
      <c r="D6" s="17" t="s">
        <v>1665</v>
      </c>
    </row>
    <row r="7" spans="1:23" ht="20.100000000000001" customHeight="1" x14ac:dyDescent="0.2">
      <c r="D7" s="118"/>
      <c r="E7" s="118"/>
    </row>
    <row r="9" spans="1:23" ht="20.100000000000001" customHeight="1" x14ac:dyDescent="0.2">
      <c r="A9" s="7" t="s">
        <v>0</v>
      </c>
    </row>
    <row r="10" spans="1:23" ht="20.100000000000001" customHeight="1" x14ac:dyDescent="0.2">
      <c r="A10" s="5" t="str">
        <f>HYPERLINK("#'Input - Enterprise'!A1", "Enterprise")</f>
        <v>Enterprise</v>
      </c>
      <c r="D10" s="76" t="s">
        <v>378</v>
      </c>
      <c r="E10" s="1" t="s">
        <v>1666</v>
      </c>
    </row>
    <row r="11" spans="1:23" ht="20.100000000000001" customHeight="1" x14ac:dyDescent="0.2">
      <c r="A11" s="5" t="str">
        <f>HYPERLINK("#'Input - Site'!A1", "Site")</f>
        <v>Site</v>
      </c>
      <c r="D11" s="76" t="s">
        <v>118</v>
      </c>
      <c r="E11" s="9" t="s">
        <v>1301</v>
      </c>
    </row>
    <row r="12" spans="1:23" ht="20.100000000000001" customHeight="1" x14ac:dyDescent="0.2">
      <c r="A12" s="5" t="str">
        <f>HYPERLINK("#'Input - Dairy'!A1", "Dairy")</f>
        <v>Dairy</v>
      </c>
    </row>
    <row r="13" spans="1:23" ht="20.100000000000001" customHeight="1" x14ac:dyDescent="0.2">
      <c r="A13" s="5" t="str">
        <f>HYPERLINK("#'Input - Livestock sales'!A1", "Livestock sales")</f>
        <v>Livestock sales</v>
      </c>
      <c r="D13" s="120" t="s">
        <v>1649</v>
      </c>
      <c r="E13" s="125" t="s">
        <v>1657</v>
      </c>
      <c r="F13" s="126"/>
      <c r="G13" s="120" t="s">
        <v>1301</v>
      </c>
      <c r="H13" s="128" t="s">
        <v>1662</v>
      </c>
      <c r="I13" s="127" t="str" cm="1">
        <f t="array" aca="1" ref="I13" ca="1">HYPERLINK(Common_InputFunctions.Utility_SourceHyperlink(D$16),D$16)</f>
        <v>M1_Table_MN_j_m</v>
      </c>
    </row>
    <row r="14" spans="1:23" ht="20.100000000000001" customHeight="1" x14ac:dyDescent="0.2">
      <c r="A14" s="5" t="str">
        <f>HYPERLINK("#'Input - Dairy cattle purchases'!A1", "Dairy cattle purchases")</f>
        <v>Dairy cattle purchases</v>
      </c>
      <c r="D14" s="120" t="s">
        <v>1667</v>
      </c>
      <c r="E14" s="125" t="s">
        <v>1668</v>
      </c>
      <c r="F14" s="126"/>
      <c r="G14" s="120" t="s">
        <v>383</v>
      </c>
      <c r="H14" s="128" t="s">
        <v>1501</v>
      </c>
      <c r="I14" s="127" t="str" cm="1">
        <f t="array" aca="1" ref="I14" ca="1">HYPERLINK(Common_InputFunctions.Utility_SourceHyperlink($D$28),$D$28)</f>
        <v>Table_FracGASM_m</v>
      </c>
    </row>
    <row r="15" spans="1:23" ht="20.100000000000001" customHeight="1" x14ac:dyDescent="0.2">
      <c r="A15" s="5" t="str">
        <f>HYPERLINK("#'Input - Pasture'!A1", "Pasture")</f>
        <v>Pasture</v>
      </c>
    </row>
    <row r="16" spans="1:23" ht="20.100000000000001" customHeight="1" x14ac:dyDescent="0.2">
      <c r="A16" s="5" t="str">
        <f>HYPERLINK("#'Input - Fert Prod System'!A1", "Fert Prod System")</f>
        <v>Fert Prod System</v>
      </c>
      <c r="D16" s="122" t="s">
        <v>515</v>
      </c>
      <c r="O16" s="122" t="s">
        <v>516</v>
      </c>
    </row>
    <row r="17" spans="1:22" ht="20.100000000000001" customHeight="1" x14ac:dyDescent="0.2">
      <c r="A17" s="5" t="str">
        <f>HYPERLINK("#'Input - Fertiliser'!A1", "Fertiliser")</f>
        <v>Fertiliser</v>
      </c>
      <c r="D17" s="123" t="s">
        <v>517</v>
      </c>
      <c r="O17" s="123" t="s">
        <v>518</v>
      </c>
    </row>
    <row r="18" spans="1:22" ht="20.100000000000001" customHeight="1" x14ac:dyDescent="0.2">
      <c r="A18" s="5" t="str">
        <f>HYPERLINK("#'Input - Fuel'!A1", "Fuel")</f>
        <v>Fuel</v>
      </c>
      <c r="D18" s="124" t="s">
        <v>159</v>
      </c>
      <c r="E18" s="124" t="s">
        <v>422</v>
      </c>
      <c r="F18" s="124" t="s">
        <v>330</v>
      </c>
      <c r="G18" s="124" t="s">
        <v>331</v>
      </c>
      <c r="H18" s="124" t="s">
        <v>332</v>
      </c>
      <c r="I18" s="124" t="s">
        <v>333</v>
      </c>
      <c r="J18" s="124" t="s">
        <v>334</v>
      </c>
      <c r="O18" s="124" t="s">
        <v>159</v>
      </c>
      <c r="P18" s="124" t="s">
        <v>422</v>
      </c>
      <c r="Q18" s="124" t="s">
        <v>330</v>
      </c>
      <c r="R18" s="124" t="s">
        <v>331</v>
      </c>
      <c r="S18" s="124" t="s">
        <v>332</v>
      </c>
      <c r="T18" s="124" t="s">
        <v>333</v>
      </c>
      <c r="U18" s="124" t="s">
        <v>334</v>
      </c>
    </row>
    <row r="19" spans="1:22" ht="20.100000000000001" customHeight="1" x14ac:dyDescent="0.2">
      <c r="A19" s="5" t="str">
        <f>HYPERLINK("#'Input - Electricity'!A1", "Electricity")</f>
        <v>Electricity</v>
      </c>
      <c r="D19" s="15" t="str">
        <f>INDEX(X_Table_Dairy_ProductionSystems_Method1,3,1)</f>
        <v>Milking shed</v>
      </c>
      <c r="E19" s="15" t="str">
        <f>INDEX(X_Table_Dairy_Stage1MMS_1_AnaerobicLagoon,2,1)</f>
        <v>Anaerobic lagoon</v>
      </c>
      <c r="F19" s="15">
        <f>INDEX(M1_Table_MN_j_m,2,3)</f>
        <v>399.24605684746678</v>
      </c>
      <c r="G19" s="15">
        <f>INDEX(M1_Table_MN_j_m,2,4)</f>
        <v>182.35790267782079</v>
      </c>
      <c r="H19" s="15">
        <f>INDEX(M1_Table_MN_j_m,2,5)</f>
        <v>72.631224123843424</v>
      </c>
      <c r="I19" s="15">
        <f>INDEX(M1_Table_MN_j_m,2,6)</f>
        <v>229.23109573986844</v>
      </c>
      <c r="J19" s="15">
        <f>INDEX(M1_Table_MN_j_m,2,7)</f>
        <v>95.962857079055411</v>
      </c>
      <c r="K19" s="16" t="str">
        <f>$G$13</f>
        <v>kg N</v>
      </c>
      <c r="O19" s="15" t="str">
        <f>INDEX(X_Table_Dairy_ProductionSystems_Method1,3,1)</f>
        <v>Milking shed</v>
      </c>
      <c r="P19" s="15" t="str">
        <f>INDEX(X_Table_Dairy_Stage1MMS_1_AnaerobicLagoon,2,1)</f>
        <v>Anaerobic lagoon</v>
      </c>
      <c r="Q19" s="15">
        <f>INDEX(M2_Table_MN_j_m,2,3)</f>
        <v>399.24605684746678</v>
      </c>
      <c r="R19" s="15">
        <f>INDEX(M2_Table_MN_j_m,2,4)</f>
        <v>182.35790267782079</v>
      </c>
      <c r="S19" s="15">
        <f>INDEX(M2_Table_MN_j_m,2,5)</f>
        <v>72.631224123843424</v>
      </c>
      <c r="T19" s="15">
        <f>INDEX(M2_Table_MN_j_m,2,6)</f>
        <v>229.23109573986844</v>
      </c>
      <c r="U19" s="15">
        <f>INDEX(M2_Table_MN_j_m,2,7)</f>
        <v>95.962857079055411</v>
      </c>
      <c r="V19" s="16" t="str">
        <f>$G$13</f>
        <v>kg N</v>
      </c>
    </row>
    <row r="20" spans="1:22" ht="20.100000000000001" customHeight="1" x14ac:dyDescent="0.2">
      <c r="A20" s="5" t="str">
        <f>HYPERLINK("#'Input - Common farm inputs'!A1", "Common farm inputs")</f>
        <v>Common farm inputs</v>
      </c>
      <c r="D20" s="15" t="str">
        <f>INDEX(X_Table_Dairy_ProductionSystems_Method1,3,1)</f>
        <v>Milking shed</v>
      </c>
      <c r="E20" s="15" t="str">
        <f>INDEX(X_Table_Dairy_Stage1MMS_1_SumpAndDispersal,2,1)</f>
        <v>Sump and dispersal system</v>
      </c>
      <c r="F20" s="15">
        <f>INDEX(M1_Table_MN_j_m,3,3)</f>
        <v>399.24605684746678</v>
      </c>
      <c r="G20" s="15">
        <f>INDEX(M1_Table_MN_j_m,3,4)</f>
        <v>182.35790267782079</v>
      </c>
      <c r="H20" s="15">
        <f>INDEX(M1_Table_MN_j_m,3,5)</f>
        <v>72.631224123843424</v>
      </c>
      <c r="I20" s="15">
        <f>INDEX(M1_Table_MN_j_m,3,6)</f>
        <v>229.23109573986844</v>
      </c>
      <c r="J20" s="15">
        <f>INDEX(M1_Table_MN_j_m,3,7)</f>
        <v>95.962857079055411</v>
      </c>
      <c r="K20" s="16"/>
      <c r="O20" s="15" t="str">
        <f>INDEX(X_Table_Dairy_ProductionSystems_Method1,3,1)</f>
        <v>Milking shed</v>
      </c>
      <c r="P20" s="15" t="str">
        <f>INDEX(X_Table_Dairy_Stage1MMS_1_SumpAndDispersal,2,1)</f>
        <v>Sump and dispersal system</v>
      </c>
      <c r="Q20" s="15">
        <f>INDEX(M2_Table_MN_j_m,3,3)</f>
        <v>399.24605684746678</v>
      </c>
      <c r="R20" s="15">
        <f>INDEX(M2_Table_MN_j_m,3,4)</f>
        <v>182.35790267782079</v>
      </c>
      <c r="S20" s="15">
        <f>INDEX(M2_Table_MN_j_m,3,5)</f>
        <v>72.631224123843424</v>
      </c>
      <c r="T20" s="15">
        <f>INDEX(M2_Table_MN_j_m,3,6)</f>
        <v>229.23109573986844</v>
      </c>
      <c r="U20" s="15">
        <f>INDEX(M2_Table_MN_j_m,3,7)</f>
        <v>95.962857079055411</v>
      </c>
      <c r="V20" s="16"/>
    </row>
    <row r="21" spans="1:22" ht="20.100000000000001" customHeight="1" x14ac:dyDescent="0.2">
      <c r="A21" s="5" t="str">
        <f>HYPERLINK("#'Input - Crop pasture farm input'!A1", "Crop pasture farm input")</f>
        <v>Crop pasture farm input</v>
      </c>
      <c r="D21" s="15" t="str">
        <f>INDEX(X_Table_Dairy_ProductionSystems_Method1,3,1)</f>
        <v>Milking shed</v>
      </c>
      <c r="E21" s="15" t="str">
        <f>INDEX(X_Table_Dairy_Stage1MMS_1_DrainsToPaddock,2,1)</f>
        <v>Drains to paddock</v>
      </c>
      <c r="F21" s="15">
        <f>INDEX(M1_Table_MN_j_m,4,3)</f>
        <v>399.24605684746678</v>
      </c>
      <c r="G21" s="15">
        <f>INDEX(M1_Table_MN_j_m,4,4)</f>
        <v>182.35790267782079</v>
      </c>
      <c r="H21" s="15">
        <f>INDEX(M1_Table_MN_j_m,4,5)</f>
        <v>72.631224123843424</v>
      </c>
      <c r="I21" s="15">
        <f>INDEX(M1_Table_MN_j_m,4,6)</f>
        <v>229.23109573986844</v>
      </c>
      <c r="J21" s="15">
        <f>INDEX(M1_Table_MN_j_m,4,7)</f>
        <v>95.962857079055411</v>
      </c>
      <c r="K21" s="16"/>
      <c r="O21" s="15" t="str">
        <f>INDEX(X_Table_Dairy_ProductionSystems_Method1,3,1)</f>
        <v>Milking shed</v>
      </c>
      <c r="P21" s="15" t="str">
        <f>INDEX(X_Table_Dairy_Stage1MMS_1_DrainsToPaddock,2,1)</f>
        <v>Drains to paddock</v>
      </c>
      <c r="Q21" s="15">
        <f>INDEX(M2_Table_MN_j_m,4,3)</f>
        <v>399.24605684746678</v>
      </c>
      <c r="R21" s="15">
        <f>INDEX(M2_Table_MN_j_m,4,4)</f>
        <v>182.35790267782079</v>
      </c>
      <c r="S21" s="15">
        <f>INDEX(M2_Table_MN_j_m,4,5)</f>
        <v>72.631224123843424</v>
      </c>
      <c r="T21" s="15">
        <f>INDEX(M2_Table_MN_j_m,4,6)</f>
        <v>229.23109573986844</v>
      </c>
      <c r="U21" s="15">
        <f>INDEX(M2_Table_MN_j_m,4,7)</f>
        <v>95.962857079055411</v>
      </c>
      <c r="V21" s="16"/>
    </row>
    <row r="22" spans="1:22" ht="20.100000000000001" customHeight="1" x14ac:dyDescent="0.2">
      <c r="A22" s="5" t="str">
        <f>HYPERLINK("#'Input - Livestock farm Inputs'!A1", "Livestock farm Inputs")</f>
        <v>Livestock farm Inputs</v>
      </c>
      <c r="D22" s="15" t="str">
        <f>INDEX(X_Table_Dairy_ProductionSystems_Method1,3,1)</f>
        <v>Milking shed</v>
      </c>
      <c r="E22" s="15" t="s">
        <v>75</v>
      </c>
      <c r="F22" s="15">
        <f>INDEX(M1_Table_MN_j_m,5,3)</f>
        <v>798.49211369493332</v>
      </c>
      <c r="G22" s="15">
        <f>INDEX(M1_Table_MN_j_m,5,4)</f>
        <v>364.71580535564152</v>
      </c>
      <c r="H22" s="15">
        <f>INDEX(M1_Table_MN_j_m,5,5)</f>
        <v>145.26244824768682</v>
      </c>
      <c r="I22" s="15">
        <f>INDEX(M1_Table_MN_j_m,5,6)</f>
        <v>458.46219147973682</v>
      </c>
      <c r="J22" s="15">
        <f>INDEX(M1_Table_MN_j_m,5,7)</f>
        <v>191.92571415811079</v>
      </c>
      <c r="K22" s="16"/>
      <c r="O22" s="15" t="str">
        <f>INDEX(X_Table_Dairy_ProductionSystems_Method1,3,1)</f>
        <v>Milking shed</v>
      </c>
      <c r="P22" s="15" t="s">
        <v>75</v>
      </c>
      <c r="Q22" s="15">
        <f>INDEX(M2_Table_MN_j_m,5,3)</f>
        <v>798.49211369493332</v>
      </c>
      <c r="R22" s="15">
        <f>INDEX(M2_Table_MN_j_m,5,4)</f>
        <v>364.71580535564152</v>
      </c>
      <c r="S22" s="15">
        <f>INDEX(M2_Table_MN_j_m,5,5)</f>
        <v>145.26244824768682</v>
      </c>
      <c r="T22" s="15">
        <f>INDEX(M2_Table_MN_j_m,5,6)</f>
        <v>458.46219147973682</v>
      </c>
      <c r="U22" s="15">
        <f>INDEX(M2_Table_MN_j_m,5,7)</f>
        <v>191.92571415811079</v>
      </c>
      <c r="V22" s="16"/>
    </row>
    <row r="23" spans="1:22" ht="20.100000000000001" customHeight="1" x14ac:dyDescent="0.2">
      <c r="A23" s="5" t="str">
        <f>HYPERLINK("#'Input - Freight'!A1", "Freight")</f>
        <v>Freight</v>
      </c>
      <c r="D23" s="15" t="str">
        <f>INDEX(X_Table_Dairy_ProductionSystems_Method1,4,1)</f>
        <v>Feed pad</v>
      </c>
      <c r="E23" s="15" t="str">
        <f>INDEX(X_Table_Dairy_Stage1MMS_2_AnaerobicLagoon,2,1)</f>
        <v>Anaerobic lagoon</v>
      </c>
      <c r="F23" s="15">
        <f>INDEX(M1_Table_MN_j_m,6,3)</f>
        <v>1615.131775428388</v>
      </c>
      <c r="G23" s="15">
        <f>INDEX(M1_Table_MN_j_m,6,4)</f>
        <v>737.72060628754764</v>
      </c>
      <c r="H23" s="15">
        <f>INDEX(M1_Table_MN_j_m,6,5)</f>
        <v>293.82631577373019</v>
      </c>
      <c r="I23" s="15">
        <f>INDEX(M1_Table_MN_j_m,6,6)</f>
        <v>927.34397822037681</v>
      </c>
      <c r="J23" s="15">
        <f>INDEX(M1_Table_MN_j_m,6,7)</f>
        <v>388.21337636526954</v>
      </c>
      <c r="K23" s="16"/>
      <c r="O23" s="15" t="str">
        <f>INDEX(X_Table_Dairy_ProductionSystems_Method1,4,1)</f>
        <v>Feed pad</v>
      </c>
      <c r="P23" s="15" t="str">
        <f>INDEX(X_Table_Dairy_Stage1MMS_2_AnaerobicLagoon,2,1)</f>
        <v>Anaerobic lagoon</v>
      </c>
      <c r="Q23" s="15">
        <f>INDEX(M2_Table_MN_j_m,6,3)</f>
        <v>1615.131775428388</v>
      </c>
      <c r="R23" s="15">
        <f>INDEX(M2_Table_MN_j_m,6,4)</f>
        <v>737.72060628754764</v>
      </c>
      <c r="S23" s="15">
        <f>INDEX(M2_Table_MN_j_m,6,5)</f>
        <v>293.82631577373019</v>
      </c>
      <c r="T23" s="15">
        <f>INDEX(M2_Table_MN_j_m,6,6)</f>
        <v>927.34397822037681</v>
      </c>
      <c r="U23" s="15">
        <f>INDEX(M2_Table_MN_j_m,6,7)</f>
        <v>388.21337636526954</v>
      </c>
      <c r="V23" s="16"/>
    </row>
    <row r="24" spans="1:22" ht="20.100000000000001" customHeight="1" x14ac:dyDescent="0.2">
      <c r="A24" s="5" t="str">
        <f>HYPERLINK("#'Input - Solid waste'!A1", "Solid waste")</f>
        <v>Solid waste</v>
      </c>
      <c r="D24" s="15" t="str">
        <f>INDEX(X_Table_Dairy_ProductionSystems_Method1,4,1)</f>
        <v>Feed pad</v>
      </c>
      <c r="E24" s="15" t="str">
        <f>INDEX(X_Table_Dairy_Stage1MMS_2_SumpAndDispersal,2,1)</f>
        <v>Sump and dispersal system</v>
      </c>
      <c r="F24" s="15">
        <f>INDEX(M1_Table_MN_j_m,7,3)</f>
        <v>1292.1054203427104</v>
      </c>
      <c r="G24" s="15">
        <f>INDEX(M1_Table_MN_j_m,7,4)</f>
        <v>590.17648503003818</v>
      </c>
      <c r="H24" s="15">
        <f>INDEX(M1_Table_MN_j_m,7,5)</f>
        <v>235.06105261898415</v>
      </c>
      <c r="I24" s="15">
        <f>INDEX(M1_Table_MN_j_m,7,6)</f>
        <v>741.87518257630143</v>
      </c>
      <c r="J24" s="15">
        <f>INDEX(M1_Table_MN_j_m,7,7)</f>
        <v>310.57070109221564</v>
      </c>
      <c r="K24" s="16"/>
      <c r="O24" s="15" t="str">
        <f>INDEX(X_Table_Dairy_ProductionSystems_Method1,4,1)</f>
        <v>Feed pad</v>
      </c>
      <c r="P24" s="15" t="str">
        <f>INDEX(X_Table_Dairy_Stage1MMS_2_SumpAndDispersal,2,1)</f>
        <v>Sump and dispersal system</v>
      </c>
      <c r="Q24" s="15">
        <f>INDEX(M2_Table_MN_j_m,7,3)</f>
        <v>1292.1054203427104</v>
      </c>
      <c r="R24" s="15">
        <f>INDEX(M2_Table_MN_j_m,7,4)</f>
        <v>590.17648503003818</v>
      </c>
      <c r="S24" s="15">
        <f>INDEX(M2_Table_MN_j_m,7,5)</f>
        <v>235.06105261898415</v>
      </c>
      <c r="T24" s="15">
        <f>INDEX(M2_Table_MN_j_m,7,6)</f>
        <v>741.87518257630143</v>
      </c>
      <c r="U24" s="15">
        <f>INDEX(M2_Table_MN_j_m,7,7)</f>
        <v>310.57070109221564</v>
      </c>
      <c r="V24" s="16"/>
    </row>
    <row r="25" spans="1:22" ht="20.100000000000001" customHeight="1" x14ac:dyDescent="0.2">
      <c r="A25" s="5" t="str">
        <f>HYPERLINK("#'Input - Manure sent off-site'!A1", "Manure sent off-site")</f>
        <v>Manure sent off-site</v>
      </c>
      <c r="D25" s="15" t="str">
        <f>INDEX(X_Table_Dairy_ProductionSystems_Method1,4,1)</f>
        <v>Feed pad</v>
      </c>
      <c r="E25" s="15" t="str">
        <f>INDEX(X_Table_Dairy_Stage1MMS_2_DrainsToPaddock,2,1)</f>
        <v>Drains to paddock</v>
      </c>
      <c r="F25" s="15">
        <f>INDEX(M1_Table_MN_j_m,8,3)</f>
        <v>1292.1054203427104</v>
      </c>
      <c r="G25" s="15">
        <f>INDEX(M1_Table_MN_j_m,8,4)</f>
        <v>590.17648503003818</v>
      </c>
      <c r="H25" s="15">
        <f>INDEX(M1_Table_MN_j_m,8,5)</f>
        <v>235.06105261898415</v>
      </c>
      <c r="I25" s="15">
        <f>INDEX(M1_Table_MN_j_m,8,6)</f>
        <v>741.87518257630143</v>
      </c>
      <c r="J25" s="15">
        <f>INDEX(M1_Table_MN_j_m,8,7)</f>
        <v>310.57070109221564</v>
      </c>
      <c r="K25" s="16"/>
      <c r="O25" s="15" t="str">
        <f>INDEX(X_Table_Dairy_ProductionSystems_Method1,4,1)</f>
        <v>Feed pad</v>
      </c>
      <c r="P25" s="15" t="str">
        <f>INDEX(X_Table_Dairy_Stage1MMS_2_DrainsToPaddock,2,1)</f>
        <v>Drains to paddock</v>
      </c>
      <c r="Q25" s="15">
        <f>INDEX(M2_Table_MN_j_m,8,3)</f>
        <v>1292.1054203427104</v>
      </c>
      <c r="R25" s="15">
        <f>INDEX(M2_Table_MN_j_m,8,4)</f>
        <v>590.17648503003818</v>
      </c>
      <c r="S25" s="15">
        <f>INDEX(M2_Table_MN_j_m,8,5)</f>
        <v>235.06105261898415</v>
      </c>
      <c r="T25" s="15">
        <f>INDEX(M2_Table_MN_j_m,8,6)</f>
        <v>741.87518257630143</v>
      </c>
      <c r="U25" s="15">
        <f>INDEX(M2_Table_MN_j_m,8,7)</f>
        <v>310.57070109221564</v>
      </c>
      <c r="V25" s="16"/>
    </row>
    <row r="26" spans="1:22" ht="20.100000000000001" customHeight="1" x14ac:dyDescent="0.2">
      <c r="A26" s="5" t="str">
        <f>HYPERLINK("#'Input - Refrigerants'!A1", "Refrigerants")</f>
        <v>Refrigerants</v>
      </c>
      <c r="D26" s="15" t="str">
        <f>INDEX(X_Table_Dairy_ProductionSystems_Method1,4,1)</f>
        <v>Feed pad</v>
      </c>
      <c r="E26" s="15" t="s">
        <v>75</v>
      </c>
      <c r="F26" s="15">
        <f>INDEX(M1_Table_MN_j_m,9,3)</f>
        <v>2261.1844855997429</v>
      </c>
      <c r="G26" s="15">
        <f>INDEX(M1_Table_MN_j_m,9,4)</f>
        <v>1032.8088488025667</v>
      </c>
      <c r="H26" s="15">
        <f>INDEX(M1_Table_MN_j_m,9,5)</f>
        <v>411.35684208322226</v>
      </c>
      <c r="I26" s="15">
        <f>INDEX(M1_Table_MN_j_m,9,6)</f>
        <v>1298.2815695085274</v>
      </c>
      <c r="J26" s="15">
        <f>INDEX(M1_Table_MN_j_m,9,7)</f>
        <v>543.49872691137739</v>
      </c>
      <c r="K26" s="16"/>
      <c r="O26" s="15" t="str">
        <f>INDEX(X_Table_Dairy_ProductionSystems_Method1,4,1)</f>
        <v>Feed pad</v>
      </c>
      <c r="P26" s="15" t="s">
        <v>75</v>
      </c>
      <c r="Q26" s="15">
        <f>INDEX(M2_Table_MN_j_m,9,3)</f>
        <v>2261.1844855997429</v>
      </c>
      <c r="R26" s="15">
        <f>INDEX(M2_Table_MN_j_m,9,4)</f>
        <v>1032.8088488025667</v>
      </c>
      <c r="S26" s="15">
        <f>INDEX(M2_Table_MN_j_m,9,5)</f>
        <v>411.35684208322226</v>
      </c>
      <c r="T26" s="15">
        <f>INDEX(M2_Table_MN_j_m,9,6)</f>
        <v>1298.2815695085274</v>
      </c>
      <c r="U26" s="15">
        <f>INDEX(M2_Table_MN_j_m,9,7)</f>
        <v>543.49872691137739</v>
      </c>
      <c r="V26" s="16"/>
    </row>
    <row r="27" spans="1:22" ht="20.100000000000001" customHeight="1" x14ac:dyDescent="0.2">
      <c r="A27" s="5" t="str">
        <f>HYPERLINK("#'Input - Data quality'!A1", "Data quality")</f>
        <v>Data quality</v>
      </c>
    </row>
    <row r="28" spans="1:22" ht="20.100000000000001" customHeight="1" x14ac:dyDescent="0.2">
      <c r="D28" s="122" t="s">
        <v>529</v>
      </c>
    </row>
    <row r="29" spans="1:22" ht="20.100000000000001" customHeight="1" x14ac:dyDescent="0.2">
      <c r="D29" s="123" t="s">
        <v>530</v>
      </c>
    </row>
    <row r="30" spans="1:22" ht="20.100000000000001" customHeight="1" x14ac:dyDescent="0.2">
      <c r="A30" s="6" t="s">
        <v>2</v>
      </c>
      <c r="D30" s="124" t="s">
        <v>422</v>
      </c>
      <c r="E30" s="124" t="s">
        <v>531</v>
      </c>
    </row>
    <row r="31" spans="1:22" ht="20.100000000000001" customHeight="1" x14ac:dyDescent="0.2">
      <c r="A31" s="5" t="str">
        <f>HYPERLINK("#'3.3.1.1-2 Enteric Methane'!A1", "3.3.1.1-2 Enteric methane")</f>
        <v>3.3.1.1-2 Enteric methane</v>
      </c>
      <c r="D31" s="15" t="str" cm="1">
        <f t="array" ref="D31:D35">Table_SourceData_Dairy_EFmFracGASM[NIR reference]</f>
        <v>Pasture range and paddock</v>
      </c>
      <c r="E31" s="15" cm="1">
        <f t="array" ref="E31:E35">Table_SourceData_Dairy_EFmFracGASM[FracGASMm]</f>
        <v>0</v>
      </c>
      <c r="F31" s="16" t="str">
        <f>G14</f>
        <v>fraction</v>
      </c>
    </row>
    <row r="32" spans="1:22" ht="20.100000000000001" customHeight="1" x14ac:dyDescent="0.2">
      <c r="A32" s="5" t="str">
        <f>HYPERLINK("#'4.3.1.1-2 Methane'!A1", "4.3.1.1-2 Manure methane")</f>
        <v>4.3.1.1-2 Manure methane</v>
      </c>
      <c r="D32" s="15" t="str">
        <v>Anaerobic lagoon</v>
      </c>
      <c r="E32" s="15">
        <v>0.35</v>
      </c>
      <c r="F32" s="16"/>
    </row>
    <row r="33" spans="1:22" ht="20.100000000000001" customHeight="1" x14ac:dyDescent="0.2">
      <c r="A33" s="5" t="str">
        <f>HYPERLINK("#'4.3.1.3-4 Direct N20'!A1", "4.3.1.3-4 Direct N20")</f>
        <v>4.3.1.3-4 Direct N20</v>
      </c>
      <c r="D33" s="15" t="str">
        <v>Sump and dispersal system</v>
      </c>
      <c r="E33" s="15">
        <v>7.0000000000000007E-2</v>
      </c>
      <c r="F33" s="16"/>
    </row>
    <row r="34" spans="1:22" ht="20.100000000000001" customHeight="1" x14ac:dyDescent="0.2">
      <c r="A34" s="119" t="str">
        <f>HYPERLINK("#'4.3.1.5 Atmos deposition'!A1", "4.3.1.5 Atmos deposition")</f>
        <v>4.3.1.5 Atmos deposition</v>
      </c>
      <c r="D34" s="15" t="str">
        <v>Drains to paddock</v>
      </c>
      <c r="E34" s="15">
        <v>0.2</v>
      </c>
      <c r="F34" s="16"/>
    </row>
    <row r="35" spans="1:22" ht="20.100000000000001" customHeight="1" x14ac:dyDescent="0.2">
      <c r="A35" s="5" t="str">
        <f>HYPERLINK("#'4.3.1.6-7 Leaching and runoff'!A1", "4.3.1.6-7 Leaching &amp; runoff")</f>
        <v>4.3.1.6-7 Leaching &amp; runoff</v>
      </c>
      <c r="D35" s="15" t="str">
        <v>Solid storage</v>
      </c>
      <c r="E35" s="15">
        <v>0.3</v>
      </c>
      <c r="F35" s="16"/>
    </row>
    <row r="36" spans="1:22" ht="20.100000000000001" customHeight="1" x14ac:dyDescent="0.2">
      <c r="A36" s="5" t="str">
        <f>HYPERLINK("#'4.3.1.8 Manure applied to soils'!A1", "4.3.1.8 Manure applied to soils")</f>
        <v>4.3.1.8 Manure applied to soils</v>
      </c>
    </row>
    <row r="37" spans="1:22" ht="20.100000000000001" customHeight="1" x14ac:dyDescent="0.2">
      <c r="A37" s="5" t="str">
        <f>HYPERLINK("#'4.3.1.9 Soil direct N2O'!A1", "4.3.1.9 Soil direct N2O")</f>
        <v>4.3.1.9 Soil direct N2O</v>
      </c>
      <c r="D37" s="122" t="s">
        <v>532</v>
      </c>
      <c r="O37" s="122" t="s">
        <v>533</v>
      </c>
    </row>
    <row r="38" spans="1:22" ht="20.100000000000001" customHeight="1" x14ac:dyDescent="0.2">
      <c r="A38" s="5" t="str">
        <f>HYPERLINK("#'4.3.1.10-11 Soil Atmos Dep'!A1", "4.3.1.10-11 Soil Atmos Deposition")</f>
        <v>4.3.1.10-11 Soil Atmos Deposition</v>
      </c>
      <c r="D38" s="123" t="s">
        <v>534</v>
      </c>
      <c r="O38" s="123" t="s">
        <v>535</v>
      </c>
    </row>
    <row r="39" spans="1:22" ht="20.100000000000001" customHeight="1" x14ac:dyDescent="0.2">
      <c r="A39" s="5" t="str">
        <f>HYPERLINK("#'4.3.1.12-13 Soil leach runoff'!A1", "4.3.1.12-13 Soil leach &amp; runoff")</f>
        <v>4.3.1.12-13 Soil leach &amp; runoff</v>
      </c>
      <c r="D39" s="124" t="s">
        <v>159</v>
      </c>
      <c r="E39" s="124" t="s">
        <v>422</v>
      </c>
      <c r="F39" s="124" t="s">
        <v>330</v>
      </c>
      <c r="G39" s="124" t="s">
        <v>331</v>
      </c>
      <c r="H39" s="124" t="s">
        <v>332</v>
      </c>
      <c r="I39" s="124" t="s">
        <v>333</v>
      </c>
      <c r="J39" s="124" t="s">
        <v>334</v>
      </c>
      <c r="O39" s="124" t="s">
        <v>159</v>
      </c>
      <c r="P39" s="124" t="s">
        <v>422</v>
      </c>
      <c r="Q39" s="124" t="s">
        <v>330</v>
      </c>
      <c r="R39" s="124" t="s">
        <v>331</v>
      </c>
      <c r="S39" s="124" t="s">
        <v>332</v>
      </c>
      <c r="T39" s="124" t="s">
        <v>333</v>
      </c>
      <c r="U39" s="124" t="s">
        <v>334</v>
      </c>
    </row>
    <row r="40" spans="1:22" ht="20.100000000000001" customHeight="1" x14ac:dyDescent="0.2">
      <c r="A40" s="5" t="str">
        <f>HYPERLINK("#'5.1.1.1-2 Inorganic fert N2O'!A1", "5.1.1.1-2 Inorganic fert N2O")</f>
        <v>5.1.1.1-2 Inorganic fert N2O</v>
      </c>
      <c r="D40" s="15" t="str">
        <f>INDEX(X_Table_Dairy_ProductionSystems_Method1,3,1)</f>
        <v>Milking shed</v>
      </c>
      <c r="E40" s="15" t="str">
        <f>INDEX(X_Table_Dairy_Stage1MMS_1_AnaerobicLagoon,2,1)</f>
        <v>Anaerobic lagoon</v>
      </c>
      <c r="F40" s="15">
        <f>(F19 * $E32)</f>
        <v>139.73611989661336</v>
      </c>
      <c r="G40" s="15">
        <f>(G19 * $E32)</f>
        <v>63.825265937237269</v>
      </c>
      <c r="H40" s="15">
        <f>(H19 * $E32)</f>
        <v>25.420928443345197</v>
      </c>
      <c r="I40" s="15">
        <f>(I19 * $E32)</f>
        <v>80.230883508953951</v>
      </c>
      <c r="J40" s="15">
        <f>(J19 * $E32)</f>
        <v>33.586999977669393</v>
      </c>
      <c r="K40" s="16" t="str">
        <f>$E$11</f>
        <v>kg N</v>
      </c>
      <c r="O40" s="15" t="str">
        <f>INDEX(X_Table_Dairy_ProductionSystems_Method1,3,1)</f>
        <v>Milking shed</v>
      </c>
      <c r="P40" s="15" t="str">
        <f>INDEX(X_Table_Dairy_Stage1MMS_1_AnaerobicLagoon,2,1)</f>
        <v>Anaerobic lagoon</v>
      </c>
      <c r="Q40" s="15">
        <f>(Q19 * $E32)</f>
        <v>139.73611989661336</v>
      </c>
      <c r="R40" s="15">
        <f>(R19 * $E32)</f>
        <v>63.825265937237269</v>
      </c>
      <c r="S40" s="15">
        <f>(S19 * $E32)</f>
        <v>25.420928443345197</v>
      </c>
      <c r="T40" s="15">
        <f>(T19 * $E32)</f>
        <v>80.230883508953951</v>
      </c>
      <c r="U40" s="15">
        <f>(U19 * $E32)</f>
        <v>33.586999977669393</v>
      </c>
      <c r="V40" s="16" t="str">
        <f>$E$11</f>
        <v>kg N</v>
      </c>
    </row>
    <row r="41" spans="1:22" ht="20.100000000000001" customHeight="1" x14ac:dyDescent="0.2">
      <c r="A41" s="5" t="str">
        <f>HYPERLINK("#'5.1.1.3-4 Inorganic fert CO2'!A1", "5.1.1.3-4 Inorganic fert CO2")</f>
        <v>5.1.1.3-4 Inorganic fert CO2</v>
      </c>
      <c r="D41" s="15" t="str">
        <f>INDEX(X_Table_Dairy_ProductionSystems_Method1,3,1)</f>
        <v>Milking shed</v>
      </c>
      <c r="E41" s="15" t="str">
        <f>INDEX(X_Table_Dairy_Stage1MMS_1_SumpAndDispersal,2,1)</f>
        <v>Sump and dispersal system</v>
      </c>
      <c r="F41" s="15">
        <f>(F20 * $E33)</f>
        <v>27.947223979322676</v>
      </c>
      <c r="G41" s="15">
        <f>(G20 * $E33)</f>
        <v>12.765053187447457</v>
      </c>
      <c r="H41" s="15">
        <f>(H20 * $E33)</f>
        <v>5.0841856886690397</v>
      </c>
      <c r="I41" s="15">
        <f>(I20 * $E33)</f>
        <v>16.046176701790792</v>
      </c>
      <c r="J41" s="15">
        <f>(J20 * $E33)</f>
        <v>6.7173999955338797</v>
      </c>
      <c r="K41" s="16"/>
      <c r="O41" s="15" t="str">
        <f>INDEX(X_Table_Dairy_ProductionSystems_Method1,3,1)</f>
        <v>Milking shed</v>
      </c>
      <c r="P41" s="15" t="str">
        <f>INDEX(X_Table_Dairy_Stage1MMS_1_SumpAndDispersal,2,1)</f>
        <v>Sump and dispersal system</v>
      </c>
      <c r="Q41" s="15">
        <f>(Q20 * $E33)</f>
        <v>27.947223979322676</v>
      </c>
      <c r="R41" s="15">
        <f>(R20 * $E33)</f>
        <v>12.765053187447457</v>
      </c>
      <c r="S41" s="15">
        <f>(S20 * $E33)</f>
        <v>5.0841856886690397</v>
      </c>
      <c r="T41" s="15">
        <f>(T20 * $E33)</f>
        <v>16.046176701790792</v>
      </c>
      <c r="U41" s="15">
        <f>(U20 * $E33)</f>
        <v>6.7173999955338797</v>
      </c>
      <c r="V41" s="16"/>
    </row>
    <row r="42" spans="1:22" ht="20.100000000000001" customHeight="1" x14ac:dyDescent="0.2">
      <c r="A42" s="5" t="str">
        <f>HYPERLINK("#'5.2.1.1-2 Organic Fert N2O'!A1", "5.2.1.1-2 Organic fert N2O")</f>
        <v>5.2.1.1-2 Organic fert N2O</v>
      </c>
      <c r="D42" s="15" t="str">
        <f>INDEX(X_Table_Dairy_ProductionSystems_Method1,3,1)</f>
        <v>Milking shed</v>
      </c>
      <c r="E42" s="15" t="str">
        <f>INDEX(X_Table_Dairy_Stage1MMS_1_DrainsToPaddock,2,1)</f>
        <v>Drains to paddock</v>
      </c>
      <c r="F42" s="15">
        <f>(F21 * $E34)</f>
        <v>79.849211369493361</v>
      </c>
      <c r="G42" s="15">
        <f>(G21 * $E34)</f>
        <v>36.471580535564158</v>
      </c>
      <c r="H42" s="15">
        <f>(H21 * $E34)</f>
        <v>14.526244824768686</v>
      </c>
      <c r="I42" s="15">
        <f>(I21 * $E34)</f>
        <v>45.846219147973692</v>
      </c>
      <c r="J42" s="15">
        <f>(J21 * $E34)</f>
        <v>19.192571415811084</v>
      </c>
      <c r="K42" s="16"/>
      <c r="O42" s="15" t="str">
        <f>INDEX(X_Table_Dairy_ProductionSystems_Method1,3,1)</f>
        <v>Milking shed</v>
      </c>
      <c r="P42" s="15" t="str">
        <f>INDEX(X_Table_Dairy_Stage1MMS_1_DrainsToPaddock,2,1)</f>
        <v>Drains to paddock</v>
      </c>
      <c r="Q42" s="15">
        <f>(Q21 * $E34)</f>
        <v>79.849211369493361</v>
      </c>
      <c r="R42" s="15">
        <f>(R21 * $E34)</f>
        <v>36.471580535564158</v>
      </c>
      <c r="S42" s="15">
        <f>(S21 * $E34)</f>
        <v>14.526244824768686</v>
      </c>
      <c r="T42" s="15">
        <f>(T21 * $E34)</f>
        <v>45.846219147973692</v>
      </c>
      <c r="U42" s="15">
        <f>(U21 * $E34)</f>
        <v>19.192571415811084</v>
      </c>
      <c r="V42" s="16"/>
    </row>
    <row r="43" spans="1:22" ht="20.100000000000001" customHeight="1" x14ac:dyDescent="0.2">
      <c r="A43" s="5" t="str">
        <f>HYPERLINK("#'5.3.1.1-2 Lime CO2'!A1", "5.3.1.1-2 Lime CO2")</f>
        <v>5.3.1.1-2 Lime CO2</v>
      </c>
      <c r="D43" s="15" t="str">
        <f>INDEX(X_Table_Dairy_ProductionSystems_Method1,3,1)</f>
        <v>Milking shed</v>
      </c>
      <c r="E43" s="15" t="s">
        <v>75</v>
      </c>
      <c r="F43" s="15">
        <f>(F22 * $E35)</f>
        <v>239.54763410848</v>
      </c>
      <c r="G43" s="15">
        <f>(G22 * $E35)</f>
        <v>109.41474160669246</v>
      </c>
      <c r="H43" s="15">
        <f>(H22 * $E35)</f>
        <v>43.578734474306046</v>
      </c>
      <c r="I43" s="15">
        <f>(I22 * $E35)</f>
        <v>137.53865744392104</v>
      </c>
      <c r="J43" s="15">
        <f>(J22 * $E35)</f>
        <v>57.577714247433235</v>
      </c>
      <c r="K43" s="16"/>
      <c r="O43" s="15" t="str">
        <f>INDEX(X_Table_Dairy_ProductionSystems_Method1,3,1)</f>
        <v>Milking shed</v>
      </c>
      <c r="P43" s="15" t="s">
        <v>75</v>
      </c>
      <c r="Q43" s="15">
        <f>(Q22 * $E35)</f>
        <v>239.54763410848</v>
      </c>
      <c r="R43" s="15">
        <f>(R22 * $E35)</f>
        <v>109.41474160669246</v>
      </c>
      <c r="S43" s="15">
        <f>(S22 * $E35)</f>
        <v>43.578734474306046</v>
      </c>
      <c r="T43" s="15">
        <f>(T22 * $E35)</f>
        <v>137.53865744392104</v>
      </c>
      <c r="U43" s="15">
        <f>(U22 * $E35)</f>
        <v>57.577714247433235</v>
      </c>
      <c r="V43" s="16"/>
    </row>
    <row r="44" spans="1:22" ht="20.100000000000001" customHeight="1" x14ac:dyDescent="0.2">
      <c r="A44" s="5" t="str">
        <f>HYPERLINK("#'5.4.1.1-4 Atmos deposition'!A1", "5.4.1.1-4 Atmos. deposition")</f>
        <v>5.4.1.1-4 Atmos. deposition</v>
      </c>
      <c r="D44" s="15" t="str">
        <f>INDEX(X_Table_Dairy_ProductionSystems_Method1,4,1)</f>
        <v>Feed pad</v>
      </c>
      <c r="E44" s="15" t="str">
        <f>INDEX(X_Table_Dairy_Stage1MMS_2_AnaerobicLagoon,2,1)</f>
        <v>Anaerobic lagoon</v>
      </c>
      <c r="F44" s="15">
        <f>(F23 * $E32)</f>
        <v>565.29612139993571</v>
      </c>
      <c r="G44" s="15">
        <f>(G23 * $E32)</f>
        <v>258.20221220064167</v>
      </c>
      <c r="H44" s="15">
        <f>(H23 * $E32)</f>
        <v>102.83921052080557</v>
      </c>
      <c r="I44" s="15">
        <f>(I23 * $E32)</f>
        <v>324.57039237713184</v>
      </c>
      <c r="J44" s="15">
        <f>(J23 * $E32)</f>
        <v>135.87468172784432</v>
      </c>
      <c r="K44" s="16"/>
      <c r="O44" s="15" t="str">
        <f>INDEX(X_Table_Dairy_ProductionSystems_Method1,4,1)</f>
        <v>Feed pad</v>
      </c>
      <c r="P44" s="15" t="str">
        <f>INDEX(X_Table_Dairy_Stage1MMS_2_AnaerobicLagoon,2,1)</f>
        <v>Anaerobic lagoon</v>
      </c>
      <c r="Q44" s="15">
        <f>(Q23 * $E32)</f>
        <v>565.29612139993571</v>
      </c>
      <c r="R44" s="15">
        <f>(R23 * $E32)</f>
        <v>258.20221220064167</v>
      </c>
      <c r="S44" s="15">
        <f>(S23 * $E32)</f>
        <v>102.83921052080557</v>
      </c>
      <c r="T44" s="15">
        <f>(T23 * $E32)</f>
        <v>324.57039237713184</v>
      </c>
      <c r="U44" s="15">
        <f>(U23 * $E32)</f>
        <v>135.87468172784432</v>
      </c>
      <c r="V44" s="16"/>
    </row>
    <row r="45" spans="1:22" ht="20.100000000000001" customHeight="1" x14ac:dyDescent="0.2">
      <c r="A45" s="5" t="str">
        <f>HYPERLINK("#'5.5.1.1-2 Leaching and runoff'!A1", "5.5.1.1-2 Leaching &amp; runoff")</f>
        <v>5.5.1.1-2 Leaching &amp; runoff</v>
      </c>
      <c r="D45" s="15" t="str">
        <f>INDEX(X_Table_Dairy_ProductionSystems_Method1,4,1)</f>
        <v>Feed pad</v>
      </c>
      <c r="E45" s="15" t="str">
        <f>INDEX(X_Table_Dairy_Stage1MMS_2_SumpAndDispersal,2,1)</f>
        <v>Sump and dispersal system</v>
      </c>
      <c r="F45" s="15">
        <f>(F24 * $E33)</f>
        <v>90.447379423989744</v>
      </c>
      <c r="G45" s="15">
        <f>(G24 * $E33)</f>
        <v>41.312353952102676</v>
      </c>
      <c r="H45" s="15">
        <f>(H24 * $E33)</f>
        <v>16.454273683328893</v>
      </c>
      <c r="I45" s="15">
        <f>(I24 * $E33)</f>
        <v>51.931262780341108</v>
      </c>
      <c r="J45" s="15">
        <f>(J24 * $E33)</f>
        <v>21.739949076455098</v>
      </c>
      <c r="K45" s="16"/>
      <c r="O45" s="15" t="str">
        <f>INDEX(X_Table_Dairy_ProductionSystems_Method1,4,1)</f>
        <v>Feed pad</v>
      </c>
      <c r="P45" s="15" t="str">
        <f>INDEX(X_Table_Dairy_Stage1MMS_2_SumpAndDispersal,2,1)</f>
        <v>Sump and dispersal system</v>
      </c>
      <c r="Q45" s="15">
        <f>(Q24 * $E33)</f>
        <v>90.447379423989744</v>
      </c>
      <c r="R45" s="15">
        <f>(R24 * $E33)</f>
        <v>41.312353952102676</v>
      </c>
      <c r="S45" s="15">
        <f>(S24 * $E33)</f>
        <v>16.454273683328893</v>
      </c>
      <c r="T45" s="15">
        <f>(T24 * $E33)</f>
        <v>51.931262780341108</v>
      </c>
      <c r="U45" s="15">
        <f>(U24 * $E33)</f>
        <v>21.739949076455098</v>
      </c>
      <c r="V45" s="16"/>
    </row>
    <row r="46" spans="1:22" ht="20.100000000000001" customHeight="1" x14ac:dyDescent="0.2">
      <c r="A46" s="5" t="str">
        <f>HYPERLINK("#'6.2.1.1-2 Pasture residue N2O'!A1", "6.2.1.1-2 Pasture residue N2O")</f>
        <v>6.2.1.1-2 Pasture residue N2O</v>
      </c>
      <c r="D46" s="15" t="str">
        <f>INDEX(X_Table_Dairy_ProductionSystems_Method1,4,1)</f>
        <v>Feed pad</v>
      </c>
      <c r="E46" s="15" t="str">
        <f>INDEX(X_Table_Dairy_Stage1MMS_2_DrainsToPaddock,2,1)</f>
        <v>Drains to paddock</v>
      </c>
      <c r="F46" s="15">
        <f>(F25 * $E34)</f>
        <v>258.42108406854209</v>
      </c>
      <c r="G46" s="15">
        <f>(G25 * $E34)</f>
        <v>118.03529700600764</v>
      </c>
      <c r="H46" s="15">
        <f>(H25 * $E34)</f>
        <v>47.012210523796831</v>
      </c>
      <c r="I46" s="15">
        <f>(I25 * $E34)</f>
        <v>148.37503651526029</v>
      </c>
      <c r="J46" s="15">
        <f>(J25 * $E34)</f>
        <v>62.114140218443133</v>
      </c>
      <c r="K46" s="16"/>
      <c r="O46" s="15" t="str">
        <f>INDEX(X_Table_Dairy_ProductionSystems_Method1,4,1)</f>
        <v>Feed pad</v>
      </c>
      <c r="P46" s="15" t="str">
        <f>INDEX(X_Table_Dairy_Stage1MMS_2_DrainsToPaddock,2,1)</f>
        <v>Drains to paddock</v>
      </c>
      <c r="Q46" s="15">
        <f>(Q25 * $E34)</f>
        <v>258.42108406854209</v>
      </c>
      <c r="R46" s="15">
        <f>(R25 * $E34)</f>
        <v>118.03529700600764</v>
      </c>
      <c r="S46" s="15">
        <f>(S25 * $E34)</f>
        <v>47.012210523796831</v>
      </c>
      <c r="T46" s="15">
        <f>(T25 * $E34)</f>
        <v>148.37503651526029</v>
      </c>
      <c r="U46" s="15">
        <f>(U25 * $E34)</f>
        <v>62.114140218443133</v>
      </c>
      <c r="V46" s="16"/>
    </row>
    <row r="47" spans="1:22" ht="20.100000000000001" customHeight="1" x14ac:dyDescent="0.2">
      <c r="A47" s="5" t="str">
        <f>HYPERLINK("#'6.3.1.1-2 Leach runoff pasture'!A1", "6.3.1.1-2 Leach &amp; runoff (pasture)")</f>
        <v>6.3.1.1-2 Leach &amp; runoff (pasture)</v>
      </c>
      <c r="D47" s="15" t="str">
        <f>INDEX(X_Table_Dairy_ProductionSystems_Method1,4,1)</f>
        <v>Feed pad</v>
      </c>
      <c r="E47" s="15" t="s">
        <v>75</v>
      </c>
      <c r="F47" s="15">
        <f>(F26 * $E35)</f>
        <v>678.35534567992283</v>
      </c>
      <c r="G47" s="15">
        <f>(G26 * $E35)</f>
        <v>309.84265464076998</v>
      </c>
      <c r="H47" s="15">
        <f>(H26 * $E35)</f>
        <v>123.40705262496667</v>
      </c>
      <c r="I47" s="15">
        <f>(I26 * $E35)</f>
        <v>389.48447085255822</v>
      </c>
      <c r="J47" s="15">
        <f>(J26 * $E35)</f>
        <v>163.0496180734132</v>
      </c>
      <c r="K47" s="16"/>
      <c r="O47" s="15" t="str">
        <f>INDEX(X_Table_Dairy_ProductionSystems_Method1,4,1)</f>
        <v>Feed pad</v>
      </c>
      <c r="P47" s="15" t="s">
        <v>75</v>
      </c>
      <c r="Q47" s="15">
        <f>(Q26 * $E35)</f>
        <v>678.35534567992283</v>
      </c>
      <c r="R47" s="15">
        <f>(R26 * $E35)</f>
        <v>309.84265464076998</v>
      </c>
      <c r="S47" s="15">
        <f>(S26 * $E35)</f>
        <v>123.40705262496667</v>
      </c>
      <c r="T47" s="15">
        <f>(T26 * $E35)</f>
        <v>389.48447085255822</v>
      </c>
      <c r="U47" s="15">
        <f>(U26 * $E35)</f>
        <v>163.0496180734132</v>
      </c>
      <c r="V47" s="16"/>
    </row>
    <row r="48" spans="1:22" ht="20.100000000000001" customHeight="1" x14ac:dyDescent="0.2">
      <c r="A48" s="5" t="str">
        <f>HYPERLINK("#'8.1.1.1-2 Transport fuel'!A1", "8.1.1.1-2 Transport fuel")</f>
        <v>8.1.1.1-2 Transport fuel</v>
      </c>
    </row>
    <row r="49" spans="1:23" ht="20.100000000000001" customHeight="1" x14ac:dyDescent="0.2">
      <c r="A49" s="5" t="str">
        <f>HYPERLINK("#'8.2.1.1-2 Stationary fuel'!A1", "8.2.1.1-2 Stationary fuel")</f>
        <v>8.2.1.1-2 Stationary fuel</v>
      </c>
      <c r="D49" s="92" t="s">
        <v>536</v>
      </c>
      <c r="E49" s="88">
        <f>SUM(F40:J47)</f>
        <v>5101.668293837286</v>
      </c>
      <c r="F49" s="93" t="str">
        <f>$E$11</f>
        <v>kg N</v>
      </c>
      <c r="O49" s="92" t="s">
        <v>536</v>
      </c>
      <c r="P49" s="88">
        <f>SUM(Q40:U47)</f>
        <v>5101.668293837286</v>
      </c>
      <c r="Q49" s="93" t="str">
        <f>$E$11</f>
        <v>kg N</v>
      </c>
    </row>
    <row r="50" spans="1:23" ht="20.100000000000001" customHeight="1" x14ac:dyDescent="0.2">
      <c r="A50" s="5" t="str">
        <f>HYPERLINK("#'9.1.1.1-2 Refrigerant use'!A1", "9.1.1.1-2 Refrigerant use")</f>
        <v>9.1.1.1-2 Refrigerant use</v>
      </c>
    </row>
    <row r="51" spans="1:23" ht="20.100000000000001" customHeight="1" x14ac:dyDescent="0.2">
      <c r="A51" s="5" t="str">
        <f>HYPERLINK("#'10.1.1-2 Solid waste treatment'!A1", "10.1.1.1-2 Solid waste")</f>
        <v>10.1.1.1-2 Solid waste</v>
      </c>
    </row>
    <row r="52" spans="1:23" ht="20.100000000000001" customHeight="1" x14ac:dyDescent="0.2">
      <c r="A52" s="5" t="str">
        <f>HYPERLINK("#'14.1.1-2 Purchased electricity'!A1", "14.1.1-2 Purchased electricity")</f>
        <v>14.1.1-2 Purchased electricity</v>
      </c>
      <c r="C52" s="88"/>
      <c r="D52" s="88"/>
      <c r="E52" s="88"/>
      <c r="F52" s="88"/>
      <c r="G52" s="88"/>
      <c r="H52" s="88"/>
      <c r="I52" s="88"/>
      <c r="J52" s="88"/>
      <c r="K52" s="88"/>
      <c r="L52" s="88"/>
      <c r="N52" s="88"/>
      <c r="O52" s="88"/>
      <c r="P52" s="88"/>
      <c r="Q52" s="88"/>
      <c r="R52" s="88"/>
      <c r="S52" s="88"/>
      <c r="T52" s="88"/>
      <c r="U52" s="88"/>
      <c r="V52" s="88"/>
      <c r="W52" s="88"/>
    </row>
    <row r="53" spans="1:23" ht="20.100000000000001" customHeight="1" x14ac:dyDescent="0.2">
      <c r="A53" s="5" t="str">
        <f>HYPERLINK("#'15 Scope 3'!A1", "15 Scope 3")</f>
        <v>15 Scope 3</v>
      </c>
      <c r="D53" s="2" t="s">
        <v>1669</v>
      </c>
    </row>
    <row r="54" spans="1:23" ht="20.100000000000001" customHeight="1" x14ac:dyDescent="0.2">
      <c r="A54" s="5" t="str">
        <f>HYPERLINK("#'Calcs - Manure sent off-site'!A1", "Calcs - Manure sent off-site")</f>
        <v>Calcs - Manure sent off-site</v>
      </c>
      <c r="D54" s="17" t="s">
        <v>1670</v>
      </c>
    </row>
    <row r="55" spans="1:23" ht="20.100000000000001" customHeight="1" x14ac:dyDescent="0.2">
      <c r="D55" s="118"/>
      <c r="E55" s="118"/>
    </row>
    <row r="57" spans="1:23" ht="20.100000000000001" customHeight="1" x14ac:dyDescent="0.2">
      <c r="A57" s="82" t="s">
        <v>1</v>
      </c>
      <c r="D57" s="2"/>
      <c r="H57" s="1" t="s">
        <v>537</v>
      </c>
    </row>
    <row r="58" spans="1:23" ht="20.100000000000001" customHeight="1" x14ac:dyDescent="0.2">
      <c r="A58" s="5" t="str">
        <f>HYPERLINK("#'Constants - Dairy'!A1", "Constants - Dairy")</f>
        <v>Constants - Dairy</v>
      </c>
      <c r="D58" s="76" t="s">
        <v>378</v>
      </c>
      <c r="E58" s="1" t="s">
        <v>1671</v>
      </c>
    </row>
    <row r="59" spans="1:23" ht="20.100000000000001" customHeight="1" x14ac:dyDescent="0.2">
      <c r="A59" s="5" t="str">
        <f>HYPERLINK("#'Constants - Ag Residue'!A1", "Constants - Ag residue")</f>
        <v>Constants - Ag residue</v>
      </c>
      <c r="D59" s="76" t="s">
        <v>118</v>
      </c>
      <c r="E59" s="9" t="s">
        <v>11</v>
      </c>
    </row>
    <row r="60" spans="1:23" ht="20.100000000000001" customHeight="1" x14ac:dyDescent="0.2">
      <c r="A60" s="5" t="str">
        <f>HYPERLINK("#'Constants - Common Livestock'!A1", "Constants - Common Livestock")</f>
        <v>Constants - Common Livestock</v>
      </c>
    </row>
    <row r="61" spans="1:23" ht="20.100000000000001" customHeight="1" x14ac:dyDescent="0.2">
      <c r="A61" s="5" t="str">
        <f>HYPERLINK("#'Constants - Electricity'!A1", "Constants - Electricity")</f>
        <v>Constants - Electricity</v>
      </c>
      <c r="D61" s="120" t="s">
        <v>1666</v>
      </c>
      <c r="E61" s="125" t="s">
        <v>1672</v>
      </c>
      <c r="F61" s="126"/>
      <c r="G61" s="120" t="s">
        <v>1301</v>
      </c>
      <c r="H61" s="128" t="s">
        <v>1681</v>
      </c>
      <c r="I61" s="120">
        <f>$E$49</f>
        <v>5101.668293837286</v>
      </c>
      <c r="O61" s="132" t="str">
        <f>D61</f>
        <v>MN_ATMOS</v>
      </c>
      <c r="P61" s="135" t="str">
        <f>E61</f>
        <v>mass of N volatilised from MMS</v>
      </c>
      <c r="Q61" s="138"/>
      <c r="R61" s="132">
        <f>$P$49</f>
        <v>5101.668293837286</v>
      </c>
    </row>
    <row r="62" spans="1:23" ht="20.100000000000001" customHeight="1" x14ac:dyDescent="0.2">
      <c r="A62" s="5" t="str">
        <f>HYPERLINK("#'Constants - Fertiliser'!A1", "Constants - Fertiliser")</f>
        <v>Constants - Fertiliser</v>
      </c>
      <c r="D62" s="120" t="s">
        <v>1673</v>
      </c>
      <c r="E62" s="125" t="s">
        <v>1674</v>
      </c>
      <c r="F62" s="126"/>
      <c r="G62" s="120" t="s">
        <v>1663</v>
      </c>
      <c r="H62" s="128" t="s">
        <v>1501</v>
      </c>
      <c r="I62" s="120">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132"/>
      <c r="P62" s="135"/>
      <c r="Q62" s="138"/>
      <c r="R62" s="132"/>
    </row>
    <row r="63" spans="1:23" ht="20.100000000000001" customHeight="1" x14ac:dyDescent="0.2">
      <c r="A63" s="5" t="str">
        <f>HYPERLINK("#'Constants - Fuel'!A1", "Constants - Fuel")</f>
        <v>Constants - Fuel</v>
      </c>
      <c r="D63" s="120" t="s">
        <v>1660</v>
      </c>
      <c r="E63" s="125" t="s">
        <v>1661</v>
      </c>
      <c r="F63" s="126"/>
      <c r="G63" s="120"/>
      <c r="H63" s="128" t="s">
        <v>1501</v>
      </c>
      <c r="I63" s="120">
        <f>Common_InputFunctions.Utility_LookupValueInTableNumber("N2O",Table_GasToMolecularConversionFactor[Gas],Table_GasToMolecularConversionFactor[Conversion factor combined])</f>
        <v>1.5714285714285714</v>
      </c>
      <c r="O63" s="132"/>
      <c r="P63" s="135"/>
      <c r="Q63" s="138"/>
      <c r="R63" s="132"/>
    </row>
    <row r="64" spans="1:23" ht="20.100000000000001" customHeight="1" x14ac:dyDescent="0.2">
      <c r="A64" s="5" t="str">
        <f>HYPERLINK("#'Constants - Scope 3'!A1", "Constants - Scope 3")</f>
        <v>Constants - Scope 3</v>
      </c>
      <c r="D64" s="120" t="s">
        <v>1675</v>
      </c>
      <c r="E64" s="125" t="s">
        <v>1676</v>
      </c>
      <c r="F64" s="126"/>
      <c r="G64" s="120"/>
      <c r="H64" s="121" t="s">
        <v>1469</v>
      </c>
      <c r="I64" s="120" t="str">
        <f>X_Cell_Dairy_ManureAppliedProductionSystem</f>
        <v>Pasture</v>
      </c>
      <c r="O64" s="132"/>
      <c r="P64" s="135"/>
      <c r="Q64" s="138"/>
      <c r="R64" s="132"/>
    </row>
    <row r="65" spans="1:18" ht="20.100000000000001" customHeight="1" x14ac:dyDescent="0.2">
      <c r="A65" s="5" t="str">
        <f>HYPERLINK("#'Constants - Common'!A1", "Constants - Common")</f>
        <v>Constants - Common</v>
      </c>
      <c r="D65" s="120" t="s">
        <v>1677</v>
      </c>
      <c r="E65" s="125" t="s">
        <v>1678</v>
      </c>
      <c r="F65" s="126"/>
      <c r="G65" s="120"/>
      <c r="H65" s="121" t="s">
        <v>1469</v>
      </c>
      <c r="I65" s="120" t="str">
        <f>X_Cell_Dairy_ManureAppliedIrrigationMethod</f>
        <v>Sprinkler irrigation</v>
      </c>
      <c r="O65" s="132"/>
      <c r="P65" s="135"/>
      <c r="Q65" s="138"/>
      <c r="R65" s="132"/>
    </row>
    <row r="66" spans="1:18" ht="20.100000000000001" customHeight="1" x14ac:dyDescent="0.2">
      <c r="A66" s="5" t="str">
        <f>HYPERLINK("#'Constants - Refrigerants'!A1", "Constants - Refrigerants")</f>
        <v>Constants - Refrigerants</v>
      </c>
      <c r="D66" s="120" t="s">
        <v>1679</v>
      </c>
      <c r="E66" s="125" t="s">
        <v>1680</v>
      </c>
      <c r="F66" s="126"/>
      <c r="G66" s="120"/>
      <c r="H66" s="121" t="s">
        <v>1469</v>
      </c>
      <c r="I66" s="120" t="str">
        <f>X_Cell_Site_RainfallZone</f>
        <v>High rainfall</v>
      </c>
      <c r="O66" s="132"/>
      <c r="P66" s="135"/>
      <c r="Q66" s="138"/>
      <c r="R66" s="132"/>
    </row>
    <row r="67" spans="1:18" ht="20.100000000000001" customHeight="1" x14ac:dyDescent="0.2">
      <c r="A67" s="5" t="str">
        <f>HYPERLINK("#'Constants - Solid Waste'!A1", "Constants - Solid Waste")</f>
        <v>Constants - Solid Waste</v>
      </c>
    </row>
    <row r="68" spans="1:18" ht="20.100000000000001" customHeight="1" x14ac:dyDescent="0.2">
      <c r="A68" s="5" t="str">
        <f>HYPERLINK("#'Acknowledgements'!A1", "Acknowledgements")</f>
        <v>Acknowledgements</v>
      </c>
      <c r="D68" s="87" t="s">
        <v>538</v>
      </c>
      <c r="E68" s="90">
        <f>($I$61 * $I$62 * $I$63 * 10 ^ -3)</f>
        <v>4.7299753181434263E-2</v>
      </c>
      <c r="F68" s="89" t="str">
        <f>$E$59</f>
        <v>t N2O</v>
      </c>
      <c r="O68" s="87" t="s">
        <v>538</v>
      </c>
      <c r="P68" s="90">
        <f>($R$61 * $I$62 * $I$63 * 10 ^ -3)</f>
        <v>4.7299753181434263E-2</v>
      </c>
      <c r="Q68" s="89" t="str">
        <f>$E$59</f>
        <v>t N2O</v>
      </c>
    </row>
    <row r="70" spans="1:18" ht="20.100000000000001" customHeight="1" x14ac:dyDescent="0.2">
      <c r="D70" s="132" t="str" cm="1">
        <f t="array" ref="D70:E71">Common_Equations.Common_ConvertN2OToCO2e_Arguments()</f>
        <v>EN2O</v>
      </c>
      <c r="E70" s="135" t="str">
        <v>Nitrous oxide emissions (t N2O)</v>
      </c>
      <c r="F70" s="136"/>
      <c r="G70" s="15">
        <f>VEERG_4_3_1_5__1_AnnualAtmosphericDepositionEmissionsFromMMS_Result_Method1</f>
        <v>4.7299753181434263E-2</v>
      </c>
      <c r="O70" s="132" t="str" cm="1">
        <f t="array" ref="O70:P71">Common_Equations.Common_ConvertN2OToCO2e_Arguments()</f>
        <v>EN2O</v>
      </c>
      <c r="P70" s="135" t="str">
        <v>Nitrous oxide emissions (t N2O)</v>
      </c>
      <c r="Q70" s="136"/>
      <c r="R70" s="15">
        <f>VEERG_4_3_1_5__1_AnnualAtmosphericDepositionEmissionsFromMMS_Result_Method2</f>
        <v>4.7299753181434263E-2</v>
      </c>
    </row>
    <row r="71" spans="1:18" ht="20.100000000000001" customHeight="1" x14ac:dyDescent="0.2">
      <c r="D71" s="132" t="str">
        <v>GWPN2O</v>
      </c>
      <c r="E71" s="135" t="str">
        <v>Global warming potential for nitrous oxide (t CO2-e / t N2O)</v>
      </c>
      <c r="F71" s="136"/>
      <c r="G71" s="15">
        <f>Common_InputFunctions.Utility_LookupValueInTableNumber("N2O",Table_GWPData[Gas],Table_GWPData[CO2-e factor])</f>
        <v>265</v>
      </c>
      <c r="O71" s="132" t="str">
        <v>GWPN2O</v>
      </c>
      <c r="P71" s="135" t="str">
        <v>Global warming potential for nitrous oxide (t CO2-e / t N2O)</v>
      </c>
      <c r="Q71" s="136"/>
      <c r="R71" s="15">
        <f>Common_InputFunctions.Utility_LookupValueInTableNumber("N2O",Table_GWPData[Gas],Table_GWPData[CO2-e factor])</f>
        <v>265</v>
      </c>
    </row>
    <row r="73" spans="1:18" ht="20.100000000000001" customHeight="1" x14ac:dyDescent="0.2">
      <c r="D73" s="88" t="s">
        <v>527</v>
      </c>
      <c r="E73" s="88" cm="1">
        <f t="array" ref="E73">Common_Equations.Common_ConvertN2OToCO2e(G70,G71)</f>
        <v>12.53443459308008</v>
      </c>
      <c r="F73" s="93" t="str" cm="1">
        <f t="array" ref="F73">Common_Equations.Common_ConvertN2OToCO2e_Unit()</f>
        <v>t CO2e</v>
      </c>
      <c r="O73" s="88" t="s">
        <v>527</v>
      </c>
      <c r="P73" s="88" cm="1">
        <f t="array" ref="P73">Common_Equations.Common_ConvertN2OToCO2e(R70,R71)</f>
        <v>12.53443459308008</v>
      </c>
      <c r="Q73" s="93" t="str" cm="1">
        <f t="array" ref="Q73">Common_Equations.Common_ConvertN2OToCO2e_Unit()</f>
        <v>t CO2e</v>
      </c>
    </row>
  </sheetData>
  <dataValidations count="1">
    <dataValidation operator="equal" allowBlank="1" showInputMessage="1" showErrorMessage="1" sqref="E34 E31 E22 E19 E26 P19 P26 E40 E47 P40 E74 P74 P22 E43 P43 P47" xr:uid="{B3F74074-44D4-4A30-8839-C61A3245BD64}"/>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88A8A-051C-44B3-81F7-5134AEC3B9A4}">
  <sheetPr>
    <tabColor rgb="FF008000"/>
  </sheetPr>
  <dimension ref="A1:W68"/>
  <sheetViews>
    <sheetView showGridLines="0" zoomScaleNormal="100" workbookViewId="0">
      <pane xSplit="1" topLeftCell="B1" activePane="topRight" state="frozenSplit"/>
      <selection pane="topRight" activeCell="A109" sqref="A10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539</v>
      </c>
    </row>
    <row r="2" spans="1:23" s="3" customFormat="1" ht="20.100000000000001" customHeight="1" x14ac:dyDescent="0.2">
      <c r="A2"/>
    </row>
    <row r="3" spans="1:23" ht="20.100000000000001" customHeight="1" x14ac:dyDescent="0.2">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D5" s="2" t="s">
        <v>1682</v>
      </c>
    </row>
    <row r="6" spans="1:23" ht="20.100000000000001" customHeight="1" x14ac:dyDescent="0.2">
      <c r="A6" s="5" t="str">
        <f>HYPERLINK("#'Results'!A1", "Results")</f>
        <v>Results</v>
      </c>
      <c r="D6" s="17" t="s">
        <v>1683</v>
      </c>
    </row>
    <row r="7" spans="1:23" ht="20.100000000000001" customHeight="1" x14ac:dyDescent="0.2">
      <c r="D7" s="118"/>
      <c r="E7" s="118"/>
    </row>
    <row r="9" spans="1:23" ht="20.100000000000001" customHeight="1" x14ac:dyDescent="0.2">
      <c r="A9" s="7" t="s">
        <v>0</v>
      </c>
    </row>
    <row r="10" spans="1:23" ht="20.100000000000001" customHeight="1" x14ac:dyDescent="0.2">
      <c r="A10" s="5" t="str">
        <f>HYPERLINK("#'Input - Enterprise'!A1", "Enterprise")</f>
        <v>Enterprise</v>
      </c>
      <c r="D10" s="76" t="s">
        <v>378</v>
      </c>
      <c r="E10" s="1" t="s">
        <v>1684</v>
      </c>
    </row>
    <row r="11" spans="1:23" ht="20.100000000000001" customHeight="1" x14ac:dyDescent="0.2">
      <c r="A11" s="5" t="str">
        <f>HYPERLINK("#'Input - Site'!A1", "Site")</f>
        <v>Site</v>
      </c>
      <c r="D11" s="76" t="s">
        <v>118</v>
      </c>
      <c r="E11" s="9" t="s">
        <v>1301</v>
      </c>
    </row>
    <row r="12" spans="1:23" ht="20.100000000000001" customHeight="1" x14ac:dyDescent="0.2">
      <c r="A12" s="5" t="str">
        <f>HYPERLINK("#'Input - Dairy'!A1", "Dairy")</f>
        <v>Dairy</v>
      </c>
    </row>
    <row r="13" spans="1:23" ht="20.100000000000001" customHeight="1" x14ac:dyDescent="0.2">
      <c r="A13" s="5" t="str">
        <f>HYPERLINK("#'Input - Livestock sales'!A1", "Livestock sales")</f>
        <v>Livestock sales</v>
      </c>
      <c r="D13" s="120" t="s">
        <v>1685</v>
      </c>
      <c r="E13" s="125" t="s">
        <v>1686</v>
      </c>
      <c r="F13" s="133"/>
      <c r="G13" s="126"/>
      <c r="H13" s="120" t="s">
        <v>1301</v>
      </c>
      <c r="I13" s="128" t="s">
        <v>1662</v>
      </c>
      <c r="J13" s="127" t="str" cm="1">
        <f t="array" aca="1" ref="J13" ca="1">HYPERLINK(Common_InputFunctions.Utility_SourceHyperlink($D$20),$D$20)</f>
        <v>M1_Table_MN_j_m-4</v>
      </c>
    </row>
    <row r="14" spans="1:23" ht="20.100000000000001" customHeight="1" x14ac:dyDescent="0.2">
      <c r="A14" s="5" t="str">
        <f>HYPERLINK("#'Input - Dairy cattle purchases'!A1", "Dairy cattle purchases")</f>
        <v>Dairy cattle purchases</v>
      </c>
      <c r="D14" s="120" t="s">
        <v>1687</v>
      </c>
      <c r="E14" s="125" t="s">
        <v>1688</v>
      </c>
      <c r="F14" s="133"/>
      <c r="G14" s="126"/>
      <c r="H14" s="120" t="s">
        <v>383</v>
      </c>
      <c r="I14" s="128" t="s">
        <v>1501</v>
      </c>
      <c r="J14" s="120">
        <f>Common_InputFunctions.CommonCropping_GetFracWET(J16,J18,Table_SourceData_FracWET[Is in leaching zone],Table_SourceData_FracWET[FracWET],Table_SourceData_FracWETIrrigation[Irrigation type i],Table_SourceData_FracWETIrrigation[FracWET])</f>
        <v>1</v>
      </c>
    </row>
    <row r="15" spans="1:23" ht="20.100000000000001" customHeight="1" x14ac:dyDescent="0.2">
      <c r="A15" s="5" t="str">
        <f>HYPERLINK("#'Input - Pasture'!A1", "Pasture")</f>
        <v>Pasture</v>
      </c>
      <c r="D15" s="120" t="s">
        <v>1689</v>
      </c>
      <c r="E15" s="125" t="s">
        <v>1690</v>
      </c>
      <c r="F15" s="133"/>
      <c r="G15" s="126"/>
      <c r="H15" s="120" t="s">
        <v>383</v>
      </c>
      <c r="I15" s="128" t="s">
        <v>1501</v>
      </c>
      <c r="J15" s="120">
        <f>SourceData_Dairy_FractionOfNitrogenLostThroughLeachingAndRunoffSolidStorage_Data</f>
        <v>0.02</v>
      </c>
    </row>
    <row r="16" spans="1:23" ht="20.100000000000001" customHeight="1" x14ac:dyDescent="0.2">
      <c r="A16" s="5" t="str">
        <f>HYPERLINK("#'Input - Fert Prod System'!A1", "Fert Prod System")</f>
        <v>Fert Prod System</v>
      </c>
      <c r="D16" s="120" t="s">
        <v>1691</v>
      </c>
      <c r="E16" s="125" t="s">
        <v>1692</v>
      </c>
      <c r="F16" s="133"/>
      <c r="G16" s="126"/>
      <c r="H16" s="120"/>
      <c r="I16" s="121" t="s">
        <v>1469</v>
      </c>
      <c r="J16" s="120" t="str">
        <f>X_Cell_Site_LeachingZone</f>
        <v>NO - Not in leaching zone</v>
      </c>
    </row>
    <row r="17" spans="1:22" ht="20.100000000000001" customHeight="1" x14ac:dyDescent="0.2">
      <c r="A17" s="5" t="str">
        <f>HYPERLINK("#'Input - Fertiliser'!A1", "Fertiliser")</f>
        <v>Fertiliser</v>
      </c>
      <c r="D17" s="120" t="s">
        <v>1675</v>
      </c>
      <c r="E17" s="125" t="s">
        <v>1676</v>
      </c>
      <c r="F17" s="133"/>
      <c r="G17" s="126"/>
      <c r="H17" s="120"/>
      <c r="I17" s="121" t="s">
        <v>1469</v>
      </c>
      <c r="J17" s="120" t="str">
        <f>X_Cell_Dairy_ManureAppliedProductionSystem</f>
        <v>Pasture</v>
      </c>
    </row>
    <row r="18" spans="1:22" ht="20.100000000000001" customHeight="1" x14ac:dyDescent="0.2">
      <c r="A18" s="5" t="str">
        <f>HYPERLINK("#'Input - Fuel'!A1", "Fuel")</f>
        <v>Fuel</v>
      </c>
      <c r="D18" s="120" t="s">
        <v>1677</v>
      </c>
      <c r="E18" s="125" t="s">
        <v>1678</v>
      </c>
      <c r="F18" s="133"/>
      <c r="G18" s="126"/>
      <c r="H18" s="120"/>
      <c r="I18" s="121" t="s">
        <v>1469</v>
      </c>
      <c r="J18" s="120" t="str">
        <f>X_Cell_Dairy_ManureAppliedIrrigationMethod</f>
        <v>Sprinkler irrigation</v>
      </c>
    </row>
    <row r="19" spans="1:22" ht="20.100000000000001" customHeight="1" x14ac:dyDescent="0.2">
      <c r="A19" s="5" t="str">
        <f>HYPERLINK("#'Input - Electricity'!A1", "Electricity")</f>
        <v>Electricity</v>
      </c>
    </row>
    <row r="20" spans="1:22" ht="20.100000000000001" customHeight="1" x14ac:dyDescent="0.2">
      <c r="A20" s="5" t="str">
        <f>HYPERLINK("#'Input - Common farm inputs'!A1", "Common farm inputs")</f>
        <v>Common farm inputs</v>
      </c>
      <c r="D20" s="122" t="s">
        <v>540</v>
      </c>
      <c r="O20" s="122" t="s">
        <v>541</v>
      </c>
    </row>
    <row r="21" spans="1:22" ht="20.100000000000001" customHeight="1" x14ac:dyDescent="0.2">
      <c r="A21" s="5" t="str">
        <f>HYPERLINK("#'Input - Crop pasture farm input'!A1", "Crop pasture farm input")</f>
        <v>Crop pasture farm input</v>
      </c>
      <c r="D21" s="123" t="s">
        <v>542</v>
      </c>
      <c r="O21" s="123" t="s">
        <v>543</v>
      </c>
    </row>
    <row r="22" spans="1:22" ht="20.100000000000001" customHeight="1" x14ac:dyDescent="0.2">
      <c r="A22" s="5" t="str">
        <f>HYPERLINK("#'Input - Livestock farm Inputs'!A1", "Livestock farm Inputs")</f>
        <v>Livestock farm Inputs</v>
      </c>
      <c r="D22" s="124" t="s">
        <v>159</v>
      </c>
      <c r="E22" s="124" t="s">
        <v>422</v>
      </c>
      <c r="F22" s="124" t="s">
        <v>330</v>
      </c>
      <c r="G22" s="124" t="s">
        <v>331</v>
      </c>
      <c r="H22" s="124" t="s">
        <v>332</v>
      </c>
      <c r="I22" s="124" t="s">
        <v>333</v>
      </c>
      <c r="J22" s="124" t="s">
        <v>334</v>
      </c>
      <c r="O22" s="124" t="s">
        <v>159</v>
      </c>
      <c r="P22" s="124" t="s">
        <v>422</v>
      </c>
      <c r="Q22" s="124" t="s">
        <v>330</v>
      </c>
      <c r="R22" s="124" t="s">
        <v>331</v>
      </c>
      <c r="S22" s="124" t="s">
        <v>332</v>
      </c>
      <c r="T22" s="124" t="s">
        <v>333</v>
      </c>
      <c r="U22" s="124" t="s">
        <v>334</v>
      </c>
    </row>
    <row r="23" spans="1:22" ht="20.100000000000001" customHeight="1" x14ac:dyDescent="0.2">
      <c r="A23" s="5" t="str">
        <f>HYPERLINK("#'Input - Freight'!A1", "Freight")</f>
        <v>Freight</v>
      </c>
      <c r="D23" s="15" t="str">
        <f>INDEX(X_Table_Dairy_ProductionSystems_Method1,3,1)</f>
        <v>Milking shed</v>
      </c>
      <c r="E23" s="15" t="s">
        <v>75</v>
      </c>
      <c r="F23" s="15">
        <f>INDEX(M1_Table_MN_j_m,5,3)</f>
        <v>798.49211369493332</v>
      </c>
      <c r="G23" s="15">
        <f>INDEX(M1_Table_MN_j_m,5,4)</f>
        <v>364.71580535564152</v>
      </c>
      <c r="H23" s="15">
        <f>INDEX(M1_Table_MN_j_m,5,5)</f>
        <v>145.26244824768682</v>
      </c>
      <c r="I23" s="15">
        <f>INDEX(M1_Table_MN_j_m,5,6)</f>
        <v>458.46219147973682</v>
      </c>
      <c r="J23" s="15">
        <f>INDEX(M1_Table_MN_j_m,5,7)</f>
        <v>191.92571415811079</v>
      </c>
      <c r="K23" s="16" t="str">
        <f>$H$13</f>
        <v>kg N</v>
      </c>
      <c r="O23" s="15" t="str">
        <f>INDEX(X_Table_Dairy_ProductionSystems_Method1,3,1)</f>
        <v>Milking shed</v>
      </c>
      <c r="P23" s="15" t="s">
        <v>75</v>
      </c>
      <c r="Q23" s="15">
        <f>INDEX(M2_Table_MN_j_m,5,3)</f>
        <v>798.49211369493332</v>
      </c>
      <c r="R23" s="15">
        <f>INDEX(M2_Table_MN_j_m,5,4)</f>
        <v>364.71580535564152</v>
      </c>
      <c r="S23" s="15">
        <f>INDEX(M2_Table_MN_j_m,5,5)</f>
        <v>145.26244824768682</v>
      </c>
      <c r="T23" s="15">
        <f>INDEX(M2_Table_MN_j_m,5,6)</f>
        <v>458.46219147973682</v>
      </c>
      <c r="U23" s="15">
        <f>INDEX(M2_Table_MN_j_m,5,7)</f>
        <v>191.92571415811079</v>
      </c>
      <c r="V23" s="16" t="str">
        <f>$H$13</f>
        <v>kg N</v>
      </c>
    </row>
    <row r="24" spans="1:22" ht="20.100000000000001" customHeight="1" x14ac:dyDescent="0.2">
      <c r="A24" s="5" t="str">
        <f>HYPERLINK("#'Input - Solid waste'!A1", "Solid waste")</f>
        <v>Solid waste</v>
      </c>
      <c r="D24" s="15" t="str">
        <f>INDEX(X_Table_Dairy_ProductionSystems_Method1,4,1)</f>
        <v>Feed pad</v>
      </c>
      <c r="E24" s="15" t="s">
        <v>75</v>
      </c>
      <c r="F24" s="15">
        <f>INDEX(M1_Table_MN_j_m,9,3)</f>
        <v>2261.1844855997429</v>
      </c>
      <c r="G24" s="15">
        <f>INDEX(M1_Table_MN_j_m,9,4)</f>
        <v>1032.8088488025667</v>
      </c>
      <c r="H24" s="15">
        <f>INDEX(M1_Table_MN_j_m,9,5)</f>
        <v>411.35684208322226</v>
      </c>
      <c r="I24" s="15">
        <f>INDEX(M1_Table_MN_j_m,9,6)</f>
        <v>1298.2815695085274</v>
      </c>
      <c r="J24" s="15">
        <f>INDEX(M1_Table_MN_j_m,9,7)</f>
        <v>543.49872691137739</v>
      </c>
      <c r="K24" s="16"/>
      <c r="O24" s="15" t="str">
        <f>INDEX(X_Table_Dairy_ProductionSystems_Method1,4,1)</f>
        <v>Feed pad</v>
      </c>
      <c r="P24" s="15" t="s">
        <v>75</v>
      </c>
      <c r="Q24" s="15">
        <f>INDEX(M2_Table_MN_j_m,9,3)</f>
        <v>2261.1844855997429</v>
      </c>
      <c r="R24" s="15">
        <f>INDEX(M2_Table_MN_j_m,9,4)</f>
        <v>1032.8088488025667</v>
      </c>
      <c r="S24" s="15">
        <f>INDEX(M2_Table_MN_j_m,9,5)</f>
        <v>411.35684208322226</v>
      </c>
      <c r="T24" s="15">
        <f>INDEX(M2_Table_MN_j_m,9,6)</f>
        <v>1298.2815695085274</v>
      </c>
      <c r="U24" s="15">
        <f>INDEX(M2_Table_MN_j_m,9,7)</f>
        <v>543.49872691137739</v>
      </c>
      <c r="V24" s="16"/>
    </row>
    <row r="25" spans="1:22" ht="20.100000000000001" customHeight="1" x14ac:dyDescent="0.2">
      <c r="A25" s="5" t="str">
        <f>HYPERLINK("#'Input - Manure sent off-site'!A1", "Manure sent off-site")</f>
        <v>Manure sent off-site</v>
      </c>
    </row>
    <row r="26" spans="1:22" ht="20.100000000000001" customHeight="1" x14ac:dyDescent="0.2">
      <c r="A26" s="5" t="str">
        <f>HYPERLINK("#'Input - Refrigerants'!A1", "Refrigerants")</f>
        <v>Refrigerants</v>
      </c>
      <c r="D26" s="122" t="s">
        <v>544</v>
      </c>
      <c r="O26" s="122" t="s">
        <v>545</v>
      </c>
    </row>
    <row r="27" spans="1:22" ht="20.100000000000001" customHeight="1" x14ac:dyDescent="0.2">
      <c r="A27" s="5" t="str">
        <f>HYPERLINK("#'Input - Data quality'!A1", "Data quality")</f>
        <v>Data quality</v>
      </c>
      <c r="D27" s="123" t="s">
        <v>546</v>
      </c>
      <c r="O27" s="123" t="s">
        <v>547</v>
      </c>
    </row>
    <row r="28" spans="1:22" ht="20.100000000000001" customHeight="1" x14ac:dyDescent="0.2">
      <c r="D28" s="124" t="s">
        <v>159</v>
      </c>
      <c r="E28" s="124" t="s">
        <v>422</v>
      </c>
      <c r="F28" s="124" t="s">
        <v>330</v>
      </c>
      <c r="G28" s="124" t="s">
        <v>331</v>
      </c>
      <c r="H28" s="124" t="s">
        <v>332</v>
      </c>
      <c r="I28" s="124" t="s">
        <v>333</v>
      </c>
      <c r="J28" s="124" t="s">
        <v>334</v>
      </c>
      <c r="O28" s="124" t="s">
        <v>159</v>
      </c>
      <c r="P28" s="124" t="s">
        <v>422</v>
      </c>
      <c r="Q28" s="124" t="s">
        <v>330</v>
      </c>
      <c r="R28" s="124" t="s">
        <v>331</v>
      </c>
      <c r="S28" s="124" t="s">
        <v>332</v>
      </c>
      <c r="T28" s="124" t="s">
        <v>333</v>
      </c>
      <c r="U28" s="124" t="s">
        <v>334</v>
      </c>
    </row>
    <row r="29" spans="1:22" ht="20.100000000000001" customHeight="1" x14ac:dyDescent="0.2">
      <c r="D29" s="15" t="str">
        <f>INDEX(X_Table_Dairy_ProductionSystems_Method1,3,1)</f>
        <v>Milking shed</v>
      </c>
      <c r="E29" s="15" t="s">
        <v>75</v>
      </c>
      <c r="F29" s="15">
        <f>(F23 * $J$14 * $J$15)</f>
        <v>15.969842273898667</v>
      </c>
      <c r="G29" s="15">
        <f>(G23 * $J$14 * $J$15)</f>
        <v>7.2943161071128308</v>
      </c>
      <c r="H29" s="15">
        <f>(H23 * $J$14 * $J$15)</f>
        <v>2.9052489649537363</v>
      </c>
      <c r="I29" s="15">
        <f>(I23 * $J$14 * $J$15)</f>
        <v>9.1692438295947358</v>
      </c>
      <c r="J29" s="15">
        <f>(J23 * $J$14 * $J$15)</f>
        <v>3.8385142831622159</v>
      </c>
      <c r="K29" s="16" t="str">
        <f>$E$11</f>
        <v>kg N</v>
      </c>
      <c r="O29" s="15" t="str">
        <f>INDEX(X_Table_Dairy_ProductionSystems_Method1,3,1)</f>
        <v>Milking shed</v>
      </c>
      <c r="P29" s="15" t="s">
        <v>75</v>
      </c>
      <c r="Q29" s="15">
        <f>(Q23 * $J$14 * $J$15)</f>
        <v>15.969842273898667</v>
      </c>
      <c r="R29" s="15">
        <f>(R23 * $J$14 * $J$15)</f>
        <v>7.2943161071128308</v>
      </c>
      <c r="S29" s="15">
        <f>(S23 * $J$14 * $J$15)</f>
        <v>2.9052489649537363</v>
      </c>
      <c r="T29" s="15">
        <f>(T23 * $J$14 * $J$15)</f>
        <v>9.1692438295947358</v>
      </c>
      <c r="U29" s="15">
        <f>(U23 * $J$14 * $J$15)</f>
        <v>3.8385142831622159</v>
      </c>
      <c r="V29" s="16" t="str">
        <f>$E$11</f>
        <v>kg N</v>
      </c>
    </row>
    <row r="30" spans="1:22" ht="20.100000000000001" customHeight="1" x14ac:dyDescent="0.2">
      <c r="A30" s="6" t="s">
        <v>2</v>
      </c>
      <c r="D30" s="15" t="str">
        <f>INDEX(X_Table_Dairy_ProductionSystems_Method1,4,1)</f>
        <v>Feed pad</v>
      </c>
      <c r="E30" s="15" t="s">
        <v>75</v>
      </c>
      <c r="F30" s="15">
        <f>(F24 * $J$14 * $J$15)</f>
        <v>45.223689711994858</v>
      </c>
      <c r="G30" s="15">
        <f>(G24 * $J$14 * $J$15)</f>
        <v>20.656176976051334</v>
      </c>
      <c r="H30" s="15">
        <f>(H24 * $J$14 * $J$15)</f>
        <v>8.2271368416644446</v>
      </c>
      <c r="I30" s="15">
        <f>(I24 * $J$14 * $J$15)</f>
        <v>25.965631390170547</v>
      </c>
      <c r="J30" s="15">
        <f>(J24 * $J$14 * $J$15)</f>
        <v>10.869974538227549</v>
      </c>
      <c r="K30" s="16"/>
      <c r="O30" s="15" t="str">
        <f>INDEX(X_Table_Dairy_ProductionSystems_Method1,4,1)</f>
        <v>Feed pad</v>
      </c>
      <c r="P30" s="15" t="s">
        <v>75</v>
      </c>
      <c r="Q30" s="15">
        <f>(Q24 * $J$14 * $J$15)</f>
        <v>45.223689711994858</v>
      </c>
      <c r="R30" s="15">
        <f>(R24 * $J$14 * $J$15)</f>
        <v>20.656176976051334</v>
      </c>
      <c r="S30" s="15">
        <f>(S24 * $J$14 * $J$15)</f>
        <v>8.2271368416644446</v>
      </c>
      <c r="T30" s="15">
        <f>(T24 * $J$14 * $J$15)</f>
        <v>25.965631390170547</v>
      </c>
      <c r="U30" s="15">
        <f>(U24 * $J$14 * $J$15)</f>
        <v>10.869974538227549</v>
      </c>
      <c r="V30" s="16"/>
    </row>
    <row r="31" spans="1:22" ht="20.100000000000001" customHeight="1" x14ac:dyDescent="0.2">
      <c r="A31" s="5" t="str">
        <f>HYPERLINK("#'3.3.1.1-2 Enteric Methane'!A1", "3.3.1.1-2 Enteric methane")</f>
        <v>3.3.1.1-2 Enteric methane</v>
      </c>
    </row>
    <row r="32" spans="1:22" ht="20.100000000000001" customHeight="1" x14ac:dyDescent="0.2">
      <c r="A32" s="5" t="str">
        <f>HYPERLINK("#'4.3.1.1-2 Methane'!A1", "4.3.1.1-2 Manure methane")</f>
        <v>4.3.1.1-2 Manure methane</v>
      </c>
    </row>
    <row r="33" spans="1:23" ht="20.100000000000001" customHeight="1" x14ac:dyDescent="0.2">
      <c r="A33" s="5" t="str">
        <f>HYPERLINK("#'4.3.1.3-4 Direct N20'!A1", "4.3.1.3-4 Direct N20")</f>
        <v>4.3.1.3-4 Direct N20</v>
      </c>
      <c r="C33" s="88"/>
      <c r="D33" s="88"/>
      <c r="E33" s="88"/>
      <c r="F33" s="88"/>
      <c r="G33" s="88"/>
      <c r="H33" s="88"/>
      <c r="I33" s="88"/>
      <c r="J33" s="88"/>
      <c r="K33" s="88"/>
      <c r="L33" s="88"/>
      <c r="N33" s="88"/>
      <c r="O33" s="88"/>
      <c r="P33" s="88"/>
      <c r="Q33" s="88"/>
      <c r="R33" s="88"/>
      <c r="S33" s="88"/>
      <c r="T33" s="88"/>
      <c r="U33" s="88"/>
      <c r="V33" s="88"/>
      <c r="W33" s="88"/>
    </row>
    <row r="34" spans="1:23" ht="20.100000000000001" customHeight="1" x14ac:dyDescent="0.2">
      <c r="A34" s="5" t="str">
        <f>HYPERLINK("#'4.3.1.5 Atmos deposition'!A1", "4.3.1.5 Atmos deposition")</f>
        <v>4.3.1.5 Atmos deposition</v>
      </c>
      <c r="D34" s="2" t="s">
        <v>1693</v>
      </c>
    </row>
    <row r="35" spans="1:23" ht="20.100000000000001" customHeight="1" x14ac:dyDescent="0.2">
      <c r="A35" s="119" t="str">
        <f>HYPERLINK("#'4.3.1.6-7 Leaching and runoff'!A1", "4.3.1.6-7 Leaching &amp; runoff")</f>
        <v>4.3.1.6-7 Leaching &amp; runoff</v>
      </c>
      <c r="D35" s="17" t="s">
        <v>1694</v>
      </c>
    </row>
    <row r="36" spans="1:23" ht="20.100000000000001" customHeight="1" x14ac:dyDescent="0.2">
      <c r="A36" s="5" t="str">
        <f>HYPERLINK("#'4.3.1.8 Manure applied to soils'!A1", "4.3.1.8 Manure applied to soils")</f>
        <v>4.3.1.8 Manure applied to soils</v>
      </c>
      <c r="D36" s="118"/>
      <c r="E36" s="118"/>
    </row>
    <row r="37" spans="1:23" ht="20.100000000000001" customHeight="1" x14ac:dyDescent="0.2">
      <c r="A37" s="5" t="str">
        <f>HYPERLINK("#'4.3.1.9 Soil direct N2O'!A1", "4.3.1.9 Soil direct N2O")</f>
        <v>4.3.1.9 Soil direct N2O</v>
      </c>
    </row>
    <row r="38" spans="1:23" ht="20.100000000000001" customHeight="1" x14ac:dyDescent="0.2">
      <c r="A38" s="5" t="str">
        <f>HYPERLINK("#'4.3.1.10-11 Soil Atmos Dep'!A1", "4.3.1.10-11 Soil Atmos Deposition")</f>
        <v>4.3.1.10-11 Soil Atmos Deposition</v>
      </c>
      <c r="D38" s="2"/>
    </row>
    <row r="39" spans="1:23" ht="20.100000000000001" customHeight="1" x14ac:dyDescent="0.2">
      <c r="A39" s="5" t="str">
        <f>HYPERLINK("#'4.3.1.12-13 Soil leach runoff'!A1", "4.3.1.12-13 Soil leach &amp; runoff")</f>
        <v>4.3.1.12-13 Soil leach &amp; runoff</v>
      </c>
      <c r="D39" s="76" t="s">
        <v>378</v>
      </c>
      <c r="E39" s="1" t="s">
        <v>1695</v>
      </c>
    </row>
    <row r="40" spans="1:23" ht="20.100000000000001" customHeight="1" x14ac:dyDescent="0.2">
      <c r="A40" s="5" t="str">
        <f>HYPERLINK("#'5.1.1.1-2 Inorganic fert N2O'!A1", "5.1.1.1-2 Inorganic fert N2O")</f>
        <v>5.1.1.1-2 Inorganic fert N2O</v>
      </c>
      <c r="D40" s="76" t="s">
        <v>118</v>
      </c>
      <c r="E40" s="9" t="s">
        <v>11</v>
      </c>
    </row>
    <row r="41" spans="1:23" ht="20.100000000000001" customHeight="1" x14ac:dyDescent="0.2">
      <c r="A41" s="5" t="str">
        <f>HYPERLINK("#'5.1.1.3-4 Inorganic fert CO2'!A1", "5.1.1.3-4 Inorganic fert CO2")</f>
        <v>5.1.1.3-4 Inorganic fert CO2</v>
      </c>
    </row>
    <row r="42" spans="1:23" ht="20.100000000000001" customHeight="1" x14ac:dyDescent="0.2">
      <c r="A42" s="5" t="str">
        <f>HYPERLINK("#'5.2.1.1-2 Organic Fert N2O'!A1", "5.2.1.1-2 Organic fert N2O")</f>
        <v>5.2.1.1-2 Organic fert N2O</v>
      </c>
      <c r="D42" s="120" t="s">
        <v>1696</v>
      </c>
      <c r="E42" s="125" t="s">
        <v>1697</v>
      </c>
      <c r="F42" s="126"/>
      <c r="G42" s="120" t="s">
        <v>1301</v>
      </c>
      <c r="H42" s="128" t="s">
        <v>1700</v>
      </c>
      <c r="I42" s="127" t="str" cm="1">
        <f t="array" aca="1" ref="I42" ca="1">HYPERLINK(Common_InputFunctions.Utility_SourceHyperlink($D$26),$D$26)</f>
        <v>M1_Table_MN_leach_j_m-4</v>
      </c>
    </row>
    <row r="43" spans="1:23" ht="20.100000000000001" customHeight="1" x14ac:dyDescent="0.2">
      <c r="A43" s="5" t="str">
        <f>HYPERLINK("#'5.3.1.1-2 Lime CO2'!A1", "5.3.1.1-2 Lime CO2")</f>
        <v>5.3.1.1-2 Lime CO2</v>
      </c>
      <c r="D43" s="120" t="s">
        <v>1698</v>
      </c>
      <c r="E43" s="125" t="s">
        <v>1699</v>
      </c>
      <c r="F43" s="126"/>
      <c r="G43" s="120" t="s">
        <v>1663</v>
      </c>
      <c r="H43" s="128" t="s">
        <v>1501</v>
      </c>
      <c r="I43" s="120">
        <f>SourceData_Dairy_EmissionFactorForLeachingAndRunoff_Data</f>
        <v>1.0999999999999999E-2</v>
      </c>
    </row>
    <row r="44" spans="1:23" ht="20.100000000000001" customHeight="1" x14ac:dyDescent="0.2">
      <c r="A44" s="5" t="str">
        <f>HYPERLINK("#'5.4.1.1-4 Atmos deposition'!A1", "5.4.1.1-4 Atmos. deposition")</f>
        <v>5.4.1.1-4 Atmos. deposition</v>
      </c>
      <c r="D44" s="120" t="s">
        <v>1660</v>
      </c>
      <c r="E44" s="125" t="s">
        <v>1661</v>
      </c>
      <c r="F44" s="126"/>
      <c r="G44" s="120"/>
      <c r="H44" s="128" t="s">
        <v>1501</v>
      </c>
      <c r="I44" s="120">
        <f>Common_InputFunctions.Utility_LookupValueInTableNumber("N2O",Table_GasToMolecularConversionFactor[Gas],Table_GasToMolecularConversionFactor[Conversion factor combined])</f>
        <v>1.5714285714285714</v>
      </c>
    </row>
    <row r="45" spans="1:23" ht="20.100000000000001" customHeight="1" x14ac:dyDescent="0.2">
      <c r="A45" s="5" t="str">
        <f>HYPERLINK("#'5.5.1.1-2 Leaching and runoff'!A1", "5.5.1.1-2 Leaching &amp; runoff")</f>
        <v>5.5.1.1-2 Leaching &amp; runoff</v>
      </c>
    </row>
    <row r="46" spans="1:23" ht="20.100000000000001" customHeight="1" x14ac:dyDescent="0.2">
      <c r="A46" s="5" t="str">
        <f>HYPERLINK("#'6.2.1.1-2 Pasture residue N2O'!A1", "6.2.1.1-2 Pasture residue N2O")</f>
        <v>6.2.1.1-2 Pasture residue N2O</v>
      </c>
      <c r="D46" s="122" t="s">
        <v>548</v>
      </c>
      <c r="O46" s="122" t="s">
        <v>549</v>
      </c>
    </row>
    <row r="47" spans="1:23" ht="20.100000000000001" customHeight="1" x14ac:dyDescent="0.2">
      <c r="A47" s="5" t="str">
        <f>HYPERLINK("#'6.3.1.1-2 Leach runoff pasture'!A1", "6.3.1.1-2 Leach &amp; runoff (pasture)")</f>
        <v>6.3.1.1-2 Leach &amp; runoff (pasture)</v>
      </c>
      <c r="D47" s="123" t="s">
        <v>550</v>
      </c>
      <c r="O47" s="123" t="s">
        <v>551</v>
      </c>
    </row>
    <row r="48" spans="1:23" ht="20.100000000000001" customHeight="1" x14ac:dyDescent="0.2">
      <c r="A48" s="5" t="str">
        <f>HYPERLINK("#'8.1.1.1-2 Transport fuel'!A1", "8.1.1.1-2 Transport fuel")</f>
        <v>8.1.1.1-2 Transport fuel</v>
      </c>
      <c r="D48" s="124" t="s">
        <v>159</v>
      </c>
      <c r="E48" s="124" t="s">
        <v>422</v>
      </c>
      <c r="F48" s="124" t="s">
        <v>330</v>
      </c>
      <c r="G48" s="124" t="s">
        <v>331</v>
      </c>
      <c r="H48" s="124" t="s">
        <v>332</v>
      </c>
      <c r="I48" s="124" t="s">
        <v>333</v>
      </c>
      <c r="J48" s="124" t="s">
        <v>334</v>
      </c>
      <c r="O48" s="124" t="s">
        <v>159</v>
      </c>
      <c r="P48" s="124" t="s">
        <v>422</v>
      </c>
      <c r="Q48" s="124" t="s">
        <v>330</v>
      </c>
      <c r="R48" s="124" t="s">
        <v>331</v>
      </c>
      <c r="S48" s="124" t="s">
        <v>332</v>
      </c>
      <c r="T48" s="124" t="s">
        <v>333</v>
      </c>
      <c r="U48" s="124" t="s">
        <v>334</v>
      </c>
    </row>
    <row r="49" spans="1:22" ht="20.100000000000001" customHeight="1" x14ac:dyDescent="0.2">
      <c r="A49" s="5" t="str">
        <f>HYPERLINK("#'8.2.1.1-2 Stationary fuel'!A1", "8.2.1.1-2 Stationary fuel")</f>
        <v>8.2.1.1-2 Stationary fuel</v>
      </c>
      <c r="D49" s="15" t="str">
        <f>INDEX(X_Table_Dairy_ProductionSystems_Method1,3,1)</f>
        <v>Milking shed</v>
      </c>
      <c r="E49" s="15" t="s">
        <v>75</v>
      </c>
      <c r="F49" s="15">
        <f>((F29 * $I$43 * $I$44) * 10 ^ -3)</f>
        <v>2.7605013073453405E-4</v>
      </c>
      <c r="G49" s="15">
        <f>((G29 * $I$43 * $I$44) * 10 ^ -3)</f>
        <v>1.2608746413723606E-4</v>
      </c>
      <c r="H49" s="15">
        <f>((H29 * $I$43 * $I$44) * 10 ^ -3)</f>
        <v>5.0219303537057436E-5</v>
      </c>
      <c r="I49" s="15">
        <f>((I29 * $I$43 * $I$44) * 10 ^ -3)</f>
        <v>1.5849692905442329E-4</v>
      </c>
      <c r="J49" s="15">
        <f>((J29 * $I$43 * $I$44) * 10 ^ -3)</f>
        <v>6.6351461180375439E-5</v>
      </c>
      <c r="K49" s="16" t="str">
        <f>$E$40</f>
        <v>t N2O</v>
      </c>
      <c r="O49" s="15" t="str">
        <f>INDEX(X_Table_Dairy_ProductionSystems_Method1,3,1)</f>
        <v>Milking shed</v>
      </c>
      <c r="P49" s="15" t="s">
        <v>75</v>
      </c>
      <c r="Q49" s="15">
        <f>((Q29 * $I$43 * $I$44) * 10 ^ -3)</f>
        <v>2.7605013073453405E-4</v>
      </c>
      <c r="R49" s="15">
        <f>((R29 * $I$43 * $I$44) * 10 ^ -3)</f>
        <v>1.2608746413723606E-4</v>
      </c>
      <c r="S49" s="15">
        <f>((S29 * $I$43 * $I$44) * 10 ^ -3)</f>
        <v>5.0219303537057436E-5</v>
      </c>
      <c r="T49" s="15">
        <f>((T29 * $I$43 * $I$44) * 10 ^ -3)</f>
        <v>1.5849692905442329E-4</v>
      </c>
      <c r="U49" s="15">
        <f>((U29 * $I$43 * $I$44) * 10 ^ -3)</f>
        <v>6.6351461180375439E-5</v>
      </c>
      <c r="V49" s="16" t="str">
        <f>$E$40</f>
        <v>t N2O</v>
      </c>
    </row>
    <row r="50" spans="1:22" ht="20.100000000000001" customHeight="1" x14ac:dyDescent="0.2">
      <c r="A50" s="5" t="str">
        <f>HYPERLINK("#'9.1.1.1-2 Refrigerant use'!A1", "9.1.1.1-2 Refrigerant use")</f>
        <v>9.1.1.1-2 Refrigerant use</v>
      </c>
      <c r="D50" s="15" t="str">
        <f>INDEX(X_Table_Dairy_ProductionSystems_Method1,4,1)</f>
        <v>Feed pad</v>
      </c>
      <c r="E50" s="15" t="s">
        <v>75</v>
      </c>
      <c r="F50" s="15">
        <f>((F30 * $I$43 * $I$44) * 10 ^ -3)</f>
        <v>7.8172377930733959E-4</v>
      </c>
      <c r="G50" s="15">
        <f>((G30 * $I$43 * $I$44) * 10 ^ -3)</f>
        <v>3.5705677344317308E-4</v>
      </c>
      <c r="H50" s="15">
        <f>((H30 * $I$43 * $I$44) * 10 ^ -3)</f>
        <v>1.4221193683448539E-4</v>
      </c>
      <c r="I50" s="15">
        <f>((I30 * $I$43 * $I$44) * 10 ^ -3)</f>
        <v>4.4883448545866232E-4</v>
      </c>
      <c r="J50" s="15">
        <f>((J30 * $I$43 * $I$44) * 10 ^ -3)</f>
        <v>1.8789527416079047E-4</v>
      </c>
      <c r="K50" s="16"/>
      <c r="O50" s="15" t="str">
        <f>INDEX(X_Table_Dairy_ProductionSystems_Method1,4,1)</f>
        <v>Feed pad</v>
      </c>
      <c r="P50" s="15" t="s">
        <v>75</v>
      </c>
      <c r="Q50" s="15">
        <f>((Q30 * $I$43 * $I$44) * 10 ^ -3)</f>
        <v>7.8172377930733959E-4</v>
      </c>
      <c r="R50" s="15">
        <f>((R30 * $I$43 * $I$44) * 10 ^ -3)</f>
        <v>3.5705677344317308E-4</v>
      </c>
      <c r="S50" s="15">
        <f>((S30 * $I$43 * $I$44) * 10 ^ -3)</f>
        <v>1.4221193683448539E-4</v>
      </c>
      <c r="T50" s="15">
        <f>((T30 * $I$43 * $I$44) * 10 ^ -3)</f>
        <v>4.4883448545866232E-4</v>
      </c>
      <c r="U50" s="15">
        <f>((U30 * $I$43 * $I$44) * 10 ^ -3)</f>
        <v>1.8789527416079047E-4</v>
      </c>
      <c r="V50" s="16"/>
    </row>
    <row r="51" spans="1:22" ht="20.100000000000001" customHeight="1" x14ac:dyDescent="0.2">
      <c r="A51" s="5" t="str">
        <f>HYPERLINK("#'10.1.1-2 Solid waste treatment'!A1", "10.1.1.1-2 Solid waste")</f>
        <v>10.1.1.1-2 Solid waste</v>
      </c>
    </row>
    <row r="52" spans="1:22" ht="20.100000000000001" customHeight="1" x14ac:dyDescent="0.2">
      <c r="A52" s="5" t="str">
        <f>HYPERLINK("#'14.1.1-2 Purchased electricity'!A1", "14.1.1-2 Purchased electricity")</f>
        <v>14.1.1-2 Purchased electricity</v>
      </c>
      <c r="D52" s="87" t="s">
        <v>538</v>
      </c>
      <c r="E52" s="90">
        <f>SUM(F49:J50)</f>
        <v>2.5949275378480772E-3</v>
      </c>
      <c r="F52" s="89" t="str">
        <f>$E$40</f>
        <v>t N2O</v>
      </c>
      <c r="O52" s="87" t="s">
        <v>538</v>
      </c>
      <c r="P52" s="90">
        <f>SUM(Q49:U50)</f>
        <v>2.5949275378480772E-3</v>
      </c>
      <c r="Q52" s="89" t="str">
        <f>$E$40</f>
        <v>t N2O</v>
      </c>
    </row>
    <row r="53" spans="1:22" ht="20.100000000000001" customHeight="1" x14ac:dyDescent="0.2">
      <c r="A53" s="5" t="str">
        <f>HYPERLINK("#'15 Scope 3'!A1", "15 Scope 3")</f>
        <v>15 Scope 3</v>
      </c>
    </row>
    <row r="54" spans="1:22" ht="20.100000000000001" customHeight="1" x14ac:dyDescent="0.2">
      <c r="A54" s="5" t="str">
        <f>HYPERLINK("#'Calcs - Manure sent off-site'!A1", "Calcs - Manure sent off-site")</f>
        <v>Calcs - Manure sent off-site</v>
      </c>
      <c r="D54" s="132" t="str" cm="1">
        <f t="array" ref="D54:E55">Common_Equations.Common_ConvertN2OToCO2e_Arguments()</f>
        <v>EN2O</v>
      </c>
      <c r="E54" s="135" t="str">
        <v>Nitrous oxide emissions (t N2O)</v>
      </c>
      <c r="F54" s="136"/>
      <c r="G54" s="15">
        <f>VEERG_4_3_1_6__1_AnnualEmissionsFromLeachingAndRunoffFromMMS_Result_Method1</f>
        <v>2.5949275378480772E-3</v>
      </c>
      <c r="O54" s="132" t="str" cm="1">
        <f t="array" ref="O54:P55">Common_Equations.Common_ConvertN2OToCO2e_Arguments()</f>
        <v>EN2O</v>
      </c>
      <c r="P54" s="135" t="str">
        <v>Nitrous oxide emissions (t N2O)</v>
      </c>
      <c r="Q54" s="136"/>
      <c r="R54" s="15">
        <f>VEERG_4_3_1_6__1_AnnualEmissionsFromLeachingAndRunoffFromMMS_Result_Method2</f>
        <v>2.5949275378480772E-3</v>
      </c>
    </row>
    <row r="55" spans="1:22" ht="20.100000000000001" customHeight="1" x14ac:dyDescent="0.2">
      <c r="D55" s="132" t="str">
        <v>GWPN2O</v>
      </c>
      <c r="E55" s="135" t="str">
        <v>Global warming potential for nitrous oxide (t CO2-e / t N2O)</v>
      </c>
      <c r="F55" s="136"/>
      <c r="G55" s="15">
        <f>Common_InputFunctions.Utility_LookupValueInTableNumber("N2O",Table_GWPData[Gas],Table_GWPData[CO2-e factor])</f>
        <v>265</v>
      </c>
      <c r="O55" s="132" t="str">
        <v>GWPN2O</v>
      </c>
      <c r="P55" s="135" t="str">
        <v>Global warming potential for nitrous oxide (t CO2-e / t N2O)</v>
      </c>
      <c r="Q55" s="136"/>
      <c r="R55" s="15">
        <f>Common_InputFunctions.Utility_LookupValueInTableNumber("N2O",Table_GWPData[Gas],Table_GWPData[CO2-e factor])</f>
        <v>265</v>
      </c>
    </row>
    <row r="57" spans="1:22" ht="20.100000000000001" customHeight="1" x14ac:dyDescent="0.2">
      <c r="A57" s="82" t="s">
        <v>1</v>
      </c>
      <c r="D57" s="88" t="s">
        <v>527</v>
      </c>
      <c r="E57" s="88" cm="1">
        <f t="array" ref="E57">Common_Equations.Common_ConvertN2OToCO2e(G54,G55)</f>
        <v>0.68765579752974049</v>
      </c>
      <c r="F57" s="93" t="str" cm="1">
        <f t="array" ref="F57">Common_Equations.Common_ConvertN2OToCO2e_Unit()</f>
        <v>t CO2e</v>
      </c>
      <c r="O57" s="88" t="s">
        <v>527</v>
      </c>
      <c r="P57" s="88" cm="1">
        <f t="array" ref="P57">Common_Equations.Common_ConvertN2OToCO2e(R54,R55)</f>
        <v>0.68765579752974049</v>
      </c>
      <c r="Q57" s="93" t="str" cm="1">
        <f t="array" ref="Q57">Common_Equations.Common_ConvertN2OToCO2e_Unit()</f>
        <v>t CO2e</v>
      </c>
    </row>
    <row r="58" spans="1:22" ht="20.100000000000001" customHeight="1" x14ac:dyDescent="0.2">
      <c r="A58" s="5" t="str">
        <f>HYPERLINK("#'Constants - Dairy'!A1", "Constants - Dairy")</f>
        <v>Constants - Dairy</v>
      </c>
    </row>
    <row r="59" spans="1:22" ht="20.100000000000001" customHeight="1" x14ac:dyDescent="0.2">
      <c r="A59" s="5" t="str">
        <f>HYPERLINK("#'Constants - Ag Residue'!A1", "Constants - Ag residue")</f>
        <v>Constants - Ag residue</v>
      </c>
    </row>
    <row r="60" spans="1:22" ht="20.100000000000001" customHeight="1" x14ac:dyDescent="0.2">
      <c r="A60" s="5" t="str">
        <f>HYPERLINK("#'Constants - Common Livestock'!A1", "Constants - Common Livestock")</f>
        <v>Constants - Common Livestock</v>
      </c>
    </row>
    <row r="61" spans="1:22" ht="20.100000000000001" customHeight="1" x14ac:dyDescent="0.2">
      <c r="A61" s="5" t="str">
        <f>HYPERLINK("#'Constants - Electricity'!A1", "Constants - Electricity")</f>
        <v>Constants - Electricity</v>
      </c>
    </row>
    <row r="62" spans="1:22" ht="20.100000000000001" customHeight="1" x14ac:dyDescent="0.2">
      <c r="A62" s="5" t="str">
        <f>HYPERLINK("#'Constants - Fertiliser'!A1", "Constants - Fertiliser")</f>
        <v>Constants - Fertiliser</v>
      </c>
    </row>
    <row r="63" spans="1:22" ht="20.100000000000001" customHeight="1" x14ac:dyDescent="0.2">
      <c r="A63" s="5" t="str">
        <f>HYPERLINK("#'Constants - Fuel'!A1", "Constants - Fuel")</f>
        <v>Constants - Fuel</v>
      </c>
    </row>
    <row r="64" spans="1:22"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dataValidations count="1">
    <dataValidation operator="equal" allowBlank="1" showInputMessage="1" showErrorMessage="1" sqref="E23:E24 P29:P30 E29:E30 P23:P24 P49:P50 E49:E50" xr:uid="{337575A9-1482-4E53-83AB-DC4F83CA507F}"/>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A3CC8-C06D-4C14-A411-C8F3B7CB7A6B}">
  <sheetPr>
    <tabColor rgb="FF008000"/>
  </sheetPr>
  <dimension ref="A1:W14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style="139"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552</v>
      </c>
      <c r="M1" s="139"/>
    </row>
    <row r="2" spans="1:23" s="3" customFormat="1" ht="20.100000000000001" customHeight="1" x14ac:dyDescent="0.2">
      <c r="A2"/>
      <c r="M2" s="139"/>
    </row>
    <row r="3" spans="1:23" ht="20.100000000000001" customHeight="1" x14ac:dyDescent="0.2">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D5" s="2" t="s">
        <v>1701</v>
      </c>
    </row>
    <row r="6" spans="1:23" ht="20.100000000000001" customHeight="1" x14ac:dyDescent="0.2">
      <c r="A6" s="5" t="str">
        <f>HYPERLINK("#'Results'!A1", "Results")</f>
        <v>Results</v>
      </c>
      <c r="D6" s="17" t="s">
        <v>1702</v>
      </c>
    </row>
    <row r="7" spans="1:23" ht="20.100000000000001" customHeight="1" x14ac:dyDescent="0.2">
      <c r="D7" s="118"/>
      <c r="E7" s="118"/>
    </row>
    <row r="9" spans="1:23" ht="20.100000000000001" customHeight="1" x14ac:dyDescent="0.2">
      <c r="A9" s="7" t="s">
        <v>0</v>
      </c>
    </row>
    <row r="10" spans="1:23" ht="20.100000000000001" customHeight="1" x14ac:dyDescent="0.2">
      <c r="A10" s="5" t="str">
        <f>HYPERLINK("#'Input - Enterprise'!A1", "Enterprise")</f>
        <v>Enterprise</v>
      </c>
      <c r="D10" s="76" t="s">
        <v>378</v>
      </c>
      <c r="E10" s="1" t="s">
        <v>1703</v>
      </c>
    </row>
    <row r="11" spans="1:23" ht="20.100000000000001" customHeight="1" x14ac:dyDescent="0.2">
      <c r="A11" s="5" t="str">
        <f>HYPERLINK("#'Input - Site'!A1", "Site")</f>
        <v>Site</v>
      </c>
      <c r="D11" s="76" t="s">
        <v>118</v>
      </c>
      <c r="E11" s="9" t="s">
        <v>1301</v>
      </c>
    </row>
    <row r="12" spans="1:23" ht="20.100000000000001" customHeight="1" x14ac:dyDescent="0.2">
      <c r="A12" s="5" t="str">
        <f>HYPERLINK("#'Input - Dairy'!A1", "Dairy")</f>
        <v>Dairy</v>
      </c>
    </row>
    <row r="13" spans="1:23" ht="20.100000000000001" customHeight="1" x14ac:dyDescent="0.2">
      <c r="A13" s="5" t="str">
        <f>HYPERLINK("#'Input - Livestock sales'!A1", "Livestock sales")</f>
        <v>Livestock sales</v>
      </c>
      <c r="D13" s="120" t="s">
        <v>1649</v>
      </c>
      <c r="E13" s="125" t="s">
        <v>1657</v>
      </c>
      <c r="F13" s="126"/>
      <c r="G13" s="120" t="s">
        <v>1301</v>
      </c>
      <c r="H13" s="128" t="s">
        <v>1662</v>
      </c>
      <c r="I13" s="127" t="str" cm="1">
        <f t="array" aca="1" ref="I13" ca="1">HYPERLINK(Common_InputFunctions.Utility_SourceHyperlink($D$37),$D$37)</f>
        <v>M1_Table_MN_j_m</v>
      </c>
    </row>
    <row r="14" spans="1:23" ht="20.100000000000001" customHeight="1" x14ac:dyDescent="0.2">
      <c r="A14" s="5" t="str">
        <f>HYPERLINK("#'Input - Dairy cattle purchases'!A1", "Dairy cattle purchases")</f>
        <v>Dairy cattle purchases</v>
      </c>
      <c r="D14" s="120" t="s">
        <v>1658</v>
      </c>
      <c r="E14" s="125" t="s">
        <v>1704</v>
      </c>
      <c r="F14" s="126"/>
      <c r="G14" s="120" t="s">
        <v>1663</v>
      </c>
      <c r="H14" s="128" t="s">
        <v>1501</v>
      </c>
      <c r="I14" s="127" t="str" cm="1">
        <f t="array" aca="1" ref="I14" ca="1">HYPERLINK(Common_InputFunctions.Utility_SourceHyperlink($D$19),$D$19)</f>
        <v>Table_EF_m</v>
      </c>
    </row>
    <row r="15" spans="1:23" ht="20.100000000000001" customHeight="1" x14ac:dyDescent="0.2">
      <c r="A15" s="5" t="str">
        <f>HYPERLINK("#'Input - Pasture'!A1", "Pasture")</f>
        <v>Pasture</v>
      </c>
      <c r="D15" s="120" t="s">
        <v>1667</v>
      </c>
      <c r="E15" s="125" t="s">
        <v>1668</v>
      </c>
      <c r="F15" s="126"/>
      <c r="G15" s="120" t="s">
        <v>383</v>
      </c>
      <c r="H15" s="128" t="s">
        <v>1501</v>
      </c>
      <c r="I15" s="127" t="str" cm="1">
        <f t="array" aca="1" ref="I15" ca="1">HYPERLINK(Common_InputFunctions.Utility_SourceHyperlink($D$28),$D$28)</f>
        <v>Table_FracGASM_m</v>
      </c>
    </row>
    <row r="16" spans="1:23" ht="20.100000000000001" customHeight="1" x14ac:dyDescent="0.2">
      <c r="A16" s="5" t="str">
        <f>HYPERLINK("#'Input - Fert Prod System'!A1", "Fert Prod System")</f>
        <v>Fert Prod System</v>
      </c>
      <c r="D16" s="120" t="s">
        <v>1696</v>
      </c>
      <c r="E16" s="125" t="s">
        <v>1705</v>
      </c>
      <c r="F16" s="126"/>
      <c r="G16" s="120" t="s">
        <v>1301</v>
      </c>
      <c r="H16" s="128" t="s">
        <v>1700</v>
      </c>
      <c r="I16" s="127" t="str" cm="1">
        <f t="array" aca="1" ref="I16" ca="1">HYPERLINK(Common_InputFunctions.Utility_SourceHyperlink($D$49),$D$49)</f>
        <v>M1_Table_MN_leach_j_m</v>
      </c>
    </row>
    <row r="17" spans="1:9" ht="20.100000000000001" customHeight="1" x14ac:dyDescent="0.2">
      <c r="A17" s="5" t="str">
        <f>HYPERLINK("#'Input - Fertiliser'!A1", "Fertiliser")</f>
        <v>Fertiliser</v>
      </c>
      <c r="D17" s="120" t="s">
        <v>559</v>
      </c>
      <c r="E17" s="125" t="s">
        <v>1706</v>
      </c>
      <c r="F17" s="126"/>
      <c r="G17" s="120" t="s">
        <v>383</v>
      </c>
      <c r="H17" s="121" t="s">
        <v>1469</v>
      </c>
      <c r="I17" s="127" t="str" cm="1">
        <f t="array" aca="1" ref="I17" ca="1">HYPERLINK(Common_InputFunctions.Utility_SourceHyperlink($D$61),$D$61)</f>
        <v>Table_PF_scope</v>
      </c>
    </row>
    <row r="18" spans="1:9" ht="20.100000000000001" customHeight="1" x14ac:dyDescent="0.2">
      <c r="A18" s="5" t="str">
        <f>HYPERLINK("#'Input - Fuel'!A1", "Fuel")</f>
        <v>Fuel</v>
      </c>
    </row>
    <row r="19" spans="1:9" ht="20.100000000000001" customHeight="1" x14ac:dyDescent="0.2">
      <c r="A19" s="5" t="str">
        <f>HYPERLINK("#'Input - Electricity'!A1", "Electricity")</f>
        <v>Electricity</v>
      </c>
      <c r="D19" s="122" t="s">
        <v>519</v>
      </c>
    </row>
    <row r="20" spans="1:9" ht="20.100000000000001" customHeight="1" x14ac:dyDescent="0.2">
      <c r="A20" s="5" t="str">
        <f>HYPERLINK("#'Input - Common farm inputs'!A1", "Common farm inputs")</f>
        <v>Common farm inputs</v>
      </c>
      <c r="D20" s="123" t="s">
        <v>520</v>
      </c>
    </row>
    <row r="21" spans="1:9" ht="20.100000000000001" customHeight="1" x14ac:dyDescent="0.2">
      <c r="A21" s="5" t="str">
        <f>HYPERLINK("#'Input - Crop pasture farm input'!A1", "Crop pasture farm input")</f>
        <v>Crop pasture farm input</v>
      </c>
      <c r="D21" s="124" t="s">
        <v>422</v>
      </c>
      <c r="E21" s="124" t="s">
        <v>521</v>
      </c>
    </row>
    <row r="22" spans="1:9" ht="20.100000000000001" customHeight="1" x14ac:dyDescent="0.2">
      <c r="A22" s="5" t="str">
        <f>HYPERLINK("#'Input - Livestock farm Inputs'!A1", "Livestock farm Inputs")</f>
        <v>Livestock farm Inputs</v>
      </c>
      <c r="D22" s="15" t="str" cm="1">
        <f t="array" ref="D22:D26">Table_SourceData_Dairy_EFmFracGASM[NIR reference]</f>
        <v>Pasture range and paddock</v>
      </c>
      <c r="E22" s="15" cm="1">
        <f t="array" ref="E22:E26">Table_SourceData_Dairy_EFmFracGASM[EFm]</f>
        <v>0</v>
      </c>
    </row>
    <row r="23" spans="1:9" ht="20.100000000000001" customHeight="1" x14ac:dyDescent="0.2">
      <c r="A23" s="5" t="str">
        <f>HYPERLINK("#'Input - Freight'!A1", "Freight")</f>
        <v>Freight</v>
      </c>
      <c r="D23" s="15" t="str">
        <v>Anaerobic lagoon</v>
      </c>
      <c r="E23" s="15">
        <v>0</v>
      </c>
    </row>
    <row r="24" spans="1:9" ht="20.100000000000001" customHeight="1" x14ac:dyDescent="0.2">
      <c r="A24" s="5" t="str">
        <f>HYPERLINK("#'Input - Solid waste'!A1", "Solid waste")</f>
        <v>Solid waste</v>
      </c>
      <c r="D24" s="15" t="str">
        <v>Sump and dispersal system</v>
      </c>
      <c r="E24" s="15">
        <v>0</v>
      </c>
    </row>
    <row r="25" spans="1:9" ht="20.100000000000001" customHeight="1" x14ac:dyDescent="0.2">
      <c r="A25" s="5" t="str">
        <f>HYPERLINK("#'Input - Manure sent off-site'!A1", "Manure sent off-site")</f>
        <v>Manure sent off-site</v>
      </c>
      <c r="D25" s="15" t="str">
        <v>Drains to paddock</v>
      </c>
      <c r="E25" s="15">
        <v>0</v>
      </c>
    </row>
    <row r="26" spans="1:9" ht="20.100000000000001" customHeight="1" x14ac:dyDescent="0.2">
      <c r="A26" s="5" t="str">
        <f>HYPERLINK("#'Input - Refrigerants'!A1", "Refrigerants")</f>
        <v>Refrigerants</v>
      </c>
      <c r="D26" s="15" t="str">
        <v>Solid storage</v>
      </c>
      <c r="E26" s="15">
        <v>5.0000000000000001E-3</v>
      </c>
    </row>
    <row r="27" spans="1:9" ht="20.100000000000001" customHeight="1" x14ac:dyDescent="0.2">
      <c r="A27" s="5" t="str">
        <f>HYPERLINK("#'Input - Data quality'!A1", "Data quality")</f>
        <v>Data quality</v>
      </c>
    </row>
    <row r="28" spans="1:9" ht="20.100000000000001" customHeight="1" x14ac:dyDescent="0.2">
      <c r="D28" s="122" t="s">
        <v>529</v>
      </c>
    </row>
    <row r="29" spans="1:9" ht="20.100000000000001" customHeight="1" x14ac:dyDescent="0.2">
      <c r="D29" s="123" t="s">
        <v>530</v>
      </c>
    </row>
    <row r="30" spans="1:9" ht="20.100000000000001" customHeight="1" x14ac:dyDescent="0.2">
      <c r="A30" s="6" t="s">
        <v>2</v>
      </c>
      <c r="D30" s="124" t="s">
        <v>422</v>
      </c>
      <c r="E30" s="124" t="s">
        <v>531</v>
      </c>
    </row>
    <row r="31" spans="1:9" ht="20.100000000000001" customHeight="1" x14ac:dyDescent="0.2">
      <c r="A31" s="5" t="str">
        <f>HYPERLINK("#'3.3.1.1-2 Enteric Methane'!A1", "3.3.1.1-2 Enteric methane")</f>
        <v>3.3.1.1-2 Enteric methane</v>
      </c>
      <c r="D31" s="15" t="str" cm="1">
        <f t="array" ref="D31:D35">Table_SourceData_Dairy_EFmFracGASM[NIR reference]</f>
        <v>Pasture range and paddock</v>
      </c>
      <c r="E31" s="15" cm="1">
        <f t="array" ref="E31:E35">Table_SourceData_Dairy_EFmFracGASM[FracGASMm]</f>
        <v>0</v>
      </c>
      <c r="F31" s="16" t="str">
        <f>'Constants - Dairy'!$D$84</f>
        <v>kg N2O-N/kg N excreted</v>
      </c>
    </row>
    <row r="32" spans="1:9" ht="20.100000000000001" customHeight="1" x14ac:dyDescent="0.2">
      <c r="A32" s="5" t="str">
        <f>HYPERLINK("#'4.3.1.1-2 Methane'!A1", "4.3.1.1-2 Manure methane")</f>
        <v>4.3.1.1-2 Manure methane</v>
      </c>
      <c r="D32" s="15" t="str">
        <v>Anaerobic lagoon</v>
      </c>
      <c r="E32" s="15">
        <v>0.35</v>
      </c>
      <c r="F32" s="16" t="str">
        <f>'Constants - Dairy'!$D$84</f>
        <v>kg N2O-N/kg N excreted</v>
      </c>
    </row>
    <row r="33" spans="1:22" ht="20.100000000000001" customHeight="1" x14ac:dyDescent="0.2">
      <c r="A33" s="5" t="str">
        <f>HYPERLINK("#'4.3.1.3-4 Direct N20'!A1", "4.3.1.3-4 Direct N20")</f>
        <v>4.3.1.3-4 Direct N20</v>
      </c>
      <c r="D33" s="15" t="str">
        <v>Sump and dispersal system</v>
      </c>
      <c r="E33" s="15">
        <v>7.0000000000000007E-2</v>
      </c>
      <c r="F33" s="16" t="str">
        <f>'Constants - Dairy'!$D$84</f>
        <v>kg N2O-N/kg N excreted</v>
      </c>
    </row>
    <row r="34" spans="1:22" ht="20.100000000000001" customHeight="1" x14ac:dyDescent="0.2">
      <c r="A34" s="5" t="str">
        <f>HYPERLINK("#'4.3.1.5 Atmos deposition'!A1", "4.3.1.5 Atmos deposition")</f>
        <v>4.3.1.5 Atmos deposition</v>
      </c>
      <c r="D34" s="15" t="str">
        <v>Drains to paddock</v>
      </c>
      <c r="E34" s="15">
        <v>0.2</v>
      </c>
      <c r="F34" s="16" t="str">
        <f>'Constants - Dairy'!$D$84</f>
        <v>kg N2O-N/kg N excreted</v>
      </c>
    </row>
    <row r="35" spans="1:22" ht="20.100000000000001" customHeight="1" x14ac:dyDescent="0.2">
      <c r="A35" s="5" t="str">
        <f>HYPERLINK("#'4.3.1.6-7 Leaching and runoff'!A1", "4.3.1.6-7 Leaching &amp; runoff")</f>
        <v>4.3.1.6-7 Leaching &amp; runoff</v>
      </c>
      <c r="D35" s="15" t="str">
        <v>Solid storage</v>
      </c>
      <c r="E35" s="15">
        <v>0.3</v>
      </c>
      <c r="F35" s="16" t="str">
        <f>'Constants - Dairy'!$D$84</f>
        <v>kg N2O-N/kg N excreted</v>
      </c>
    </row>
    <row r="36" spans="1:22" ht="20.100000000000001" customHeight="1" x14ac:dyDescent="0.2">
      <c r="A36" s="119" t="str">
        <f>HYPERLINK("#'4.3.1.8 Manure applied to soils'!A1", "4.3.1.8 Manure applied to soils")</f>
        <v>4.3.1.8 Manure applied to soils</v>
      </c>
    </row>
    <row r="37" spans="1:22" ht="20.100000000000001" customHeight="1" x14ac:dyDescent="0.2">
      <c r="A37" s="5" t="str">
        <f>HYPERLINK("#'4.3.1.9 Soil direct N2O'!A1", "4.3.1.9 Soil direct N2O")</f>
        <v>4.3.1.9 Soil direct N2O</v>
      </c>
      <c r="D37" s="122" t="s">
        <v>515</v>
      </c>
      <c r="M37"/>
      <c r="O37" s="122" t="s">
        <v>516</v>
      </c>
    </row>
    <row r="38" spans="1:22" ht="20.100000000000001" customHeight="1" x14ac:dyDescent="0.2">
      <c r="A38" s="5" t="str">
        <f>HYPERLINK("#'4.3.1.10-11 Soil Atmos Dep'!A1", "4.3.1.10-11 Soil Atmos Deposition")</f>
        <v>4.3.1.10-11 Soil Atmos Deposition</v>
      </c>
      <c r="D38" s="123" t="s">
        <v>517</v>
      </c>
      <c r="M38"/>
      <c r="O38" s="123" t="s">
        <v>518</v>
      </c>
    </row>
    <row r="39" spans="1:22" ht="20.100000000000001" customHeight="1" x14ac:dyDescent="0.2">
      <c r="A39" s="5" t="str">
        <f>HYPERLINK("#'4.3.1.12-13 Soil leach runoff'!A1", "4.3.1.12-13 Soil leach &amp; runoff")</f>
        <v>4.3.1.12-13 Soil leach &amp; runoff</v>
      </c>
      <c r="D39" s="124" t="s">
        <v>159</v>
      </c>
      <c r="E39" s="124" t="s">
        <v>422</v>
      </c>
      <c r="F39" s="124" t="s">
        <v>330</v>
      </c>
      <c r="G39" s="124" t="s">
        <v>331</v>
      </c>
      <c r="H39" s="124" t="s">
        <v>332</v>
      </c>
      <c r="I39" s="124" t="s">
        <v>333</v>
      </c>
      <c r="J39" s="124" t="s">
        <v>334</v>
      </c>
      <c r="M39"/>
      <c r="O39" s="124" t="s">
        <v>159</v>
      </c>
      <c r="P39" s="124" t="s">
        <v>422</v>
      </c>
      <c r="Q39" s="124" t="s">
        <v>330</v>
      </c>
      <c r="R39" s="124" t="s">
        <v>331</v>
      </c>
      <c r="S39" s="124" t="s">
        <v>332</v>
      </c>
      <c r="T39" s="124" t="s">
        <v>333</v>
      </c>
      <c r="U39" s="124" t="s">
        <v>334</v>
      </c>
    </row>
    <row r="40" spans="1:22" ht="20.100000000000001" customHeight="1" x14ac:dyDescent="0.2">
      <c r="A40" s="5" t="str">
        <f>HYPERLINK("#'5.1.1.1-2 Inorganic fert N2O'!A1", "5.1.1.1-2 Inorganic fert N2O")</f>
        <v>5.1.1.1-2 Inorganic fert N2O</v>
      </c>
      <c r="D40" s="15" t="str">
        <f>INDEX(X_Table_Dairy_ProductionSystems_Method1,3,1)</f>
        <v>Milking shed</v>
      </c>
      <c r="E40" s="15" t="str">
        <f>INDEX(X_Table_Dairy_Stage1MMS_1_AnaerobicLagoon,2,1)</f>
        <v>Anaerobic lagoon</v>
      </c>
      <c r="F40" s="15">
        <f>INDEX(M1_Table_MN_j_m,2,3)</f>
        <v>399.24605684746678</v>
      </c>
      <c r="G40" s="15">
        <f>INDEX(M1_Table_MN_j_m,2,4)</f>
        <v>182.35790267782079</v>
      </c>
      <c r="H40" s="15">
        <f>INDEX(M1_Table_MN_j_m,2,5)</f>
        <v>72.631224123843424</v>
      </c>
      <c r="I40" s="15">
        <f>INDEX(M1_Table_MN_j_m,2,6)</f>
        <v>229.23109573986844</v>
      </c>
      <c r="J40" s="15">
        <f>INDEX(M1_Table_MN_j_m,2,7)</f>
        <v>95.962857079055411</v>
      </c>
      <c r="K40" s="16" t="str">
        <f>$G$13</f>
        <v>kg N</v>
      </c>
      <c r="M40"/>
      <c r="O40" s="15" t="str">
        <f>INDEX(X_Table_Dairy_ProductionSystems_Method1,3,1)</f>
        <v>Milking shed</v>
      </c>
      <c r="P40" s="15" t="str">
        <f>INDEX(X_Table_Dairy_Stage1MMS_1_AnaerobicLagoon,2,1)</f>
        <v>Anaerobic lagoon</v>
      </c>
      <c r="Q40" s="15">
        <f>INDEX(M2_Table_MN_j_m,2,3)</f>
        <v>399.24605684746678</v>
      </c>
      <c r="R40" s="15">
        <f>INDEX(M2_Table_MN_j_m,2,4)</f>
        <v>182.35790267782079</v>
      </c>
      <c r="S40" s="15">
        <f>INDEX(M2_Table_MN_j_m,2,5)</f>
        <v>72.631224123843424</v>
      </c>
      <c r="T40" s="15">
        <f>INDEX(M2_Table_MN_j_m,2,6)</f>
        <v>229.23109573986844</v>
      </c>
      <c r="U40" s="15">
        <f>INDEX(M2_Table_MN_j_m,2,7)</f>
        <v>95.962857079055411</v>
      </c>
      <c r="V40" s="16" t="str">
        <f>$G$13</f>
        <v>kg N</v>
      </c>
    </row>
    <row r="41" spans="1:22" ht="20.100000000000001" customHeight="1" x14ac:dyDescent="0.2">
      <c r="A41" s="5" t="str">
        <f>HYPERLINK("#'5.1.1.3-4 Inorganic fert CO2'!A1", "5.1.1.3-4 Inorganic fert CO2")</f>
        <v>5.1.1.3-4 Inorganic fert CO2</v>
      </c>
      <c r="D41" s="15" t="str">
        <f>INDEX(X_Table_Dairy_ProductionSystems_Method1,3,1)</f>
        <v>Milking shed</v>
      </c>
      <c r="E41" s="15" t="str">
        <f>INDEX(X_Table_Dairy_Stage1MMS_1_SumpAndDispersal,2,1)</f>
        <v>Sump and dispersal system</v>
      </c>
      <c r="F41" s="15">
        <f>INDEX(M1_Table_MN_j_m,3,3)</f>
        <v>399.24605684746678</v>
      </c>
      <c r="G41" s="15">
        <f>INDEX(M1_Table_MN_j_m,3,4)</f>
        <v>182.35790267782079</v>
      </c>
      <c r="H41" s="15">
        <f>INDEX(M1_Table_MN_j_m,3,5)</f>
        <v>72.631224123843424</v>
      </c>
      <c r="I41" s="15">
        <f>INDEX(M1_Table_MN_j_m,3,6)</f>
        <v>229.23109573986844</v>
      </c>
      <c r="J41" s="15">
        <f>INDEX(M1_Table_MN_j_m,3,7)</f>
        <v>95.962857079055411</v>
      </c>
      <c r="K41" s="16"/>
      <c r="M41"/>
      <c r="O41" s="15" t="str">
        <f>INDEX(X_Table_Dairy_ProductionSystems_Method1,3,1)</f>
        <v>Milking shed</v>
      </c>
      <c r="P41" s="15" t="str">
        <f>INDEX(X_Table_Dairy_Stage1MMS_1_SumpAndDispersal,2,1)</f>
        <v>Sump and dispersal system</v>
      </c>
      <c r="Q41" s="15">
        <f>INDEX(M2_Table_MN_j_m,3,3)</f>
        <v>399.24605684746678</v>
      </c>
      <c r="R41" s="15">
        <f>INDEX(M2_Table_MN_j_m,3,4)</f>
        <v>182.35790267782079</v>
      </c>
      <c r="S41" s="15">
        <f>INDEX(M2_Table_MN_j_m,3,5)</f>
        <v>72.631224123843424</v>
      </c>
      <c r="T41" s="15">
        <f>INDEX(M2_Table_MN_j_m,3,6)</f>
        <v>229.23109573986844</v>
      </c>
      <c r="U41" s="15">
        <f>INDEX(M2_Table_MN_j_m,3,7)</f>
        <v>95.962857079055411</v>
      </c>
      <c r="V41" s="16"/>
    </row>
    <row r="42" spans="1:22" ht="20.100000000000001" customHeight="1" x14ac:dyDescent="0.2">
      <c r="A42" s="5" t="str">
        <f>HYPERLINK("#'5.2.1.1-2 Organic Fert N2O'!A1", "5.2.1.1-2 Organic fert N2O")</f>
        <v>5.2.1.1-2 Organic fert N2O</v>
      </c>
      <c r="D42" s="15" t="str">
        <f>INDEX(X_Table_Dairy_ProductionSystems_Method1,3,1)</f>
        <v>Milking shed</v>
      </c>
      <c r="E42" s="15" t="str">
        <f>INDEX(X_Table_Dairy_Stage1MMS_1_DrainsToPaddock,2,1)</f>
        <v>Drains to paddock</v>
      </c>
      <c r="F42" s="15">
        <f>INDEX(M1_Table_MN_j_m,4,3)</f>
        <v>399.24605684746678</v>
      </c>
      <c r="G42" s="15">
        <f>INDEX(M1_Table_MN_j_m,4,4)</f>
        <v>182.35790267782079</v>
      </c>
      <c r="H42" s="15">
        <f>INDEX(M1_Table_MN_j_m,4,5)</f>
        <v>72.631224123843424</v>
      </c>
      <c r="I42" s="15">
        <f>INDEX(M1_Table_MN_j_m,4,6)</f>
        <v>229.23109573986844</v>
      </c>
      <c r="J42" s="15">
        <f>INDEX(M1_Table_MN_j_m,4,7)</f>
        <v>95.962857079055411</v>
      </c>
      <c r="K42" s="16"/>
      <c r="M42"/>
      <c r="O42" s="15" t="str">
        <f>INDEX(X_Table_Dairy_ProductionSystems_Method1,3,1)</f>
        <v>Milking shed</v>
      </c>
      <c r="P42" s="15" t="str">
        <f>INDEX(X_Table_Dairy_Stage1MMS_1_DrainsToPaddock,2,1)</f>
        <v>Drains to paddock</v>
      </c>
      <c r="Q42" s="15">
        <f>INDEX(M2_Table_MN_j_m,4,3)</f>
        <v>399.24605684746678</v>
      </c>
      <c r="R42" s="15">
        <f>INDEX(M2_Table_MN_j_m,4,4)</f>
        <v>182.35790267782079</v>
      </c>
      <c r="S42" s="15">
        <f>INDEX(M2_Table_MN_j_m,4,5)</f>
        <v>72.631224123843424</v>
      </c>
      <c r="T42" s="15">
        <f>INDEX(M2_Table_MN_j_m,4,6)</f>
        <v>229.23109573986844</v>
      </c>
      <c r="U42" s="15">
        <f>INDEX(M2_Table_MN_j_m,4,7)</f>
        <v>95.962857079055411</v>
      </c>
      <c r="V42" s="16"/>
    </row>
    <row r="43" spans="1:22" ht="20.100000000000001" customHeight="1" x14ac:dyDescent="0.2">
      <c r="A43" s="5" t="str">
        <f>HYPERLINK("#'5.3.1.1-2 Lime CO2'!A1", "5.3.1.1-2 Lime CO2")</f>
        <v>5.3.1.1-2 Lime CO2</v>
      </c>
      <c r="D43" s="15" t="str">
        <f>INDEX(X_Table_Dairy_ProductionSystems_Method1,3,1)</f>
        <v>Milking shed</v>
      </c>
      <c r="E43" s="15" t="s">
        <v>75</v>
      </c>
      <c r="F43" s="15">
        <f>INDEX(M1_Table_MN_j_m,5,3)</f>
        <v>798.49211369493332</v>
      </c>
      <c r="G43" s="15">
        <f>INDEX(M1_Table_MN_j_m,5,4)</f>
        <v>364.71580535564152</v>
      </c>
      <c r="H43" s="15">
        <f>INDEX(M1_Table_MN_j_m,5,5)</f>
        <v>145.26244824768682</v>
      </c>
      <c r="I43" s="15">
        <f>INDEX(M1_Table_MN_j_m,5,6)</f>
        <v>458.46219147973682</v>
      </c>
      <c r="J43" s="15">
        <f>INDEX(M1_Table_MN_j_m,5,7)</f>
        <v>191.92571415811079</v>
      </c>
      <c r="K43" s="16"/>
      <c r="M43"/>
      <c r="O43" s="15" t="str">
        <f>INDEX(X_Table_Dairy_ProductionSystems_Method1,3,1)</f>
        <v>Milking shed</v>
      </c>
      <c r="P43" s="15" t="s">
        <v>75</v>
      </c>
      <c r="Q43" s="15">
        <f>INDEX(M2_Table_MN_j_m,5,3)</f>
        <v>798.49211369493332</v>
      </c>
      <c r="R43" s="15">
        <f>INDEX(M2_Table_MN_j_m,5,4)</f>
        <v>364.71580535564152</v>
      </c>
      <c r="S43" s="15">
        <f>INDEX(M2_Table_MN_j_m,5,5)</f>
        <v>145.26244824768682</v>
      </c>
      <c r="T43" s="15">
        <f>INDEX(M2_Table_MN_j_m,5,6)</f>
        <v>458.46219147973682</v>
      </c>
      <c r="U43" s="15">
        <f>INDEX(M2_Table_MN_j_m,5,7)</f>
        <v>191.92571415811079</v>
      </c>
      <c r="V43" s="16"/>
    </row>
    <row r="44" spans="1:22" ht="20.100000000000001" customHeight="1" x14ac:dyDescent="0.2">
      <c r="A44" s="5" t="str">
        <f>HYPERLINK("#'5.4.1.1-4 Atmos deposition'!A1", "5.4.1.1-4 Atmos. deposition")</f>
        <v>5.4.1.1-4 Atmos. deposition</v>
      </c>
      <c r="D44" s="15" t="str">
        <f>INDEX(X_Table_Dairy_ProductionSystems_Method1,4,1)</f>
        <v>Feed pad</v>
      </c>
      <c r="E44" s="15" t="str">
        <f>INDEX(X_Table_Dairy_Stage1MMS_2_AnaerobicLagoon,2,1)</f>
        <v>Anaerobic lagoon</v>
      </c>
      <c r="F44" s="15">
        <f>INDEX(M1_Table_MN_j_m,6,3)</f>
        <v>1615.131775428388</v>
      </c>
      <c r="G44" s="15">
        <f>INDEX(M1_Table_MN_j_m,6,4)</f>
        <v>737.72060628754764</v>
      </c>
      <c r="H44" s="15">
        <f>INDEX(M1_Table_MN_j_m,6,5)</f>
        <v>293.82631577373019</v>
      </c>
      <c r="I44" s="15">
        <f>INDEX(M1_Table_MN_j_m,6,6)</f>
        <v>927.34397822037681</v>
      </c>
      <c r="J44" s="15">
        <f>INDEX(M1_Table_MN_j_m,6,7)</f>
        <v>388.21337636526954</v>
      </c>
      <c r="K44" s="16"/>
      <c r="M44"/>
      <c r="O44" s="15" t="str">
        <f>INDEX(X_Table_Dairy_ProductionSystems_Method1,4,1)</f>
        <v>Feed pad</v>
      </c>
      <c r="P44" s="15" t="str">
        <f>INDEX(X_Table_Dairy_Stage1MMS_2_AnaerobicLagoon,2,1)</f>
        <v>Anaerobic lagoon</v>
      </c>
      <c r="Q44" s="15">
        <f>INDEX(M2_Table_MN_j_m,6,3)</f>
        <v>1615.131775428388</v>
      </c>
      <c r="R44" s="15">
        <f>INDEX(M2_Table_MN_j_m,6,4)</f>
        <v>737.72060628754764</v>
      </c>
      <c r="S44" s="15">
        <f>INDEX(M2_Table_MN_j_m,6,5)</f>
        <v>293.82631577373019</v>
      </c>
      <c r="T44" s="15">
        <f>INDEX(M2_Table_MN_j_m,6,6)</f>
        <v>927.34397822037681</v>
      </c>
      <c r="U44" s="15">
        <f>INDEX(M2_Table_MN_j_m,6,7)</f>
        <v>388.21337636526954</v>
      </c>
      <c r="V44" s="16"/>
    </row>
    <row r="45" spans="1:22" ht="20.100000000000001" customHeight="1" x14ac:dyDescent="0.2">
      <c r="A45" s="5" t="str">
        <f>HYPERLINK("#'5.5.1.1-2 Leaching and runoff'!A1", "5.5.1.1-2 Leaching &amp; runoff")</f>
        <v>5.5.1.1-2 Leaching &amp; runoff</v>
      </c>
      <c r="D45" s="15" t="str">
        <f>INDEX(X_Table_Dairy_ProductionSystems_Method1,4,1)</f>
        <v>Feed pad</v>
      </c>
      <c r="E45" s="15" t="str">
        <f>INDEX(X_Table_Dairy_Stage1MMS_2_SumpAndDispersal,2,1)</f>
        <v>Sump and dispersal system</v>
      </c>
      <c r="F45" s="15">
        <f>INDEX(M1_Table_MN_j_m,7,3)</f>
        <v>1292.1054203427104</v>
      </c>
      <c r="G45" s="15">
        <f>INDEX(M1_Table_MN_j_m,7,4)</f>
        <v>590.17648503003818</v>
      </c>
      <c r="H45" s="15">
        <f>INDEX(M1_Table_MN_j_m,7,5)</f>
        <v>235.06105261898415</v>
      </c>
      <c r="I45" s="15">
        <f>INDEX(M1_Table_MN_j_m,7,6)</f>
        <v>741.87518257630143</v>
      </c>
      <c r="J45" s="15">
        <f>INDEX(M1_Table_MN_j_m,7,7)</f>
        <v>310.57070109221564</v>
      </c>
      <c r="K45" s="16"/>
      <c r="M45"/>
      <c r="O45" s="15" t="str">
        <f>INDEX(X_Table_Dairy_ProductionSystems_Method1,4,1)</f>
        <v>Feed pad</v>
      </c>
      <c r="P45" s="15" t="str">
        <f>INDEX(X_Table_Dairy_Stage1MMS_2_SumpAndDispersal,2,1)</f>
        <v>Sump and dispersal system</v>
      </c>
      <c r="Q45" s="15">
        <f>INDEX(M2_Table_MN_j_m,7,3)</f>
        <v>1292.1054203427104</v>
      </c>
      <c r="R45" s="15">
        <f>INDEX(M2_Table_MN_j_m,7,4)</f>
        <v>590.17648503003818</v>
      </c>
      <c r="S45" s="15">
        <f>INDEX(M2_Table_MN_j_m,7,5)</f>
        <v>235.06105261898415</v>
      </c>
      <c r="T45" s="15">
        <f>INDEX(M2_Table_MN_j_m,7,6)</f>
        <v>741.87518257630143</v>
      </c>
      <c r="U45" s="15">
        <f>INDEX(M2_Table_MN_j_m,7,7)</f>
        <v>310.57070109221564</v>
      </c>
      <c r="V45" s="16"/>
    </row>
    <row r="46" spans="1:22" ht="20.100000000000001" customHeight="1" x14ac:dyDescent="0.2">
      <c r="A46" s="5" t="str">
        <f>HYPERLINK("#'6.2.1.1-2 Pasture residue N2O'!A1", "6.2.1.1-2 Pasture residue N2O")</f>
        <v>6.2.1.1-2 Pasture residue N2O</v>
      </c>
      <c r="D46" s="15" t="str">
        <f>INDEX(X_Table_Dairy_ProductionSystems_Method1,4,1)</f>
        <v>Feed pad</v>
      </c>
      <c r="E46" s="15" t="str">
        <f>INDEX(X_Table_Dairy_Stage1MMS_2_DrainsToPaddock,2,1)</f>
        <v>Drains to paddock</v>
      </c>
      <c r="F46" s="15">
        <f>INDEX(M1_Table_MN_j_m,8,3)</f>
        <v>1292.1054203427104</v>
      </c>
      <c r="G46" s="15">
        <f>INDEX(M1_Table_MN_j_m,8,4)</f>
        <v>590.17648503003818</v>
      </c>
      <c r="H46" s="15">
        <f>INDEX(M1_Table_MN_j_m,8,5)</f>
        <v>235.06105261898415</v>
      </c>
      <c r="I46" s="15">
        <f>INDEX(M1_Table_MN_j_m,8,6)</f>
        <v>741.87518257630143</v>
      </c>
      <c r="J46" s="15">
        <f>INDEX(M1_Table_MN_j_m,8,7)</f>
        <v>310.57070109221564</v>
      </c>
      <c r="K46" s="16"/>
      <c r="M46"/>
      <c r="O46" s="15" t="str">
        <f>INDEX(X_Table_Dairy_ProductionSystems_Method1,4,1)</f>
        <v>Feed pad</v>
      </c>
      <c r="P46" s="15" t="str">
        <f>INDEX(X_Table_Dairy_Stage1MMS_2_DrainsToPaddock,2,1)</f>
        <v>Drains to paddock</v>
      </c>
      <c r="Q46" s="15">
        <f>INDEX(M2_Table_MN_j_m,8,3)</f>
        <v>1292.1054203427104</v>
      </c>
      <c r="R46" s="15">
        <f>INDEX(M2_Table_MN_j_m,8,4)</f>
        <v>590.17648503003818</v>
      </c>
      <c r="S46" s="15">
        <f>INDEX(M2_Table_MN_j_m,8,5)</f>
        <v>235.06105261898415</v>
      </c>
      <c r="T46" s="15">
        <f>INDEX(M2_Table_MN_j_m,8,6)</f>
        <v>741.87518257630143</v>
      </c>
      <c r="U46" s="15">
        <f>INDEX(M2_Table_MN_j_m,8,7)</f>
        <v>310.57070109221564</v>
      </c>
      <c r="V46" s="16"/>
    </row>
    <row r="47" spans="1:22" ht="20.100000000000001" customHeight="1" x14ac:dyDescent="0.2">
      <c r="A47" s="5" t="str">
        <f>HYPERLINK("#'6.3.1.1-2 Leach runoff pasture'!A1", "6.3.1.1-2 Leach &amp; runoff (pasture)")</f>
        <v>6.3.1.1-2 Leach &amp; runoff (pasture)</v>
      </c>
      <c r="D47" s="15" t="str">
        <f>INDEX(X_Table_Dairy_ProductionSystems_Method1,4,1)</f>
        <v>Feed pad</v>
      </c>
      <c r="E47" s="15" t="s">
        <v>75</v>
      </c>
      <c r="F47" s="15">
        <f>INDEX(M1_Table_MN_j_m,9,3)</f>
        <v>2261.1844855997429</v>
      </c>
      <c r="G47" s="15">
        <f>INDEX(M1_Table_MN_j_m,9,4)</f>
        <v>1032.8088488025667</v>
      </c>
      <c r="H47" s="15">
        <f>INDEX(M1_Table_MN_j_m,9,5)</f>
        <v>411.35684208322226</v>
      </c>
      <c r="I47" s="15">
        <f>INDEX(M1_Table_MN_j_m,9,6)</f>
        <v>1298.2815695085274</v>
      </c>
      <c r="J47" s="15">
        <f>INDEX(M1_Table_MN_j_m,9,7)</f>
        <v>543.49872691137739</v>
      </c>
      <c r="K47" s="16"/>
      <c r="M47"/>
      <c r="O47" s="15" t="str">
        <f>INDEX(X_Table_Dairy_ProductionSystems_Method1,4,1)</f>
        <v>Feed pad</v>
      </c>
      <c r="P47" s="15" t="s">
        <v>75</v>
      </c>
      <c r="Q47" s="15">
        <f>INDEX(M2_Table_MN_j_m,9,3)</f>
        <v>2261.1844855997429</v>
      </c>
      <c r="R47" s="15">
        <f>INDEX(M2_Table_MN_j_m,9,4)</f>
        <v>1032.8088488025667</v>
      </c>
      <c r="S47" s="15">
        <f>INDEX(M2_Table_MN_j_m,9,5)</f>
        <v>411.35684208322226</v>
      </c>
      <c r="T47" s="15">
        <f>INDEX(M2_Table_MN_j_m,9,6)</f>
        <v>1298.2815695085274</v>
      </c>
      <c r="U47" s="15">
        <f>INDEX(M2_Table_MN_j_m,9,7)</f>
        <v>543.49872691137739</v>
      </c>
      <c r="V47" s="16"/>
    </row>
    <row r="48" spans="1:22" ht="20.100000000000001" customHeight="1" x14ac:dyDescent="0.2">
      <c r="A48" s="5" t="str">
        <f>HYPERLINK("#'8.1.1.1-2 Transport fuel'!A1", "8.1.1.1-2 Transport fuel")</f>
        <v>8.1.1.1-2 Transport fuel</v>
      </c>
    </row>
    <row r="49" spans="1:22" ht="20.100000000000001" customHeight="1" x14ac:dyDescent="0.2">
      <c r="A49" s="5" t="str">
        <f>HYPERLINK("#'8.2.1.1-2 Stationary fuel'!A1", "8.2.1.1-2 Stationary fuel")</f>
        <v>8.2.1.1-2 Stationary fuel</v>
      </c>
      <c r="D49" s="122" t="s">
        <v>553</v>
      </c>
      <c r="O49" s="122" t="s">
        <v>554</v>
      </c>
    </row>
    <row r="50" spans="1:22" ht="20.100000000000001" customHeight="1" x14ac:dyDescent="0.2">
      <c r="A50" s="5" t="str">
        <f>HYPERLINK("#'9.1.1.1-2 Refrigerant use'!A1", "9.1.1.1-2 Refrigerant use")</f>
        <v>9.1.1.1-2 Refrigerant use</v>
      </c>
      <c r="D50" s="123" t="s">
        <v>555</v>
      </c>
      <c r="O50" s="123" t="s">
        <v>556</v>
      </c>
    </row>
    <row r="51" spans="1:22" ht="20.100000000000001" customHeight="1" x14ac:dyDescent="0.2">
      <c r="A51" s="5" t="str">
        <f>HYPERLINK("#'10.1.1-2 Solid waste treatment'!A1", "10.1.1.1-2 Solid waste")</f>
        <v>10.1.1.1-2 Solid waste</v>
      </c>
      <c r="D51" s="124" t="s">
        <v>159</v>
      </c>
      <c r="E51" s="124" t="s">
        <v>422</v>
      </c>
      <c r="F51" s="124" t="s">
        <v>330</v>
      </c>
      <c r="G51" s="124" t="s">
        <v>331</v>
      </c>
      <c r="H51" s="124" t="s">
        <v>332</v>
      </c>
      <c r="I51" s="124" t="s">
        <v>333</v>
      </c>
      <c r="J51" s="124" t="s">
        <v>334</v>
      </c>
      <c r="O51" s="124" t="s">
        <v>159</v>
      </c>
      <c r="P51" s="124" t="s">
        <v>422</v>
      </c>
      <c r="Q51" s="124" t="s">
        <v>330</v>
      </c>
      <c r="R51" s="124" t="s">
        <v>331</v>
      </c>
      <c r="S51" s="124" t="s">
        <v>332</v>
      </c>
      <c r="T51" s="124" t="s">
        <v>333</v>
      </c>
      <c r="U51" s="124" t="s">
        <v>334</v>
      </c>
    </row>
    <row r="52" spans="1:22" ht="20.100000000000001" customHeight="1" x14ac:dyDescent="0.2">
      <c r="A52" s="5" t="str">
        <f>HYPERLINK("#'14.1.1-2 Purchased electricity'!A1", "14.1.1-2 Purchased electricity")</f>
        <v>14.1.1-2 Purchased electricity</v>
      </c>
      <c r="D52" s="15" t="str">
        <f>INDEX(X_Table_Dairy_ProductionSystems_Method1,3,1)</f>
        <v>Milking shed</v>
      </c>
      <c r="E52" s="15" t="str">
        <f>INDEX(X_Table_Dairy_Stage1MMS_1_AnaerobicLagoon,2,1)</f>
        <v>Anaerobic lagoon</v>
      </c>
      <c r="F52" s="15">
        <v>0</v>
      </c>
      <c r="G52" s="15">
        <v>0</v>
      </c>
      <c r="H52" s="15">
        <v>0</v>
      </c>
      <c r="I52" s="15">
        <v>0</v>
      </c>
      <c r="J52" s="15">
        <v>0</v>
      </c>
      <c r="K52" s="16" t="str">
        <f>$G$16</f>
        <v>kg N</v>
      </c>
      <c r="O52" s="15" t="str">
        <f>INDEX(X_Table_Dairy_ProductionSystems_Method1,3,1)</f>
        <v>Milking shed</v>
      </c>
      <c r="P52" s="15" t="str">
        <f>INDEX(X_Table_Dairy_Stage1MMS_1_AnaerobicLagoon,2,1)</f>
        <v>Anaerobic lagoon</v>
      </c>
      <c r="Q52" s="15">
        <v>0</v>
      </c>
      <c r="R52" s="15">
        <v>0</v>
      </c>
      <c r="S52" s="15">
        <v>0</v>
      </c>
      <c r="T52" s="15">
        <v>0</v>
      </c>
      <c r="U52" s="15">
        <v>0</v>
      </c>
      <c r="V52" s="16" t="str">
        <f>$G$16</f>
        <v>kg N</v>
      </c>
    </row>
    <row r="53" spans="1:22" ht="20.100000000000001" customHeight="1" x14ac:dyDescent="0.2">
      <c r="A53" s="5" t="str">
        <f>HYPERLINK("#'15 Scope 3'!A1", "15 Scope 3")</f>
        <v>15 Scope 3</v>
      </c>
      <c r="D53" s="15" t="str">
        <f>INDEX(X_Table_Dairy_ProductionSystems_Method1,3,1)</f>
        <v>Milking shed</v>
      </c>
      <c r="E53" s="15" t="str">
        <f>INDEX(X_Table_Dairy_Stage1MMS_1_SumpAndDispersal,2,1)</f>
        <v>Sump and dispersal system</v>
      </c>
      <c r="F53" s="15">
        <v>0</v>
      </c>
      <c r="G53" s="15">
        <v>0</v>
      </c>
      <c r="H53" s="15">
        <v>0</v>
      </c>
      <c r="I53" s="15">
        <v>0</v>
      </c>
      <c r="J53" s="15">
        <v>0</v>
      </c>
      <c r="K53" s="16"/>
      <c r="O53" s="15" t="str">
        <f>INDEX(X_Table_Dairy_ProductionSystems_Method1,3,1)</f>
        <v>Milking shed</v>
      </c>
      <c r="P53" s="15" t="str">
        <f>INDEX(X_Table_Dairy_Stage1MMS_1_SumpAndDispersal,2,1)</f>
        <v>Sump and dispersal system</v>
      </c>
      <c r="Q53" s="15">
        <v>0</v>
      </c>
      <c r="R53" s="15">
        <v>0</v>
      </c>
      <c r="S53" s="15">
        <v>0</v>
      </c>
      <c r="T53" s="15">
        <v>0</v>
      </c>
      <c r="U53" s="15">
        <v>0</v>
      </c>
      <c r="V53" s="16"/>
    </row>
    <row r="54" spans="1:22" ht="20.100000000000001" customHeight="1" x14ac:dyDescent="0.2">
      <c r="A54" s="5" t="str">
        <f>HYPERLINK("#'Calcs - Manure sent off-site'!A1", "Calcs - Manure sent off-site")</f>
        <v>Calcs - Manure sent off-site</v>
      </c>
      <c r="D54" s="15" t="str">
        <f>INDEX(X_Table_Dairy_ProductionSystems_Method1,3,1)</f>
        <v>Milking shed</v>
      </c>
      <c r="E54" s="15" t="str">
        <f>INDEX(X_Table_Dairy_Stage1MMS_1_DrainsToPaddock,2,1)</f>
        <v>Drains to paddock</v>
      </c>
      <c r="F54" s="15">
        <v>0</v>
      </c>
      <c r="G54" s="15">
        <v>0</v>
      </c>
      <c r="H54" s="15">
        <v>0</v>
      </c>
      <c r="I54" s="15">
        <v>0</v>
      </c>
      <c r="J54" s="15">
        <v>0</v>
      </c>
      <c r="K54" s="16"/>
      <c r="O54" s="15" t="str">
        <f>INDEX(X_Table_Dairy_ProductionSystems_Method1,3,1)</f>
        <v>Milking shed</v>
      </c>
      <c r="P54" s="15" t="str">
        <f>INDEX(X_Table_Dairy_Stage1MMS_1_DrainsToPaddock,2,1)</f>
        <v>Drains to paddock</v>
      </c>
      <c r="Q54" s="15">
        <v>0</v>
      </c>
      <c r="R54" s="15">
        <v>0</v>
      </c>
      <c r="S54" s="15">
        <v>0</v>
      </c>
      <c r="T54" s="15">
        <v>0</v>
      </c>
      <c r="U54" s="15">
        <v>0</v>
      </c>
      <c r="V54" s="16"/>
    </row>
    <row r="55" spans="1:22" ht="20.100000000000001" customHeight="1" x14ac:dyDescent="0.2">
      <c r="D55" s="15" t="str">
        <f>INDEX(X_Table_Dairy_ProductionSystems_Method1,3,1)</f>
        <v>Milking shed</v>
      </c>
      <c r="E55" s="15" t="s">
        <v>75</v>
      </c>
      <c r="F55" s="15">
        <f>INDEX(M1_Table_MN_leach_j_m4,2,3)</f>
        <v>15.969842273898667</v>
      </c>
      <c r="G55" s="15">
        <f>INDEX(M1_Table_MN_leach_j_m4,2,4)</f>
        <v>7.2943161071128308</v>
      </c>
      <c r="H55" s="15">
        <f>INDEX(M1_Table_MN_leach_j_m4,2,5)</f>
        <v>2.9052489649537363</v>
      </c>
      <c r="I55" s="15">
        <f>INDEX(M1_Table_MN_leach_j_m4,2,6)</f>
        <v>9.1692438295947358</v>
      </c>
      <c r="J55" s="15">
        <f>INDEX(M1_Table_MN_leach_j_m4,2,7)</f>
        <v>3.8385142831622159</v>
      </c>
      <c r="K55" s="16"/>
      <c r="O55" s="15" t="str">
        <f>INDEX(X_Table_Dairy_ProductionSystems_Method1,3,1)</f>
        <v>Milking shed</v>
      </c>
      <c r="P55" s="15" t="s">
        <v>75</v>
      </c>
      <c r="Q55" s="15">
        <f>INDEX(M2_Table_MN_leach_j_m4,2,3)</f>
        <v>15.969842273898667</v>
      </c>
      <c r="R55" s="15">
        <f>INDEX(M2_Table_MN_leach_j_m4,2,4)</f>
        <v>7.2943161071128308</v>
      </c>
      <c r="S55" s="15">
        <f>INDEX(M2_Table_MN_leach_j_m4,2,5)</f>
        <v>2.9052489649537363</v>
      </c>
      <c r="T55" s="15">
        <f>INDEX(M2_Table_MN_leach_j_m4,2,6)</f>
        <v>9.1692438295947358</v>
      </c>
      <c r="U55" s="15">
        <f>INDEX(M2_Table_MN_leach_j_m4,2,7)</f>
        <v>3.8385142831622159</v>
      </c>
      <c r="V55" s="16"/>
    </row>
    <row r="56" spans="1:22" ht="20.100000000000001" customHeight="1" x14ac:dyDescent="0.2">
      <c r="D56" s="15" t="str">
        <f>INDEX(X_Table_Dairy_ProductionSystems_Method1,4,1)</f>
        <v>Feed pad</v>
      </c>
      <c r="E56" s="15" t="str">
        <f>INDEX(X_Table_Dairy_Stage1MMS_2_AnaerobicLagoon,2,1)</f>
        <v>Anaerobic lagoon</v>
      </c>
      <c r="F56" s="15">
        <v>0</v>
      </c>
      <c r="G56" s="15">
        <v>0</v>
      </c>
      <c r="H56" s="15">
        <v>0</v>
      </c>
      <c r="I56" s="15">
        <v>0</v>
      </c>
      <c r="J56" s="15">
        <v>0</v>
      </c>
      <c r="K56" s="16"/>
      <c r="O56" s="15" t="str">
        <f>INDEX(X_Table_Dairy_ProductionSystems_Method1,4,1)</f>
        <v>Feed pad</v>
      </c>
      <c r="P56" s="15" t="str">
        <f>INDEX(X_Table_Dairy_Stage1MMS_2_AnaerobicLagoon,2,1)</f>
        <v>Anaerobic lagoon</v>
      </c>
      <c r="Q56" s="15">
        <v>0</v>
      </c>
      <c r="R56" s="15">
        <v>0</v>
      </c>
      <c r="S56" s="15">
        <v>0</v>
      </c>
      <c r="T56" s="15">
        <v>0</v>
      </c>
      <c r="U56" s="15">
        <v>0</v>
      </c>
      <c r="V56" s="16"/>
    </row>
    <row r="57" spans="1:22" ht="20.100000000000001" customHeight="1" x14ac:dyDescent="0.2">
      <c r="A57" s="82" t="s">
        <v>1</v>
      </c>
      <c r="D57" s="15" t="str">
        <f>INDEX(X_Table_Dairy_ProductionSystems_Method1,4,1)</f>
        <v>Feed pad</v>
      </c>
      <c r="E57" s="15" t="str">
        <f>INDEX(X_Table_Dairy_Stage1MMS_2_SumpAndDispersal,2,1)</f>
        <v>Sump and dispersal system</v>
      </c>
      <c r="F57" s="15">
        <v>0</v>
      </c>
      <c r="G57" s="15">
        <v>0</v>
      </c>
      <c r="H57" s="15">
        <v>0</v>
      </c>
      <c r="I57" s="15">
        <v>0</v>
      </c>
      <c r="J57" s="15">
        <v>0</v>
      </c>
      <c r="K57" s="16"/>
      <c r="O57" s="15" t="str">
        <f>INDEX(X_Table_Dairy_ProductionSystems_Method1,4,1)</f>
        <v>Feed pad</v>
      </c>
      <c r="P57" s="15" t="str">
        <f>INDEX(X_Table_Dairy_Stage1MMS_2_SumpAndDispersal,2,1)</f>
        <v>Sump and dispersal system</v>
      </c>
      <c r="Q57" s="15">
        <v>0</v>
      </c>
      <c r="R57" s="15">
        <v>0</v>
      </c>
      <c r="S57" s="15">
        <v>0</v>
      </c>
      <c r="T57" s="15">
        <v>0</v>
      </c>
      <c r="U57" s="15">
        <v>0</v>
      </c>
      <c r="V57" s="16"/>
    </row>
    <row r="58" spans="1:22" ht="20.100000000000001" customHeight="1" x14ac:dyDescent="0.2">
      <c r="A58" s="5" t="str">
        <f>HYPERLINK("#'Constants - Dairy'!A1", "Constants - Dairy")</f>
        <v>Constants - Dairy</v>
      </c>
      <c r="D58" s="15" t="str">
        <f>INDEX(X_Table_Dairy_ProductionSystems_Method1,4,1)</f>
        <v>Feed pad</v>
      </c>
      <c r="E58" s="15" t="str">
        <f>INDEX(X_Table_Dairy_Stage1MMS_2_DrainsToPaddock,2,1)</f>
        <v>Drains to paddock</v>
      </c>
      <c r="F58" s="15">
        <v>0</v>
      </c>
      <c r="G58" s="15">
        <v>0</v>
      </c>
      <c r="H58" s="15">
        <v>0</v>
      </c>
      <c r="I58" s="15">
        <v>0</v>
      </c>
      <c r="J58" s="15">
        <v>0</v>
      </c>
      <c r="K58" s="16"/>
      <c r="O58" s="15" t="str">
        <f>INDEX(X_Table_Dairy_ProductionSystems_Method1,4,1)</f>
        <v>Feed pad</v>
      </c>
      <c r="P58" s="15" t="str">
        <f>INDEX(X_Table_Dairy_Stage1MMS_2_DrainsToPaddock,2,1)</f>
        <v>Drains to paddock</v>
      </c>
      <c r="Q58" s="15">
        <v>0</v>
      </c>
      <c r="R58" s="15">
        <v>0</v>
      </c>
      <c r="S58" s="15">
        <v>0</v>
      </c>
      <c r="T58" s="15">
        <v>0</v>
      </c>
      <c r="U58" s="15">
        <v>0</v>
      </c>
      <c r="V58" s="16"/>
    </row>
    <row r="59" spans="1:22" ht="20.100000000000001" customHeight="1" x14ac:dyDescent="0.2">
      <c r="A59" s="5" t="str">
        <f>HYPERLINK("#'Constants - Ag Residue'!A1", "Constants - Ag residue")</f>
        <v>Constants - Ag residue</v>
      </c>
      <c r="D59" s="15" t="str">
        <f>INDEX(X_Table_Dairy_ProductionSystems_Method1,4,1)</f>
        <v>Feed pad</v>
      </c>
      <c r="E59" s="15" t="s">
        <v>75</v>
      </c>
      <c r="F59" s="15">
        <f>INDEX(M1_Table_MN_leach_j_m4,3,3)</f>
        <v>45.223689711994858</v>
      </c>
      <c r="G59" s="15">
        <f>INDEX(M1_Table_MN_leach_j_m4,3,4)</f>
        <v>20.656176976051334</v>
      </c>
      <c r="H59" s="15">
        <f>INDEX(M1_Table_MN_leach_j_m4,3,5)</f>
        <v>8.2271368416644446</v>
      </c>
      <c r="I59" s="15">
        <f>INDEX(M1_Table_MN_leach_j_m4,3,6)</f>
        <v>25.965631390170547</v>
      </c>
      <c r="J59" s="15">
        <f>INDEX(M1_Table_MN_leach_j_m4,3,7)</f>
        <v>10.869974538227549</v>
      </c>
      <c r="K59" s="16"/>
      <c r="O59" s="15" t="str">
        <f>INDEX(X_Table_Dairy_ProductionSystems_Method1,4,1)</f>
        <v>Feed pad</v>
      </c>
      <c r="P59" s="15" t="s">
        <v>75</v>
      </c>
      <c r="Q59" s="15">
        <f>INDEX(M2_Table_MN_leach_j_m4,3,3)</f>
        <v>45.223689711994858</v>
      </c>
      <c r="R59" s="15">
        <f>INDEX(M2_Table_MN_leach_j_m4,3,4)</f>
        <v>20.656176976051334</v>
      </c>
      <c r="S59" s="15">
        <f>INDEX(M2_Table_MN_leach_j_m4,3,5)</f>
        <v>8.2271368416644446</v>
      </c>
      <c r="T59" s="15">
        <f>INDEX(M2_Table_MN_leach_j_m4,3,6)</f>
        <v>25.965631390170547</v>
      </c>
      <c r="U59" s="15">
        <f>INDEX(M2_Table_MN_leach_j_m4,3,7)</f>
        <v>10.869974538227549</v>
      </c>
      <c r="V59" s="16"/>
    </row>
    <row r="60" spans="1:22" ht="20.100000000000001" customHeight="1" x14ac:dyDescent="0.2">
      <c r="A60" s="5" t="str">
        <f>HYPERLINK("#'Constants - Common Livestock'!A1", "Constants - Common Livestock")</f>
        <v>Constants - Common Livestock</v>
      </c>
    </row>
    <row r="61" spans="1:22" ht="20.100000000000001" customHeight="1" x14ac:dyDescent="0.2">
      <c r="A61" s="5" t="str">
        <f>HYPERLINK("#'Constants - Electricity'!A1", "Constants - Electricity")</f>
        <v>Constants - Electricity</v>
      </c>
      <c r="D61" s="122" t="s">
        <v>557</v>
      </c>
    </row>
    <row r="62" spans="1:22" ht="20.100000000000001" customHeight="1" x14ac:dyDescent="0.2">
      <c r="A62" s="5" t="str">
        <f>HYPERLINK("#'Constants - Fertiliser'!A1", "Constants - Fertiliser")</f>
        <v>Constants - Fertiliser</v>
      </c>
      <c r="D62" s="123" t="s">
        <v>558</v>
      </c>
    </row>
    <row r="63" spans="1:22" ht="20.100000000000001" customHeight="1" x14ac:dyDescent="0.2">
      <c r="A63" s="5" t="str">
        <f>HYPERLINK("#'Constants - Fuel'!A1", "Constants - Fuel")</f>
        <v>Constants - Fuel</v>
      </c>
      <c r="D63" s="81" t="s">
        <v>159</v>
      </c>
      <c r="E63" s="81" t="s">
        <v>422</v>
      </c>
      <c r="F63" s="81" t="s">
        <v>559</v>
      </c>
    </row>
    <row r="64" spans="1:22" ht="20.100000000000001" customHeight="1" x14ac:dyDescent="0.2">
      <c r="A64" s="5" t="str">
        <f>HYPERLINK("#'Constants - Scope 3'!A1", "Constants - Scope 3")</f>
        <v>Constants - Scope 3</v>
      </c>
      <c r="D64" s="15" t="str">
        <f>INDEX(X_Table_Dairy_ProductionSystems_Method1,3,1)</f>
        <v>Milking shed</v>
      </c>
      <c r="E64" s="15" t="str">
        <f>INDEX(X_Table_Dairy_Stage1MMS_1_AnaerobicLagoon,2,1)</f>
        <v>Anaerobic lagoon</v>
      </c>
      <c r="F64" s="15">
        <f ca="1">SUM(OFFSET(X_Table_Dairy_Stage1MMS_1_AnaerobicLagoon_Destinations,1,2,1,2))</f>
        <v>0.75</v>
      </c>
      <c r="G64" s="16" t="str">
        <f>$G$17</f>
        <v>fraction</v>
      </c>
    </row>
    <row r="65" spans="1:22" ht="20.100000000000001" customHeight="1" x14ac:dyDescent="0.2">
      <c r="A65" s="5" t="str">
        <f>HYPERLINK("#'Constants - Common'!A1", "Constants - Common")</f>
        <v>Constants - Common</v>
      </c>
      <c r="D65" s="15" t="str">
        <f>INDEX(X_Table_Dairy_ProductionSystems_Method1,3,1)</f>
        <v>Milking shed</v>
      </c>
      <c r="E65" s="15" t="str">
        <f>INDEX(X_Table_Dairy_Stage1MMS_1_SumpAndDispersal,2,1)</f>
        <v>Sump and dispersal system</v>
      </c>
      <c r="F65" s="15">
        <f ca="1">SUM(OFFSET(X_Table_Dairy_Stage1MMS_1_SumpAndDispersal_Destinations,1,2,1,2))</f>
        <v>0.75</v>
      </c>
      <c r="G65" s="16"/>
    </row>
    <row r="66" spans="1:22" ht="20.100000000000001" customHeight="1" x14ac:dyDescent="0.2">
      <c r="A66" s="5" t="str">
        <f>HYPERLINK("#'Constants - Refrigerants'!A1", "Constants - Refrigerants")</f>
        <v>Constants - Refrigerants</v>
      </c>
      <c r="D66" s="15" t="str">
        <f>INDEX(X_Table_Dairy_ProductionSystems_Method1,3,1)</f>
        <v>Milking shed</v>
      </c>
      <c r="E66" s="15" t="str">
        <f>INDEX(X_Table_Dairy_Stage1MMS_1_DrainsToPaddock,2,1)</f>
        <v>Drains to paddock</v>
      </c>
      <c r="F66" s="15">
        <f ca="1">SUM(OFFSET(X_Table_Dairy_Stage1MMS_1_DrainsToPaddock_Destinations,1,2,1,2))</f>
        <v>0.75</v>
      </c>
      <c r="G66" s="16"/>
    </row>
    <row r="67" spans="1:22" ht="20.100000000000001" customHeight="1" x14ac:dyDescent="0.2">
      <c r="A67" s="5" t="str">
        <f>HYPERLINK("#'Constants - Solid Waste'!A1", "Constants - Solid Waste")</f>
        <v>Constants - Solid Waste</v>
      </c>
      <c r="D67" s="15" t="str">
        <f>INDEX(X_Table_Dairy_ProductionSystems_Method1,3,1)</f>
        <v>Milking shed</v>
      </c>
      <c r="E67" s="15" t="str">
        <f>INDEX(X_Table_Dairy_Stage1MMS_1_SolidStorage,2,1)</f>
        <v>Solid storage (before solid separation)</v>
      </c>
      <c r="F67" s="15">
        <f ca="1">SUM(OFFSET(X_Table_Dairy_Stage1MMS_1_SolidStorage_Destinations,1,2,1,2))</f>
        <v>0.75</v>
      </c>
      <c r="G67" s="16"/>
    </row>
    <row r="68" spans="1:22" ht="20.100000000000001" customHeight="1" x14ac:dyDescent="0.2">
      <c r="A68" s="5" t="str">
        <f>HYPERLINK("#'Acknowledgements'!A1", "Acknowledgements")</f>
        <v>Acknowledgements</v>
      </c>
      <c r="D68" s="15" t="str">
        <f>INDEX(X_Table_Dairy_ProductionSystems_Method1,4,1)</f>
        <v>Feed pad</v>
      </c>
      <c r="E68" s="15" t="str">
        <f>INDEX(X_Table_Dairy_Stage1MMS_2_AnaerobicLagoon,2,1)</f>
        <v>Anaerobic lagoon</v>
      </c>
      <c r="F68" s="15">
        <f ca="1">SUM(OFFSET(X_Table_Dairy_Stage1MMS_2_AnaerobicLagoon_Destinations,1,2,1,2))</f>
        <v>0.75</v>
      </c>
      <c r="G68" s="16"/>
    </row>
    <row r="69" spans="1:22" ht="20.100000000000001" customHeight="1" x14ac:dyDescent="0.2">
      <c r="D69" s="15" t="str">
        <f>INDEX(X_Table_Dairy_ProductionSystems_Method1,4,1)</f>
        <v>Feed pad</v>
      </c>
      <c r="E69" s="15" t="str">
        <f>INDEX(X_Table_Dairy_Stage1MMS_2_SumpAndDispersal,2,1)</f>
        <v>Sump and dispersal system</v>
      </c>
      <c r="F69" s="15">
        <f ca="1">SUM(OFFSET(X_Table_Dairy_Stage1MMS_2_SumpAndDispersal_Destinations,1,2,1,2))</f>
        <v>0.75</v>
      </c>
      <c r="G69" s="16"/>
    </row>
    <row r="70" spans="1:22" ht="20.100000000000001" customHeight="1" x14ac:dyDescent="0.2">
      <c r="D70" s="15" t="str">
        <f>INDEX(X_Table_Dairy_ProductionSystems_Method1,4,1)</f>
        <v>Feed pad</v>
      </c>
      <c r="E70" s="15" t="str">
        <f>INDEX(X_Table_Dairy_Stage1MMS_2_DrainsToPaddock,2,1)</f>
        <v>Drains to paddock</v>
      </c>
      <c r="F70" s="15">
        <f ca="1">SUM(OFFSET(X_Table_Dairy_Stage1MMS_2_DrainsToPaddock_Destinations,1,2,1,2))</f>
        <v>0.75</v>
      </c>
      <c r="G70" s="16"/>
    </row>
    <row r="71" spans="1:22" ht="20.100000000000001" customHeight="1" x14ac:dyDescent="0.2">
      <c r="D71" s="15" t="str">
        <f>INDEX(X_Table_Dairy_ProductionSystems_Method1,4,1)</f>
        <v>Feed pad</v>
      </c>
      <c r="E71" s="15" t="str">
        <f>INDEX(X_Table_Dairy_Stage1MMS_2_SolidStorage,2,1)</f>
        <v>Solid storage (before solid separation)</v>
      </c>
      <c r="F71" s="15">
        <f ca="1">SUM(OFFSET(X_Table_Dairy_Stage1MMS_2_SolidStorage_Destinations,1,2,1,2))</f>
        <v>0.75</v>
      </c>
      <c r="G71" s="16"/>
    </row>
    <row r="73" spans="1:22" ht="20.100000000000001" customHeight="1" x14ac:dyDescent="0.2">
      <c r="D73" s="122" t="s">
        <v>560</v>
      </c>
      <c r="O73" s="122" t="s">
        <v>561</v>
      </c>
    </row>
    <row r="74" spans="1:22" ht="20.100000000000001" customHeight="1" x14ac:dyDescent="0.2">
      <c r="D74" s="123" t="s">
        <v>562</v>
      </c>
      <c r="O74" s="123" t="s">
        <v>563</v>
      </c>
    </row>
    <row r="75" spans="1:22" ht="20.100000000000001" customHeight="1" x14ac:dyDescent="0.2">
      <c r="D75" s="124" t="s">
        <v>159</v>
      </c>
      <c r="E75" s="124" t="s">
        <v>422</v>
      </c>
      <c r="F75" s="124" t="s">
        <v>330</v>
      </c>
      <c r="G75" s="124" t="s">
        <v>331</v>
      </c>
      <c r="H75" s="124" t="s">
        <v>332</v>
      </c>
      <c r="I75" s="124" t="s">
        <v>333</v>
      </c>
      <c r="J75" s="124" t="s">
        <v>334</v>
      </c>
      <c r="O75" s="124" t="s">
        <v>159</v>
      </c>
      <c r="P75" s="124" t="s">
        <v>422</v>
      </c>
      <c r="Q75" s="124" t="s">
        <v>330</v>
      </c>
      <c r="R75" s="124" t="s">
        <v>331</v>
      </c>
      <c r="S75" s="124" t="s">
        <v>332</v>
      </c>
      <c r="T75" s="124" t="s">
        <v>333</v>
      </c>
      <c r="U75" s="124" t="s">
        <v>334</v>
      </c>
    </row>
    <row r="76" spans="1:22" ht="20.100000000000001" customHeight="1" x14ac:dyDescent="0.2">
      <c r="D76" s="15" t="str">
        <f>INDEX(X_Table_Dairy_ProductionSystems_Method1,3,1)</f>
        <v>Milking shed</v>
      </c>
      <c r="E76" s="15" t="str">
        <f>INDEX(X_Table_Dairy_Stage1MMS_1_AnaerobicLagoon,2,1)</f>
        <v>Anaerobic lagoon</v>
      </c>
      <c r="F76" s="15">
        <f ca="1">((F40 * (1 - (_xlfn.XLOOKUP($E76,$D$22:$D$26,$E$22:$E$26)) - (_xlfn.XLOOKUP($E76, $D$31:$D$35,$E$31:$E$35))) - F52) * $F64)</f>
        <v>194.63245271314003</v>
      </c>
      <c r="G76" s="15">
        <f ca="1">((G40 * (1 - (_xlfn.XLOOKUP($E76,$D$22:$D$26,$E$22:$E$26)) - (_xlfn.XLOOKUP($E76, $D$31:$D$35,$E$31:$E$35))) - G52) * $F64)</f>
        <v>88.899477555437642</v>
      </c>
      <c r="H76" s="15">
        <f ca="1">((H40 * (1 - (_xlfn.XLOOKUP($E76,$D$22:$D$26,$E$22:$E$26)) - (_xlfn.XLOOKUP($E76, $D$31:$D$35,$E$31:$E$35))) - H52) * $F64)</f>
        <v>35.407721760373668</v>
      </c>
      <c r="I76" s="15">
        <f ca="1">((I40 * (1 - (_xlfn.XLOOKUP($E76,$D$22:$D$26,$E$22:$E$26)) - (_xlfn.XLOOKUP($E76, $D$31:$D$35,$E$31:$E$35))) - I52) * $F64)</f>
        <v>111.75015917318586</v>
      </c>
      <c r="J76" s="15">
        <f ca="1">((J40 * (1 - (_xlfn.XLOOKUP($E76,$D$22:$D$26,$E$22:$E$26)) - (_xlfn.XLOOKUP($E76, $D$31:$D$35,$E$31:$E$35))) - J52) * $F64)</f>
        <v>46.78189282603951</v>
      </c>
      <c r="K76" s="16" t="str">
        <f t="shared" ref="K76" si="0">$E$11</f>
        <v>kg N</v>
      </c>
      <c r="O76" s="15" t="str">
        <f>INDEX(X_Table_Dairy_ProductionSystems_Method1,3,1)</f>
        <v>Milking shed</v>
      </c>
      <c r="P76" s="15" t="str">
        <f>INDEX(X_Table_Dairy_Stage1MMS_1_AnaerobicLagoon,2,1)</f>
        <v>Anaerobic lagoon</v>
      </c>
      <c r="Q76" s="15">
        <f ca="1">((Q40 * (1 - (_xlfn.XLOOKUP($P76,$D$22:$D$26,$E$22:$E$26)) - (_xlfn.XLOOKUP($P76, $D$31:$D$35,$E$31:$E$35))) - Q52) * $F64)</f>
        <v>194.63245271314003</v>
      </c>
      <c r="R76" s="15">
        <f ca="1">((R40 * (1 - (_xlfn.XLOOKUP($P76,$D$22:$D$26,$E$22:$E$26)) - (_xlfn.XLOOKUP($P76, $D$31:$D$35,$E$31:$E$35))) - R52) * $F64)</f>
        <v>88.899477555437642</v>
      </c>
      <c r="S76" s="15">
        <f ca="1">((S40 * (1 - (_xlfn.XLOOKUP($P76,$D$22:$D$26,$E$22:$E$26)) - (_xlfn.XLOOKUP($P76, $D$31:$D$35,$E$31:$E$35))) - S52) * $F64)</f>
        <v>35.407721760373668</v>
      </c>
      <c r="T76" s="15">
        <f ca="1">((T40 * (1 - (_xlfn.XLOOKUP($P76,$D$22:$D$26,$E$22:$E$26)) - (_xlfn.XLOOKUP($P76, $D$31:$D$35,$E$31:$E$35))) - T52) * $F64)</f>
        <v>111.75015917318586</v>
      </c>
      <c r="U76" s="15">
        <f ca="1">((U40 * (1 - (_xlfn.XLOOKUP($P76,$D$22:$D$26,$E$22:$E$26)) - (_xlfn.XLOOKUP($P76, $D$31:$D$35,$E$31:$E$35))) - U52) * $F64)</f>
        <v>46.78189282603951</v>
      </c>
      <c r="V76" s="16" t="str">
        <f t="shared" ref="V76" si="1">$E$11</f>
        <v>kg N</v>
      </c>
    </row>
    <row r="77" spans="1:22" ht="20.100000000000001" customHeight="1" x14ac:dyDescent="0.2">
      <c r="D77" s="15" t="str">
        <f>INDEX(X_Table_Dairy_ProductionSystems_Method1,3,1)</f>
        <v>Milking shed</v>
      </c>
      <c r="E77" s="15" t="str">
        <f>INDEX(X_Table_Dairy_Stage1MMS_1_SumpAndDispersal,2,1)</f>
        <v>Sump and dispersal system</v>
      </c>
      <c r="F77" s="15">
        <f ca="1">((F41 * (1 - (_xlfn.XLOOKUP($E77,$D$22:$D$26,$E$22:$E$26)) - (_xlfn.XLOOKUP($E77, $D$31:$D$35,$E$31:$E$35))) - F53) * $F65)</f>
        <v>278.47412465110807</v>
      </c>
      <c r="G77" s="15">
        <f ca="1">((G41 * (1 - (_xlfn.XLOOKUP($E77,$D$22:$D$26,$E$22:$E$26)) - (_xlfn.XLOOKUP($E77, $D$31:$D$35,$E$31:$E$35))) - G53) * $F65)</f>
        <v>127.19463711777999</v>
      </c>
      <c r="H77" s="15">
        <f ca="1">((H41 * (1 - (_xlfn.XLOOKUP($E77,$D$22:$D$26,$E$22:$E$26)) - (_xlfn.XLOOKUP($E77, $D$31:$D$35,$E$31:$E$35))) - H53) * $F65)</f>
        <v>50.660278826380789</v>
      </c>
      <c r="I77" s="15">
        <f ca="1">((I41 * (1 - (_xlfn.XLOOKUP($E77,$D$22:$D$26,$E$22:$E$26)) - (_xlfn.XLOOKUP($E77, $D$31:$D$35,$E$31:$E$35))) - I53) * $F65)</f>
        <v>159.88868927855822</v>
      </c>
      <c r="J77" s="15">
        <f ca="1">((J41 * (1 - (_xlfn.XLOOKUP($E77,$D$22:$D$26,$E$22:$E$26)) - (_xlfn.XLOOKUP($E77, $D$31:$D$35,$E$31:$E$35))) - J53) * $F65)</f>
        <v>66.934092812641154</v>
      </c>
      <c r="K77" s="16"/>
      <c r="O77" s="15" t="str">
        <f>INDEX(X_Table_Dairy_ProductionSystems_Method1,3,1)</f>
        <v>Milking shed</v>
      </c>
      <c r="P77" s="15" t="str">
        <f>INDEX(X_Table_Dairy_Stage1MMS_1_SumpAndDispersal,2,1)</f>
        <v>Sump and dispersal system</v>
      </c>
      <c r="Q77" s="15">
        <f ca="1">((Q41 * (1 - (_xlfn.XLOOKUP($P77,$D$22:$D$26,$E$22:$E$26)) - (_xlfn.XLOOKUP($P77, $D$31:$D$35,$E$31:$E$35))) - Q53) * $F65)</f>
        <v>278.47412465110807</v>
      </c>
      <c r="R77" s="15">
        <f ca="1">((R41 * (1 - (_xlfn.XLOOKUP($P77,$D$22:$D$26,$E$22:$E$26)) - (_xlfn.XLOOKUP($P77, $D$31:$D$35,$E$31:$E$35))) - R53) * $F65)</f>
        <v>127.19463711777999</v>
      </c>
      <c r="S77" s="15">
        <f ca="1">((S41 * (1 - (_xlfn.XLOOKUP($P77,$D$22:$D$26,$E$22:$E$26)) - (_xlfn.XLOOKUP($P77, $D$31:$D$35,$E$31:$E$35))) - S53) * $F65)</f>
        <v>50.660278826380789</v>
      </c>
      <c r="T77" s="15">
        <f ca="1">((T41 * (1 - (_xlfn.XLOOKUP($P77,$D$22:$D$26,$E$22:$E$26)) - (_xlfn.XLOOKUP($P77, $D$31:$D$35,$E$31:$E$35))) - T53) * $F65)</f>
        <v>159.88868927855822</v>
      </c>
      <c r="U77" s="15">
        <f ca="1">((U41 * (1 - (_xlfn.XLOOKUP($P77,$D$22:$D$26,$E$22:$E$26)) - (_xlfn.XLOOKUP($P77, $D$31:$D$35,$E$31:$E$35))) - U53) * $F65)</f>
        <v>66.934092812641154</v>
      </c>
      <c r="V77" s="16"/>
    </row>
    <row r="78" spans="1:22" ht="20.100000000000001" customHeight="1" x14ac:dyDescent="0.2">
      <c r="D78" s="15" t="str">
        <f>INDEX(X_Table_Dairy_ProductionSystems_Method1,3,1)</f>
        <v>Milking shed</v>
      </c>
      <c r="E78" s="15" t="str">
        <f>INDEX(X_Table_Dairy_Stage1MMS_1_DrainsToPaddock,2,1)</f>
        <v>Drains to paddock</v>
      </c>
      <c r="F78" s="15">
        <f ca="1">((F42 * (1 - (_xlfn.XLOOKUP($E78,$D$22:$D$26,$E$22:$E$26)) - (_xlfn.XLOOKUP($E78, $D$31:$D$35,$E$31:$E$35))) - F54) * $F66)</f>
        <v>239.54763410848008</v>
      </c>
      <c r="G78" s="15">
        <f ca="1">((G42 * (1 - (_xlfn.XLOOKUP($E78,$D$22:$D$26,$E$22:$E$26)) - (_xlfn.XLOOKUP($E78, $D$31:$D$35,$E$31:$E$35))) - G54) * $F66)</f>
        <v>109.41474160669247</v>
      </c>
      <c r="H78" s="15">
        <f ca="1">((H42 * (1 - (_xlfn.XLOOKUP($E78,$D$22:$D$26,$E$22:$E$26)) - (_xlfn.XLOOKUP($E78, $D$31:$D$35,$E$31:$E$35))) - H54) * $F66)</f>
        <v>43.57873447430606</v>
      </c>
      <c r="I78" s="15">
        <f ca="1">((I42 * (1 - (_xlfn.XLOOKUP($E78,$D$22:$D$26,$E$22:$E$26)) - (_xlfn.XLOOKUP($E78, $D$31:$D$35,$E$31:$E$35))) - I54) * $F66)</f>
        <v>137.53865744392107</v>
      </c>
      <c r="J78" s="15">
        <f ca="1">((J42 * (1 - (_xlfn.XLOOKUP($E78,$D$22:$D$26,$E$22:$E$26)) - (_xlfn.XLOOKUP($E78, $D$31:$D$35,$E$31:$E$35))) - J54) * $F66)</f>
        <v>57.577714247433249</v>
      </c>
      <c r="K78" s="16"/>
      <c r="O78" s="15" t="str">
        <f>INDEX(X_Table_Dairy_ProductionSystems_Method1,3,1)</f>
        <v>Milking shed</v>
      </c>
      <c r="P78" s="15" t="str">
        <f>INDEX(X_Table_Dairy_Stage1MMS_1_DrainsToPaddock,2,1)</f>
        <v>Drains to paddock</v>
      </c>
      <c r="Q78" s="15">
        <f ca="1">((Q42 * (1 - (_xlfn.XLOOKUP($P78,$D$22:$D$26,$E$22:$E$26)) - (_xlfn.XLOOKUP($P78, $D$31:$D$35,$E$31:$E$35))) - Q54) * $F66)</f>
        <v>239.54763410848008</v>
      </c>
      <c r="R78" s="15">
        <f ca="1">((R42 * (1 - (_xlfn.XLOOKUP($P78,$D$22:$D$26,$E$22:$E$26)) - (_xlfn.XLOOKUP($P78, $D$31:$D$35,$E$31:$E$35))) - R54) * $F66)</f>
        <v>109.41474160669247</v>
      </c>
      <c r="S78" s="15">
        <f ca="1">((S42 * (1 - (_xlfn.XLOOKUP($P78,$D$22:$D$26,$E$22:$E$26)) - (_xlfn.XLOOKUP($P78, $D$31:$D$35,$E$31:$E$35))) - S54) * $F66)</f>
        <v>43.57873447430606</v>
      </c>
      <c r="T78" s="15">
        <f ca="1">((T42 * (1 - (_xlfn.XLOOKUP($P78,$D$22:$D$26,$E$22:$E$26)) - (_xlfn.XLOOKUP($P78, $D$31:$D$35,$E$31:$E$35))) - T54) * $F66)</f>
        <v>137.53865744392107</v>
      </c>
      <c r="U78" s="15">
        <f ca="1">((U42 * (1 - (_xlfn.XLOOKUP($P78,$D$22:$D$26,$E$22:$E$26)) - (_xlfn.XLOOKUP($P78, $D$31:$D$35,$E$31:$E$35))) - U54) * $F66)</f>
        <v>57.577714247433249</v>
      </c>
      <c r="V78" s="16"/>
    </row>
    <row r="79" spans="1:22" ht="20.100000000000001" customHeight="1" x14ac:dyDescent="0.2">
      <c r="A79" s="129" t="str">
        <f>HYPERLINK("#A1", "▲ Back to top")</f>
        <v>▲ Back to top</v>
      </c>
      <c r="D79" s="15" t="str">
        <f>INDEX(X_Table_Dairy_ProductionSystems_Method1,3,1)</f>
        <v>Milking shed</v>
      </c>
      <c r="E79" s="15" t="s">
        <v>75</v>
      </c>
      <c r="F79" s="15">
        <f ca="1">((F43 * (1 - (_xlfn.XLOOKUP($E79,$D$22:$D$26,$E$22:$E$26)) - (_xlfn.XLOOKUP($E79, $D$31:$D$35,$E$31:$E$35))) - F55) * $F67)</f>
        <v>404.23663255806008</v>
      </c>
      <c r="G79" s="15">
        <f ca="1">((G43 * (1 - (_xlfn.XLOOKUP($E79,$D$22:$D$26,$E$22:$E$26)) - (_xlfn.XLOOKUP($E79, $D$31:$D$35,$E$31:$E$35))) - G55) * $F67)</f>
        <v>184.63737646129354</v>
      </c>
      <c r="H79" s="15">
        <f ca="1">((H43 * (1 - (_xlfn.XLOOKUP($E79,$D$22:$D$26,$E$22:$E$26)) - (_xlfn.XLOOKUP($E79, $D$31:$D$35,$E$31:$E$35))) - H55) * $F67)</f>
        <v>73.539114425391446</v>
      </c>
      <c r="I79" s="15">
        <f ca="1">((I43 * (1 - (_xlfn.XLOOKUP($E79,$D$22:$D$26,$E$22:$E$26)) - (_xlfn.XLOOKUP($E79, $D$31:$D$35,$E$31:$E$35))) - I55) * $F67)</f>
        <v>232.09648443661678</v>
      </c>
      <c r="J79" s="15">
        <f ca="1">((J43 * (1 - (_xlfn.XLOOKUP($E79,$D$22:$D$26,$E$22:$E$26)) - (_xlfn.XLOOKUP($E79, $D$31:$D$35,$E$31:$E$35))) - J55) * $F67)</f>
        <v>97.162392792543585</v>
      </c>
      <c r="K79" s="16"/>
      <c r="O79" s="15" t="str">
        <f>INDEX(X_Table_Dairy_ProductionSystems_Method1,3,1)</f>
        <v>Milking shed</v>
      </c>
      <c r="P79" s="15" t="s">
        <v>75</v>
      </c>
      <c r="Q79" s="15">
        <f ca="1">((Q43 * (1 - (_xlfn.XLOOKUP($P79,$D$22:$D$26,$E$22:$E$26)) - (_xlfn.XLOOKUP($P79, $D$31:$D$35,$E$31:$E$35))) - Q55) * $F67)</f>
        <v>404.23663255806008</v>
      </c>
      <c r="R79" s="15">
        <f ca="1">((R43 * (1 - (_xlfn.XLOOKUP($P79,$D$22:$D$26,$E$22:$E$26)) - (_xlfn.XLOOKUP($P79, $D$31:$D$35,$E$31:$E$35))) - R55) * $F67)</f>
        <v>184.63737646129354</v>
      </c>
      <c r="S79" s="15">
        <f ca="1">((S43 * (1 - (_xlfn.XLOOKUP($P79,$D$22:$D$26,$E$22:$E$26)) - (_xlfn.XLOOKUP($P79, $D$31:$D$35,$E$31:$E$35))) - S55) * $F67)</f>
        <v>73.539114425391446</v>
      </c>
      <c r="T79" s="15">
        <f ca="1">((T43 * (1 - (_xlfn.XLOOKUP($P79,$D$22:$D$26,$E$22:$E$26)) - (_xlfn.XLOOKUP($P79, $D$31:$D$35,$E$31:$E$35))) - T55) * $F67)</f>
        <v>232.09648443661678</v>
      </c>
      <c r="U79" s="15">
        <f ca="1">((U43 * (1 - (_xlfn.XLOOKUP($P79,$D$22:$D$26,$E$22:$E$26)) - (_xlfn.XLOOKUP($P79, $D$31:$D$35,$E$31:$E$35))) - U55) * $F67)</f>
        <v>97.162392792543585</v>
      </c>
      <c r="V79" s="16"/>
    </row>
    <row r="80" spans="1:22" ht="20.100000000000001" customHeight="1" x14ac:dyDescent="0.2">
      <c r="D80" s="15" t="str">
        <f>INDEX(X_Table_Dairy_ProductionSystems_Method1,4,1)</f>
        <v>Feed pad</v>
      </c>
      <c r="E80" s="15" t="str">
        <f>INDEX(X_Table_Dairy_Stage1MMS_2_AnaerobicLagoon,2,1)</f>
        <v>Anaerobic lagoon</v>
      </c>
      <c r="F80" s="15">
        <f ca="1">((F44 * (1 - (_xlfn.XLOOKUP($E80,$D$22:$D$26,$E$22:$E$26)) - (_xlfn.XLOOKUP($E80, $D$31:$D$35,$E$31:$E$35))) - F56) * $F68)</f>
        <v>787.37674052133912</v>
      </c>
      <c r="G80" s="15">
        <f ca="1">((G44 * (1 - (_xlfn.XLOOKUP($E80,$D$22:$D$26,$E$22:$E$26)) - (_xlfn.XLOOKUP($E80, $D$31:$D$35,$E$31:$E$35))) - G56) * $F68)</f>
        <v>359.63879556517946</v>
      </c>
      <c r="H80" s="15">
        <f ca="1">((H44 * (1 - (_xlfn.XLOOKUP($E80,$D$22:$D$26,$E$22:$E$26)) - (_xlfn.XLOOKUP($E80, $D$31:$D$35,$E$31:$E$35))) - H56) * $F68)</f>
        <v>143.24032893969348</v>
      </c>
      <c r="I80" s="15">
        <f ca="1">((I44 * (1 - (_xlfn.XLOOKUP($E80,$D$22:$D$26,$E$22:$E$26)) - (_xlfn.XLOOKUP($E80, $D$31:$D$35,$E$31:$E$35))) - I56) * $F68)</f>
        <v>452.08018938243373</v>
      </c>
      <c r="J80" s="15">
        <f ca="1">((J44 * (1 - (_xlfn.XLOOKUP($E80,$D$22:$D$26,$E$22:$E$26)) - (_xlfn.XLOOKUP($E80, $D$31:$D$35,$E$31:$E$35))) - J56) * $F68)</f>
        <v>189.25402097806892</v>
      </c>
      <c r="K80" s="16"/>
      <c r="O80" s="15" t="str">
        <f>INDEX(X_Table_Dairy_ProductionSystems_Method1,4,1)</f>
        <v>Feed pad</v>
      </c>
      <c r="P80" s="15" t="str">
        <f>INDEX(X_Table_Dairy_Stage1MMS_2_AnaerobicLagoon,2,1)</f>
        <v>Anaerobic lagoon</v>
      </c>
      <c r="Q80" s="15">
        <f ca="1">((Q44 * (1 - (_xlfn.XLOOKUP($P80,$D$22:$D$26,$E$22:$E$26)) - (_xlfn.XLOOKUP($P80, $D$31:$D$35,$E$31:$E$35))) - Q56) * $F68)</f>
        <v>787.37674052133912</v>
      </c>
      <c r="R80" s="15">
        <f ca="1">((R44 * (1 - (_xlfn.XLOOKUP($P80,$D$22:$D$26,$E$22:$E$26)) - (_xlfn.XLOOKUP($P80, $D$31:$D$35,$E$31:$E$35))) - R56) * $F68)</f>
        <v>359.63879556517946</v>
      </c>
      <c r="S80" s="15">
        <f ca="1">((S44 * (1 - (_xlfn.XLOOKUP($P80,$D$22:$D$26,$E$22:$E$26)) - (_xlfn.XLOOKUP($P80, $D$31:$D$35,$E$31:$E$35))) - S56) * $F68)</f>
        <v>143.24032893969348</v>
      </c>
      <c r="T80" s="15">
        <f ca="1">((T44 * (1 - (_xlfn.XLOOKUP($P80,$D$22:$D$26,$E$22:$E$26)) - (_xlfn.XLOOKUP($P80, $D$31:$D$35,$E$31:$E$35))) - T56) * $F68)</f>
        <v>452.08018938243373</v>
      </c>
      <c r="U80" s="15">
        <f ca="1">((U44 * (1 - (_xlfn.XLOOKUP($P80,$D$22:$D$26,$E$22:$E$26)) - (_xlfn.XLOOKUP($P80, $D$31:$D$35,$E$31:$E$35))) - U56) * $F68)</f>
        <v>189.25402097806892</v>
      </c>
      <c r="V80" s="16"/>
    </row>
    <row r="81" spans="3:23" ht="20.100000000000001" customHeight="1" x14ac:dyDescent="0.2">
      <c r="D81" s="15" t="str">
        <f>INDEX(X_Table_Dairy_ProductionSystems_Method1,4,1)</f>
        <v>Feed pad</v>
      </c>
      <c r="E81" s="15" t="str">
        <f>INDEX(X_Table_Dairy_Stage1MMS_2_SumpAndDispersal,2,1)</f>
        <v>Sump and dispersal system</v>
      </c>
      <c r="F81" s="15">
        <f ca="1">((F45 * (1 - (_xlfn.XLOOKUP($E81,$D$22:$D$26,$E$22:$E$26)) - (_xlfn.XLOOKUP($E81, $D$31:$D$35,$E$31:$E$35))) - F57) * $F69)</f>
        <v>901.24353068904043</v>
      </c>
      <c r="G81" s="15">
        <f ca="1">((G45 * (1 - (_xlfn.XLOOKUP($E81,$D$22:$D$26,$E$22:$E$26)) - (_xlfn.XLOOKUP($E81, $D$31:$D$35,$E$31:$E$35))) - G57) * $F69)</f>
        <v>411.64809830845161</v>
      </c>
      <c r="H81" s="15">
        <f ca="1">((H45 * (1 - (_xlfn.XLOOKUP($E81,$D$22:$D$26,$E$22:$E$26)) - (_xlfn.XLOOKUP($E81, $D$31:$D$35,$E$31:$E$35))) - H57) * $F69)</f>
        <v>163.95508420174144</v>
      </c>
      <c r="I81" s="15">
        <f ca="1">((I45 * (1 - (_xlfn.XLOOKUP($E81,$D$22:$D$26,$E$22:$E$26)) - (_xlfn.XLOOKUP($E81, $D$31:$D$35,$E$31:$E$35))) - I57) * $F69)</f>
        <v>517.45793984697025</v>
      </c>
      <c r="J81" s="15">
        <f ca="1">((J45 * (1 - (_xlfn.XLOOKUP($E81,$D$22:$D$26,$E$22:$E$26)) - (_xlfn.XLOOKUP($E81, $D$31:$D$35,$E$31:$E$35))) - J57) * $F69)</f>
        <v>216.62306401182042</v>
      </c>
      <c r="K81" s="16"/>
      <c r="O81" s="15" t="str">
        <f>INDEX(X_Table_Dairy_ProductionSystems_Method1,4,1)</f>
        <v>Feed pad</v>
      </c>
      <c r="P81" s="15" t="str">
        <f>INDEX(X_Table_Dairy_Stage1MMS_2_SumpAndDispersal,2,1)</f>
        <v>Sump and dispersal system</v>
      </c>
      <c r="Q81" s="15">
        <f ca="1">((Q45 * (1 - (_xlfn.XLOOKUP($P81,$D$22:$D$26,$E$22:$E$26)) - (_xlfn.XLOOKUP($P81, $D$31:$D$35,$E$31:$E$35))) - Q57) * $F69)</f>
        <v>901.24353068904043</v>
      </c>
      <c r="R81" s="15">
        <f ca="1">((R45 * (1 - (_xlfn.XLOOKUP($P81,$D$22:$D$26,$E$22:$E$26)) - (_xlfn.XLOOKUP($P81, $D$31:$D$35,$E$31:$E$35))) - R57) * $F69)</f>
        <v>411.64809830845161</v>
      </c>
      <c r="S81" s="15">
        <f ca="1">((S45 * (1 - (_xlfn.XLOOKUP($P81,$D$22:$D$26,$E$22:$E$26)) - (_xlfn.XLOOKUP($P81, $D$31:$D$35,$E$31:$E$35))) - S57) * $F69)</f>
        <v>163.95508420174144</v>
      </c>
      <c r="T81" s="15">
        <f ca="1">((T45 * (1 - (_xlfn.XLOOKUP($P81,$D$22:$D$26,$E$22:$E$26)) - (_xlfn.XLOOKUP($P81, $D$31:$D$35,$E$31:$E$35))) - T57) * $F69)</f>
        <v>517.45793984697025</v>
      </c>
      <c r="U81" s="15">
        <f ca="1">((U45 * (1 - (_xlfn.XLOOKUP($P81,$D$22:$D$26,$E$22:$E$26)) - (_xlfn.XLOOKUP($P81, $D$31:$D$35,$E$31:$E$35))) - U57) * $F69)</f>
        <v>216.62306401182042</v>
      </c>
      <c r="V81" s="16"/>
    </row>
    <row r="82" spans="3:23" ht="20.100000000000001" customHeight="1" x14ac:dyDescent="0.2">
      <c r="D82" s="15" t="str">
        <f>INDEX(X_Table_Dairy_ProductionSystems_Method1,4,1)</f>
        <v>Feed pad</v>
      </c>
      <c r="E82" s="15" t="str">
        <f>INDEX(X_Table_Dairy_Stage1MMS_2_DrainsToPaddock,2,1)</f>
        <v>Drains to paddock</v>
      </c>
      <c r="F82" s="15">
        <f ca="1">((F46 * (1 - (_xlfn.XLOOKUP($E82,$D$22:$D$26,$E$22:$E$26)) - (_xlfn.XLOOKUP($E82, $D$31:$D$35,$E$31:$E$35))) - F58) * $F70)</f>
        <v>775.26325220562626</v>
      </c>
      <c r="G82" s="15">
        <f ca="1">((G46 * (1 - (_xlfn.XLOOKUP($E82,$D$22:$D$26,$E$22:$E$26)) - (_xlfn.XLOOKUP($E82, $D$31:$D$35,$E$31:$E$35))) - G58) * $F70)</f>
        <v>354.10589101802293</v>
      </c>
      <c r="H82" s="15">
        <f ca="1">((H46 * (1 - (_xlfn.XLOOKUP($E82,$D$22:$D$26,$E$22:$E$26)) - (_xlfn.XLOOKUP($E82, $D$31:$D$35,$E$31:$E$35))) - H58) * $F70)</f>
        <v>141.0366315713905</v>
      </c>
      <c r="I82" s="15">
        <f ca="1">((I46 * (1 - (_xlfn.XLOOKUP($E82,$D$22:$D$26,$E$22:$E$26)) - (_xlfn.XLOOKUP($E82, $D$31:$D$35,$E$31:$E$35))) - I58) * $F70)</f>
        <v>445.1251095457809</v>
      </c>
      <c r="J82" s="15">
        <f ca="1">((J46 * (1 - (_xlfn.XLOOKUP($E82,$D$22:$D$26,$E$22:$E$26)) - (_xlfn.XLOOKUP($E82, $D$31:$D$35,$E$31:$E$35))) - J58) * $F70)</f>
        <v>186.34242065532939</v>
      </c>
      <c r="K82" s="16"/>
      <c r="O82" s="15" t="str">
        <f>INDEX(X_Table_Dairy_ProductionSystems_Method1,4,1)</f>
        <v>Feed pad</v>
      </c>
      <c r="P82" s="15" t="str">
        <f>INDEX(X_Table_Dairy_Stage1MMS_2_DrainsToPaddock,2,1)</f>
        <v>Drains to paddock</v>
      </c>
      <c r="Q82" s="15">
        <f ca="1">((Q46 * (1 - (_xlfn.XLOOKUP($P82,$D$22:$D$26,$E$22:$E$26)) - (_xlfn.XLOOKUP($P82, $D$31:$D$35,$E$31:$E$35))) - Q58) * $F70)</f>
        <v>775.26325220562626</v>
      </c>
      <c r="R82" s="15">
        <f ca="1">((R46 * (1 - (_xlfn.XLOOKUP($P82,$D$22:$D$26,$E$22:$E$26)) - (_xlfn.XLOOKUP($P82, $D$31:$D$35,$E$31:$E$35))) - R58) * $F70)</f>
        <v>354.10589101802293</v>
      </c>
      <c r="S82" s="15">
        <f ca="1">((S46 * (1 - (_xlfn.XLOOKUP($P82,$D$22:$D$26,$E$22:$E$26)) - (_xlfn.XLOOKUP($P82, $D$31:$D$35,$E$31:$E$35))) - S58) * $F70)</f>
        <v>141.0366315713905</v>
      </c>
      <c r="T82" s="15">
        <f ca="1">((T46 * (1 - (_xlfn.XLOOKUP($P82,$D$22:$D$26,$E$22:$E$26)) - (_xlfn.XLOOKUP($P82, $D$31:$D$35,$E$31:$E$35))) - T58) * $F70)</f>
        <v>445.1251095457809</v>
      </c>
      <c r="U82" s="15">
        <f ca="1">((U46 * (1 - (_xlfn.XLOOKUP($P82,$D$22:$D$26,$E$22:$E$26)) - (_xlfn.XLOOKUP($P82, $D$31:$D$35,$E$31:$E$35))) - U58) * $F70)</f>
        <v>186.34242065532939</v>
      </c>
      <c r="V82" s="16"/>
    </row>
    <row r="83" spans="3:23" ht="20.100000000000001" customHeight="1" x14ac:dyDescent="0.2">
      <c r="D83" s="15" t="str">
        <f>INDEX(X_Table_Dairy_ProductionSystems_Method1,4,1)</f>
        <v>Feed pad</v>
      </c>
      <c r="E83" s="15" t="s">
        <v>75</v>
      </c>
      <c r="F83" s="15">
        <f ca="1">((F47 * (1 - (_xlfn.XLOOKUP($E83,$D$22:$D$26,$E$22:$E$26)) - (_xlfn.XLOOKUP($E83, $D$31:$D$35,$E$31:$E$35))) - F59) * $F71)</f>
        <v>1144.72464583487</v>
      </c>
      <c r="G83" s="15">
        <f ca="1">((G47 * (1 - (_xlfn.XLOOKUP($E83,$D$22:$D$26,$E$22:$E$26)) - (_xlfn.XLOOKUP($E83, $D$31:$D$35,$E$31:$E$35))) - G59) * $F71)</f>
        <v>522.85947970629945</v>
      </c>
      <c r="H83" s="15">
        <f ca="1">((H47 * (1 - (_xlfn.XLOOKUP($E83,$D$22:$D$26,$E$22:$E$26)) - (_xlfn.XLOOKUP($E83, $D$31:$D$35,$E$31:$E$35))) - H59) * $F71)</f>
        <v>208.24940130463128</v>
      </c>
      <c r="I83" s="15">
        <f ca="1">((I47 * (1 - (_xlfn.XLOOKUP($E83,$D$22:$D$26,$E$22:$E$26)) - (_xlfn.XLOOKUP($E83, $D$31:$D$35,$E$31:$E$35))) - I59) * $F71)</f>
        <v>657.25504456369208</v>
      </c>
      <c r="J83" s="15">
        <f ca="1">((J47 * (1 - (_xlfn.XLOOKUP($E83,$D$22:$D$26,$E$22:$E$26)) - (_xlfn.XLOOKUP($E83, $D$31:$D$35,$E$31:$E$35))) - J59) * $F71)</f>
        <v>275.14623049888485</v>
      </c>
      <c r="K83" s="16"/>
      <c r="O83" s="15" t="str">
        <f>INDEX(X_Table_Dairy_ProductionSystems_Method1,4,1)</f>
        <v>Feed pad</v>
      </c>
      <c r="P83" s="15" t="s">
        <v>75</v>
      </c>
      <c r="Q83" s="15">
        <f ca="1">((Q47 * (1 - (_xlfn.XLOOKUP($P83,$D$22:$D$26,$E$22:$E$26)) - (_xlfn.XLOOKUP($P83, $D$31:$D$35,$E$31:$E$35))) - Q59) * $F71)</f>
        <v>1144.72464583487</v>
      </c>
      <c r="R83" s="15">
        <f ca="1">((R47 * (1 - (_xlfn.XLOOKUP($P83,$D$22:$D$26,$E$22:$E$26)) - (_xlfn.XLOOKUP($P83, $D$31:$D$35,$E$31:$E$35))) - R59) * $F71)</f>
        <v>522.85947970629945</v>
      </c>
      <c r="S83" s="15">
        <f ca="1">((S47 * (1 - (_xlfn.XLOOKUP($P83,$D$22:$D$26,$E$22:$E$26)) - (_xlfn.XLOOKUP($P83, $D$31:$D$35,$E$31:$E$35))) - S59) * $F71)</f>
        <v>208.24940130463128</v>
      </c>
      <c r="T83" s="15">
        <f ca="1">((T47 * (1 - (_xlfn.XLOOKUP($P83,$D$22:$D$26,$E$22:$E$26)) - (_xlfn.XLOOKUP($P83, $D$31:$D$35,$E$31:$E$35))) - T59) * $F71)</f>
        <v>657.25504456369208</v>
      </c>
      <c r="U83" s="15">
        <f ca="1">((U47 * (1 - (_xlfn.XLOOKUP($P83,$D$22:$D$26,$E$22:$E$26)) - (_xlfn.XLOOKUP($P83, $D$31:$D$35,$E$31:$E$35))) - U59) * $F71)</f>
        <v>275.14623049888485</v>
      </c>
      <c r="V83" s="16"/>
    </row>
    <row r="85" spans="3:23" ht="20.100000000000001" customHeight="1" x14ac:dyDescent="0.2">
      <c r="D85" s="87" t="s">
        <v>564</v>
      </c>
      <c r="E85" s="90">
        <f ca="1">SUM(F76:J83)</f>
        <v>11592.578908618651</v>
      </c>
      <c r="F85" s="89" t="str">
        <f>$E$11</f>
        <v>kg N</v>
      </c>
      <c r="O85" s="87" t="s">
        <v>564</v>
      </c>
      <c r="P85" s="90">
        <f ca="1">SUM(Q76:U83)</f>
        <v>11592.578908618651</v>
      </c>
      <c r="Q85" s="89" t="str">
        <f>$E$11</f>
        <v>kg N</v>
      </c>
    </row>
    <row r="88" spans="3:23" ht="20.100000000000001" customHeight="1" x14ac:dyDescent="0.2">
      <c r="C88" s="88"/>
      <c r="D88" s="88"/>
      <c r="E88" s="88"/>
      <c r="F88" s="88"/>
      <c r="G88" s="88"/>
      <c r="H88" s="88"/>
      <c r="I88" s="88"/>
      <c r="J88" s="88"/>
      <c r="K88" s="88"/>
      <c r="L88" s="88"/>
      <c r="N88" s="88"/>
      <c r="O88" s="88"/>
      <c r="P88" s="88"/>
      <c r="Q88" s="88"/>
      <c r="R88" s="88"/>
      <c r="S88" s="88"/>
      <c r="T88" s="88"/>
      <c r="U88" s="88"/>
      <c r="V88" s="88"/>
      <c r="W88" s="88"/>
    </row>
    <row r="89" spans="3:23" ht="20.100000000000001" customHeight="1" x14ac:dyDescent="0.2">
      <c r="D89" s="2" t="s">
        <v>1707</v>
      </c>
    </row>
    <row r="90" spans="3:23" ht="20.100000000000001" customHeight="1" x14ac:dyDescent="0.2">
      <c r="D90" s="17" t="s">
        <v>1708</v>
      </c>
    </row>
    <row r="91" spans="3:23" ht="20.100000000000001" customHeight="1" x14ac:dyDescent="0.2">
      <c r="D91" s="118"/>
      <c r="E91" s="118"/>
    </row>
    <row r="94" spans="3:23" ht="20.100000000000001" customHeight="1" x14ac:dyDescent="0.2">
      <c r="D94" s="76" t="s">
        <v>378</v>
      </c>
      <c r="E94" s="1" t="s">
        <v>1709</v>
      </c>
    </row>
    <row r="95" spans="3:23" ht="20.100000000000001" customHeight="1" x14ac:dyDescent="0.2">
      <c r="D95" s="76" t="s">
        <v>118</v>
      </c>
      <c r="E95" s="9" t="s">
        <v>1301</v>
      </c>
    </row>
    <row r="97" spans="1:22" ht="20.100000000000001" customHeight="1" x14ac:dyDescent="0.2">
      <c r="D97" s="120" t="s">
        <v>1649</v>
      </c>
      <c r="E97" s="125" t="s">
        <v>1657</v>
      </c>
      <c r="F97" s="126"/>
      <c r="G97" s="120" t="s">
        <v>1301</v>
      </c>
      <c r="H97" s="128" t="s">
        <v>1662</v>
      </c>
      <c r="I97" s="127" t="str" cm="1">
        <f t="array" aca="1" ref="I97" ca="1">HYPERLINK(Common_InputFunctions.Utility_SourceHyperlink($D$37),$D$37)</f>
        <v>M1_Table_MN_j_m</v>
      </c>
    </row>
    <row r="98" spans="1:22" ht="20.100000000000001" customHeight="1" x14ac:dyDescent="0.2">
      <c r="D98" s="120" t="s">
        <v>1658</v>
      </c>
      <c r="E98" s="125" t="s">
        <v>1704</v>
      </c>
      <c r="F98" s="126"/>
      <c r="G98" s="120" t="s">
        <v>1663</v>
      </c>
      <c r="H98" s="128" t="s">
        <v>1501</v>
      </c>
      <c r="I98" s="127" t="str" cm="1">
        <f t="array" aca="1" ref="I98" ca="1">HYPERLINK(Common_InputFunctions.Utility_SourceHyperlink($D$19),$D$19)</f>
        <v>Table_EF_m</v>
      </c>
    </row>
    <row r="99" spans="1:22" ht="20.100000000000001" customHeight="1" x14ac:dyDescent="0.2">
      <c r="D99" s="120" t="s">
        <v>1667</v>
      </c>
      <c r="E99" s="125" t="s">
        <v>1668</v>
      </c>
      <c r="F99" s="126"/>
      <c r="G99" s="120" t="s">
        <v>383</v>
      </c>
      <c r="H99" s="128" t="s">
        <v>1501</v>
      </c>
      <c r="I99" s="127" t="str" cm="1">
        <f t="array" aca="1" ref="I99" ca="1">HYPERLINK(Common_InputFunctions.Utility_SourceHyperlink($D$28),$D$28)</f>
        <v>Table_FracGASM_m</v>
      </c>
    </row>
    <row r="100" spans="1:22" ht="20.100000000000001" customHeight="1" x14ac:dyDescent="0.2">
      <c r="D100" s="120" t="s">
        <v>1696</v>
      </c>
      <c r="E100" s="125" t="s">
        <v>1705</v>
      </c>
      <c r="F100" s="126"/>
      <c r="G100" s="120" t="s">
        <v>1301</v>
      </c>
      <c r="H100" s="128" t="s">
        <v>1700</v>
      </c>
      <c r="I100" s="127" t="str" cm="1">
        <f t="array" aca="1" ref="I100" ca="1">HYPERLINK(Common_InputFunctions.Utility_SourceHyperlink($D$49),$D$49)</f>
        <v>M1_Table_MN_leach_j_m</v>
      </c>
    </row>
    <row r="101" spans="1:22" ht="20.100000000000001" customHeight="1" x14ac:dyDescent="0.2">
      <c r="D101" s="120" t="s">
        <v>1710</v>
      </c>
      <c r="E101" s="125" t="s">
        <v>1706</v>
      </c>
      <c r="F101" s="126"/>
      <c r="G101" s="120" t="s">
        <v>383</v>
      </c>
      <c r="H101" s="121" t="s">
        <v>1469</v>
      </c>
      <c r="I101" s="127" t="str" cm="1">
        <f t="array" aca="1" ref="I101" ca="1">HYPERLINK(Common_InputFunctions.Utility_SourceHyperlink($D$61),$D$61)</f>
        <v>Table_PF_scope</v>
      </c>
    </row>
    <row r="103" spans="1:22" ht="20.100000000000001" customHeight="1" x14ac:dyDescent="0.2">
      <c r="D103" s="122" t="s">
        <v>565</v>
      </c>
      <c r="O103" s="122" t="s">
        <v>566</v>
      </c>
    </row>
    <row r="104" spans="1:22" ht="20.100000000000001" customHeight="1" x14ac:dyDescent="0.2">
      <c r="D104" s="123" t="s">
        <v>567</v>
      </c>
      <c r="O104" s="123" t="s">
        <v>568</v>
      </c>
    </row>
    <row r="105" spans="1:22" ht="20.100000000000001" customHeight="1" x14ac:dyDescent="0.2">
      <c r="D105" s="124" t="s">
        <v>159</v>
      </c>
      <c r="E105" s="124" t="s">
        <v>422</v>
      </c>
      <c r="F105" s="124" t="s">
        <v>330</v>
      </c>
      <c r="G105" s="124" t="s">
        <v>331</v>
      </c>
      <c r="H105" s="124" t="s">
        <v>332</v>
      </c>
      <c r="I105" s="124" t="s">
        <v>333</v>
      </c>
      <c r="J105" s="124" t="s">
        <v>334</v>
      </c>
      <c r="O105" s="124" t="s">
        <v>159</v>
      </c>
      <c r="P105" s="124" t="s">
        <v>422</v>
      </c>
      <c r="Q105" s="124" t="s">
        <v>330</v>
      </c>
      <c r="R105" s="124" t="s">
        <v>331</v>
      </c>
      <c r="S105" s="124" t="s">
        <v>332</v>
      </c>
      <c r="T105" s="124" t="s">
        <v>333</v>
      </c>
      <c r="U105" s="124" t="s">
        <v>334</v>
      </c>
    </row>
    <row r="106" spans="1:22" ht="20.100000000000001" customHeight="1" x14ac:dyDescent="0.2">
      <c r="D106" s="15" t="str">
        <f>INDEX(X_Table_Dairy_ProductionSystems_Method1,3,1)</f>
        <v>Milking shed</v>
      </c>
      <c r="E106" s="15" t="str">
        <f>INDEX(X_Table_Dairy_Stage1MMS_1_AnaerobicLagoon,2,1)</f>
        <v>Anaerobic lagoon</v>
      </c>
      <c r="F106" s="15">
        <f ca="1">((F40 * (1 - (_xlfn.XLOOKUP($E106, $D$22:$D$26,$E$22:$E$26)) - (_xlfn.XLOOKUP($E106,$D$31:$D$35,$E$31:$E$35))) - F52) * (1 - $F64))</f>
        <v>64.877484237713347</v>
      </c>
      <c r="G106" s="15">
        <f ca="1">((G40 * (1 - (_xlfn.XLOOKUP($E106, $D$22:$D$26,$E$22:$E$26)) - (_xlfn.XLOOKUP($E106,$D$31:$D$35,$E$31:$E$35))) - G52) * (1 - $F64))</f>
        <v>29.633159185145878</v>
      </c>
      <c r="H106" s="15">
        <f ca="1">((H40 * (1 - (_xlfn.XLOOKUP($E106, $D$22:$D$26,$E$22:$E$26)) - (_xlfn.XLOOKUP($E106,$D$31:$D$35,$E$31:$E$35))) - H52) * (1 - $F64))</f>
        <v>11.802573920124557</v>
      </c>
      <c r="I106" s="15">
        <f ca="1">((I40 * (1 - (_xlfn.XLOOKUP($E106, $D$22:$D$26,$E$22:$E$26)) - (_xlfn.XLOOKUP($E106,$D$31:$D$35,$E$31:$E$35))) - I52) * (1 - $F64))</f>
        <v>37.250053057728621</v>
      </c>
      <c r="J106" s="15">
        <f ca="1">((J40 * (1 - (_xlfn.XLOOKUP($E106, $D$22:$D$26,$E$22:$E$26)) - (_xlfn.XLOOKUP($E106,$D$31:$D$35,$E$31:$E$35))) - J52) * (1 - $F64))</f>
        <v>15.593964275346504</v>
      </c>
      <c r="K106" s="16" t="str">
        <f t="shared" ref="K106" si="2">$E$95</f>
        <v>kg N</v>
      </c>
      <c r="O106" s="15" t="str">
        <f>INDEX(X_Table_Dairy_ProductionSystems_Method1,3,1)</f>
        <v>Milking shed</v>
      </c>
      <c r="P106" s="15" t="str">
        <f>INDEX(X_Table_Dairy_Stage1MMS_1_AnaerobicLagoon,2,1)</f>
        <v>Anaerobic lagoon</v>
      </c>
      <c r="Q106" s="15">
        <f ca="1">((Q40 * (1 - (_xlfn.XLOOKUP($P106, $D$22:$D$26,$E$22:$E$26)) - (_xlfn.XLOOKUP($P106,$D$31:$D$35,$E$31:$E$35))) - Q52) * (1 - $F64))</f>
        <v>64.877484237713347</v>
      </c>
      <c r="R106" s="15">
        <f ca="1">((R40 * (1 - (_xlfn.XLOOKUP($P106, $D$22:$D$26,$E$22:$E$26)) - (_xlfn.XLOOKUP($P106,$D$31:$D$35,$E$31:$E$35))) - R52) * (1 - $F64))</f>
        <v>29.633159185145878</v>
      </c>
      <c r="S106" s="15">
        <f ca="1">((S40 * (1 - (_xlfn.XLOOKUP($P106, $D$22:$D$26,$E$22:$E$26)) - (_xlfn.XLOOKUP($P106,$D$31:$D$35,$E$31:$E$35))) - S52) * (1 - $F64))</f>
        <v>11.802573920124557</v>
      </c>
      <c r="T106" s="15">
        <f ca="1">((T40 * (1 - (_xlfn.XLOOKUP($P106, $D$22:$D$26,$E$22:$E$26)) - (_xlfn.XLOOKUP($P106,$D$31:$D$35,$E$31:$E$35))) - T52) * (1 - $F64))</f>
        <v>37.250053057728621</v>
      </c>
      <c r="U106" s="15">
        <f ca="1">((U40 * (1 - (_xlfn.XLOOKUP($P106, $D$22:$D$26,$E$22:$E$26)) - (_xlfn.XLOOKUP($P106,$D$31:$D$35,$E$31:$E$35))) - U52) * (1 - $F64))</f>
        <v>15.593964275346504</v>
      </c>
      <c r="V106" s="16" t="str">
        <f t="shared" ref="V106" si="3">$E$95</f>
        <v>kg N</v>
      </c>
    </row>
    <row r="107" spans="1:22" ht="20.100000000000001" customHeight="1" x14ac:dyDescent="0.2">
      <c r="D107" s="15" t="str">
        <f>INDEX(X_Table_Dairy_ProductionSystems_Method1,3,1)</f>
        <v>Milking shed</v>
      </c>
      <c r="E107" s="15" t="str">
        <f>INDEX(X_Table_Dairy_Stage1MMS_1_SumpAndDispersal,2,1)</f>
        <v>Sump and dispersal system</v>
      </c>
      <c r="F107" s="15">
        <f ca="1">((F41 * (1 - (_xlfn.XLOOKUP($E107, $D$22:$D$26,$E$22:$E$26)) - (_xlfn.XLOOKUP($E107,$D$31:$D$35,$E$31:$E$35))) - F53) * (1 - $F65))</f>
        <v>92.824708217036019</v>
      </c>
      <c r="G107" s="15">
        <f ca="1">((G41 * (1 - (_xlfn.XLOOKUP($E107, $D$22:$D$26,$E$22:$E$26)) - (_xlfn.XLOOKUP($E107,$D$31:$D$35,$E$31:$E$35))) - G53) * (1 - $F65))</f>
        <v>42.398212372593328</v>
      </c>
      <c r="H107" s="15">
        <f ca="1">((H41 * (1 - (_xlfn.XLOOKUP($E107, $D$22:$D$26,$E$22:$E$26)) - (_xlfn.XLOOKUP($E107,$D$31:$D$35,$E$31:$E$35))) - H53) * (1 - $F65))</f>
        <v>16.886759608793596</v>
      </c>
      <c r="I107" s="15">
        <f ca="1">((I41 * (1 - (_xlfn.XLOOKUP($E107, $D$22:$D$26,$E$22:$E$26)) - (_xlfn.XLOOKUP($E107,$D$31:$D$35,$E$31:$E$35))) - I53) * (1 - $F65))</f>
        <v>53.296229759519406</v>
      </c>
      <c r="J107" s="15">
        <f ca="1">((J41 * (1 - (_xlfn.XLOOKUP($E107, $D$22:$D$26,$E$22:$E$26)) - (_xlfn.XLOOKUP($E107,$D$31:$D$35,$E$31:$E$35))) - J53) * (1 - $F65))</f>
        <v>22.311364270880382</v>
      </c>
      <c r="K107" s="16"/>
      <c r="O107" s="15" t="str">
        <f>INDEX(X_Table_Dairy_ProductionSystems_Method1,3,1)</f>
        <v>Milking shed</v>
      </c>
      <c r="P107" s="15" t="str">
        <f>INDEX(X_Table_Dairy_Stage1MMS_1_SumpAndDispersal,2,1)</f>
        <v>Sump and dispersal system</v>
      </c>
      <c r="Q107" s="15">
        <f ca="1">((Q41 * (1 - (_xlfn.XLOOKUP($P107, $D$22:$D$26,$E$22:$E$26)) - (_xlfn.XLOOKUP($P107,$D$31:$D$35,$E$31:$E$35))) - Q53) * (1 - $F65))</f>
        <v>92.824708217036019</v>
      </c>
      <c r="R107" s="15">
        <f ca="1">((R41 * (1 - (_xlfn.XLOOKUP($P107, $D$22:$D$26,$E$22:$E$26)) - (_xlfn.XLOOKUP($P107,$D$31:$D$35,$E$31:$E$35))) - R53) * (1 - $F65))</f>
        <v>42.398212372593328</v>
      </c>
      <c r="S107" s="15">
        <f ca="1">((S41 * (1 - (_xlfn.XLOOKUP($P107, $D$22:$D$26,$E$22:$E$26)) - (_xlfn.XLOOKUP($P107,$D$31:$D$35,$E$31:$E$35))) - S53) * (1 - $F65))</f>
        <v>16.886759608793596</v>
      </c>
      <c r="T107" s="15">
        <f ca="1">((T41 * (1 - (_xlfn.XLOOKUP($P107, $D$22:$D$26,$E$22:$E$26)) - (_xlfn.XLOOKUP($P107,$D$31:$D$35,$E$31:$E$35))) - T53) * (1 - $F65))</f>
        <v>53.296229759519406</v>
      </c>
      <c r="U107" s="15">
        <f ca="1">((U41 * (1 - (_xlfn.XLOOKUP($P107, $D$22:$D$26,$E$22:$E$26)) - (_xlfn.XLOOKUP($P107,$D$31:$D$35,$E$31:$E$35))) - U53) * (1 - $F65))</f>
        <v>22.311364270880382</v>
      </c>
      <c r="V107" s="16"/>
    </row>
    <row r="108" spans="1:22" ht="20.100000000000001" customHeight="1" x14ac:dyDescent="0.2">
      <c r="D108" s="15" t="str">
        <f>INDEX(X_Table_Dairy_ProductionSystems_Method1,3,1)</f>
        <v>Milking shed</v>
      </c>
      <c r="E108" s="15" t="str">
        <f>INDEX(X_Table_Dairy_Stage1MMS_1_DrainsToPaddock,2,1)</f>
        <v>Drains to paddock</v>
      </c>
      <c r="F108" s="15">
        <f ca="1">((F42 * (1 - (_xlfn.XLOOKUP($E108, $D$22:$D$26,$E$22:$E$26)) - (_xlfn.XLOOKUP($E108,$D$31:$D$35,$E$31:$E$35))) - F54) * (1 - $F66))</f>
        <v>79.849211369493361</v>
      </c>
      <c r="G108" s="15">
        <f ca="1">((G42 * (1 - (_xlfn.XLOOKUP($E108, $D$22:$D$26,$E$22:$E$26)) - (_xlfn.XLOOKUP($E108,$D$31:$D$35,$E$31:$E$35))) - G54) * (1 - $F66))</f>
        <v>36.471580535564158</v>
      </c>
      <c r="H108" s="15">
        <f ca="1">((H42 * (1 - (_xlfn.XLOOKUP($E108, $D$22:$D$26,$E$22:$E$26)) - (_xlfn.XLOOKUP($E108,$D$31:$D$35,$E$31:$E$35))) - H54) * (1 - $F66))</f>
        <v>14.526244824768686</v>
      </c>
      <c r="I108" s="15">
        <f ca="1">((I42 * (1 - (_xlfn.XLOOKUP($E108, $D$22:$D$26,$E$22:$E$26)) - (_xlfn.XLOOKUP($E108,$D$31:$D$35,$E$31:$E$35))) - I54) * (1 - $F66))</f>
        <v>45.846219147973692</v>
      </c>
      <c r="J108" s="15">
        <f ca="1">((J42 * (1 - (_xlfn.XLOOKUP($E108, $D$22:$D$26,$E$22:$E$26)) - (_xlfn.XLOOKUP($E108,$D$31:$D$35,$E$31:$E$35))) - J54) * (1 - $F66))</f>
        <v>19.192571415811084</v>
      </c>
      <c r="K108" s="16"/>
      <c r="O108" s="15" t="str">
        <f>INDEX(X_Table_Dairy_ProductionSystems_Method1,3,1)</f>
        <v>Milking shed</v>
      </c>
      <c r="P108" s="15" t="str">
        <f>INDEX(X_Table_Dairy_Stage1MMS_1_DrainsToPaddock,2,1)</f>
        <v>Drains to paddock</v>
      </c>
      <c r="Q108" s="15">
        <f ca="1">((Q42 * (1 - (_xlfn.XLOOKUP($P108, $D$22:$D$26,$E$22:$E$26)) - (_xlfn.XLOOKUP($P108,$D$31:$D$35,$E$31:$E$35))) - Q54) * (1 - $F66))</f>
        <v>79.849211369493361</v>
      </c>
      <c r="R108" s="15">
        <f ca="1">((R42 * (1 - (_xlfn.XLOOKUP($P108, $D$22:$D$26,$E$22:$E$26)) - (_xlfn.XLOOKUP($P108,$D$31:$D$35,$E$31:$E$35))) - R54) * (1 - $F66))</f>
        <v>36.471580535564158</v>
      </c>
      <c r="S108" s="15">
        <f ca="1">((S42 * (1 - (_xlfn.XLOOKUP($P108, $D$22:$D$26,$E$22:$E$26)) - (_xlfn.XLOOKUP($P108,$D$31:$D$35,$E$31:$E$35))) - S54) * (1 - $F66))</f>
        <v>14.526244824768686</v>
      </c>
      <c r="T108" s="15">
        <f ca="1">((T42 * (1 - (_xlfn.XLOOKUP($P108, $D$22:$D$26,$E$22:$E$26)) - (_xlfn.XLOOKUP($P108,$D$31:$D$35,$E$31:$E$35))) - T54) * (1 - $F66))</f>
        <v>45.846219147973692</v>
      </c>
      <c r="U108" s="15">
        <f ca="1">((U42 * (1 - (_xlfn.XLOOKUP($P108, $D$22:$D$26,$E$22:$E$26)) - (_xlfn.XLOOKUP($P108,$D$31:$D$35,$E$31:$E$35))) - U54) * (1 - $F66))</f>
        <v>19.192571415811084</v>
      </c>
      <c r="V108" s="16"/>
    </row>
    <row r="109" spans="1:22" ht="20.100000000000001" customHeight="1" x14ac:dyDescent="0.2">
      <c r="A109" s="129" t="str">
        <f>HYPERLINK("#A1", "▲ Back to top")</f>
        <v>▲ Back to top</v>
      </c>
      <c r="D109" s="15" t="str">
        <f>INDEX(X_Table_Dairy_ProductionSystems_Method1,3,1)</f>
        <v>Milking shed</v>
      </c>
      <c r="E109" s="15" t="s">
        <v>75</v>
      </c>
      <c r="F109" s="15">
        <f ca="1">((F43 * (1 - (_xlfn.XLOOKUP($E109, $D$22:$D$26,$E$22:$E$26)) - (_xlfn.XLOOKUP($E109,$D$31:$D$35,$E$31:$E$35))) - F55) * (1 - $F67))</f>
        <v>134.74554418602003</v>
      </c>
      <c r="G109" s="15">
        <f ca="1">((G43 * (1 - (_xlfn.XLOOKUP($E109, $D$22:$D$26,$E$22:$E$26)) - (_xlfn.XLOOKUP($E109,$D$31:$D$35,$E$31:$E$35))) - G55) * (1 - $F67))</f>
        <v>61.545792153764516</v>
      </c>
      <c r="H109" s="15">
        <f ca="1">((H43 * (1 - (_xlfn.XLOOKUP($E109, $D$22:$D$26,$E$22:$E$26)) - (_xlfn.XLOOKUP($E109,$D$31:$D$35,$E$31:$E$35))) - H55) * (1 - $F67))</f>
        <v>24.51303814179715</v>
      </c>
      <c r="I109" s="15">
        <f ca="1">((I43 * (1 - (_xlfn.XLOOKUP($E109, $D$22:$D$26,$E$22:$E$26)) - (_xlfn.XLOOKUP($E109,$D$31:$D$35,$E$31:$E$35))) - I55) * (1 - $F67))</f>
        <v>77.365494812205597</v>
      </c>
      <c r="J109" s="15">
        <f ca="1">((J43 * (1 - (_xlfn.XLOOKUP($E109, $D$22:$D$26,$E$22:$E$26)) - (_xlfn.XLOOKUP($E109,$D$31:$D$35,$E$31:$E$35))) - J55) * (1 - $F67))</f>
        <v>32.387464264181197</v>
      </c>
      <c r="K109" s="16"/>
      <c r="O109" s="15" t="str">
        <f>INDEX(X_Table_Dairy_ProductionSystems_Method1,3,1)</f>
        <v>Milking shed</v>
      </c>
      <c r="P109" s="15" t="s">
        <v>75</v>
      </c>
      <c r="Q109" s="15">
        <f ca="1">((Q43 * (1 - (_xlfn.XLOOKUP($P109, $D$22:$D$26,$E$22:$E$26)) - (_xlfn.XLOOKUP($P109,$D$31:$D$35,$E$31:$E$35))) - Q55) * (1 - $F67))</f>
        <v>134.74554418602003</v>
      </c>
      <c r="R109" s="15">
        <f ca="1">((R43 * (1 - (_xlfn.XLOOKUP($P109, $D$22:$D$26,$E$22:$E$26)) - (_xlfn.XLOOKUP($P109,$D$31:$D$35,$E$31:$E$35))) - R55) * (1 - $F67))</f>
        <v>61.545792153764516</v>
      </c>
      <c r="S109" s="15">
        <f ca="1">((S43 * (1 - (_xlfn.XLOOKUP($P109, $D$22:$D$26,$E$22:$E$26)) - (_xlfn.XLOOKUP($P109,$D$31:$D$35,$E$31:$E$35))) - S55) * (1 - $F67))</f>
        <v>24.51303814179715</v>
      </c>
      <c r="T109" s="15">
        <f ca="1">((T43 * (1 - (_xlfn.XLOOKUP($P109, $D$22:$D$26,$E$22:$E$26)) - (_xlfn.XLOOKUP($P109,$D$31:$D$35,$E$31:$E$35))) - T55) * (1 - $F67))</f>
        <v>77.365494812205597</v>
      </c>
      <c r="U109" s="15">
        <f ca="1">((U43 * (1 - (_xlfn.XLOOKUP($P109, $D$22:$D$26,$E$22:$E$26)) - (_xlfn.XLOOKUP($P109,$D$31:$D$35,$E$31:$E$35))) - U55) * (1 - $F67))</f>
        <v>32.387464264181197</v>
      </c>
      <c r="V109" s="16"/>
    </row>
    <row r="110" spans="1:22" ht="20.100000000000001" customHeight="1" x14ac:dyDescent="0.2">
      <c r="D110" s="15" t="str">
        <f>INDEX(X_Table_Dairy_ProductionSystems_Method1,4,1)</f>
        <v>Feed pad</v>
      </c>
      <c r="E110" s="15" t="str">
        <f>INDEX(X_Table_Dairy_Stage1MMS_2_AnaerobicLagoon,2,1)</f>
        <v>Anaerobic lagoon</v>
      </c>
      <c r="F110" s="15">
        <f ca="1">((F44 * (1 - (_xlfn.XLOOKUP($E110, $D$22:$D$26,$E$22:$E$26)) - (_xlfn.XLOOKUP($E110,$D$31:$D$35,$E$31:$E$35))) - F56) * (1 - $F68))</f>
        <v>262.45891350711304</v>
      </c>
      <c r="G110" s="15">
        <f ca="1">((G44 * (1 - (_xlfn.XLOOKUP($E110, $D$22:$D$26,$E$22:$E$26)) - (_xlfn.XLOOKUP($E110,$D$31:$D$35,$E$31:$E$35))) - G56) * (1 - $F68))</f>
        <v>119.87959852172649</v>
      </c>
      <c r="H110" s="15">
        <f ca="1">((H44 * (1 - (_xlfn.XLOOKUP($E110, $D$22:$D$26,$E$22:$E$26)) - (_xlfn.XLOOKUP($E110,$D$31:$D$35,$E$31:$E$35))) - H56) * (1 - $F68))</f>
        <v>47.746776313231159</v>
      </c>
      <c r="I110" s="15">
        <f ca="1">((I44 * (1 - (_xlfn.XLOOKUP($E110, $D$22:$D$26,$E$22:$E$26)) - (_xlfn.XLOOKUP($E110,$D$31:$D$35,$E$31:$E$35))) - I56) * (1 - $F68))</f>
        <v>150.69339646081124</v>
      </c>
      <c r="J110" s="15">
        <f ca="1">((J44 * (1 - (_xlfn.XLOOKUP($E110, $D$22:$D$26,$E$22:$E$26)) - (_xlfn.XLOOKUP($E110,$D$31:$D$35,$E$31:$E$35))) - J56) * (1 - $F68))</f>
        <v>63.084673659356305</v>
      </c>
      <c r="K110" s="16"/>
      <c r="O110" s="15" t="str">
        <f>INDEX(X_Table_Dairy_ProductionSystems_Method1,4,1)</f>
        <v>Feed pad</v>
      </c>
      <c r="P110" s="15" t="str">
        <f>INDEX(X_Table_Dairy_Stage1MMS_2_AnaerobicLagoon,2,1)</f>
        <v>Anaerobic lagoon</v>
      </c>
      <c r="Q110" s="15">
        <f ca="1">((Q44 * (1 - (_xlfn.XLOOKUP($P110, $D$22:$D$26,$E$22:$E$26)) - (_xlfn.XLOOKUP($P110,$D$31:$D$35,$E$31:$E$35))) - Q56) * (1 - $F68))</f>
        <v>262.45891350711304</v>
      </c>
      <c r="R110" s="15">
        <f ca="1">((R44 * (1 - (_xlfn.XLOOKUP($P110, $D$22:$D$26,$E$22:$E$26)) - (_xlfn.XLOOKUP($P110,$D$31:$D$35,$E$31:$E$35))) - R56) * (1 - $F68))</f>
        <v>119.87959852172649</v>
      </c>
      <c r="S110" s="15">
        <f ca="1">((S44 * (1 - (_xlfn.XLOOKUP($P110, $D$22:$D$26,$E$22:$E$26)) - (_xlfn.XLOOKUP($P110,$D$31:$D$35,$E$31:$E$35))) - S56) * (1 - $F68))</f>
        <v>47.746776313231159</v>
      </c>
      <c r="T110" s="15">
        <f ca="1">((T44 * (1 - (_xlfn.XLOOKUP($P110, $D$22:$D$26,$E$22:$E$26)) - (_xlfn.XLOOKUP($P110,$D$31:$D$35,$E$31:$E$35))) - T56) * (1 - $F68))</f>
        <v>150.69339646081124</v>
      </c>
      <c r="U110" s="15">
        <f ca="1">((U44 * (1 - (_xlfn.XLOOKUP($P110, $D$22:$D$26,$E$22:$E$26)) - (_xlfn.XLOOKUP($P110,$D$31:$D$35,$E$31:$E$35))) - U56) * (1 - $F68))</f>
        <v>63.084673659356305</v>
      </c>
      <c r="V110" s="16"/>
    </row>
    <row r="111" spans="1:22" ht="20.100000000000001" customHeight="1" x14ac:dyDescent="0.2">
      <c r="D111" s="15" t="str">
        <f>INDEX(X_Table_Dairy_ProductionSystems_Method1,4,1)</f>
        <v>Feed pad</v>
      </c>
      <c r="E111" s="15" t="str">
        <f>INDEX(X_Table_Dairy_Stage1MMS_2_SumpAndDispersal,2,1)</f>
        <v>Sump and dispersal system</v>
      </c>
      <c r="F111" s="15">
        <f ca="1">((F45 * (1 - (_xlfn.XLOOKUP($E111, $D$22:$D$26,$E$22:$E$26)) - (_xlfn.XLOOKUP($E111,$D$31:$D$35,$E$31:$E$35))) - F57) * (1 - $F69))</f>
        <v>300.41451022968016</v>
      </c>
      <c r="G111" s="15">
        <f ca="1">((G45 * (1 - (_xlfn.XLOOKUP($E111, $D$22:$D$26,$E$22:$E$26)) - (_xlfn.XLOOKUP($E111,$D$31:$D$35,$E$31:$E$35))) - G57) * (1 - $F69))</f>
        <v>137.21603276948386</v>
      </c>
      <c r="H111" s="15">
        <f ca="1">((H45 * (1 - (_xlfn.XLOOKUP($E111, $D$22:$D$26,$E$22:$E$26)) - (_xlfn.XLOOKUP($E111,$D$31:$D$35,$E$31:$E$35))) - H57) * (1 - $F69))</f>
        <v>54.651694733913814</v>
      </c>
      <c r="I111" s="15">
        <f ca="1">((I45 * (1 - (_xlfn.XLOOKUP($E111, $D$22:$D$26,$E$22:$E$26)) - (_xlfn.XLOOKUP($E111,$D$31:$D$35,$E$31:$E$35))) - I57) * (1 - $F69))</f>
        <v>172.48597994899006</v>
      </c>
      <c r="J111" s="15">
        <f ca="1">((J45 * (1 - (_xlfn.XLOOKUP($E111, $D$22:$D$26,$E$22:$E$26)) - (_xlfn.XLOOKUP($E111,$D$31:$D$35,$E$31:$E$35))) - J57) * (1 - $F69))</f>
        <v>72.207688003940135</v>
      </c>
      <c r="K111" s="16"/>
      <c r="O111" s="15" t="str">
        <f>INDEX(X_Table_Dairy_ProductionSystems_Method1,4,1)</f>
        <v>Feed pad</v>
      </c>
      <c r="P111" s="15" t="str">
        <f>INDEX(X_Table_Dairy_Stage1MMS_2_SumpAndDispersal,2,1)</f>
        <v>Sump and dispersal system</v>
      </c>
      <c r="Q111" s="15">
        <f ca="1">((Q45 * (1 - (_xlfn.XLOOKUP($P111, $D$22:$D$26,$E$22:$E$26)) - (_xlfn.XLOOKUP($P111,$D$31:$D$35,$E$31:$E$35))) - Q57) * (1 - $F69))</f>
        <v>300.41451022968016</v>
      </c>
      <c r="R111" s="15">
        <f ca="1">((R45 * (1 - (_xlfn.XLOOKUP($P111, $D$22:$D$26,$E$22:$E$26)) - (_xlfn.XLOOKUP($P111,$D$31:$D$35,$E$31:$E$35))) - R57) * (1 - $F69))</f>
        <v>137.21603276948386</v>
      </c>
      <c r="S111" s="15">
        <f ca="1">((S45 * (1 - (_xlfn.XLOOKUP($P111, $D$22:$D$26,$E$22:$E$26)) - (_xlfn.XLOOKUP($P111,$D$31:$D$35,$E$31:$E$35))) - S57) * (1 - $F69))</f>
        <v>54.651694733913814</v>
      </c>
      <c r="T111" s="15">
        <f ca="1">((T45 * (1 - (_xlfn.XLOOKUP($P111, $D$22:$D$26,$E$22:$E$26)) - (_xlfn.XLOOKUP($P111,$D$31:$D$35,$E$31:$E$35))) - T57) * (1 - $F69))</f>
        <v>172.48597994899006</v>
      </c>
      <c r="U111" s="15">
        <f ca="1">((U45 * (1 - (_xlfn.XLOOKUP($P111, $D$22:$D$26,$E$22:$E$26)) - (_xlfn.XLOOKUP($P111,$D$31:$D$35,$E$31:$E$35))) - U57) * (1 - $F69))</f>
        <v>72.207688003940135</v>
      </c>
      <c r="V111" s="16"/>
    </row>
    <row r="112" spans="1:22" ht="20.100000000000001" customHeight="1" x14ac:dyDescent="0.2">
      <c r="D112" s="15" t="str">
        <f>INDEX(X_Table_Dairy_ProductionSystems_Method1,4,1)</f>
        <v>Feed pad</v>
      </c>
      <c r="E112" s="15" t="str">
        <f>INDEX(X_Table_Dairy_Stage1MMS_2_DrainsToPaddock,2,1)</f>
        <v>Drains to paddock</v>
      </c>
      <c r="F112" s="15">
        <f ca="1">((F46 * (1 - (_xlfn.XLOOKUP($E112, $D$22:$D$26,$E$22:$E$26)) - (_xlfn.XLOOKUP($E112,$D$31:$D$35,$E$31:$E$35))) - F58) * (1 - $F70))</f>
        <v>258.42108406854209</v>
      </c>
      <c r="G112" s="15">
        <f ca="1">((G46 * (1 - (_xlfn.XLOOKUP($E112, $D$22:$D$26,$E$22:$E$26)) - (_xlfn.XLOOKUP($E112,$D$31:$D$35,$E$31:$E$35))) - G58) * (1 - $F70))</f>
        <v>118.03529700600764</v>
      </c>
      <c r="H112" s="15">
        <f ca="1">((H46 * (1 - (_xlfn.XLOOKUP($E112, $D$22:$D$26,$E$22:$E$26)) - (_xlfn.XLOOKUP($E112,$D$31:$D$35,$E$31:$E$35))) - H58) * (1 - $F70))</f>
        <v>47.012210523796831</v>
      </c>
      <c r="I112" s="15">
        <f ca="1">((I46 * (1 - (_xlfn.XLOOKUP($E112, $D$22:$D$26,$E$22:$E$26)) - (_xlfn.XLOOKUP($E112,$D$31:$D$35,$E$31:$E$35))) - I58) * (1 - $F70))</f>
        <v>148.37503651526029</v>
      </c>
      <c r="J112" s="15">
        <f ca="1">((J46 * (1 - (_xlfn.XLOOKUP($E112, $D$22:$D$26,$E$22:$E$26)) - (_xlfn.XLOOKUP($E112,$D$31:$D$35,$E$31:$E$35))) - J58) * (1 - $F70))</f>
        <v>62.114140218443133</v>
      </c>
      <c r="K112" s="16"/>
      <c r="O112" s="15" t="str">
        <f>INDEX(X_Table_Dairy_ProductionSystems_Method1,4,1)</f>
        <v>Feed pad</v>
      </c>
      <c r="P112" s="15" t="str">
        <f>INDEX(X_Table_Dairy_Stage1MMS_2_DrainsToPaddock,2,1)</f>
        <v>Drains to paddock</v>
      </c>
      <c r="Q112" s="15">
        <f ca="1">((Q46 * (1 - (_xlfn.XLOOKUP($P112, $D$22:$D$26,$E$22:$E$26)) - (_xlfn.XLOOKUP($P112,$D$31:$D$35,$E$31:$E$35))) - Q58) * (1 - $F70))</f>
        <v>258.42108406854209</v>
      </c>
      <c r="R112" s="15">
        <f ca="1">((R46 * (1 - (_xlfn.XLOOKUP($P112, $D$22:$D$26,$E$22:$E$26)) - (_xlfn.XLOOKUP($P112,$D$31:$D$35,$E$31:$E$35))) - R58) * (1 - $F70))</f>
        <v>118.03529700600764</v>
      </c>
      <c r="S112" s="15">
        <f ca="1">((S46 * (1 - (_xlfn.XLOOKUP($P112, $D$22:$D$26,$E$22:$E$26)) - (_xlfn.XLOOKUP($P112,$D$31:$D$35,$E$31:$E$35))) - S58) * (1 - $F70))</f>
        <v>47.012210523796831</v>
      </c>
      <c r="T112" s="15">
        <f ca="1">((T46 * (1 - (_xlfn.XLOOKUP($P112, $D$22:$D$26,$E$22:$E$26)) - (_xlfn.XLOOKUP($P112,$D$31:$D$35,$E$31:$E$35))) - T58) * (1 - $F70))</f>
        <v>148.37503651526029</v>
      </c>
      <c r="U112" s="15">
        <f ca="1">((U46 * (1 - (_xlfn.XLOOKUP($P112, $D$22:$D$26,$E$22:$E$26)) - (_xlfn.XLOOKUP($P112,$D$31:$D$35,$E$31:$E$35))) - U58) * (1 - $F70))</f>
        <v>62.114140218443133</v>
      </c>
      <c r="V112" s="16"/>
    </row>
    <row r="113" spans="3:23" ht="20.100000000000001" customHeight="1" x14ac:dyDescent="0.2">
      <c r="D113" s="15" t="str">
        <f>INDEX(X_Table_Dairy_ProductionSystems_Method1,4,1)</f>
        <v>Feed pad</v>
      </c>
      <c r="E113" s="15" t="s">
        <v>75</v>
      </c>
      <c r="F113" s="15">
        <f ca="1">((F47 * (1 - (_xlfn.XLOOKUP($E113, $D$22:$D$26,$E$22:$E$26)) - (_xlfn.XLOOKUP($E113,$D$31:$D$35,$E$31:$E$35))) - F59) * (1 - $F71))</f>
        <v>381.57488194495664</v>
      </c>
      <c r="G113" s="15">
        <f ca="1">((G47 * (1 - (_xlfn.XLOOKUP($E113, $D$22:$D$26,$E$22:$E$26)) - (_xlfn.XLOOKUP($E113,$D$31:$D$35,$E$31:$E$35))) - G59) * (1 - $F71))</f>
        <v>174.28649323543314</v>
      </c>
      <c r="H113" s="15">
        <f ca="1">((H47 * (1 - (_xlfn.XLOOKUP($E113, $D$22:$D$26,$E$22:$E$26)) - (_xlfn.XLOOKUP($E113,$D$31:$D$35,$E$31:$E$35))) - H59) * (1 - $F71))</f>
        <v>69.416467101543759</v>
      </c>
      <c r="I113" s="15">
        <f ca="1">((I47 * (1 - (_xlfn.XLOOKUP($E113, $D$22:$D$26,$E$22:$E$26)) - (_xlfn.XLOOKUP($E113,$D$31:$D$35,$E$31:$E$35))) - I59) * (1 - $F71))</f>
        <v>219.08501485456401</v>
      </c>
      <c r="J113" s="15">
        <f ca="1">((J47 * (1 - (_xlfn.XLOOKUP($E113, $D$22:$D$26,$E$22:$E$26)) - (_xlfn.XLOOKUP($E113,$D$31:$D$35,$E$31:$E$35))) - J59) * (1 - $F71))</f>
        <v>91.715410166294944</v>
      </c>
      <c r="K113" s="16"/>
      <c r="O113" s="15" t="str">
        <f>INDEX(X_Table_Dairy_ProductionSystems_Method1,4,1)</f>
        <v>Feed pad</v>
      </c>
      <c r="P113" s="15" t="s">
        <v>75</v>
      </c>
      <c r="Q113" s="15">
        <f ca="1">((Q47 * (1 - (_xlfn.XLOOKUP($P113, $D$22:$D$26,$E$22:$E$26)) - (_xlfn.XLOOKUP($P113,$D$31:$D$35,$E$31:$E$35))) - Q59) * (1 - $F71))</f>
        <v>381.57488194495664</v>
      </c>
      <c r="R113" s="15">
        <f ca="1">((R47 * (1 - (_xlfn.XLOOKUP($P113, $D$22:$D$26,$E$22:$E$26)) - (_xlfn.XLOOKUP($P113,$D$31:$D$35,$E$31:$E$35))) - R59) * (1 - $F71))</f>
        <v>174.28649323543314</v>
      </c>
      <c r="S113" s="15">
        <f ca="1">((S47 * (1 - (_xlfn.XLOOKUP($P113, $D$22:$D$26,$E$22:$E$26)) - (_xlfn.XLOOKUP($P113,$D$31:$D$35,$E$31:$E$35))) - S59) * (1 - $F71))</f>
        <v>69.416467101543759</v>
      </c>
      <c r="T113" s="15">
        <f ca="1">((T47 * (1 - (_xlfn.XLOOKUP($P113, $D$22:$D$26,$E$22:$E$26)) - (_xlfn.XLOOKUP($P113,$D$31:$D$35,$E$31:$E$35))) - T59) * (1 - $F71))</f>
        <v>219.08501485456401</v>
      </c>
      <c r="U113" s="15">
        <f ca="1">((U47 * (1 - (_xlfn.XLOOKUP($P113, $D$22:$D$26,$E$22:$E$26)) - (_xlfn.XLOOKUP($P113,$D$31:$D$35,$E$31:$E$35))) - U59) * (1 - $F71))</f>
        <v>91.715410166294944</v>
      </c>
      <c r="V113" s="16"/>
    </row>
    <row r="115" spans="3:23" ht="20.100000000000001" customHeight="1" x14ac:dyDescent="0.2">
      <c r="D115" s="87" t="s">
        <v>569</v>
      </c>
      <c r="E115" s="90">
        <f ca="1">SUM(F106:J113)</f>
        <v>3864.1929695395502</v>
      </c>
      <c r="F115" s="89" t="str">
        <f>$E$11</f>
        <v>kg N</v>
      </c>
      <c r="O115" s="87" t="s">
        <v>569</v>
      </c>
      <c r="P115" s="90">
        <f ca="1">SUM(Q106:U113)</f>
        <v>3864.1929695395502</v>
      </c>
      <c r="Q115" s="89" t="str">
        <f>$E$11</f>
        <v>kg N</v>
      </c>
    </row>
    <row r="118" spans="3:23" ht="20.100000000000001" customHeight="1" x14ac:dyDescent="0.2">
      <c r="C118" s="88"/>
      <c r="D118" s="88"/>
      <c r="E118" s="88"/>
      <c r="F118" s="88"/>
      <c r="G118" s="88"/>
      <c r="H118" s="88"/>
      <c r="I118" s="88"/>
      <c r="J118" s="88"/>
      <c r="K118" s="88"/>
      <c r="L118" s="88"/>
      <c r="N118" s="88"/>
      <c r="O118" s="88"/>
      <c r="P118" s="88"/>
      <c r="Q118" s="88"/>
      <c r="R118" s="88"/>
      <c r="S118" s="88"/>
      <c r="T118" s="88"/>
      <c r="U118" s="88"/>
      <c r="V118" s="88"/>
      <c r="W118" s="88"/>
    </row>
    <row r="119" spans="3:23" ht="20.100000000000001" customHeight="1" x14ac:dyDescent="0.2">
      <c r="D119" s="140" t="str">
        <f>"Below are applications of " &amp; D6 &amp; " that are applied to the following contexts:"</f>
        <v>Below are applications of VEERG 2026: 4.3.1.8, Equation (1) that are applied to the following contexts:</v>
      </c>
      <c r="E119" s="43"/>
      <c r="F119" s="43"/>
      <c r="G119" s="43"/>
      <c r="H119" s="44"/>
    </row>
    <row r="120" spans="3:23" ht="20.100000000000001" customHeight="1" x14ac:dyDescent="0.2">
      <c r="D120" s="45" t="s">
        <v>570</v>
      </c>
      <c r="E120" s="46"/>
      <c r="F120" s="46"/>
      <c r="G120" s="46"/>
      <c r="H120" s="47"/>
    </row>
    <row r="122" spans="3:23" ht="20.100000000000001" customHeight="1" x14ac:dyDescent="0.2">
      <c r="D122" s="2" t="s">
        <v>571</v>
      </c>
    </row>
    <row r="124" spans="3:23" ht="20.100000000000001" customHeight="1" x14ac:dyDescent="0.2">
      <c r="D124" s="122" t="s">
        <v>572</v>
      </c>
    </row>
    <row r="125" spans="3:23" ht="20.100000000000001" customHeight="1" x14ac:dyDescent="0.2">
      <c r="D125" s="123" t="s">
        <v>573</v>
      </c>
    </row>
    <row r="126" spans="3:23" ht="20.100000000000001" customHeight="1" x14ac:dyDescent="0.2">
      <c r="D126" s="81" t="s">
        <v>159</v>
      </c>
      <c r="E126" s="81" t="s">
        <v>422</v>
      </c>
      <c r="F126" s="81" t="s">
        <v>574</v>
      </c>
    </row>
    <row r="127" spans="3:23" ht="20.100000000000001" customHeight="1" x14ac:dyDescent="0.2">
      <c r="D127" s="15" t="str">
        <f>INDEX(X_Table_Dairy_ProductionSystems_Method1,3,1)</f>
        <v>Milking shed</v>
      </c>
      <c r="E127" s="15" t="str">
        <f>INDEX(X_Table_Dairy_Stage1MMS_1_AnaerobicLagoon,2,1)</f>
        <v>Anaerobic lagoon</v>
      </c>
      <c r="F127" s="15">
        <f>INDEX(X_Table_Dairy_Stage1MMS_1_AnaerobicLagoon_Destinations,2,3)</f>
        <v>0.25</v>
      </c>
      <c r="G127" s="16" t="str">
        <f>G101</f>
        <v>fraction</v>
      </c>
    </row>
    <row r="128" spans="3:23" ht="20.100000000000001" customHeight="1" x14ac:dyDescent="0.2">
      <c r="D128" s="15" t="str">
        <f>INDEX(X_Table_Dairy_ProductionSystems_Method1,3,1)</f>
        <v>Milking shed</v>
      </c>
      <c r="E128" s="15" t="str">
        <f>INDEX(X_Table_Dairy_Stage1MMS_1_SumpAndDispersal,2,1)</f>
        <v>Sump and dispersal system</v>
      </c>
      <c r="F128" s="15">
        <f>INDEX(X_Table_Dairy_Stage1MMS_1_SumpAndDispersal_Destinations,2,3)</f>
        <v>0.25</v>
      </c>
      <c r="G128" s="16"/>
    </row>
    <row r="129" spans="1:22" ht="20.100000000000001" customHeight="1" x14ac:dyDescent="0.2">
      <c r="D129" s="15" t="str">
        <f>INDEX(X_Table_Dairy_ProductionSystems_Method1,3,1)</f>
        <v>Milking shed</v>
      </c>
      <c r="E129" s="15" t="str">
        <f>INDEX(X_Table_Dairy_Stage1MMS_1_DrainsToPaddock,2,1)</f>
        <v>Drains to paddock</v>
      </c>
      <c r="F129" s="15">
        <f>INDEX(X_Table_Dairy_Stage1MMS_1_DrainsToPaddock_Destinations,2,3)</f>
        <v>0.25</v>
      </c>
      <c r="G129" s="16"/>
    </row>
    <row r="130" spans="1:22" ht="20.100000000000001" customHeight="1" x14ac:dyDescent="0.2">
      <c r="D130" s="15" t="str">
        <f>INDEX(X_Table_Dairy_ProductionSystems_Method1,3,1)</f>
        <v>Milking shed</v>
      </c>
      <c r="E130" s="15" t="s">
        <v>75</v>
      </c>
      <c r="F130" s="15">
        <f>INDEX(X_Table_Dairy_Stage1MMS_1_SolidStorage_Destinations,2,3)</f>
        <v>0.25</v>
      </c>
      <c r="G130" s="16"/>
    </row>
    <row r="131" spans="1:22" ht="20.100000000000001" customHeight="1" x14ac:dyDescent="0.2">
      <c r="D131" s="15" t="str">
        <f>INDEX(X_Table_Dairy_ProductionSystems_Method1,4,1)</f>
        <v>Feed pad</v>
      </c>
      <c r="E131" s="15" t="str">
        <f>INDEX(X_Table_Dairy_Stage1MMS_2_AnaerobicLagoon,2,1)</f>
        <v>Anaerobic lagoon</v>
      </c>
      <c r="F131" s="15">
        <f>INDEX(X_Table_Dairy_Stage1MMS_2_AnaerobicLagoon_Destinations,2,3)</f>
        <v>0.25</v>
      </c>
      <c r="G131" s="16"/>
    </row>
    <row r="132" spans="1:22" ht="20.100000000000001" customHeight="1" x14ac:dyDescent="0.2">
      <c r="D132" s="15" t="str">
        <f>INDEX(X_Table_Dairy_ProductionSystems_Method1,4,1)</f>
        <v>Feed pad</v>
      </c>
      <c r="E132" s="15" t="str">
        <f>INDEX(X_Table_Dairy_Stage1MMS_2_SumpAndDispersal,2,1)</f>
        <v>Sump and dispersal system</v>
      </c>
      <c r="F132" s="15">
        <f>INDEX(X_Table_Dairy_Stage1MMS_2_SumpAndDispersal_Destinations,2,3)</f>
        <v>0.25</v>
      </c>
      <c r="G132" s="16"/>
    </row>
    <row r="133" spans="1:22" ht="20.100000000000001" customHeight="1" x14ac:dyDescent="0.2">
      <c r="D133" s="15" t="str">
        <f>INDEX(X_Table_Dairy_ProductionSystems_Method1,4,1)</f>
        <v>Feed pad</v>
      </c>
      <c r="E133" s="15" t="str">
        <f>INDEX(X_Table_Dairy_Stage1MMS_2_DrainsToPaddock,2,1)</f>
        <v>Drains to paddock</v>
      </c>
      <c r="F133" s="15">
        <f>INDEX(X_Table_Dairy_Stage1MMS_2_DrainsToPaddock_Destinations,2,3)</f>
        <v>0.25</v>
      </c>
      <c r="G133" s="16"/>
    </row>
    <row r="134" spans="1:22" ht="20.100000000000001" customHeight="1" x14ac:dyDescent="0.2">
      <c r="D134" s="15" t="str">
        <f>INDEX(X_Table_Dairy_ProductionSystems_Method1,4,1)</f>
        <v>Feed pad</v>
      </c>
      <c r="E134" s="15" t="s">
        <v>75</v>
      </c>
      <c r="F134" s="15">
        <f>INDEX(X_Table_Dairy_Stage1MMS_2_SolidStorage_Destinations,2,3)</f>
        <v>0.25</v>
      </c>
      <c r="G134" s="16"/>
    </row>
    <row r="136" spans="1:22" ht="20.100000000000001" customHeight="1" x14ac:dyDescent="0.2">
      <c r="D136" s="122" t="s">
        <v>575</v>
      </c>
      <c r="O136" s="122" t="s">
        <v>576</v>
      </c>
    </row>
    <row r="137" spans="1:22" ht="20.100000000000001" customHeight="1" x14ac:dyDescent="0.2">
      <c r="D137" s="123" t="s">
        <v>577</v>
      </c>
      <c r="O137" s="123" t="s">
        <v>578</v>
      </c>
    </row>
    <row r="138" spans="1:22" ht="20.100000000000001" customHeight="1" x14ac:dyDescent="0.2">
      <c r="D138" s="124" t="s">
        <v>159</v>
      </c>
      <c r="E138" s="124" t="s">
        <v>422</v>
      </c>
      <c r="F138" s="124" t="s">
        <v>330</v>
      </c>
      <c r="G138" s="124" t="s">
        <v>331</v>
      </c>
      <c r="H138" s="124" t="s">
        <v>332</v>
      </c>
      <c r="I138" s="124" t="s">
        <v>333</v>
      </c>
      <c r="J138" s="124" t="s">
        <v>334</v>
      </c>
      <c r="O138" s="124" t="s">
        <v>159</v>
      </c>
      <c r="P138" s="124" t="s">
        <v>422</v>
      </c>
      <c r="Q138" s="124" t="s">
        <v>330</v>
      </c>
      <c r="R138" s="124" t="s">
        <v>331</v>
      </c>
      <c r="S138" s="124" t="s">
        <v>332</v>
      </c>
      <c r="T138" s="124" t="s">
        <v>333</v>
      </c>
      <c r="U138" s="124" t="s">
        <v>334</v>
      </c>
    </row>
    <row r="139" spans="1:22" ht="20.100000000000001" customHeight="1" x14ac:dyDescent="0.2">
      <c r="A139" s="129" t="str">
        <f>HYPERLINK("#A1", "▲ Back to top")</f>
        <v>▲ Back to top</v>
      </c>
      <c r="D139" s="15" t="str">
        <f>INDEX(X_Table_Dairy_ProductionSystems_Method1,3,1)</f>
        <v>Milking shed</v>
      </c>
      <c r="E139" s="15" t="str">
        <f>INDEX(X_Table_Dairy_Stage1MMS_1_AnaerobicLagoon,2,1)</f>
        <v>Anaerobic lagoon</v>
      </c>
      <c r="F139" s="15">
        <f>((F40 * (1 - (_xlfn.XLOOKUP($E139,$D$22:$D$26,$E$22:$E$26)) - (_xlfn.XLOOKUP($E139,$D$31:$D$35,$E$31:$E$35))) - F52) * $F127)</f>
        <v>64.877484237713347</v>
      </c>
      <c r="G139" s="15">
        <f>((G40 * (1 - (_xlfn.XLOOKUP($E139,$D$22:$D$26,$E$22:$E$26)) - (_xlfn.XLOOKUP($E139,$D$31:$D$35,$E$31:$E$35))) - G52) * $F127)</f>
        <v>29.633159185145878</v>
      </c>
      <c r="H139" s="15">
        <f>((H40 * (1 - (_xlfn.XLOOKUP($E139,$D$22:$D$26,$E$22:$E$26)) - (_xlfn.XLOOKUP($E139,$D$31:$D$35,$E$31:$E$35))) - H52) * $F127)</f>
        <v>11.802573920124557</v>
      </c>
      <c r="I139" s="15">
        <f>((I40 * (1 - (_xlfn.XLOOKUP($E139,$D$22:$D$26,$E$22:$E$26)) - (_xlfn.XLOOKUP($E139,$D$31:$D$35,$E$31:$E$35))) - I52) * $F127)</f>
        <v>37.250053057728621</v>
      </c>
      <c r="J139" s="15">
        <f>((J40 * (1 - (_xlfn.XLOOKUP($E139,$D$22:$D$26,$E$22:$E$26)) - (_xlfn.XLOOKUP($E139,$D$31:$D$35,$E$31:$E$35))) - J52) * $F127)</f>
        <v>15.593964275346504</v>
      </c>
      <c r="K139" s="16" t="str">
        <f t="shared" ref="K139:K146" si="4">$E$95</f>
        <v>kg N</v>
      </c>
      <c r="O139" s="15" t="str">
        <f>INDEX(X_Table_Dairy_ProductionSystems_Method1,3,1)</f>
        <v>Milking shed</v>
      </c>
      <c r="P139" s="15" t="str">
        <f>INDEX(X_Table_Dairy_Stage1MMS_1_AnaerobicLagoon,2,1)</f>
        <v>Anaerobic lagoon</v>
      </c>
      <c r="Q139" s="15">
        <f>((Q40 * (1 - (_xlfn.XLOOKUP($P139,$D$22:$D$26,$E$22:$E$26)) - (_xlfn.XLOOKUP($P139,$D$31:$D$35,$E$31:$E$35))) - Q52) * $F127)</f>
        <v>64.877484237713347</v>
      </c>
      <c r="R139" s="15">
        <f>((R40 * (1 - (_xlfn.XLOOKUP($P139,$D$22:$D$26,$E$22:$E$26)) - (_xlfn.XLOOKUP($P139,$D$31:$D$35,$E$31:$E$35))) - R52) * $F127)</f>
        <v>29.633159185145878</v>
      </c>
      <c r="S139" s="15">
        <f>((S40 * (1 - (_xlfn.XLOOKUP($P139,$D$22:$D$26,$E$22:$E$26)) - (_xlfn.XLOOKUP($P139,$D$31:$D$35,$E$31:$E$35))) - S52) * $F127)</f>
        <v>11.802573920124557</v>
      </c>
      <c r="T139" s="15">
        <f>((T40 * (1 - (_xlfn.XLOOKUP($P139,$D$22:$D$26,$E$22:$E$26)) - (_xlfn.XLOOKUP($P139,$D$31:$D$35,$E$31:$E$35))) - T52) * $F127)</f>
        <v>37.250053057728621</v>
      </c>
      <c r="U139" s="15">
        <f>((U40 * (1 - (_xlfn.XLOOKUP($P139,$D$22:$D$26,$E$22:$E$26)) - (_xlfn.XLOOKUP($P139,$D$31:$D$35,$E$31:$E$35))) - U52) * $F127)</f>
        <v>15.593964275346504</v>
      </c>
      <c r="V139" s="16" t="str">
        <f t="shared" ref="V139" si="5">$E$95</f>
        <v>kg N</v>
      </c>
    </row>
    <row r="140" spans="1:22" ht="20.100000000000001" customHeight="1" x14ac:dyDescent="0.2">
      <c r="D140" s="15" t="str">
        <f>INDEX(X_Table_Dairy_ProductionSystems_Method1,3,1)</f>
        <v>Milking shed</v>
      </c>
      <c r="E140" s="15" t="str">
        <f>INDEX(X_Table_Dairy_Stage1MMS_1_SumpAndDispersal,2,1)</f>
        <v>Sump and dispersal system</v>
      </c>
      <c r="F140" s="15">
        <f>((F41 * (1 - (_xlfn.XLOOKUP($E140,$D$22:$D$26,$E$22:$E$26)) - (_xlfn.XLOOKUP($E140,$D$31:$D$35,$E$31:$E$35))) - F53) * $F128)</f>
        <v>92.824708217036019</v>
      </c>
      <c r="G140" s="15">
        <f>((G41 * (1 - (_xlfn.XLOOKUP($E140,$D$22:$D$26,$E$22:$E$26)) - (_xlfn.XLOOKUP($E140,$D$31:$D$35,$E$31:$E$35))) - G53) * $F128)</f>
        <v>42.398212372593328</v>
      </c>
      <c r="H140" s="15">
        <f>((H41 * (1 - (_xlfn.XLOOKUP($E140,$D$22:$D$26,$E$22:$E$26)) - (_xlfn.XLOOKUP($E140,$D$31:$D$35,$E$31:$E$35))) - H53) * $F128)</f>
        <v>16.886759608793596</v>
      </c>
      <c r="I140" s="15">
        <f>((I41 * (1 - (_xlfn.XLOOKUP($E140,$D$22:$D$26,$E$22:$E$26)) - (_xlfn.XLOOKUP($E140,$D$31:$D$35,$E$31:$E$35))) - I53) * $F128)</f>
        <v>53.296229759519406</v>
      </c>
      <c r="J140" s="15">
        <f>((J41 * (1 - (_xlfn.XLOOKUP($E140,$D$22:$D$26,$E$22:$E$26)) - (_xlfn.XLOOKUP($E140,$D$31:$D$35,$E$31:$E$35))) - J53) * $F128)</f>
        <v>22.311364270880382</v>
      </c>
      <c r="K140" s="16" t="str">
        <f t="shared" si="4"/>
        <v>kg N</v>
      </c>
      <c r="O140" s="15" t="str">
        <f>INDEX(X_Table_Dairy_ProductionSystems_Method1,3,1)</f>
        <v>Milking shed</v>
      </c>
      <c r="P140" s="15" t="str">
        <f>INDEX(X_Table_Dairy_Stage1MMS_1_SumpAndDispersal,2,1)</f>
        <v>Sump and dispersal system</v>
      </c>
      <c r="Q140" s="15">
        <f>((Q41 * (1 - (_xlfn.XLOOKUP($P140,$D$22:$D$26,$E$22:$E$26)) - (_xlfn.XLOOKUP($P140,$D$31:$D$35,$E$31:$E$35))) - Q53) * $F128)</f>
        <v>92.824708217036019</v>
      </c>
      <c r="R140" s="15">
        <f>((R41 * (1 - (_xlfn.XLOOKUP($P140,$D$22:$D$26,$E$22:$E$26)) - (_xlfn.XLOOKUP($P140,$D$31:$D$35,$E$31:$E$35))) - R53) * $F128)</f>
        <v>42.398212372593328</v>
      </c>
      <c r="S140" s="15">
        <f>((S41 * (1 - (_xlfn.XLOOKUP($P140,$D$22:$D$26,$E$22:$E$26)) - (_xlfn.XLOOKUP($P140,$D$31:$D$35,$E$31:$E$35))) - S53) * $F128)</f>
        <v>16.886759608793596</v>
      </c>
      <c r="T140" s="15">
        <f>((T41 * (1 - (_xlfn.XLOOKUP($P140,$D$22:$D$26,$E$22:$E$26)) - (_xlfn.XLOOKUP($P140,$D$31:$D$35,$E$31:$E$35))) - T53) * $F128)</f>
        <v>53.296229759519406</v>
      </c>
      <c r="U140" s="15">
        <f>((U41 * (1 - (_xlfn.XLOOKUP($P140,$D$22:$D$26,$E$22:$E$26)) - (_xlfn.XLOOKUP($P140,$D$31:$D$35,$E$31:$E$35))) - U53) * $F128)</f>
        <v>22.311364270880382</v>
      </c>
      <c r="V140" s="16"/>
    </row>
    <row r="141" spans="1:22" ht="20.100000000000001" customHeight="1" x14ac:dyDescent="0.2">
      <c r="D141" s="15" t="str">
        <f>INDEX(X_Table_Dairy_ProductionSystems_Method1,3,1)</f>
        <v>Milking shed</v>
      </c>
      <c r="E141" s="15" t="str">
        <f>INDEX(X_Table_Dairy_Stage1MMS_1_DrainsToPaddock,2,1)</f>
        <v>Drains to paddock</v>
      </c>
      <c r="F141" s="15">
        <f>((F42 * (1 - (_xlfn.XLOOKUP($E141,$D$22:$D$26,$E$22:$E$26)) - (_xlfn.XLOOKUP($E141,$D$31:$D$35,$E$31:$E$35))) - F54) * $F129)</f>
        <v>79.849211369493361</v>
      </c>
      <c r="G141" s="15">
        <f>((G42 * (1 - (_xlfn.XLOOKUP($E141,$D$22:$D$26,$E$22:$E$26)) - (_xlfn.XLOOKUP($E141,$D$31:$D$35,$E$31:$E$35))) - G54) * $F129)</f>
        <v>36.471580535564158</v>
      </c>
      <c r="H141" s="15">
        <f>((H42 * (1 - (_xlfn.XLOOKUP($E141,$D$22:$D$26,$E$22:$E$26)) - (_xlfn.XLOOKUP($E141,$D$31:$D$35,$E$31:$E$35))) - H54) * $F129)</f>
        <v>14.526244824768686</v>
      </c>
      <c r="I141" s="15">
        <f>((I42 * (1 - (_xlfn.XLOOKUP($E141,$D$22:$D$26,$E$22:$E$26)) - (_xlfn.XLOOKUP($E141,$D$31:$D$35,$E$31:$E$35))) - I54) * $F129)</f>
        <v>45.846219147973692</v>
      </c>
      <c r="J141" s="15">
        <f>((J42 * (1 - (_xlfn.XLOOKUP($E141,$D$22:$D$26,$E$22:$E$26)) - (_xlfn.XLOOKUP($E141,$D$31:$D$35,$E$31:$E$35))) - J54) * $F129)</f>
        <v>19.192571415811084</v>
      </c>
      <c r="K141" s="16" t="str">
        <f t="shared" si="4"/>
        <v>kg N</v>
      </c>
      <c r="O141" s="15" t="str">
        <f>INDEX(X_Table_Dairy_ProductionSystems_Method1,3,1)</f>
        <v>Milking shed</v>
      </c>
      <c r="P141" s="15" t="str">
        <f>INDEX(X_Table_Dairy_Stage1MMS_1_DrainsToPaddock,2,1)</f>
        <v>Drains to paddock</v>
      </c>
      <c r="Q141" s="15">
        <f>((Q42 * (1 - (_xlfn.XLOOKUP($P141,$D$22:$D$26,$E$22:$E$26)) - (_xlfn.XLOOKUP($P141,$D$31:$D$35,$E$31:$E$35))) - Q54) * $F129)</f>
        <v>79.849211369493361</v>
      </c>
      <c r="R141" s="15">
        <f>((R42 * (1 - (_xlfn.XLOOKUP($P141,$D$22:$D$26,$E$22:$E$26)) - (_xlfn.XLOOKUP($P141,$D$31:$D$35,$E$31:$E$35))) - R54) * $F129)</f>
        <v>36.471580535564158</v>
      </c>
      <c r="S141" s="15">
        <f>((S42 * (1 - (_xlfn.XLOOKUP($P141,$D$22:$D$26,$E$22:$E$26)) - (_xlfn.XLOOKUP($P141,$D$31:$D$35,$E$31:$E$35))) - S54) * $F129)</f>
        <v>14.526244824768686</v>
      </c>
      <c r="T141" s="15">
        <f>((T42 * (1 - (_xlfn.XLOOKUP($P141,$D$22:$D$26,$E$22:$E$26)) - (_xlfn.XLOOKUP($P141,$D$31:$D$35,$E$31:$E$35))) - T54) * $F129)</f>
        <v>45.846219147973692</v>
      </c>
      <c r="U141" s="15">
        <f>((U42 * (1 - (_xlfn.XLOOKUP($P141,$D$22:$D$26,$E$22:$E$26)) - (_xlfn.XLOOKUP($P141,$D$31:$D$35,$E$31:$E$35))) - U54) * $F129)</f>
        <v>19.192571415811084</v>
      </c>
      <c r="V141" s="16"/>
    </row>
    <row r="142" spans="1:22" ht="20.100000000000001" customHeight="1" x14ac:dyDescent="0.2">
      <c r="D142" s="15" t="str">
        <f>INDEX(X_Table_Dairy_ProductionSystems_Method1,3,1)</f>
        <v>Milking shed</v>
      </c>
      <c r="E142" s="15" t="s">
        <v>75</v>
      </c>
      <c r="F142" s="15">
        <f>((F43 * (1 - (_xlfn.XLOOKUP($E142,$D$22:$D$26,$E$22:$E$26)) - (_xlfn.XLOOKUP($E142,$D$31:$D$35,$E$31:$E$35))) - F55) * $F130)</f>
        <v>134.74554418602003</v>
      </c>
      <c r="G142" s="15">
        <f>((G43 * (1 - (_xlfn.XLOOKUP($E142,$D$22:$D$26,$E$22:$E$26)) - (_xlfn.XLOOKUP($E142,$D$31:$D$35,$E$31:$E$35))) - G55) * $F130)</f>
        <v>61.545792153764516</v>
      </c>
      <c r="H142" s="15">
        <f>((H43 * (1 - (_xlfn.XLOOKUP($E142,$D$22:$D$26,$E$22:$E$26)) - (_xlfn.XLOOKUP($E142,$D$31:$D$35,$E$31:$E$35))) - H55) * $F130)</f>
        <v>24.51303814179715</v>
      </c>
      <c r="I142" s="15">
        <f>((I43 * (1 - (_xlfn.XLOOKUP($E142,$D$22:$D$26,$E$22:$E$26)) - (_xlfn.XLOOKUP($E142,$D$31:$D$35,$E$31:$E$35))) - I55) * $F130)</f>
        <v>77.365494812205597</v>
      </c>
      <c r="J142" s="15">
        <f>((J43 * (1 - (_xlfn.XLOOKUP($E142,$D$22:$D$26,$E$22:$E$26)) - (_xlfn.XLOOKUP($E142,$D$31:$D$35,$E$31:$E$35))) - J55) * $F130)</f>
        <v>32.387464264181197</v>
      </c>
      <c r="K142" s="16" t="str">
        <f t="shared" si="4"/>
        <v>kg N</v>
      </c>
      <c r="O142" s="15" t="str">
        <f>INDEX(X_Table_Dairy_ProductionSystems_Method1,3,1)</f>
        <v>Milking shed</v>
      </c>
      <c r="P142" s="15" t="s">
        <v>75</v>
      </c>
      <c r="Q142" s="15">
        <f>((Q43 * (1 - (_xlfn.XLOOKUP($P142,$D$22:$D$26,$E$22:$E$26)) - (_xlfn.XLOOKUP($P142,$D$31:$D$35,$E$31:$E$35))) - Q55) * $F130)</f>
        <v>134.74554418602003</v>
      </c>
      <c r="R142" s="15">
        <f>((R43 * (1 - (_xlfn.XLOOKUP($P142,$D$22:$D$26,$E$22:$E$26)) - (_xlfn.XLOOKUP($P142,$D$31:$D$35,$E$31:$E$35))) - R55) * $F130)</f>
        <v>61.545792153764516</v>
      </c>
      <c r="S142" s="15">
        <f>((S43 * (1 - (_xlfn.XLOOKUP($P142,$D$22:$D$26,$E$22:$E$26)) - (_xlfn.XLOOKUP($P142,$D$31:$D$35,$E$31:$E$35))) - S55) * $F130)</f>
        <v>24.51303814179715</v>
      </c>
      <c r="T142" s="15">
        <f>((T43 * (1 - (_xlfn.XLOOKUP($P142,$D$22:$D$26,$E$22:$E$26)) - (_xlfn.XLOOKUP($P142,$D$31:$D$35,$E$31:$E$35))) - T55) * $F130)</f>
        <v>77.365494812205597</v>
      </c>
      <c r="U142" s="15">
        <f>((U43 * (1 - (_xlfn.XLOOKUP($P142,$D$22:$D$26,$E$22:$E$26)) - (_xlfn.XLOOKUP($P142,$D$31:$D$35,$E$31:$E$35))) - U55) * $F130)</f>
        <v>32.387464264181197</v>
      </c>
      <c r="V142" s="16"/>
    </row>
    <row r="143" spans="1:22" ht="20.100000000000001" customHeight="1" x14ac:dyDescent="0.2">
      <c r="D143" s="15" t="str">
        <f>INDEX(X_Table_Dairy_ProductionSystems_Method1,4,1)</f>
        <v>Feed pad</v>
      </c>
      <c r="E143" s="15" t="str">
        <f>INDEX(X_Table_Dairy_Stage1MMS_2_AnaerobicLagoon,2,1)</f>
        <v>Anaerobic lagoon</v>
      </c>
      <c r="F143" s="15">
        <f>((F44 * (1 - (_xlfn.XLOOKUP($E143,$D$22:$D$26,$E$22:$E$26)) - (_xlfn.XLOOKUP($E143,$D$31:$D$35,$E$31:$E$35))) - F56) * $F131)</f>
        <v>262.45891350711304</v>
      </c>
      <c r="G143" s="15">
        <f>((G44 * (1 - (_xlfn.XLOOKUP($E143,$D$22:$D$26,$E$22:$E$26)) - (_xlfn.XLOOKUP($E143,$D$31:$D$35,$E$31:$E$35))) - G56) * $F131)</f>
        <v>119.87959852172649</v>
      </c>
      <c r="H143" s="15">
        <f>((H44 * (1 - (_xlfn.XLOOKUP($E143,$D$22:$D$26,$E$22:$E$26)) - (_xlfn.XLOOKUP($E143,$D$31:$D$35,$E$31:$E$35))) - H56) * $F131)</f>
        <v>47.746776313231159</v>
      </c>
      <c r="I143" s="15">
        <f>((I44 * (1 - (_xlfn.XLOOKUP($E143,$D$22:$D$26,$E$22:$E$26)) - (_xlfn.XLOOKUP($E143,$D$31:$D$35,$E$31:$E$35))) - I56) * $F131)</f>
        <v>150.69339646081124</v>
      </c>
      <c r="J143" s="15">
        <f>((J44 * (1 - (_xlfn.XLOOKUP($E143,$D$22:$D$26,$E$22:$E$26)) - (_xlfn.XLOOKUP($E143,$D$31:$D$35,$E$31:$E$35))) - J56) * $F131)</f>
        <v>63.084673659356305</v>
      </c>
      <c r="K143" s="16" t="str">
        <f t="shared" si="4"/>
        <v>kg N</v>
      </c>
      <c r="O143" s="15" t="str">
        <f>INDEX(X_Table_Dairy_ProductionSystems_Method1,4,1)</f>
        <v>Feed pad</v>
      </c>
      <c r="P143" s="15" t="str">
        <f>INDEX(X_Table_Dairy_Stage1MMS_2_AnaerobicLagoon,2,1)</f>
        <v>Anaerobic lagoon</v>
      </c>
      <c r="Q143" s="15">
        <f>((Q44 * (1 - (_xlfn.XLOOKUP($P143,$D$22:$D$26,$E$22:$E$26)) - (_xlfn.XLOOKUP($P143,$D$31:$D$35,$E$31:$E$35))) - Q56) * $F131)</f>
        <v>262.45891350711304</v>
      </c>
      <c r="R143" s="15">
        <f>((R44 * (1 - (_xlfn.XLOOKUP($P143,$D$22:$D$26,$E$22:$E$26)) - (_xlfn.XLOOKUP($P143,$D$31:$D$35,$E$31:$E$35))) - R56) * $F131)</f>
        <v>119.87959852172649</v>
      </c>
      <c r="S143" s="15">
        <f>((S44 * (1 - (_xlfn.XLOOKUP($P143,$D$22:$D$26,$E$22:$E$26)) - (_xlfn.XLOOKUP($P143,$D$31:$D$35,$E$31:$E$35))) - S56) * $F131)</f>
        <v>47.746776313231159</v>
      </c>
      <c r="T143" s="15">
        <f>((T44 * (1 - (_xlfn.XLOOKUP($P143,$D$22:$D$26,$E$22:$E$26)) - (_xlfn.XLOOKUP($P143,$D$31:$D$35,$E$31:$E$35))) - T56) * $F131)</f>
        <v>150.69339646081124</v>
      </c>
      <c r="U143" s="15">
        <f>((U44 * (1 - (_xlfn.XLOOKUP($P143,$D$22:$D$26,$E$22:$E$26)) - (_xlfn.XLOOKUP($P143,$D$31:$D$35,$E$31:$E$35))) - U56) * $F131)</f>
        <v>63.084673659356305</v>
      </c>
      <c r="V143" s="16"/>
    </row>
    <row r="144" spans="1:22" ht="20.100000000000001" customHeight="1" x14ac:dyDescent="0.2">
      <c r="D144" s="15" t="str">
        <f>INDEX(X_Table_Dairy_ProductionSystems_Method1,4,1)</f>
        <v>Feed pad</v>
      </c>
      <c r="E144" s="15" t="str">
        <f>INDEX(X_Table_Dairy_Stage1MMS_2_SumpAndDispersal,2,1)</f>
        <v>Sump and dispersal system</v>
      </c>
      <c r="F144" s="15">
        <f>((F45 * (1 - (_xlfn.XLOOKUP($E144,$D$22:$D$26,$E$22:$E$26)) - (_xlfn.XLOOKUP($E144,$D$31:$D$35,$E$31:$E$35))) - F57) * $F132)</f>
        <v>300.41451022968016</v>
      </c>
      <c r="G144" s="15">
        <f>((G45 * (1 - (_xlfn.XLOOKUP($E144,$D$22:$D$26,$E$22:$E$26)) - (_xlfn.XLOOKUP($E144,$D$31:$D$35,$E$31:$E$35))) - G57) * $F132)</f>
        <v>137.21603276948386</v>
      </c>
      <c r="H144" s="15">
        <f>((H45 * (1 - (_xlfn.XLOOKUP($E144,$D$22:$D$26,$E$22:$E$26)) - (_xlfn.XLOOKUP($E144,$D$31:$D$35,$E$31:$E$35))) - H57) * $F132)</f>
        <v>54.651694733913814</v>
      </c>
      <c r="I144" s="15">
        <f>((I45 * (1 - (_xlfn.XLOOKUP($E144,$D$22:$D$26,$E$22:$E$26)) - (_xlfn.XLOOKUP($E144,$D$31:$D$35,$E$31:$E$35))) - I57) * $F132)</f>
        <v>172.48597994899006</v>
      </c>
      <c r="J144" s="15">
        <f>((J45 * (1 - (_xlfn.XLOOKUP($E144,$D$22:$D$26,$E$22:$E$26)) - (_xlfn.XLOOKUP($E144,$D$31:$D$35,$E$31:$E$35))) - J57) * $F132)</f>
        <v>72.207688003940135</v>
      </c>
      <c r="K144" s="16" t="str">
        <f t="shared" si="4"/>
        <v>kg N</v>
      </c>
      <c r="O144" s="15" t="str">
        <f>INDEX(X_Table_Dairy_ProductionSystems_Method1,4,1)</f>
        <v>Feed pad</v>
      </c>
      <c r="P144" s="15" t="str">
        <f>INDEX(X_Table_Dairy_Stage1MMS_2_SumpAndDispersal,2,1)</f>
        <v>Sump and dispersal system</v>
      </c>
      <c r="Q144" s="15">
        <f>((Q45 * (1 - (_xlfn.XLOOKUP($P144,$D$22:$D$26,$E$22:$E$26)) - (_xlfn.XLOOKUP($P144,$D$31:$D$35,$E$31:$E$35))) - Q57) * $F132)</f>
        <v>300.41451022968016</v>
      </c>
      <c r="R144" s="15">
        <f>((R45 * (1 - (_xlfn.XLOOKUP($P144,$D$22:$D$26,$E$22:$E$26)) - (_xlfn.XLOOKUP($P144,$D$31:$D$35,$E$31:$E$35))) - R57) * $F132)</f>
        <v>137.21603276948386</v>
      </c>
      <c r="S144" s="15">
        <f>((S45 * (1 - (_xlfn.XLOOKUP($P144,$D$22:$D$26,$E$22:$E$26)) - (_xlfn.XLOOKUP($P144,$D$31:$D$35,$E$31:$E$35))) - S57) * $F132)</f>
        <v>54.651694733913814</v>
      </c>
      <c r="T144" s="15">
        <f>((T45 * (1 - (_xlfn.XLOOKUP($P144,$D$22:$D$26,$E$22:$E$26)) - (_xlfn.XLOOKUP($P144,$D$31:$D$35,$E$31:$E$35))) - T57) * $F132)</f>
        <v>172.48597994899006</v>
      </c>
      <c r="U144" s="15">
        <f>((U45 * (1 - (_xlfn.XLOOKUP($P144,$D$22:$D$26,$E$22:$E$26)) - (_xlfn.XLOOKUP($P144,$D$31:$D$35,$E$31:$E$35))) - U57) * $F132)</f>
        <v>72.207688003940135</v>
      </c>
      <c r="V144" s="16"/>
    </row>
    <row r="145" spans="4:22" ht="20.100000000000001" customHeight="1" x14ac:dyDescent="0.2">
      <c r="D145" s="15" t="str">
        <f>INDEX(X_Table_Dairy_ProductionSystems_Method1,4,1)</f>
        <v>Feed pad</v>
      </c>
      <c r="E145" s="15" t="str">
        <f>INDEX(X_Table_Dairy_Stage1MMS_2_DrainsToPaddock,2,1)</f>
        <v>Drains to paddock</v>
      </c>
      <c r="F145" s="15">
        <f>((F46 * (1 - (_xlfn.XLOOKUP($E145,$D$22:$D$26,$E$22:$E$26)) - (_xlfn.XLOOKUP($E145,$D$31:$D$35,$E$31:$E$35))) - F58) * $F133)</f>
        <v>258.42108406854209</v>
      </c>
      <c r="G145" s="15">
        <f>((G46 * (1 - (_xlfn.XLOOKUP($E145,$D$22:$D$26,$E$22:$E$26)) - (_xlfn.XLOOKUP($E145,$D$31:$D$35,$E$31:$E$35))) - G58) * $F133)</f>
        <v>118.03529700600764</v>
      </c>
      <c r="H145" s="15">
        <f>((H46 * (1 - (_xlfn.XLOOKUP($E145,$D$22:$D$26,$E$22:$E$26)) - (_xlfn.XLOOKUP($E145,$D$31:$D$35,$E$31:$E$35))) - H58) * $F133)</f>
        <v>47.012210523796831</v>
      </c>
      <c r="I145" s="15">
        <f>((I46 * (1 - (_xlfn.XLOOKUP($E145,$D$22:$D$26,$E$22:$E$26)) - (_xlfn.XLOOKUP($E145,$D$31:$D$35,$E$31:$E$35))) - I58) * $F133)</f>
        <v>148.37503651526029</v>
      </c>
      <c r="J145" s="15">
        <f>((J46 * (1 - (_xlfn.XLOOKUP($E145,$D$22:$D$26,$E$22:$E$26)) - (_xlfn.XLOOKUP($E145,$D$31:$D$35,$E$31:$E$35))) - J58) * $F133)</f>
        <v>62.114140218443133</v>
      </c>
      <c r="K145" s="16" t="str">
        <f t="shared" si="4"/>
        <v>kg N</v>
      </c>
      <c r="O145" s="15" t="str">
        <f>INDEX(X_Table_Dairy_ProductionSystems_Method1,4,1)</f>
        <v>Feed pad</v>
      </c>
      <c r="P145" s="15" t="str">
        <f>INDEX(X_Table_Dairy_Stage1MMS_2_DrainsToPaddock,2,1)</f>
        <v>Drains to paddock</v>
      </c>
      <c r="Q145" s="15">
        <f>((Q46 * (1 - (_xlfn.XLOOKUP($P145,$D$22:$D$26,$E$22:$E$26)) - (_xlfn.XLOOKUP($P145,$D$31:$D$35,$E$31:$E$35))) - Q58) * $F133)</f>
        <v>258.42108406854209</v>
      </c>
      <c r="R145" s="15">
        <f>((R46 * (1 - (_xlfn.XLOOKUP($P145,$D$22:$D$26,$E$22:$E$26)) - (_xlfn.XLOOKUP($P145,$D$31:$D$35,$E$31:$E$35))) - R58) * $F133)</f>
        <v>118.03529700600764</v>
      </c>
      <c r="S145" s="15">
        <f>((S46 * (1 - (_xlfn.XLOOKUP($P145,$D$22:$D$26,$E$22:$E$26)) - (_xlfn.XLOOKUP($P145,$D$31:$D$35,$E$31:$E$35))) - S58) * $F133)</f>
        <v>47.012210523796831</v>
      </c>
      <c r="T145" s="15">
        <f>((T46 * (1 - (_xlfn.XLOOKUP($P145,$D$22:$D$26,$E$22:$E$26)) - (_xlfn.XLOOKUP($P145,$D$31:$D$35,$E$31:$E$35))) - T58) * $F133)</f>
        <v>148.37503651526029</v>
      </c>
      <c r="U145" s="15">
        <f>((U46 * (1 - (_xlfn.XLOOKUP($P145,$D$22:$D$26,$E$22:$E$26)) - (_xlfn.XLOOKUP($P145,$D$31:$D$35,$E$31:$E$35))) - U58) * $F133)</f>
        <v>62.114140218443133</v>
      </c>
      <c r="V145" s="16"/>
    </row>
    <row r="146" spans="4:22" ht="20.100000000000001" customHeight="1" x14ac:dyDescent="0.2">
      <c r="D146" s="15" t="str">
        <f>INDEX(X_Table_Dairy_ProductionSystems_Method1,4,1)</f>
        <v>Feed pad</v>
      </c>
      <c r="E146" s="15" t="s">
        <v>75</v>
      </c>
      <c r="F146" s="15">
        <f>((F47 * (1 - (_xlfn.XLOOKUP($E146,$D$22:$D$26,$E$22:$E$26)) - (_xlfn.XLOOKUP($E146,$D$31:$D$35,$E$31:$E$35))) - F59) * $F134)</f>
        <v>381.57488194495664</v>
      </c>
      <c r="G146" s="15">
        <f>((G47 * (1 - (_xlfn.XLOOKUP($E146,$D$22:$D$26,$E$22:$E$26)) - (_xlfn.XLOOKUP($E146,$D$31:$D$35,$E$31:$E$35))) - G59) * $F134)</f>
        <v>174.28649323543314</v>
      </c>
      <c r="H146" s="15">
        <f>((H47 * (1 - (_xlfn.XLOOKUP($E146,$D$22:$D$26,$E$22:$E$26)) - (_xlfn.XLOOKUP($E146,$D$31:$D$35,$E$31:$E$35))) - H59) * $F134)</f>
        <v>69.416467101543759</v>
      </c>
      <c r="I146" s="15">
        <f>((I47 * (1 - (_xlfn.XLOOKUP($E146,$D$22:$D$26,$E$22:$E$26)) - (_xlfn.XLOOKUP($E146,$D$31:$D$35,$E$31:$E$35))) - I59) * $F134)</f>
        <v>219.08501485456401</v>
      </c>
      <c r="J146" s="15">
        <f>((J47 * (1 - (_xlfn.XLOOKUP($E146,$D$22:$D$26,$E$22:$E$26)) - (_xlfn.XLOOKUP($E146,$D$31:$D$35,$E$31:$E$35))) - J59) * $F134)</f>
        <v>91.715410166294944</v>
      </c>
      <c r="K146" s="16" t="str">
        <f t="shared" si="4"/>
        <v>kg N</v>
      </c>
      <c r="O146" s="15" t="str">
        <f>INDEX(X_Table_Dairy_ProductionSystems_Method1,4,1)</f>
        <v>Feed pad</v>
      </c>
      <c r="P146" s="15" t="s">
        <v>75</v>
      </c>
      <c r="Q146" s="15">
        <f>((Q47 * (1 - (_xlfn.XLOOKUP($P146,$D$22:$D$26,$E$22:$E$26)) - (_xlfn.XLOOKUP($P146,$D$31:$D$35,$E$31:$E$35))) - Q59) * $F134)</f>
        <v>381.57488194495664</v>
      </c>
      <c r="R146" s="15">
        <f>((R47 * (1 - (_xlfn.XLOOKUP($P146,$D$22:$D$26,$E$22:$E$26)) - (_xlfn.XLOOKUP($P146,$D$31:$D$35,$E$31:$E$35))) - R59) * $F134)</f>
        <v>174.28649323543314</v>
      </c>
      <c r="S146" s="15">
        <f>((S47 * (1 - (_xlfn.XLOOKUP($P146,$D$22:$D$26,$E$22:$E$26)) - (_xlfn.XLOOKUP($P146,$D$31:$D$35,$E$31:$E$35))) - S59) * $F134)</f>
        <v>69.416467101543759</v>
      </c>
      <c r="T146" s="15">
        <f>((T47 * (1 - (_xlfn.XLOOKUP($P146,$D$22:$D$26,$E$22:$E$26)) - (_xlfn.XLOOKUP($P146,$D$31:$D$35,$E$31:$E$35))) - T59) * $F134)</f>
        <v>219.08501485456401</v>
      </c>
      <c r="U146" s="15">
        <f>((U47 * (1 - (_xlfn.XLOOKUP($P146,$D$22:$D$26,$E$22:$E$26)) - (_xlfn.XLOOKUP($P146,$D$31:$D$35,$E$31:$E$35))) - U59) * $F134)</f>
        <v>91.715410166294944</v>
      </c>
      <c r="V146" s="16"/>
    </row>
    <row r="148" spans="4:22" ht="20.100000000000001" customHeight="1" x14ac:dyDescent="0.2">
      <c r="D148" s="87" t="s">
        <v>579</v>
      </c>
      <c r="E148" s="90">
        <f>SUM(F139:J146)</f>
        <v>3864.1929695395502</v>
      </c>
      <c r="F148" s="89" t="str">
        <f>$E$95</f>
        <v>kg N</v>
      </c>
      <c r="O148" s="87" t="s">
        <v>579</v>
      </c>
      <c r="P148" s="90">
        <f>SUM(Q139:U146)</f>
        <v>3864.1929695395502</v>
      </c>
      <c r="Q148" s="89" t="str">
        <f>$E$95</f>
        <v>kg N</v>
      </c>
    </row>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DE333DFC-1069-4C2B-9B0B-0B452F53B78B}"/>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E368-4B25-43DC-B398-4E6FABB0DCEB}">
  <sheetPr>
    <tabColor rgb="FF008000"/>
  </sheetPr>
  <dimension ref="A1:W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style="98"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169</v>
      </c>
      <c r="M1" s="98"/>
    </row>
    <row r="2" spans="1:23" s="3" customFormat="1" ht="20.100000000000001" customHeight="1" x14ac:dyDescent="0.2">
      <c r="A2"/>
      <c r="M2" s="98"/>
    </row>
    <row r="3" spans="1:23" ht="20.100000000000001" customHeight="1" x14ac:dyDescent="0.2">
      <c r="A3" s="5" t="str">
        <f>HYPERLINK("#'Home'!A1", "Home")</f>
        <v>Home</v>
      </c>
      <c r="C3" s="22"/>
      <c r="D3" s="22"/>
      <c r="E3" s="22"/>
      <c r="F3" s="22"/>
      <c r="G3" s="22"/>
      <c r="H3" s="22"/>
      <c r="I3" s="22"/>
      <c r="J3" s="22"/>
      <c r="K3" s="22"/>
      <c r="L3" s="22"/>
      <c r="N3" s="22"/>
      <c r="O3" s="22"/>
      <c r="P3" s="22"/>
      <c r="Q3" s="22"/>
      <c r="R3" s="22"/>
      <c r="S3" s="22"/>
      <c r="T3" s="22"/>
      <c r="U3" s="22"/>
      <c r="V3" s="22"/>
      <c r="W3" s="22"/>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D5" s="2" t="s">
        <v>1647</v>
      </c>
    </row>
    <row r="6" spans="1:23" ht="20.100000000000001" customHeight="1" x14ac:dyDescent="0.2">
      <c r="A6" s="5" t="str">
        <f>HYPERLINK("#'Results'!A1", "Results")</f>
        <v>Results</v>
      </c>
      <c r="D6" s="17" t="s">
        <v>1648</v>
      </c>
    </row>
    <row r="7" spans="1:23" ht="20.100000000000001" customHeight="1" x14ac:dyDescent="0.2">
      <c r="D7" s="118"/>
      <c r="E7" s="118"/>
    </row>
    <row r="9" spans="1:23" ht="20.100000000000001" customHeight="1" x14ac:dyDescent="0.2">
      <c r="A9" s="7" t="s">
        <v>0</v>
      </c>
      <c r="D9" s="2"/>
    </row>
    <row r="10" spans="1:23" ht="20.100000000000001" customHeight="1" x14ac:dyDescent="0.2">
      <c r="A10" s="5" t="str">
        <f>HYPERLINK("#'Input - Enterprise'!A1", "Enterprise")</f>
        <v>Enterprise</v>
      </c>
      <c r="D10" s="76" t="s">
        <v>378</v>
      </c>
      <c r="E10" s="1" t="s">
        <v>1649</v>
      </c>
    </row>
    <row r="11" spans="1:23" ht="20.100000000000001" customHeight="1" x14ac:dyDescent="0.2">
      <c r="A11" s="5" t="str">
        <f>HYPERLINK("#'Input - Site'!A1", "Site")</f>
        <v>Site</v>
      </c>
      <c r="D11" s="76" t="s">
        <v>118</v>
      </c>
      <c r="E11" s="9" t="s">
        <v>1301</v>
      </c>
    </row>
    <row r="12" spans="1:23" ht="20.100000000000001" customHeight="1" x14ac:dyDescent="0.2">
      <c r="A12" s="5" t="str">
        <f>HYPERLINK("#'Input - Dairy'!A1", "Dairy")</f>
        <v>Dairy</v>
      </c>
    </row>
    <row r="13" spans="1:23" ht="20.100000000000001" customHeight="1" x14ac:dyDescent="0.2">
      <c r="A13" s="5" t="str">
        <f>HYPERLINK("#'Input - Livestock sales'!A1", "Livestock sales")</f>
        <v>Livestock sales</v>
      </c>
      <c r="D13" s="120" t="s">
        <v>1650</v>
      </c>
      <c r="E13" s="125" t="s">
        <v>1651</v>
      </c>
      <c r="F13" s="126"/>
      <c r="G13" s="120" t="s">
        <v>1301</v>
      </c>
      <c r="H13" s="128" t="s">
        <v>1653</v>
      </c>
      <c r="I13" s="127" t="str" cm="1">
        <f t="array" aca="1" ref="I13" ca="1">HYPERLINK(Common_InputFunctions.Utility_SourceHyperlink($D$16),$D$16)</f>
        <v>M1_Table_AE_j</v>
      </c>
    </row>
    <row r="14" spans="1:23" ht="20.100000000000001" customHeight="1" x14ac:dyDescent="0.2">
      <c r="A14" s="5" t="str">
        <f>HYPERLINK("#'Input - Dairy cattle purchases'!A1", "Dairy cattle purchases")</f>
        <v>Dairy cattle purchases</v>
      </c>
      <c r="D14" s="120" t="s">
        <v>1553</v>
      </c>
      <c r="E14" s="125" t="s">
        <v>1652</v>
      </c>
      <c r="F14" s="126"/>
      <c r="G14" s="120" t="s">
        <v>383</v>
      </c>
      <c r="H14" s="121" t="s">
        <v>1469</v>
      </c>
      <c r="I14" s="127" t="str" cm="1">
        <f t="array" aca="1" ref="I14" ca="1">HYPERLINK(Common_InputFunctions.Utility_SourceHyperlink($D$22),$D$22)</f>
        <v>M1_Table_MMS_j_m-14</v>
      </c>
    </row>
    <row r="15" spans="1:23" ht="20.100000000000001" customHeight="1" x14ac:dyDescent="0.2">
      <c r="A15" s="5" t="str">
        <f>HYPERLINK("#'Input - Pasture'!A1", "Pasture")</f>
        <v>Pasture</v>
      </c>
    </row>
    <row r="16" spans="1:23" ht="20.100000000000001" customHeight="1" x14ac:dyDescent="0.2">
      <c r="A16" s="5" t="str">
        <f>HYPERLINK("#'Input - Fert Prod System'!A1", "Fert Prod System")</f>
        <v>Fert Prod System</v>
      </c>
      <c r="D16" s="122" t="s">
        <v>510</v>
      </c>
      <c r="O16" s="122" t="s">
        <v>580</v>
      </c>
    </row>
    <row r="17" spans="1:22" ht="20.100000000000001" customHeight="1" x14ac:dyDescent="0.2">
      <c r="A17" s="5" t="str">
        <f>HYPERLINK("#'Input - Fertiliser'!A1", "Fertiliser")</f>
        <v>Fertiliser</v>
      </c>
      <c r="D17" s="123" t="s">
        <v>581</v>
      </c>
      <c r="O17" s="123" t="s">
        <v>582</v>
      </c>
    </row>
    <row r="18" spans="1:22" ht="20.100000000000001" customHeight="1" x14ac:dyDescent="0.2">
      <c r="A18" s="5" t="str">
        <f>HYPERLINK("#'Input - Fuel'!A1", "Fuel")</f>
        <v>Fuel</v>
      </c>
      <c r="D18" s="124" t="s">
        <v>330</v>
      </c>
      <c r="E18" s="124" t="s">
        <v>331</v>
      </c>
      <c r="F18" s="124" t="s">
        <v>332</v>
      </c>
      <c r="G18" s="124" t="s">
        <v>333</v>
      </c>
      <c r="H18" s="124" t="s">
        <v>334</v>
      </c>
      <c r="O18" s="124" t="s">
        <v>330</v>
      </c>
      <c r="P18" s="124" t="s">
        <v>331</v>
      </c>
      <c r="Q18" s="124" t="s">
        <v>332</v>
      </c>
      <c r="R18" s="124" t="s">
        <v>333</v>
      </c>
      <c r="S18" s="124" t="s">
        <v>334</v>
      </c>
    </row>
    <row r="19" spans="1:22" ht="20.100000000000001" customHeight="1" x14ac:dyDescent="0.2">
      <c r="A19" s="5" t="str">
        <f>HYPERLINK("#'Input - Electricity'!A1", "Electricity")</f>
        <v>Electricity</v>
      </c>
      <c r="D19" s="15">
        <f>INDEX(M1_Table_AE_j124,2,1)</f>
        <v>18147.548038521214</v>
      </c>
      <c r="E19" s="15">
        <f>INDEX(M1_Table_AE_j124,2,2)</f>
        <v>8288.9955762645804</v>
      </c>
      <c r="F19" s="15">
        <f>INDEX(M1_Table_AE_j_Consumer_1,2,3)</f>
        <v>3301.419278356519</v>
      </c>
      <c r="G19" s="15">
        <f>INDEX(M1_Table_AE_j124,2,4)</f>
        <v>10419.59526090311</v>
      </c>
      <c r="H19" s="15">
        <f>INDEX(M1_Table_AE_j_Consumer_1,2,5)</f>
        <v>4361.9480490479727</v>
      </c>
      <c r="I19" s="16" t="str">
        <f>$G$13</f>
        <v>kg N</v>
      </c>
      <c r="O19" s="15">
        <f>INDEX(M2_Table_AE_j124,2,1)</f>
        <v>18147.548038521214</v>
      </c>
      <c r="P19" s="15">
        <f>INDEX(M2_Table_AE_j124,2,2)</f>
        <v>8288.9955762645804</v>
      </c>
      <c r="Q19" s="15">
        <f>INDEX(M1_Table_AE_j,2,3)</f>
        <v>3301.419278356519</v>
      </c>
      <c r="R19" s="15">
        <f>INDEX(M2_Table_AE_j124,2,4)</f>
        <v>10419.59526090311</v>
      </c>
      <c r="S19" s="15">
        <f>INDEX(M1_Table_AE_j,2,5)</f>
        <v>4361.9480490479727</v>
      </c>
      <c r="T19" s="16" t="str">
        <f>$G$13</f>
        <v>kg N</v>
      </c>
    </row>
    <row r="20" spans="1:22" ht="20.100000000000001" customHeight="1" x14ac:dyDescent="0.2">
      <c r="A20" s="5" t="str">
        <f>HYPERLINK("#'Input - Common farm inputs'!A1", "Common farm inputs")</f>
        <v>Common farm inputs</v>
      </c>
    </row>
    <row r="21" spans="1:22" ht="20.100000000000001" customHeight="1" x14ac:dyDescent="0.2">
      <c r="A21" s="5" t="str">
        <f>HYPERLINK("#'Input - Crop pasture farm input'!A1", "Crop pasture farm input")</f>
        <v>Crop pasture farm input</v>
      </c>
    </row>
    <row r="22" spans="1:22" ht="20.100000000000001" customHeight="1" x14ac:dyDescent="0.2">
      <c r="A22" s="5" t="str">
        <f>HYPERLINK("#'Input - Livestock farm Inputs'!A1", "Livestock farm Inputs")</f>
        <v>Livestock farm Inputs</v>
      </c>
      <c r="D22" s="122" t="s">
        <v>583</v>
      </c>
      <c r="O22" s="122" t="s">
        <v>584</v>
      </c>
    </row>
    <row r="23" spans="1:22" ht="20.100000000000001" customHeight="1" x14ac:dyDescent="0.2">
      <c r="A23" s="5" t="str">
        <f>HYPERLINK("#'Input - Freight'!A1", "Freight")</f>
        <v>Freight</v>
      </c>
      <c r="D23" s="123" t="s">
        <v>585</v>
      </c>
      <c r="O23" s="123" t="s">
        <v>586</v>
      </c>
    </row>
    <row r="24" spans="1:22" ht="20.100000000000001" customHeight="1" x14ac:dyDescent="0.2">
      <c r="A24" s="5" t="str">
        <f>HYPERLINK("#'Input - Solid waste'!A1", "Solid waste")</f>
        <v>Solid waste</v>
      </c>
      <c r="D24" s="81" t="s">
        <v>159</v>
      </c>
      <c r="E24" s="81" t="s">
        <v>422</v>
      </c>
      <c r="F24" s="81" t="s">
        <v>330</v>
      </c>
      <c r="G24" s="81" t="s">
        <v>331</v>
      </c>
      <c r="H24" s="81" t="s">
        <v>332</v>
      </c>
      <c r="I24" s="81" t="s">
        <v>333</v>
      </c>
      <c r="J24" s="81" t="s">
        <v>334</v>
      </c>
      <c r="O24" s="81" t="s">
        <v>159</v>
      </c>
      <c r="P24" s="81" t="s">
        <v>422</v>
      </c>
      <c r="Q24" s="81" t="s">
        <v>330</v>
      </c>
      <c r="R24" s="81" t="s">
        <v>331</v>
      </c>
      <c r="S24" s="81" t="s">
        <v>332</v>
      </c>
      <c r="T24" s="81" t="s">
        <v>333</v>
      </c>
      <c r="U24" s="81" t="s">
        <v>334</v>
      </c>
    </row>
    <row r="25" spans="1:22" ht="20.100000000000001" customHeight="1" x14ac:dyDescent="0.2">
      <c r="A25" s="5" t="str">
        <f>HYPERLINK("#'Input - Manure sent off-site'!A1", "Manure sent off-site")</f>
        <v>Manure sent off-site</v>
      </c>
      <c r="D25" s="15" t="str">
        <f>INDEX(X_Table_Dairy_ProductionSystems_Method1,2,1)</f>
        <v>Pasture</v>
      </c>
      <c r="E25" s="15" t="str">
        <f>'Constants - Common Livestock'!$E$27</f>
        <v>Pasture range and paddock</v>
      </c>
      <c r="F25" s="15">
        <f>INDEX(X_Table_Dairy_ProductionSystems_Method1,2,2)</f>
        <v>0.53400000000000003</v>
      </c>
      <c r="G25" s="15">
        <f>INDEX(X_Table_Dairy_ProductionSystems_Method1,2,3)</f>
        <v>0.53400000000000003</v>
      </c>
      <c r="H25" s="15">
        <f>INDEX(X_Table_Dairy_ProductionSystems_Method1,2,4)</f>
        <v>0.53400000000000003</v>
      </c>
      <c r="I25" s="15">
        <f>INDEX(X_Table_Dairy_ProductionSystems_Method1,2,5)</f>
        <v>0.53400000000000003</v>
      </c>
      <c r="J25" s="15">
        <f>INDEX(X_Table_Dairy_ProductionSystems_Method1,2,6)</f>
        <v>0.53400000000000003</v>
      </c>
      <c r="K25" s="16" t="str">
        <f>$G$14</f>
        <v>fraction</v>
      </c>
      <c r="O25" s="15" t="str">
        <f>INDEX(X_Table_Dairy_ProductionSystems_Method1,2,1)</f>
        <v>Pasture</v>
      </c>
      <c r="P25" s="15" t="str">
        <f>'Constants - Common Livestock'!$E$27</f>
        <v>Pasture range and paddock</v>
      </c>
      <c r="Q25" s="15">
        <f>INDEX(X_Table_Dairy_ProductionSystems_Method2,2,2)</f>
        <v>0.53400000000000003</v>
      </c>
      <c r="R25" s="15">
        <f>INDEX(X_Table_Dairy_ProductionSystems_Method2,2,3)</f>
        <v>0.53400000000000003</v>
      </c>
      <c r="S25" s="15">
        <f>INDEX(X_Table_Dairy_ProductionSystems_Method2,2,4)</f>
        <v>0.53400000000000003</v>
      </c>
      <c r="T25" s="15">
        <f>INDEX(X_Table_Dairy_ProductionSystems_Method2,2,5)</f>
        <v>0.53400000000000003</v>
      </c>
      <c r="U25" s="15">
        <f>INDEX(X_Table_Dairy_ProductionSystems_Method2,2,6)</f>
        <v>0.53400000000000003</v>
      </c>
      <c r="V25" s="16" t="str">
        <f>$G$14</f>
        <v>fraction</v>
      </c>
    </row>
    <row r="26" spans="1:22" ht="20.100000000000001" customHeight="1" x14ac:dyDescent="0.2">
      <c r="A26" s="5" t="str">
        <f>HYPERLINK("#'Input - Refrigerants'!A1", "Refrigerants")</f>
        <v>Refrigerants</v>
      </c>
    </row>
    <row r="27" spans="1:22" ht="20.100000000000001" customHeight="1" x14ac:dyDescent="0.2">
      <c r="A27" s="5" t="str">
        <f>HYPERLINK("#'Input - Data quality'!A1", "Data quality")</f>
        <v>Data quality</v>
      </c>
      <c r="Q27" s="137"/>
    </row>
    <row r="28" spans="1:22" ht="20.100000000000001" customHeight="1" x14ac:dyDescent="0.2">
      <c r="D28" s="122" t="s">
        <v>587</v>
      </c>
      <c r="O28" s="122" t="s">
        <v>588</v>
      </c>
    </row>
    <row r="29" spans="1:22" ht="20.100000000000001" customHeight="1" x14ac:dyDescent="0.2">
      <c r="D29" s="123" t="s">
        <v>589</v>
      </c>
      <c r="O29" s="123" t="s">
        <v>590</v>
      </c>
    </row>
    <row r="30" spans="1:22" ht="20.100000000000001" customHeight="1" x14ac:dyDescent="0.2">
      <c r="A30" s="6" t="s">
        <v>2</v>
      </c>
      <c r="D30" s="124" t="s">
        <v>159</v>
      </c>
      <c r="E30" s="124" t="s">
        <v>422</v>
      </c>
      <c r="F30" s="124" t="s">
        <v>330</v>
      </c>
      <c r="G30" s="124" t="s">
        <v>331</v>
      </c>
      <c r="H30" s="124" t="s">
        <v>332</v>
      </c>
      <c r="I30" s="124" t="s">
        <v>333</v>
      </c>
      <c r="J30" s="124" t="s">
        <v>334</v>
      </c>
      <c r="O30" s="124" t="s">
        <v>159</v>
      </c>
      <c r="P30" s="124" t="s">
        <v>422</v>
      </c>
      <c r="Q30" s="124" t="s">
        <v>330</v>
      </c>
      <c r="R30" s="124" t="s">
        <v>331</v>
      </c>
      <c r="S30" s="124" t="s">
        <v>332</v>
      </c>
      <c r="T30" s="124" t="s">
        <v>333</v>
      </c>
      <c r="U30" s="124" t="s">
        <v>334</v>
      </c>
    </row>
    <row r="31" spans="1:22" ht="20.100000000000001" customHeight="1" x14ac:dyDescent="0.2">
      <c r="A31" s="5" t="str">
        <f>HYPERLINK("#'3.3.1.1-2 Enteric Methane'!A1", "3.3.1.1-2 Enteric methane")</f>
        <v>3.3.1.1-2 Enteric methane</v>
      </c>
      <c r="D31" s="15" t="str">
        <f>INDEX(X_Table_Dairy_ProductionSystems_Method1,2,1)</f>
        <v>Pasture</v>
      </c>
      <c r="E31" s="15" t="str">
        <f>'Constants - Common Livestock'!$E$27</f>
        <v>Pasture range and paddock</v>
      </c>
      <c r="F31" s="15">
        <f>(D19 * F25)</f>
        <v>9690.7906525703293</v>
      </c>
      <c r="G31" s="15">
        <f>(E19 * G25)</f>
        <v>4426.3236377252861</v>
      </c>
      <c r="H31" s="15">
        <f>(F19 * H25)</f>
        <v>1762.9578946423812</v>
      </c>
      <c r="I31" s="15">
        <f>(G19 * I25)</f>
        <v>5564.0638693222609</v>
      </c>
      <c r="J31" s="15">
        <f>(H19 * J25)</f>
        <v>2329.2802581916176</v>
      </c>
      <c r="K31" s="16" t="str">
        <f>$E$11</f>
        <v>kg N</v>
      </c>
      <c r="O31" s="15" t="str">
        <f>INDEX(X_Table_Dairy_ProductionSystems_Method1,2,1)</f>
        <v>Pasture</v>
      </c>
      <c r="P31" s="15" t="str">
        <f>'Constants - Common Livestock'!$E$27</f>
        <v>Pasture range and paddock</v>
      </c>
      <c r="Q31" s="15">
        <f>(O19 * Q25)</f>
        <v>9690.7906525703293</v>
      </c>
      <c r="R31" s="15">
        <f>(P19 * R25)</f>
        <v>4426.3236377252861</v>
      </c>
      <c r="S31" s="15">
        <f>(Q19 * S25)</f>
        <v>1762.9578946423812</v>
      </c>
      <c r="T31" s="15">
        <f>(R19 * T25)</f>
        <v>5564.0638693222609</v>
      </c>
      <c r="U31" s="15">
        <f>(S19 * U25)</f>
        <v>2329.2802581916176</v>
      </c>
      <c r="V31" s="16" t="str">
        <f>$E$11</f>
        <v>kg N</v>
      </c>
    </row>
    <row r="32" spans="1:22" ht="20.100000000000001" customHeight="1" x14ac:dyDescent="0.2">
      <c r="A32" s="5" t="str">
        <f>HYPERLINK("#'4.3.1.1-2 Methane'!A1", "4.3.1.1-2 Manure methane")</f>
        <v>4.3.1.1-2 Manure methane</v>
      </c>
    </row>
    <row r="33" spans="1:23" ht="20.100000000000001" customHeight="1" x14ac:dyDescent="0.2">
      <c r="A33" s="5" t="str">
        <f>HYPERLINK("#'4.3.1.3-4 Direct N20'!A1", "4.3.1.3-4 Direct N20")</f>
        <v>4.3.1.3-4 Direct N20</v>
      </c>
    </row>
    <row r="34" spans="1:23" ht="20.100000000000001" customHeight="1" x14ac:dyDescent="0.2">
      <c r="A34" s="5" t="str">
        <f>HYPERLINK("#'4.3.1.5 Atmos deposition'!A1", "4.3.1.5 Atmos deposition")</f>
        <v>4.3.1.5 Atmos deposition</v>
      </c>
      <c r="C34" s="88"/>
      <c r="D34" s="88"/>
      <c r="E34" s="88"/>
      <c r="F34" s="88"/>
      <c r="G34" s="88"/>
      <c r="H34" s="88"/>
      <c r="I34" s="88"/>
      <c r="J34" s="88"/>
      <c r="K34" s="88"/>
      <c r="L34" s="88"/>
      <c r="N34" s="88"/>
      <c r="O34" s="88"/>
      <c r="P34" s="88"/>
      <c r="Q34" s="88"/>
      <c r="R34" s="88"/>
      <c r="S34" s="88"/>
      <c r="T34" s="88"/>
      <c r="U34" s="88"/>
      <c r="V34" s="88"/>
      <c r="W34" s="88"/>
    </row>
    <row r="35" spans="1:23" ht="20.100000000000001" customHeight="1" x14ac:dyDescent="0.2">
      <c r="A35" s="5" t="str">
        <f>HYPERLINK("#'4.3.1.6-7 Leaching and runoff'!A1", "4.3.1.6-7 Leaching &amp; runoff")</f>
        <v>4.3.1.6-7 Leaching &amp; runoff</v>
      </c>
      <c r="D35" s="2" t="s">
        <v>1711</v>
      </c>
    </row>
    <row r="36" spans="1:23" ht="20.100000000000001" customHeight="1" x14ac:dyDescent="0.2">
      <c r="A36" s="5" t="str">
        <f>HYPERLINK("#'4.3.1.8 Manure applied to soils'!A1", "4.3.1.8 Manure applied to soils")</f>
        <v>4.3.1.8 Manure applied to soils</v>
      </c>
      <c r="D36" s="17" t="s">
        <v>1712</v>
      </c>
    </row>
    <row r="37" spans="1:23" ht="20.100000000000001" customHeight="1" x14ac:dyDescent="0.2">
      <c r="A37" s="119" t="str">
        <f>HYPERLINK("#'4.3.1.9 Soil direct N2O'!A1", "4.3.1.9 Soil direct N2O")</f>
        <v>4.3.1.9 Soil direct N2O</v>
      </c>
      <c r="D37" s="118" t="s">
        <v>591</v>
      </c>
      <c r="E37" s="118"/>
    </row>
    <row r="38" spans="1:23" ht="20.100000000000001" customHeight="1" x14ac:dyDescent="0.2">
      <c r="A38" s="5" t="str">
        <f>HYPERLINK("#'4.3.1.10-11 Soil Atmos Dep'!A1", "4.3.1.10-11 Soil Atmos Deposition")</f>
        <v>4.3.1.10-11 Soil Atmos Deposition</v>
      </c>
    </row>
    <row r="39" spans="1:23" ht="20.100000000000001" customHeight="1" x14ac:dyDescent="0.2">
      <c r="A39" s="5" t="str">
        <f>HYPERLINK("#'4.3.1.12-13 Soil leach runoff'!A1", "4.3.1.12-13 Soil leach &amp; runoff")</f>
        <v>4.3.1.12-13 Soil leach &amp; runoff</v>
      </c>
    </row>
    <row r="40" spans="1:23" ht="20.100000000000001" customHeight="1" x14ac:dyDescent="0.2">
      <c r="A40" s="5" t="str">
        <f>HYPERLINK("#'5.1.1.1-2 Inorganic fert N2O'!A1", "5.1.1.1-2 Inorganic fert N2O")</f>
        <v>5.1.1.1-2 Inorganic fert N2O</v>
      </c>
      <c r="D40" s="76" t="s">
        <v>378</v>
      </c>
      <c r="E40" s="1" t="s">
        <v>1656</v>
      </c>
    </row>
    <row r="41" spans="1:23" ht="20.100000000000001" customHeight="1" x14ac:dyDescent="0.2">
      <c r="A41" s="5" t="str">
        <f>HYPERLINK("#'5.1.1.3-4 Inorganic fert CO2'!A1", "5.1.1.3-4 Inorganic fert CO2")</f>
        <v>5.1.1.3-4 Inorganic fert CO2</v>
      </c>
      <c r="D41" s="76" t="s">
        <v>118</v>
      </c>
      <c r="E41" s="9" t="s">
        <v>11</v>
      </c>
    </row>
    <row r="42" spans="1:23" ht="20.100000000000001" customHeight="1" x14ac:dyDescent="0.2">
      <c r="A42" s="5" t="str">
        <f>HYPERLINK("#'5.2.1.1-2 Organic Fert N2O'!A1", "5.2.1.1-2 Organic fert N2O")</f>
        <v>5.2.1.1-2 Organic fert N2O</v>
      </c>
    </row>
    <row r="43" spans="1:23" ht="20.100000000000001" customHeight="1" x14ac:dyDescent="0.2">
      <c r="A43" s="5" t="str">
        <f>HYPERLINK("#'5.3.1.1-2 Lime CO2'!A1", "5.3.1.1-2 Lime CO2")</f>
        <v>5.3.1.1-2 Lime CO2</v>
      </c>
      <c r="D43" s="120" t="s">
        <v>1713</v>
      </c>
      <c r="E43" s="125" t="s">
        <v>1714</v>
      </c>
      <c r="F43" s="133"/>
      <c r="G43" s="126"/>
      <c r="H43" s="120" t="s">
        <v>1301</v>
      </c>
      <c r="I43" s="128" t="s">
        <v>1662</v>
      </c>
      <c r="J43" s="127" t="str" cm="1">
        <f t="array" aca="1" ref="J43" ca="1">HYPERLINK(Common_InputFunctions.Utility_SourceHyperlink($D$28),$D$28)</f>
        <v>M1_Table_MN_j_m-14</v>
      </c>
    </row>
    <row r="44" spans="1:23" ht="20.100000000000001" customHeight="1" x14ac:dyDescent="0.2">
      <c r="A44" s="5" t="str">
        <f>HYPERLINK("#'5.4.1.1-4 Atmos deposition'!A1", "5.4.1.1-4 Atmos. deposition")</f>
        <v>5.4.1.1-4 Atmos. deposition</v>
      </c>
      <c r="D44" s="120" t="s">
        <v>1715</v>
      </c>
      <c r="E44" s="125" t="s">
        <v>1716</v>
      </c>
      <c r="F44" s="133"/>
      <c r="G44" s="126"/>
      <c r="H44" s="120" t="s">
        <v>1717</v>
      </c>
      <c r="I44" s="128" t="s">
        <v>1501</v>
      </c>
      <c r="J44" s="120">
        <f>Common_InputFunctions.Utility_LookupValueInTable(J46, Table_SourceData_EFPastureRangeAndPaddock[Climate zone],Table_SourceData_EFPastureRangeAndPaddock[EFPRP])</f>
        <v>2E-3</v>
      </c>
    </row>
    <row r="45" spans="1:23" ht="20.100000000000001" customHeight="1" x14ac:dyDescent="0.2">
      <c r="A45" s="5" t="str">
        <f>HYPERLINK("#'5.5.1.1-2 Leaching and runoff'!A1", "5.5.1.1-2 Leaching &amp; runoff")</f>
        <v>5.5.1.1-2 Leaching &amp; runoff</v>
      </c>
      <c r="D45" s="120" t="s">
        <v>1660</v>
      </c>
      <c r="E45" s="125" t="s">
        <v>1661</v>
      </c>
      <c r="F45" s="133"/>
      <c r="G45" s="126"/>
      <c r="H45" s="120"/>
      <c r="I45" s="128" t="s">
        <v>1501</v>
      </c>
      <c r="J45" s="120">
        <f>Common_InputFunctions.Utility_LookupValueInTableNumber("N2O",Table_GasToMolecularConversionFactor[Gas],Table_GasToMolecularConversionFactor[Conversion factor combined])</f>
        <v>1.5714285714285714</v>
      </c>
    </row>
    <row r="46" spans="1:23" ht="20.100000000000001" customHeight="1" x14ac:dyDescent="0.2">
      <c r="A46" s="5" t="str">
        <f>HYPERLINK("#'6.2.1.1-2 Pasture residue N2O'!A1", "6.2.1.1-2 Pasture residue N2O")</f>
        <v>6.2.1.1-2 Pasture residue N2O</v>
      </c>
      <c r="D46" s="120" t="s">
        <v>1691</v>
      </c>
      <c r="E46" s="125" t="s">
        <v>114</v>
      </c>
      <c r="F46" s="133"/>
      <c r="G46" s="126"/>
      <c r="H46" s="120"/>
      <c r="I46" s="121" t="s">
        <v>1469</v>
      </c>
      <c r="J46" s="120" t="str">
        <f>X_Cell_Site_WetOrDryClimateZone</f>
        <v>Dry climate zone</v>
      </c>
    </row>
    <row r="47" spans="1:23" ht="20.100000000000001" customHeight="1" x14ac:dyDescent="0.2">
      <c r="A47" s="5" t="str">
        <f>HYPERLINK("#'6.3.1.1-2 Leach runoff pasture'!A1", "6.3.1.1-2 Leach &amp; runoff (pasture)")</f>
        <v>6.3.1.1-2 Leach &amp; runoff (pasture)</v>
      </c>
    </row>
    <row r="48" spans="1:23" ht="20.100000000000001" customHeight="1" x14ac:dyDescent="0.2">
      <c r="A48" s="5" t="str">
        <f>HYPERLINK("#'8.1.1.1-2 Transport fuel'!A1", "8.1.1.1-2 Transport fuel")</f>
        <v>8.1.1.1-2 Transport fuel</v>
      </c>
      <c r="D48" s="122" t="s">
        <v>522</v>
      </c>
      <c r="O48" s="122" t="s">
        <v>523</v>
      </c>
    </row>
    <row r="49" spans="1:22" ht="20.100000000000001" customHeight="1" x14ac:dyDescent="0.2">
      <c r="A49" s="5" t="str">
        <f>HYPERLINK("#'8.2.1.1-2 Stationary fuel'!A1", "8.2.1.1-2 Stationary fuel")</f>
        <v>8.2.1.1-2 Stationary fuel</v>
      </c>
      <c r="D49" s="123" t="s">
        <v>592</v>
      </c>
      <c r="O49" s="123" t="s">
        <v>593</v>
      </c>
    </row>
    <row r="50" spans="1:22" ht="20.100000000000001" customHeight="1" x14ac:dyDescent="0.2">
      <c r="A50" s="5" t="str">
        <f>HYPERLINK("#'9.1.1.1-2 Refrigerant use'!A1", "9.1.1.1-2 Refrigerant use")</f>
        <v>9.1.1.1-2 Refrigerant use</v>
      </c>
      <c r="D50" s="124" t="s">
        <v>159</v>
      </c>
      <c r="E50" s="124" t="s">
        <v>422</v>
      </c>
      <c r="F50" s="124" t="s">
        <v>330</v>
      </c>
      <c r="G50" s="124" t="s">
        <v>331</v>
      </c>
      <c r="H50" s="124" t="s">
        <v>332</v>
      </c>
      <c r="I50" s="124" t="s">
        <v>333</v>
      </c>
      <c r="J50" s="124" t="s">
        <v>334</v>
      </c>
      <c r="O50" s="124" t="s">
        <v>159</v>
      </c>
      <c r="P50" s="124" t="s">
        <v>422</v>
      </c>
      <c r="Q50" s="124" t="s">
        <v>330</v>
      </c>
      <c r="R50" s="124" t="s">
        <v>331</v>
      </c>
      <c r="S50" s="124" t="s">
        <v>332</v>
      </c>
      <c r="T50" s="124" t="s">
        <v>333</v>
      </c>
      <c r="U50" s="124" t="s">
        <v>334</v>
      </c>
    </row>
    <row r="51" spans="1:22" ht="20.100000000000001" customHeight="1" x14ac:dyDescent="0.2">
      <c r="A51" s="5" t="str">
        <f>HYPERLINK("#'10.1.1-2 Solid waste treatment'!A1", "10.1.1.1-2 Solid waste")</f>
        <v>10.1.1.1-2 Solid waste</v>
      </c>
      <c r="D51" s="15" t="str">
        <f>INDEX(X_Table_Dairy_ProductionSystems_Method1,2,1)</f>
        <v>Pasture</v>
      </c>
      <c r="E51" s="15" t="str">
        <f>'Constants - Common Livestock'!$E$27</f>
        <v>Pasture range and paddock</v>
      </c>
      <c r="F51" s="15">
        <f>(F31 * $J$44 * $J$45 * 10 ^ -3)</f>
        <v>3.0456770622363894E-2</v>
      </c>
      <c r="G51" s="15">
        <f>(G31 * $J$44 * $J$45 * 10 ^ -3)</f>
        <v>1.3911302861422326E-2</v>
      </c>
      <c r="H51" s="15">
        <f>(H31 * $J$44 * $J$45 * 10 ^ -3)</f>
        <v>5.5407248117331984E-3</v>
      </c>
      <c r="I51" s="15">
        <f>(I31 * $J$44 * $J$45 * 10 ^ -3)</f>
        <v>1.7487057875012819E-2</v>
      </c>
      <c r="J51" s="15">
        <f>(J31 * $J$44 * $J$45 * 10 ^ -3)</f>
        <v>7.3205950971736563E-3</v>
      </c>
      <c r="K51" s="16" t="str">
        <f>$E$41</f>
        <v>t N2O</v>
      </c>
      <c r="O51" s="15" t="str">
        <f>INDEX(X_Table_Dairy_ProductionSystems_Method1,2,1)</f>
        <v>Pasture</v>
      </c>
      <c r="P51" s="15" t="str">
        <f>'Constants - Common Livestock'!$E$27</f>
        <v>Pasture range and paddock</v>
      </c>
      <c r="Q51" s="15">
        <f>(Q31 * $J$44 * $J$45 * 10 ^ -3)</f>
        <v>3.0456770622363894E-2</v>
      </c>
      <c r="R51" s="15">
        <f>(R31 * $J$44 * $J$45 * 10 ^ -3)</f>
        <v>1.3911302861422326E-2</v>
      </c>
      <c r="S51" s="15">
        <f>(S31 * $J$44 * $J$45 * 10 ^ -3)</f>
        <v>5.5407248117331984E-3</v>
      </c>
      <c r="T51" s="15">
        <f>(T31 * $J$44 * $J$45 * 10 ^ -3)</f>
        <v>1.7487057875012819E-2</v>
      </c>
      <c r="U51" s="15">
        <f>(U31 * $J$44 * $J$45 * 10 ^ -3)</f>
        <v>7.3205950971736563E-3</v>
      </c>
      <c r="V51" s="16" t="str">
        <f>$E$41</f>
        <v>t N2O</v>
      </c>
    </row>
    <row r="52" spans="1:22" ht="20.100000000000001" customHeight="1" x14ac:dyDescent="0.2">
      <c r="A52" s="5" t="str">
        <f>HYPERLINK("#'14.1.1-2 Purchased electricity'!A1", "14.1.1-2 Purchased electricity")</f>
        <v>14.1.1-2 Purchased electricity</v>
      </c>
    </row>
    <row r="53" spans="1:22" ht="20.100000000000001" customHeight="1" x14ac:dyDescent="0.2">
      <c r="A53" s="5" t="str">
        <f>HYPERLINK("#'15 Scope 3'!A1", "15 Scope 3")</f>
        <v>15 Scope 3</v>
      </c>
      <c r="D53" s="87" t="s">
        <v>526</v>
      </c>
      <c r="E53" s="90">
        <f>SUM(F51:J51)</f>
        <v>7.4716451267705888E-2</v>
      </c>
      <c r="F53" s="89" t="str">
        <f>$E$41</f>
        <v>t N2O</v>
      </c>
      <c r="O53" s="87" t="s">
        <v>526</v>
      </c>
      <c r="P53" s="90">
        <f>SUM(Q51:U51)</f>
        <v>7.4716451267705888E-2</v>
      </c>
      <c r="Q53" s="89" t="str">
        <f>$E$41</f>
        <v>t N2O</v>
      </c>
    </row>
    <row r="54" spans="1:22" ht="20.100000000000001" customHeight="1" x14ac:dyDescent="0.2">
      <c r="A54" s="5" t="str">
        <f>HYPERLINK("#'Calcs - Manure sent off-site'!A1", "Calcs - Manure sent off-site")</f>
        <v>Calcs - Manure sent off-site</v>
      </c>
    </row>
    <row r="55" spans="1:22" ht="20.100000000000001" customHeight="1" x14ac:dyDescent="0.2">
      <c r="D55" s="132" t="str" cm="1">
        <f t="array" ref="D55:E56">Common_Equations.Common_ConvertN2OToCO2e_Arguments()</f>
        <v>EN2O</v>
      </c>
      <c r="E55" s="135" t="str">
        <v>Nitrous oxide emissions (t N2O)</v>
      </c>
      <c r="F55" s="136"/>
      <c r="G55" s="15">
        <f>VEERG_4_3_1_9__1_DirectNitrousOxideEmissionsOnPasture_Result_Method1</f>
        <v>7.4716451267705888E-2</v>
      </c>
      <c r="O55" s="132" t="str" cm="1">
        <f t="array" ref="O55:P56">Common_Equations.Common_ConvertN2OToCO2e_Arguments()</f>
        <v>EN2O</v>
      </c>
      <c r="P55" s="135" t="str">
        <v>Nitrous oxide emissions (t N2O)</v>
      </c>
      <c r="Q55" s="136"/>
      <c r="R55" s="15">
        <f>VEERG_4_3_1_9__1_DirectNitrousOxideEmissionsOnPasture_Result_Method2</f>
        <v>7.4716451267705888E-2</v>
      </c>
    </row>
    <row r="56" spans="1:22" ht="20.100000000000001" customHeight="1" x14ac:dyDescent="0.2">
      <c r="D56" s="132" t="str">
        <v>GWPN2O</v>
      </c>
      <c r="E56" s="135" t="str">
        <v>Global warming potential for nitrous oxide (t CO2-e / t N2O)</v>
      </c>
      <c r="F56" s="136"/>
      <c r="G56" s="15">
        <f>Common_InputFunctions.Utility_LookupValueInTableNumber("N2O",Table_GWPData[Gas],Table_GWPData[CO2-e factor])</f>
        <v>265</v>
      </c>
      <c r="O56" s="132" t="str">
        <v>GWPN2O</v>
      </c>
      <c r="P56" s="135" t="str">
        <v>Global warming potential for nitrous oxide (t CO2-e / t N2O)</v>
      </c>
      <c r="Q56" s="136"/>
      <c r="R56" s="15">
        <f>Common_InputFunctions.Utility_LookupValueInTableNumber("N2O",Table_GWPData[Gas],Table_GWPData[CO2-e factor])</f>
        <v>265</v>
      </c>
    </row>
    <row r="57" spans="1:22" ht="20.100000000000001" customHeight="1" x14ac:dyDescent="0.2">
      <c r="A57" s="82" t="s">
        <v>1</v>
      </c>
    </row>
    <row r="58" spans="1:22" ht="20.100000000000001" customHeight="1" x14ac:dyDescent="0.2">
      <c r="A58" s="5" t="str">
        <f>HYPERLINK("#'Constants - Dairy'!A1", "Constants - Dairy")</f>
        <v>Constants - Dairy</v>
      </c>
      <c r="D58" s="88" t="s">
        <v>527</v>
      </c>
      <c r="E58" s="88" cm="1">
        <f t="array" ref="E58">Common_Equations.Common_ConvertN2OToCO2e(G55,G56)</f>
        <v>19.799859585942059</v>
      </c>
      <c r="F58" s="93" t="str" cm="1">
        <f t="array" ref="F58">Common_Equations.Common_ConvertN2OToCO2e_Unit()</f>
        <v>t CO2e</v>
      </c>
      <c r="O58" s="88" t="s">
        <v>527</v>
      </c>
      <c r="P58" s="88" cm="1">
        <f t="array" ref="P58">Common_Equations.Common_ConvertN2OToCO2e(R55,R56)</f>
        <v>19.799859585942059</v>
      </c>
      <c r="Q58" s="93" t="str" cm="1">
        <f t="array" ref="Q58">Common_Equations.Common_ConvertN2OToCO2e_Unit()</f>
        <v>t CO2e</v>
      </c>
    </row>
    <row r="59" spans="1:22" ht="20.100000000000001" customHeight="1" x14ac:dyDescent="0.2">
      <c r="A59" s="5" t="str">
        <f>HYPERLINK("#'Constants - Ag Residue'!A1", "Constants - Ag residue")</f>
        <v>Constants - Ag residue</v>
      </c>
    </row>
    <row r="60" spans="1:22" ht="20.100000000000001" customHeight="1" x14ac:dyDescent="0.2">
      <c r="A60" s="5" t="str">
        <f>HYPERLINK("#'Constants - Common Livestock'!A1", "Constants - Common Livestock")</f>
        <v>Constants - Common Livestock</v>
      </c>
    </row>
    <row r="61" spans="1:22" ht="20.100000000000001" customHeight="1" x14ac:dyDescent="0.2">
      <c r="A61" s="5" t="str">
        <f>HYPERLINK("#'Constants - Electricity'!A1", "Constants - Electricity")</f>
        <v>Constants - Electricity</v>
      </c>
    </row>
    <row r="62" spans="1:22" ht="20.100000000000001" customHeight="1" x14ac:dyDescent="0.2">
      <c r="A62" s="5" t="str">
        <f>HYPERLINK("#'Constants - Fertiliser'!A1", "Constants - Fertiliser")</f>
        <v>Constants - Fertiliser</v>
      </c>
    </row>
    <row r="63" spans="1:22" ht="20.100000000000001" customHeight="1" x14ac:dyDescent="0.2">
      <c r="A63" s="5" t="str">
        <f>HYPERLINK("#'Constants - Fuel'!A1", "Constants - Fuel")</f>
        <v>Constants - Fuel</v>
      </c>
    </row>
    <row r="64" spans="1:22"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dataValidations count="1">
    <dataValidation operator="equal" allowBlank="1" showInputMessage="1" showErrorMessage="1" sqref="E25 E31 E34 P25 O34 P31 E51 P51" xr:uid="{7EAD9EC9-63D0-41A7-B611-1F0651D7D0C1}"/>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8C3D6-921E-4ABA-A3A7-3F98B2DBF702}">
  <sheetPr>
    <tabColor rgb="FF008000"/>
  </sheetPr>
  <dimension ref="A1:W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594</v>
      </c>
    </row>
    <row r="2" spans="1:23" s="3" customFormat="1" ht="20.100000000000001" customHeight="1" x14ac:dyDescent="0.2">
      <c r="A2"/>
    </row>
    <row r="3" spans="1:23" ht="20.100000000000001" customHeight="1" x14ac:dyDescent="0.2">
      <c r="A3" s="5" t="str">
        <f>HYPERLINK("#'Home'!A1", "Home")</f>
        <v>Home</v>
      </c>
      <c r="C3" s="22"/>
      <c r="D3" s="22"/>
      <c r="E3" s="22"/>
      <c r="F3" s="22"/>
      <c r="G3" s="22"/>
      <c r="H3" s="22"/>
      <c r="I3" s="22"/>
      <c r="J3" s="22"/>
      <c r="K3" s="22"/>
      <c r="L3" s="22"/>
      <c r="N3" s="22"/>
      <c r="O3" s="22"/>
      <c r="P3" s="22"/>
      <c r="Q3" s="22"/>
      <c r="R3" s="22"/>
      <c r="S3" s="22"/>
      <c r="T3" s="22"/>
      <c r="U3" s="22"/>
      <c r="V3" s="22"/>
      <c r="W3" s="22"/>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D5" s="2" t="s">
        <v>1718</v>
      </c>
    </row>
    <row r="6" spans="1:23" ht="20.100000000000001" customHeight="1" x14ac:dyDescent="0.2">
      <c r="A6" s="5" t="str">
        <f>HYPERLINK("#'Results'!A1", "Results")</f>
        <v>Results</v>
      </c>
      <c r="D6" s="17" t="s">
        <v>1719</v>
      </c>
    </row>
    <row r="7" spans="1:23" ht="20.100000000000001" customHeight="1" x14ac:dyDescent="0.2">
      <c r="D7" s="118"/>
      <c r="E7" s="118"/>
    </row>
    <row r="9" spans="1:23" ht="20.100000000000001" customHeight="1" x14ac:dyDescent="0.2">
      <c r="A9" s="7" t="s">
        <v>0</v>
      </c>
    </row>
    <row r="10" spans="1:23" ht="20.100000000000001" customHeight="1" x14ac:dyDescent="0.2">
      <c r="A10" s="5" t="str">
        <f>HYPERLINK("#'Input - Enterprise'!A1", "Enterprise")</f>
        <v>Enterprise</v>
      </c>
      <c r="D10" s="76" t="s">
        <v>378</v>
      </c>
      <c r="E10" s="1" t="s">
        <v>1720</v>
      </c>
    </row>
    <row r="11" spans="1:23" ht="20.100000000000001" customHeight="1" x14ac:dyDescent="0.2">
      <c r="A11" s="5" t="str">
        <f>HYPERLINK("#'Input - Site'!A1", "Site")</f>
        <v>Site</v>
      </c>
      <c r="D11" s="76" t="s">
        <v>118</v>
      </c>
      <c r="E11" s="9" t="s">
        <v>1301</v>
      </c>
    </row>
    <row r="12" spans="1:23" ht="20.100000000000001" customHeight="1" x14ac:dyDescent="0.2">
      <c r="A12" s="5" t="str">
        <f>HYPERLINK("#'Input - Dairy'!A1", "Dairy")</f>
        <v>Dairy</v>
      </c>
    </row>
    <row r="13" spans="1:23" ht="20.100000000000001" customHeight="1" x14ac:dyDescent="0.2">
      <c r="A13" s="5" t="str">
        <f>HYPERLINK("#'Input - Livestock sales'!A1", "Livestock sales")</f>
        <v>Livestock sales</v>
      </c>
      <c r="D13" s="120" t="s">
        <v>1713</v>
      </c>
      <c r="E13" s="120" t="s">
        <v>1721</v>
      </c>
      <c r="F13" s="120"/>
      <c r="G13" s="120" t="s">
        <v>1301</v>
      </c>
      <c r="H13" s="128" t="s">
        <v>1662</v>
      </c>
      <c r="I13" s="127" t="str" cm="1">
        <f t="array" aca="1" ref="I13" ca="1">HYPERLINK(Common_InputFunctions.Utility_SourceHyperlink($D$16),$D$16)</f>
        <v>M1_Table_MN_j_m-14</v>
      </c>
    </row>
    <row r="14" spans="1:23" ht="20.100000000000001" customHeight="1" x14ac:dyDescent="0.2">
      <c r="A14" s="5" t="str">
        <f>HYPERLINK("#'Input - Dairy cattle purchases'!A1", "Dairy cattle purchases")</f>
        <v>Dairy cattle purchases</v>
      </c>
      <c r="D14" s="120" t="s">
        <v>1722</v>
      </c>
      <c r="E14" s="120" t="s">
        <v>1723</v>
      </c>
      <c r="F14" s="120"/>
      <c r="G14" s="120" t="s">
        <v>1724</v>
      </c>
      <c r="H14" s="128" t="s">
        <v>1501</v>
      </c>
      <c r="I14" s="120">
        <f>SourceData_Dairy_FracGASMSoil_Data</f>
        <v>0.21</v>
      </c>
    </row>
    <row r="15" spans="1:23" ht="20.100000000000001" customHeight="1" x14ac:dyDescent="0.2">
      <c r="A15" s="5" t="str">
        <f>HYPERLINK("#'Input - Pasture'!A1", "Pasture")</f>
        <v>Pasture</v>
      </c>
    </row>
    <row r="16" spans="1:23" ht="20.100000000000001" customHeight="1" x14ac:dyDescent="0.2">
      <c r="A16" s="5" t="str">
        <f>HYPERLINK("#'Input - Fert Prod System'!A1", "Fert Prod System")</f>
        <v>Fert Prod System</v>
      </c>
      <c r="D16" s="122" t="s">
        <v>587</v>
      </c>
      <c r="M16" s="98"/>
      <c r="O16" s="122" t="s">
        <v>588</v>
      </c>
    </row>
    <row r="17" spans="1:23" ht="20.100000000000001" customHeight="1" x14ac:dyDescent="0.2">
      <c r="A17" s="5" t="str">
        <f>HYPERLINK("#'Input - Fertiliser'!A1", "Fertiliser")</f>
        <v>Fertiliser</v>
      </c>
      <c r="D17" s="123" t="s">
        <v>589</v>
      </c>
      <c r="M17" s="98"/>
      <c r="O17" s="123" t="s">
        <v>590</v>
      </c>
    </row>
    <row r="18" spans="1:23" ht="20.100000000000001" customHeight="1" x14ac:dyDescent="0.2">
      <c r="A18" s="5" t="str">
        <f>HYPERLINK("#'Input - Fuel'!A1", "Fuel")</f>
        <v>Fuel</v>
      </c>
      <c r="D18" s="124" t="s">
        <v>159</v>
      </c>
      <c r="E18" s="124" t="s">
        <v>422</v>
      </c>
      <c r="F18" s="124" t="s">
        <v>330</v>
      </c>
      <c r="G18" s="124" t="s">
        <v>331</v>
      </c>
      <c r="H18" s="124" t="s">
        <v>332</v>
      </c>
      <c r="I18" s="124" t="s">
        <v>333</v>
      </c>
      <c r="J18" s="124" t="s">
        <v>334</v>
      </c>
      <c r="M18" s="98"/>
      <c r="O18" s="124" t="s">
        <v>159</v>
      </c>
      <c r="P18" s="124" t="s">
        <v>422</v>
      </c>
      <c r="Q18" s="124" t="s">
        <v>330</v>
      </c>
      <c r="R18" s="124" t="s">
        <v>331</v>
      </c>
      <c r="S18" s="124" t="s">
        <v>332</v>
      </c>
      <c r="T18" s="124" t="s">
        <v>333</v>
      </c>
      <c r="U18" s="124" t="s">
        <v>334</v>
      </c>
    </row>
    <row r="19" spans="1:23" ht="20.100000000000001" customHeight="1" x14ac:dyDescent="0.2">
      <c r="A19" s="5" t="str">
        <f>HYPERLINK("#'Input - Electricity'!A1", "Electricity")</f>
        <v>Electricity</v>
      </c>
      <c r="D19" s="15" t="str">
        <f>INDEX(X_Table_Dairy_ProductionSystems_Method1,2,1)</f>
        <v>Pasture</v>
      </c>
      <c r="E19" s="15" t="str">
        <f>'Constants - Common Livestock'!$E$27</f>
        <v>Pasture range and paddock</v>
      </c>
      <c r="F19" s="15">
        <f>INDEX(M1_Table_MN_j_m14,2,3)</f>
        <v>9690.7906525703293</v>
      </c>
      <c r="G19" s="15">
        <f>INDEX(M1_Table_MN_j_m14,2,4)</f>
        <v>4426.3236377252861</v>
      </c>
      <c r="H19" s="15">
        <f>INDEX(M1_Table_MN_j_m14,2,5)</f>
        <v>1762.9578946423812</v>
      </c>
      <c r="I19" s="15">
        <f>INDEX(M1_Table_MN_j_m14,2,6)</f>
        <v>5564.0638693222609</v>
      </c>
      <c r="J19" s="15">
        <f>INDEX(M1_Table_MN_j_m14,2,7)</f>
        <v>2329.2802581916176</v>
      </c>
      <c r="K19" s="16" t="str">
        <f>$E$11</f>
        <v>kg N</v>
      </c>
      <c r="M19" s="98"/>
      <c r="O19" s="15" t="str">
        <f>INDEX(X_Table_Dairy_ProductionSystems_Method1,2,1)</f>
        <v>Pasture</v>
      </c>
      <c r="P19" s="15" t="str">
        <f>'Constants - Common Livestock'!$E$27</f>
        <v>Pasture range and paddock</v>
      </c>
      <c r="Q19" s="15">
        <f>INDEX(M2_Table_MN_j_m14,2,3)</f>
        <v>9690.7906525703293</v>
      </c>
      <c r="R19" s="15">
        <f>INDEX(M2_Table_MN_j_m14,2,4)</f>
        <v>4426.3236377252861</v>
      </c>
      <c r="S19" s="15">
        <f>INDEX(M2_Table_MN_j_m14,2,5)</f>
        <v>1762.9578946423812</v>
      </c>
      <c r="T19" s="15">
        <f>INDEX(M2_Table_MN_j_m14,2,6)</f>
        <v>5564.0638693222609</v>
      </c>
      <c r="U19" s="15">
        <f>INDEX(M2_Table_MN_j_m14,2,7)</f>
        <v>2329.2802581916176</v>
      </c>
      <c r="V19" s="16" t="str">
        <f>$E$11</f>
        <v>kg N</v>
      </c>
    </row>
    <row r="20" spans="1:23" ht="20.100000000000001" customHeight="1" x14ac:dyDescent="0.2">
      <c r="A20" s="5" t="str">
        <f>HYPERLINK("#'Input - Common farm inputs'!A1", "Common farm inputs")</f>
        <v>Common farm inputs</v>
      </c>
    </row>
    <row r="21" spans="1:23" ht="20.100000000000001" customHeight="1" x14ac:dyDescent="0.2">
      <c r="A21" s="5" t="str">
        <f>HYPERLINK("#'Input - Crop pasture farm input'!A1", "Crop pasture farm input")</f>
        <v>Crop pasture farm input</v>
      </c>
      <c r="D21" s="122" t="s">
        <v>595</v>
      </c>
      <c r="O21" s="122" t="s">
        <v>596</v>
      </c>
    </row>
    <row r="22" spans="1:23" ht="20.100000000000001" customHeight="1" x14ac:dyDescent="0.2">
      <c r="A22" s="5" t="str">
        <f>HYPERLINK("#'Input - Livestock farm Inputs'!A1", "Livestock farm Inputs")</f>
        <v>Livestock farm Inputs</v>
      </c>
      <c r="D22" s="123" t="s">
        <v>597</v>
      </c>
      <c r="O22" s="123" t="s">
        <v>598</v>
      </c>
    </row>
    <row r="23" spans="1:23" ht="20.100000000000001" customHeight="1" x14ac:dyDescent="0.2">
      <c r="A23" s="5" t="str">
        <f>HYPERLINK("#'Input - Freight'!A1", "Freight")</f>
        <v>Freight</v>
      </c>
      <c r="D23" s="124" t="s">
        <v>159</v>
      </c>
      <c r="E23" s="124" t="s">
        <v>422</v>
      </c>
      <c r="F23" s="124" t="s">
        <v>330</v>
      </c>
      <c r="G23" s="124" t="s">
        <v>331</v>
      </c>
      <c r="H23" s="124" t="s">
        <v>332</v>
      </c>
      <c r="I23" s="124" t="s">
        <v>333</v>
      </c>
      <c r="J23" s="124" t="s">
        <v>334</v>
      </c>
      <c r="O23" s="124" t="s">
        <v>159</v>
      </c>
      <c r="P23" s="124" t="s">
        <v>422</v>
      </c>
      <c r="Q23" s="124" t="s">
        <v>330</v>
      </c>
      <c r="R23" s="124" t="s">
        <v>331</v>
      </c>
      <c r="S23" s="124" t="s">
        <v>332</v>
      </c>
      <c r="T23" s="124" t="s">
        <v>333</v>
      </c>
      <c r="U23" s="124" t="s">
        <v>334</v>
      </c>
    </row>
    <row r="24" spans="1:23" ht="20.100000000000001" customHeight="1" x14ac:dyDescent="0.2">
      <c r="A24" s="5" t="str">
        <f>HYPERLINK("#'Input - Solid waste'!A1", "Solid waste")</f>
        <v>Solid waste</v>
      </c>
      <c r="D24" s="15" t="str">
        <f>INDEX(X_Table_Dairy_ProductionSystems_Method1,2,1)</f>
        <v>Pasture</v>
      </c>
      <c r="E24" s="15" t="str">
        <f>'Constants - Common Livestock'!$E$27</f>
        <v>Pasture range and paddock</v>
      </c>
      <c r="F24" s="15">
        <f>(F19 * $I$14)</f>
        <v>2035.0660370397691</v>
      </c>
      <c r="G24" s="15">
        <f>(G19 * $I$14)</f>
        <v>929.52796392231005</v>
      </c>
      <c r="H24" s="15">
        <f>(H19 * $I$14)</f>
        <v>370.22115787490003</v>
      </c>
      <c r="I24" s="15">
        <f>(I19 * $I$14)</f>
        <v>1168.4534125576747</v>
      </c>
      <c r="J24" s="15">
        <f>(J19 * $I$14)</f>
        <v>489.14885422023968</v>
      </c>
      <c r="K24" s="16" t="str">
        <f>$E$11</f>
        <v>kg N</v>
      </c>
      <c r="O24" s="15" t="str">
        <f>INDEX(X_Table_Dairy_ProductionSystems_Method1,2,1)</f>
        <v>Pasture</v>
      </c>
      <c r="P24" s="15" t="str">
        <f>'Constants - Common Livestock'!$E$27</f>
        <v>Pasture range and paddock</v>
      </c>
      <c r="Q24" s="15">
        <f>(Q19 * $I$14)</f>
        <v>2035.0660370397691</v>
      </c>
      <c r="R24" s="15">
        <f>(R19 * $I$14)</f>
        <v>929.52796392231005</v>
      </c>
      <c r="S24" s="15">
        <f>(S19 * $I$14)</f>
        <v>370.22115787490003</v>
      </c>
      <c r="T24" s="15">
        <f>(T19 * $I$14)</f>
        <v>1168.4534125576747</v>
      </c>
      <c r="U24" s="15">
        <f>(U19 * $I$14)</f>
        <v>489.14885422023968</v>
      </c>
      <c r="V24" s="16" t="str">
        <f>$E$11</f>
        <v>kg N</v>
      </c>
    </row>
    <row r="25" spans="1:23" ht="20.100000000000001" customHeight="1" x14ac:dyDescent="0.2">
      <c r="A25" s="5" t="str">
        <f>HYPERLINK("#'Input - Manure sent off-site'!A1", "Manure sent off-site")</f>
        <v>Manure sent off-site</v>
      </c>
    </row>
    <row r="26" spans="1:23" ht="20.100000000000001" customHeight="1" x14ac:dyDescent="0.2">
      <c r="A26" s="5" t="str">
        <f>HYPERLINK("#'Input - Refrigerants'!A1", "Refrigerants")</f>
        <v>Refrigerants</v>
      </c>
      <c r="D26" s="92" t="s">
        <v>599</v>
      </c>
      <c r="E26" s="88">
        <f>SUM(F24:J24)</f>
        <v>4992.4174256148935</v>
      </c>
      <c r="F26" s="93" t="str">
        <f>$E$11</f>
        <v>kg N</v>
      </c>
      <c r="O26" s="92" t="s">
        <v>599</v>
      </c>
      <c r="P26" s="88">
        <f>SUM(Q24:U24)</f>
        <v>4992.4174256148935</v>
      </c>
      <c r="Q26" s="93" t="str">
        <f>$E$11</f>
        <v>kg N</v>
      </c>
    </row>
    <row r="27" spans="1:23" ht="20.100000000000001" customHeight="1" x14ac:dyDescent="0.2">
      <c r="A27" s="5" t="str">
        <f>HYPERLINK("#'Input - Data quality'!A1", "Data quality")</f>
        <v>Data quality</v>
      </c>
    </row>
    <row r="29" spans="1:23" ht="20.100000000000001" customHeight="1" x14ac:dyDescent="0.2">
      <c r="C29" s="88"/>
      <c r="D29" s="88"/>
      <c r="E29" s="88"/>
      <c r="F29" s="88"/>
      <c r="G29" s="88"/>
      <c r="H29" s="88"/>
      <c r="I29" s="88"/>
      <c r="J29" s="88"/>
      <c r="K29" s="88"/>
      <c r="L29" s="88"/>
      <c r="N29" s="88"/>
      <c r="O29" s="88"/>
      <c r="P29" s="88"/>
      <c r="Q29" s="88"/>
      <c r="R29" s="88"/>
      <c r="S29" s="88"/>
      <c r="T29" s="88"/>
      <c r="U29" s="88"/>
      <c r="V29" s="88"/>
      <c r="W29" s="88"/>
    </row>
    <row r="30" spans="1:23" ht="20.100000000000001" customHeight="1" x14ac:dyDescent="0.2">
      <c r="A30" s="6" t="s">
        <v>2</v>
      </c>
      <c r="D30" s="2" t="s">
        <v>1725</v>
      </c>
    </row>
    <row r="31" spans="1:23" ht="20.100000000000001" customHeight="1" x14ac:dyDescent="0.2">
      <c r="A31" s="5" t="str">
        <f>HYPERLINK("#'3.3.1.1-2 Enteric Methane'!A1", "3.3.1.1-2 Enteric methane")</f>
        <v>3.3.1.1-2 Enteric methane</v>
      </c>
      <c r="D31" s="17" t="s">
        <v>1726</v>
      </c>
    </row>
    <row r="32" spans="1:23" ht="20.100000000000001" customHeight="1" x14ac:dyDescent="0.2">
      <c r="A32" s="5" t="str">
        <f>HYPERLINK("#'4.3.1.1-2 Methane'!A1", "4.3.1.1-2 Manure methane")</f>
        <v>4.3.1.1-2 Manure methane</v>
      </c>
      <c r="D32" s="118"/>
      <c r="E32" s="118"/>
    </row>
    <row r="33" spans="1:19" ht="20.100000000000001" customHeight="1" x14ac:dyDescent="0.2">
      <c r="A33" s="5" t="str">
        <f>HYPERLINK("#'4.3.1.3-4 Direct N20'!A1", "4.3.1.3-4 Direct N20")</f>
        <v>4.3.1.3-4 Direct N20</v>
      </c>
    </row>
    <row r="34" spans="1:19" ht="20.100000000000001" customHeight="1" x14ac:dyDescent="0.2">
      <c r="A34" s="5" t="str">
        <f>HYPERLINK("#'4.3.1.5 Atmos deposition'!A1", "4.3.1.5 Atmos deposition")</f>
        <v>4.3.1.5 Atmos deposition</v>
      </c>
    </row>
    <row r="35" spans="1:19" ht="20.100000000000001" customHeight="1" x14ac:dyDescent="0.2">
      <c r="A35" s="5" t="str">
        <f>HYPERLINK("#'4.3.1.6-7 Leaching and runoff'!A1", "4.3.1.6-7 Leaching &amp; runoff")</f>
        <v>4.3.1.6-7 Leaching &amp; runoff</v>
      </c>
      <c r="D35" s="76" t="s">
        <v>378</v>
      </c>
      <c r="E35" s="1" t="s">
        <v>1727</v>
      </c>
    </row>
    <row r="36" spans="1:19" ht="20.100000000000001" customHeight="1" x14ac:dyDescent="0.2">
      <c r="A36" s="5" t="str">
        <f>HYPERLINK("#'4.3.1.8 Manure applied to soils'!A1", "4.3.1.8 Manure applied to soils")</f>
        <v>4.3.1.8 Manure applied to soils</v>
      </c>
      <c r="D36" s="76" t="s">
        <v>118</v>
      </c>
      <c r="E36" s="9" t="s">
        <v>11</v>
      </c>
    </row>
    <row r="37" spans="1:19" ht="20.100000000000001" customHeight="1" x14ac:dyDescent="0.2">
      <c r="A37" s="5" t="str">
        <f>HYPERLINK("#'4.3.1.9 Soil direct N2O'!A1", "4.3.1.9 Soil direct N2O")</f>
        <v>4.3.1.9 Soil direct N2O</v>
      </c>
    </row>
    <row r="38" spans="1:19" ht="20.100000000000001" customHeight="1" x14ac:dyDescent="0.2">
      <c r="A38" s="119" t="str">
        <f>HYPERLINK("#'4.3.1.10-11 Soil Atmos Dep'!A1", "4.3.1.10-11 Soil Atmos Deposition")</f>
        <v>4.3.1.10-11 Soil Atmos Deposition</v>
      </c>
      <c r="D38" s="120" t="s">
        <v>1720</v>
      </c>
      <c r="E38" s="125" t="s">
        <v>1728</v>
      </c>
      <c r="F38" s="126"/>
      <c r="G38" s="120" t="s">
        <v>1301</v>
      </c>
      <c r="H38" s="128" t="s">
        <v>1729</v>
      </c>
      <c r="I38" s="120">
        <f>$E$26</f>
        <v>4992.4174256148935</v>
      </c>
      <c r="O38" s="132" t="str">
        <f>D38</f>
        <v>M_vol_m14</v>
      </c>
      <c r="P38" s="132" t="str">
        <f>E38</f>
        <v>mass of nitrogen volatilised from urine and faeces deposited on pasture</v>
      </c>
      <c r="Q38" s="135"/>
      <c r="R38" s="138"/>
      <c r="S38" s="132">
        <f>$P$26</f>
        <v>4992.4174256148935</v>
      </c>
    </row>
    <row r="39" spans="1:19" ht="20.100000000000001" customHeight="1" x14ac:dyDescent="0.2">
      <c r="A39" s="5" t="str">
        <f>HYPERLINK("#'4.3.1.12-13 Soil leach runoff'!A1", "4.3.1.12-13 Soil leach &amp; runoff")</f>
        <v>4.3.1.12-13 Soil leach &amp; runoff</v>
      </c>
      <c r="D39" s="120" t="s">
        <v>1673</v>
      </c>
      <c r="E39" s="125" t="s">
        <v>1674</v>
      </c>
      <c r="F39" s="126"/>
      <c r="G39" s="120" t="s">
        <v>1663</v>
      </c>
      <c r="H39" s="128" t="s">
        <v>1501</v>
      </c>
      <c r="I39" s="120">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132"/>
      <c r="P39" s="135"/>
      <c r="Q39" s="141"/>
      <c r="R39" s="138"/>
      <c r="S39" s="132"/>
    </row>
    <row r="40" spans="1:19" ht="20.100000000000001" customHeight="1" x14ac:dyDescent="0.2">
      <c r="A40" s="5" t="str">
        <f>HYPERLINK("#'5.1.1.1-2 Inorganic fert N2O'!A1", "5.1.1.1-2 Inorganic fert N2O")</f>
        <v>5.1.1.1-2 Inorganic fert N2O</v>
      </c>
      <c r="D40" s="120" t="s">
        <v>1660</v>
      </c>
      <c r="E40" s="125" t="s">
        <v>1661</v>
      </c>
      <c r="F40" s="126"/>
      <c r="G40" s="120"/>
      <c r="H40" s="128" t="s">
        <v>1501</v>
      </c>
      <c r="I40" s="120">
        <f>Common_InputFunctions.Utility_LookupValueInTableNumber("N2O",Table_GasToMolecularConversionFactor[Gas],Table_GasToMolecularConversionFactor[Conversion factor combined])</f>
        <v>1.5714285714285714</v>
      </c>
      <c r="O40" s="132"/>
      <c r="P40" s="135"/>
      <c r="Q40" s="141"/>
      <c r="R40" s="138"/>
      <c r="S40" s="132"/>
    </row>
    <row r="41" spans="1:19" ht="20.100000000000001" customHeight="1" x14ac:dyDescent="0.2">
      <c r="A41" s="5" t="str">
        <f>HYPERLINK("#'5.1.1.3-4 Inorganic fert CO2'!A1", "5.1.1.3-4 Inorganic fert CO2")</f>
        <v>5.1.1.3-4 Inorganic fert CO2</v>
      </c>
      <c r="D41" s="120" t="s">
        <v>1675</v>
      </c>
      <c r="E41" s="125" t="s">
        <v>1676</v>
      </c>
      <c r="F41" s="126"/>
      <c r="G41" s="120"/>
      <c r="H41" s="121" t="s">
        <v>1469</v>
      </c>
      <c r="I41" s="120" t="str">
        <f>X_Cell_Dairy_ManureAppliedProductionSystem</f>
        <v>Pasture</v>
      </c>
      <c r="O41" s="132"/>
      <c r="P41" s="135"/>
      <c r="Q41" s="141"/>
      <c r="R41" s="138"/>
      <c r="S41" s="132"/>
    </row>
    <row r="42" spans="1:19" ht="20.100000000000001" customHeight="1" x14ac:dyDescent="0.2">
      <c r="A42" s="5" t="str">
        <f>HYPERLINK("#'5.2.1.1-2 Organic Fert N2O'!A1", "5.2.1.1-2 Organic fert N2O")</f>
        <v>5.2.1.1-2 Organic fert N2O</v>
      </c>
      <c r="D42" s="120" t="s">
        <v>1677</v>
      </c>
      <c r="E42" s="125" t="s">
        <v>1678</v>
      </c>
      <c r="F42" s="126"/>
      <c r="G42" s="120"/>
      <c r="H42" s="121" t="s">
        <v>1469</v>
      </c>
      <c r="I42" s="120" t="str">
        <f>X_Cell_Dairy_ManureAppliedIrrigationMethod</f>
        <v>Sprinkler irrigation</v>
      </c>
      <c r="O42" s="132"/>
      <c r="P42" s="135"/>
      <c r="Q42" s="141"/>
      <c r="R42" s="138"/>
      <c r="S42" s="132"/>
    </row>
    <row r="43" spans="1:19" ht="20.100000000000001" customHeight="1" x14ac:dyDescent="0.2">
      <c r="A43" s="5" t="str">
        <f>HYPERLINK("#'5.3.1.1-2 Lime CO2'!A1", "5.3.1.1-2 Lime CO2")</f>
        <v>5.3.1.1-2 Lime CO2</v>
      </c>
      <c r="D43" s="120" t="s">
        <v>1679</v>
      </c>
      <c r="E43" s="125" t="s">
        <v>1680</v>
      </c>
      <c r="F43" s="126"/>
      <c r="G43" s="120"/>
      <c r="H43" s="121" t="s">
        <v>1469</v>
      </c>
      <c r="I43" s="120" t="str">
        <f>X_Cell_Site_RainfallZone</f>
        <v>High rainfall</v>
      </c>
      <c r="O43" s="132"/>
      <c r="P43" s="135"/>
      <c r="Q43" s="141"/>
      <c r="R43" s="138"/>
      <c r="S43" s="132"/>
    </row>
    <row r="44" spans="1:19" ht="20.100000000000001" customHeight="1" x14ac:dyDescent="0.2">
      <c r="A44" s="5" t="str">
        <f>HYPERLINK("#'5.4.1.1-4 Atmos deposition'!A1", "5.4.1.1-4 Atmos. deposition")</f>
        <v>5.4.1.1-4 Atmos. deposition</v>
      </c>
    </row>
    <row r="45" spans="1:19" ht="20.100000000000001" customHeight="1" x14ac:dyDescent="0.2">
      <c r="A45" s="5" t="str">
        <f>HYPERLINK("#'5.5.1.1-2 Leaching and runoff'!A1", "5.5.1.1-2 Leaching &amp; runoff")</f>
        <v>5.5.1.1-2 Leaching &amp; runoff</v>
      </c>
      <c r="D45" s="87" t="s">
        <v>600</v>
      </c>
      <c r="E45" s="90">
        <f>($I$38 * $I$39 * $I$40 * 10 ^ -3)</f>
        <v>4.6286841560343794E-2</v>
      </c>
      <c r="F45" s="89" t="str">
        <f>$E$36</f>
        <v>t N2O</v>
      </c>
      <c r="O45" s="87" t="s">
        <v>600</v>
      </c>
      <c r="P45" s="90">
        <f>($S$38 * $I$39 * $I$40 * 10 ^ -3)</f>
        <v>4.6286841560343794E-2</v>
      </c>
      <c r="Q45" s="89" t="str">
        <f>$E$36</f>
        <v>t N2O</v>
      </c>
    </row>
    <row r="46" spans="1:19" ht="20.100000000000001" customHeight="1" x14ac:dyDescent="0.2">
      <c r="A46" s="5" t="str">
        <f>HYPERLINK("#'6.2.1.1-2 Pasture residue N2O'!A1", "6.2.1.1-2 Pasture residue N2O")</f>
        <v>6.2.1.1-2 Pasture residue N2O</v>
      </c>
    </row>
    <row r="47" spans="1:19" ht="20.100000000000001" customHeight="1" x14ac:dyDescent="0.2">
      <c r="A47" s="5" t="str">
        <f>HYPERLINK("#'6.3.1.1-2 Leach runoff pasture'!A1", "6.3.1.1-2 Leach &amp; runoff (pasture)")</f>
        <v>6.3.1.1-2 Leach &amp; runoff (pasture)</v>
      </c>
      <c r="D47" s="132" t="str" cm="1">
        <f t="array" ref="D47:E48">Common_Equations.Common_ConvertN2OToCO2e_Arguments()</f>
        <v>EN2O</v>
      </c>
      <c r="E47" s="135" t="str">
        <v>Nitrous oxide emissions (t N2O)</v>
      </c>
      <c r="F47" s="136"/>
      <c r="G47" s="15">
        <f>VEERG_4_3_1_10__1_AtmosphericDepositionEmissionsFromUrineAndDungOnPasture_Result_Method1</f>
        <v>4.6286841560343794E-2</v>
      </c>
      <c r="O47" s="132" t="str" cm="1">
        <f t="array" ref="O47:P48">Common_Equations.Common_ConvertN2OToCO2e_Arguments()</f>
        <v>EN2O</v>
      </c>
      <c r="P47" s="135" t="str">
        <v>Nitrous oxide emissions (t N2O)</v>
      </c>
      <c r="Q47" s="136"/>
      <c r="R47" s="15">
        <f>VEERG_4_3_1_10__1_AtmosphericDepositionEmissionsFromUrineAndDungOnPasture_Result_Method2</f>
        <v>4.6286841560343794E-2</v>
      </c>
    </row>
    <row r="48" spans="1:19" ht="20.100000000000001" customHeight="1" x14ac:dyDescent="0.2">
      <c r="A48" s="5" t="str">
        <f>HYPERLINK("#'8.1.1.1-2 Transport fuel'!A1", "8.1.1.1-2 Transport fuel")</f>
        <v>8.1.1.1-2 Transport fuel</v>
      </c>
      <c r="D48" s="132" t="str">
        <v>GWPN2O</v>
      </c>
      <c r="E48" s="135" t="str">
        <v>Global warming potential for nitrous oxide (t CO2-e / t N2O)</v>
      </c>
      <c r="F48" s="136"/>
      <c r="G48" s="15">
        <f>Common_InputFunctions.Utility_LookupValueInTableNumber("N2O",Table_GWPData[Gas],Table_GWPData[CO2-e factor])</f>
        <v>265</v>
      </c>
      <c r="O48" s="132" t="str">
        <v>GWPN2O</v>
      </c>
      <c r="P48" s="135" t="str">
        <v>Global warming potential for nitrous oxide (t CO2-e / t N2O)</v>
      </c>
      <c r="Q48" s="136"/>
      <c r="R48" s="15">
        <f>Common_InputFunctions.Utility_LookupValueInTableNumber("N2O",Table_GWPData[Gas],Table_GWPData[CO2-e factor])</f>
        <v>265</v>
      </c>
    </row>
    <row r="49" spans="1:17" ht="20.100000000000001" customHeight="1" x14ac:dyDescent="0.2">
      <c r="A49" s="5" t="str">
        <f>HYPERLINK("#'8.2.1.1-2 Stationary fuel'!A1", "8.2.1.1-2 Stationary fuel")</f>
        <v>8.2.1.1-2 Stationary fuel</v>
      </c>
    </row>
    <row r="50" spans="1:17" ht="20.100000000000001" customHeight="1" x14ac:dyDescent="0.2">
      <c r="A50" s="5" t="str">
        <f>HYPERLINK("#'9.1.1.1-2 Refrigerant use'!A1", "9.1.1.1-2 Refrigerant use")</f>
        <v>9.1.1.1-2 Refrigerant use</v>
      </c>
      <c r="D50" s="88" t="s">
        <v>527</v>
      </c>
      <c r="E50" s="88" cm="1">
        <f t="array" ref="E50">Common_Equations.Common_ConvertN2OToCO2e(G47,G48)</f>
        <v>12.266013013491106</v>
      </c>
      <c r="F50" s="93" t="str" cm="1">
        <f t="array" ref="F50">Common_Equations.Common_ConvertN2OToCO2e_Unit()</f>
        <v>t CO2e</v>
      </c>
      <c r="O50" s="88" t="s">
        <v>527</v>
      </c>
      <c r="P50" s="88" cm="1">
        <f t="array" ref="P50">Common_Equations.Common_ConvertN2OToCO2e(R47,R48)</f>
        <v>12.266013013491106</v>
      </c>
      <c r="Q50" s="93" t="str" cm="1">
        <f t="array" ref="Q50">Common_Equations.Common_ConvertN2OToCO2e_Unit()</f>
        <v>t CO2e</v>
      </c>
    </row>
    <row r="51" spans="1:17" ht="20.100000000000001" customHeight="1" x14ac:dyDescent="0.2">
      <c r="A51" s="5" t="str">
        <f>HYPERLINK("#'10.1.1-2 Solid waste treatment'!A1", "10.1.1.1-2 Solid waste")</f>
        <v>10.1.1.1-2 Solid waste</v>
      </c>
    </row>
    <row r="52" spans="1:17" ht="20.100000000000001" customHeight="1" x14ac:dyDescent="0.2">
      <c r="A52" s="5" t="str">
        <f>HYPERLINK("#'14.1.1-2 Purchased electricity'!A1", "14.1.1-2 Purchased electricity")</f>
        <v>14.1.1-2 Purchased electricity</v>
      </c>
    </row>
    <row r="53" spans="1:17" ht="20.100000000000001" customHeight="1" x14ac:dyDescent="0.2">
      <c r="A53" s="5" t="str">
        <f>HYPERLINK("#'15 Scope 3'!A1", "15 Scope 3")</f>
        <v>15 Scope 3</v>
      </c>
    </row>
    <row r="54" spans="1:17" ht="20.100000000000001" customHeight="1" x14ac:dyDescent="0.2">
      <c r="A54" s="5" t="str">
        <f>HYPERLINK("#'Calcs - Manure sent off-site'!A1", "Calcs - Manure sent off-site")</f>
        <v>Calcs - Manure sent off-site</v>
      </c>
    </row>
    <row r="57" spans="1:17" ht="20.100000000000001" customHeight="1" x14ac:dyDescent="0.2">
      <c r="A57" s="82" t="s">
        <v>1</v>
      </c>
    </row>
    <row r="58" spans="1:17" ht="20.100000000000001" customHeight="1" x14ac:dyDescent="0.2">
      <c r="A58" s="5" t="str">
        <f>HYPERLINK("#'Constants - Dairy'!A1", "Constants - Dairy")</f>
        <v>Constants - Dairy</v>
      </c>
    </row>
    <row r="59" spans="1:17" ht="20.100000000000001" customHeight="1" x14ac:dyDescent="0.2">
      <c r="A59" s="5" t="str">
        <f>HYPERLINK("#'Constants - Ag Residue'!A1", "Constants - Ag residue")</f>
        <v>Constants - Ag residue</v>
      </c>
    </row>
    <row r="60" spans="1:17" ht="20.100000000000001" customHeight="1" x14ac:dyDescent="0.2">
      <c r="A60" s="5" t="str">
        <f>HYPERLINK("#'Constants - Common Livestock'!A1", "Constants - Common Livestock")</f>
        <v>Constants - Common Livestock</v>
      </c>
    </row>
    <row r="61" spans="1:17" ht="20.100000000000001" customHeight="1" x14ac:dyDescent="0.2">
      <c r="A61" s="5" t="str">
        <f>HYPERLINK("#'Constants - Electricity'!A1", "Constants - Electricity")</f>
        <v>Constants - Electricity</v>
      </c>
    </row>
    <row r="62" spans="1:17" ht="20.100000000000001" customHeight="1" x14ac:dyDescent="0.2">
      <c r="A62" s="5" t="str">
        <f>HYPERLINK("#'Constants - Fertiliser'!A1", "Constants - Fertiliser")</f>
        <v>Constants - Fertiliser</v>
      </c>
    </row>
    <row r="63" spans="1:17" ht="20.100000000000001" customHeight="1" x14ac:dyDescent="0.2">
      <c r="A63" s="5" t="str">
        <f>HYPERLINK("#'Constants - Fuel'!A1", "Constants - Fuel")</f>
        <v>Constants - Fuel</v>
      </c>
    </row>
    <row r="64" spans="1:17"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dataValidations count="1">
    <dataValidation operator="equal" allowBlank="1" showInputMessage="1" showErrorMessage="1" sqref="E19 P19 E24 P24" xr:uid="{BD90DCFE-C1A7-41F6-A0FC-B45278A8641C}"/>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D9A7-193C-49A8-8B43-59E5B63224AF}">
  <sheetPr>
    <tabColor rgb="FF008000"/>
  </sheetPr>
  <dimension ref="A1:W68"/>
  <sheetViews>
    <sheetView showGridLines="0" zoomScaleNormal="100" workbookViewId="0">
      <pane xSplit="1" topLeftCell="B1" activePane="topRight" state="frozenSplit"/>
      <selection pane="topRight" activeCell="A79" sqref="A7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601</v>
      </c>
    </row>
    <row r="2" spans="1:23" s="3" customFormat="1" ht="20.100000000000001" customHeight="1" x14ac:dyDescent="0.2">
      <c r="A2"/>
    </row>
    <row r="3" spans="1:23" ht="20.100000000000001" customHeight="1" x14ac:dyDescent="0.2">
      <c r="A3" s="5" t="str">
        <f>HYPERLINK("#'Home'!A1", "Home")</f>
        <v>Home</v>
      </c>
      <c r="C3" s="22"/>
      <c r="D3" s="22"/>
      <c r="E3" s="22"/>
      <c r="F3" s="22"/>
      <c r="G3" s="22"/>
      <c r="H3" s="22"/>
      <c r="I3" s="22"/>
      <c r="J3" s="22"/>
      <c r="K3" s="22"/>
      <c r="L3" s="22"/>
      <c r="N3" s="22"/>
      <c r="O3" s="22"/>
      <c r="P3" s="22"/>
      <c r="Q3" s="22"/>
      <c r="R3" s="22"/>
      <c r="S3" s="22"/>
      <c r="T3" s="22"/>
      <c r="U3" s="22"/>
      <c r="V3" s="22"/>
      <c r="W3" s="22"/>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D5" s="2" t="s">
        <v>1730</v>
      </c>
    </row>
    <row r="6" spans="1:23" ht="20.100000000000001" customHeight="1" x14ac:dyDescent="0.2">
      <c r="A6" s="5" t="str">
        <f>HYPERLINK("#'Results'!A1", "Results")</f>
        <v>Results</v>
      </c>
      <c r="D6" s="17" t="s">
        <v>1731</v>
      </c>
    </row>
    <row r="7" spans="1:23" ht="20.100000000000001" customHeight="1" x14ac:dyDescent="0.2">
      <c r="D7" s="118"/>
      <c r="E7" s="118"/>
    </row>
    <row r="8" spans="1:23" ht="20.100000000000001" customHeight="1" x14ac:dyDescent="0.2">
      <c r="E8" s="1" t="s">
        <v>602</v>
      </c>
    </row>
    <row r="9" spans="1:23" ht="20.100000000000001" customHeight="1" x14ac:dyDescent="0.2">
      <c r="A9" s="7" t="s">
        <v>0</v>
      </c>
    </row>
    <row r="10" spans="1:23" ht="20.100000000000001" customHeight="1" x14ac:dyDescent="0.2">
      <c r="A10" s="5" t="str">
        <f>HYPERLINK("#'Input - Enterprise'!A1", "Enterprise")</f>
        <v>Enterprise</v>
      </c>
      <c r="D10" s="76" t="s">
        <v>378</v>
      </c>
      <c r="E10" s="1" t="s">
        <v>1732</v>
      </c>
    </row>
    <row r="11" spans="1:23" ht="20.100000000000001" customHeight="1" x14ac:dyDescent="0.2">
      <c r="A11" s="5" t="str">
        <f>HYPERLINK("#'Input - Site'!A1", "Site")</f>
        <v>Site</v>
      </c>
      <c r="D11" s="76" t="s">
        <v>118</v>
      </c>
      <c r="E11" s="9" t="s">
        <v>1301</v>
      </c>
    </row>
    <row r="12" spans="1:23" ht="20.100000000000001" customHeight="1" x14ac:dyDescent="0.2">
      <c r="A12" s="5" t="str">
        <f>HYPERLINK("#'Input - Dairy'!A1", "Dairy")</f>
        <v>Dairy</v>
      </c>
    </row>
    <row r="13" spans="1:23" ht="20.100000000000001" customHeight="1" x14ac:dyDescent="0.2">
      <c r="A13" s="5" t="str">
        <f>HYPERLINK("#'Input - Livestock sales'!A1", "Livestock sales")</f>
        <v>Livestock sales</v>
      </c>
      <c r="D13" s="120" t="s">
        <v>1713</v>
      </c>
      <c r="E13" s="125" t="s">
        <v>1721</v>
      </c>
      <c r="F13" s="126"/>
      <c r="G13" s="120" t="s">
        <v>1301</v>
      </c>
      <c r="H13" s="128" t="s">
        <v>1662</v>
      </c>
      <c r="I13" s="127" t="str" cm="1">
        <f t="array" aca="1" ref="I13" ca="1">HYPERLINK(Common_InputFunctions.Utility_SourceHyperlink($D$20),$D$20)</f>
        <v>M1_Table_MN_j_m-14</v>
      </c>
    </row>
    <row r="14" spans="1:23" ht="20.100000000000001" customHeight="1" x14ac:dyDescent="0.2">
      <c r="A14" s="5" t="str">
        <f>HYPERLINK("#'Input - Dairy cattle purchases'!A1", "Dairy cattle purchases")</f>
        <v>Dairy cattle purchases</v>
      </c>
      <c r="D14" s="120" t="s">
        <v>1733</v>
      </c>
      <c r="E14" s="125" t="s">
        <v>1734</v>
      </c>
      <c r="F14" s="126"/>
      <c r="G14" s="120"/>
      <c r="H14" s="128" t="s">
        <v>1501</v>
      </c>
      <c r="I14" s="120">
        <f>Common_InputFunctions.CommonCropping_GetFracWET(I16,I18,Table_SourceData_FracWET[Is in leaching zone],Table_SourceData_FracWET[FracWET],Table_SourceData_FracWETIrrigation[Irrigation type i],Table_SourceData_FracWETIrrigation[FracWET])</f>
        <v>1</v>
      </c>
    </row>
    <row r="15" spans="1:23" ht="20.100000000000001" customHeight="1" x14ac:dyDescent="0.2">
      <c r="A15" s="5" t="str">
        <f>HYPERLINK("#'Input - Pasture'!A1", "Pasture")</f>
        <v>Pasture</v>
      </c>
      <c r="D15" s="120" t="s">
        <v>1735</v>
      </c>
      <c r="E15" s="125" t="s">
        <v>1736</v>
      </c>
      <c r="F15" s="126"/>
      <c r="G15" s="120"/>
      <c r="H15" s="128" t="s">
        <v>1501</v>
      </c>
      <c r="I15" s="120">
        <f>SourceData_Dairy_FractionOfNitrogenLostThroughLeachingAndRunoff_Data</f>
        <v>0.24</v>
      </c>
    </row>
    <row r="16" spans="1:23" ht="20.100000000000001" customHeight="1" x14ac:dyDescent="0.2">
      <c r="A16" s="5" t="str">
        <f>HYPERLINK("#'Input - Fert Prod System'!A1", "Fert Prod System")</f>
        <v>Fert Prod System</v>
      </c>
      <c r="D16" s="120" t="s">
        <v>1691</v>
      </c>
      <c r="E16" s="125" t="s">
        <v>1692</v>
      </c>
      <c r="F16" s="126"/>
      <c r="G16" s="120"/>
      <c r="H16" s="121" t="s">
        <v>1469</v>
      </c>
      <c r="I16" s="120" t="str">
        <f>X_Cell_Site_LeachingZone</f>
        <v>NO - Not in leaching zone</v>
      </c>
    </row>
    <row r="17" spans="1:22" ht="20.100000000000001" customHeight="1" x14ac:dyDescent="0.2">
      <c r="A17" s="5" t="str">
        <f>HYPERLINK("#'Input - Fertiliser'!A1", "Fertiliser")</f>
        <v>Fertiliser</v>
      </c>
      <c r="D17" s="120" t="s">
        <v>1675</v>
      </c>
      <c r="E17" s="125" t="s">
        <v>1676</v>
      </c>
      <c r="F17" s="126"/>
      <c r="G17" s="120"/>
      <c r="H17" s="121" t="s">
        <v>1469</v>
      </c>
      <c r="I17" s="120" t="str">
        <f>X_Cell_Dairy_ManureAppliedProductionSystem</f>
        <v>Pasture</v>
      </c>
    </row>
    <row r="18" spans="1:22" ht="20.100000000000001" customHeight="1" x14ac:dyDescent="0.2">
      <c r="A18" s="5" t="str">
        <f>HYPERLINK("#'Input - Fuel'!A1", "Fuel")</f>
        <v>Fuel</v>
      </c>
      <c r="D18" s="120" t="s">
        <v>1677</v>
      </c>
      <c r="E18" s="125" t="s">
        <v>1678</v>
      </c>
      <c r="F18" s="126"/>
      <c r="G18" s="120"/>
      <c r="H18" s="121" t="s">
        <v>1469</v>
      </c>
      <c r="I18" s="120" t="str">
        <f>X_Cell_Dairy_ManureAppliedIrrigationMethod</f>
        <v>Sprinkler irrigation</v>
      </c>
    </row>
    <row r="19" spans="1:22" ht="20.100000000000001" customHeight="1" x14ac:dyDescent="0.2">
      <c r="A19" s="5" t="str">
        <f>HYPERLINK("#'Input - Electricity'!A1", "Electricity")</f>
        <v>Electricity</v>
      </c>
    </row>
    <row r="20" spans="1:22" ht="20.100000000000001" customHeight="1" x14ac:dyDescent="0.2">
      <c r="A20" s="5" t="str">
        <f>HYPERLINK("#'Input - Common farm inputs'!A1", "Common farm inputs")</f>
        <v>Common farm inputs</v>
      </c>
      <c r="D20" s="122" t="s">
        <v>587</v>
      </c>
      <c r="M20" s="98"/>
      <c r="O20" s="122" t="s">
        <v>588</v>
      </c>
    </row>
    <row r="21" spans="1:22" ht="20.100000000000001" customHeight="1" x14ac:dyDescent="0.2">
      <c r="A21" s="5" t="str">
        <f>HYPERLINK("#'Input - Crop pasture farm input'!A1", "Crop pasture farm input")</f>
        <v>Crop pasture farm input</v>
      </c>
      <c r="D21" s="123" t="s">
        <v>589</v>
      </c>
      <c r="M21" s="98"/>
      <c r="O21" s="123" t="s">
        <v>590</v>
      </c>
    </row>
    <row r="22" spans="1:22" ht="20.100000000000001" customHeight="1" x14ac:dyDescent="0.2">
      <c r="A22" s="5" t="str">
        <f>HYPERLINK("#'Input - Livestock farm Inputs'!A1", "Livestock farm Inputs")</f>
        <v>Livestock farm Inputs</v>
      </c>
      <c r="D22" s="124" t="s">
        <v>159</v>
      </c>
      <c r="E22" s="124" t="s">
        <v>422</v>
      </c>
      <c r="F22" s="124" t="s">
        <v>330</v>
      </c>
      <c r="G22" s="124" t="s">
        <v>331</v>
      </c>
      <c r="H22" s="124" t="s">
        <v>332</v>
      </c>
      <c r="I22" s="124" t="s">
        <v>333</v>
      </c>
      <c r="J22" s="124" t="s">
        <v>334</v>
      </c>
      <c r="M22" s="98"/>
      <c r="O22" s="124" t="s">
        <v>159</v>
      </c>
      <c r="P22" s="124" t="s">
        <v>422</v>
      </c>
      <c r="Q22" s="124" t="s">
        <v>330</v>
      </c>
      <c r="R22" s="124" t="s">
        <v>331</v>
      </c>
      <c r="S22" s="124" t="s">
        <v>332</v>
      </c>
      <c r="T22" s="124" t="s">
        <v>333</v>
      </c>
      <c r="U22" s="124" t="s">
        <v>334</v>
      </c>
    </row>
    <row r="23" spans="1:22" ht="20.100000000000001" customHeight="1" x14ac:dyDescent="0.2">
      <c r="A23" s="5" t="str">
        <f>HYPERLINK("#'Input - Freight'!A1", "Freight")</f>
        <v>Freight</v>
      </c>
      <c r="D23" s="15" t="str">
        <f>INDEX(X_Table_Dairy_ProductionSystems_Method1,2,1)</f>
        <v>Pasture</v>
      </c>
      <c r="E23" s="15" t="str">
        <f>'Constants - Common Livestock'!$E$27</f>
        <v>Pasture range and paddock</v>
      </c>
      <c r="F23" s="15">
        <f>INDEX(M1_Table_MN_j_m14,2,3)</f>
        <v>9690.7906525703293</v>
      </c>
      <c r="G23" s="15">
        <f>INDEX(M1_Table_MN_j_m14,2,4)</f>
        <v>4426.3236377252861</v>
      </c>
      <c r="H23" s="15">
        <f>INDEX(M1_Table_MN_j_m14,2,5)</f>
        <v>1762.9578946423812</v>
      </c>
      <c r="I23" s="15">
        <f>INDEX(M1_Table_MN_j_m14,2,6)</f>
        <v>5564.0638693222609</v>
      </c>
      <c r="J23" s="15">
        <f>INDEX(M1_Table_MN_j_m14,2,7)</f>
        <v>2329.2802581916176</v>
      </c>
      <c r="K23" s="16" t="str">
        <f>$E$11</f>
        <v>kg N</v>
      </c>
      <c r="M23" s="98"/>
      <c r="O23" s="15" t="str">
        <f>INDEX(X_Table_Dairy_ProductionSystems_Method1,2,1)</f>
        <v>Pasture</v>
      </c>
      <c r="P23" s="15" t="str">
        <f>'Constants - Common Livestock'!$E$27</f>
        <v>Pasture range and paddock</v>
      </c>
      <c r="Q23" s="15">
        <f>INDEX(M2_Table_MN_j_m14,2,3)</f>
        <v>9690.7906525703293</v>
      </c>
      <c r="R23" s="15">
        <f>INDEX(M2_Table_MN_j_m14,2,4)</f>
        <v>4426.3236377252861</v>
      </c>
      <c r="S23" s="15">
        <f>INDEX(M2_Table_MN_j_m14,2,5)</f>
        <v>1762.9578946423812</v>
      </c>
      <c r="T23" s="15">
        <f>INDEX(M2_Table_MN_j_m14,2,6)</f>
        <v>5564.0638693222609</v>
      </c>
      <c r="U23" s="15">
        <f>INDEX(M2_Table_MN_j_m14,2,7)</f>
        <v>2329.2802581916176</v>
      </c>
      <c r="V23" s="16" t="str">
        <f>$E$11</f>
        <v>kg N</v>
      </c>
    </row>
    <row r="24" spans="1:22" ht="20.100000000000001" customHeight="1" x14ac:dyDescent="0.2">
      <c r="A24" s="5" t="str">
        <f>HYPERLINK("#'Input - Solid waste'!A1", "Solid waste")</f>
        <v>Solid waste</v>
      </c>
    </row>
    <row r="25" spans="1:22" ht="20.100000000000001" customHeight="1" x14ac:dyDescent="0.2">
      <c r="A25" s="5" t="str">
        <f>HYPERLINK("#'Input - Manure sent off-site'!A1", "Manure sent off-site")</f>
        <v>Manure sent off-site</v>
      </c>
      <c r="D25" s="122" t="s">
        <v>603</v>
      </c>
      <c r="O25" s="122" t="s">
        <v>604</v>
      </c>
    </row>
    <row r="26" spans="1:22" ht="20.100000000000001" customHeight="1" x14ac:dyDescent="0.2">
      <c r="A26" s="5" t="str">
        <f>HYPERLINK("#'Input - Refrigerants'!A1", "Refrigerants")</f>
        <v>Refrigerants</v>
      </c>
      <c r="D26" s="123" t="s">
        <v>605</v>
      </c>
      <c r="O26" s="123" t="s">
        <v>606</v>
      </c>
    </row>
    <row r="27" spans="1:22" ht="20.100000000000001" customHeight="1" x14ac:dyDescent="0.2">
      <c r="A27" s="5" t="str">
        <f>HYPERLINK("#'Input - Data quality'!A1", "Data quality")</f>
        <v>Data quality</v>
      </c>
      <c r="D27" s="124" t="s">
        <v>159</v>
      </c>
      <c r="E27" s="124" t="s">
        <v>422</v>
      </c>
      <c r="F27" s="124" t="s">
        <v>330</v>
      </c>
      <c r="G27" s="124" t="s">
        <v>331</v>
      </c>
      <c r="H27" s="124" t="s">
        <v>332</v>
      </c>
      <c r="I27" s="124" t="s">
        <v>333</v>
      </c>
      <c r="J27" s="124" t="s">
        <v>334</v>
      </c>
      <c r="O27" s="124" t="s">
        <v>159</v>
      </c>
      <c r="P27" s="124" t="s">
        <v>422</v>
      </c>
      <c r="Q27" s="124" t="s">
        <v>330</v>
      </c>
      <c r="R27" s="124" t="s">
        <v>331</v>
      </c>
      <c r="S27" s="124" t="s">
        <v>332</v>
      </c>
      <c r="T27" s="124" t="s">
        <v>333</v>
      </c>
      <c r="U27" s="124" t="s">
        <v>334</v>
      </c>
    </row>
    <row r="28" spans="1:22" ht="20.100000000000001" customHeight="1" x14ac:dyDescent="0.2">
      <c r="D28" s="15" t="str">
        <f>INDEX(X_Table_Dairy_ProductionSystems_Method1,2,1)</f>
        <v>Pasture</v>
      </c>
      <c r="E28" s="15" t="str">
        <f>'Constants - Common Livestock'!$E$27</f>
        <v>Pasture range and paddock</v>
      </c>
      <c r="F28" s="15">
        <f>(F23 * $I$14 * $I$15)</f>
        <v>2325.789756616879</v>
      </c>
      <c r="G28" s="15">
        <f>(G23 * $I$14 * $I$15)</f>
        <v>1062.3176730540686</v>
      </c>
      <c r="H28" s="15">
        <f>(H23 * $I$14 * $I$15)</f>
        <v>423.1098947141715</v>
      </c>
      <c r="I28" s="15">
        <f>(I23 * $I$14 * $I$15)</f>
        <v>1335.3753286373426</v>
      </c>
      <c r="J28" s="15">
        <f>(J23 * $I$14 * $I$15)</f>
        <v>559.02726196598815</v>
      </c>
      <c r="K28" s="16" t="str">
        <f>$E$11</f>
        <v>kg N</v>
      </c>
      <c r="O28" s="15" t="str">
        <f>INDEX(X_Table_Dairy_ProductionSystems_Method1,2,1)</f>
        <v>Pasture</v>
      </c>
      <c r="P28" s="15" t="str">
        <f>'Constants - Common Livestock'!$E$27</f>
        <v>Pasture range and paddock</v>
      </c>
      <c r="Q28" s="15">
        <f>(Q23 * $I$14 * $I$15)</f>
        <v>2325.789756616879</v>
      </c>
      <c r="R28" s="15">
        <f>(R23 * $I$14 * $I$15)</f>
        <v>1062.3176730540686</v>
      </c>
      <c r="S28" s="15">
        <f>(S23 * $I$14 * $I$15)</f>
        <v>423.1098947141715</v>
      </c>
      <c r="T28" s="15">
        <f>(T23 * $I$14 * $I$15)</f>
        <v>1335.3753286373426</v>
      </c>
      <c r="U28" s="15">
        <f>(U23 * $I$14 * $I$15)</f>
        <v>559.02726196598815</v>
      </c>
      <c r="V28" s="16" t="str">
        <f>$E$11</f>
        <v>kg N</v>
      </c>
    </row>
    <row r="30" spans="1:22" ht="20.100000000000001" customHeight="1" x14ac:dyDescent="0.2">
      <c r="A30" s="6" t="s">
        <v>2</v>
      </c>
      <c r="D30" s="92" t="s">
        <v>607</v>
      </c>
      <c r="E30" s="88">
        <f>SUM(F28:J28)</f>
        <v>5705.6199149884496</v>
      </c>
      <c r="F30" s="93" t="str">
        <f>$E$11</f>
        <v>kg N</v>
      </c>
      <c r="O30" s="92" t="s">
        <v>607</v>
      </c>
      <c r="P30" s="88">
        <f>SUM(Q28:U28)</f>
        <v>5705.6199149884496</v>
      </c>
      <c r="Q30" s="93" t="str">
        <f>$E$11</f>
        <v>kg N</v>
      </c>
    </row>
    <row r="31" spans="1:22" ht="20.100000000000001" customHeight="1" x14ac:dyDescent="0.2">
      <c r="A31" s="5" t="str">
        <f>HYPERLINK("#'3.3.1.1-2 Enteric Methane'!A1", "3.3.1.1-2 Enteric methane")</f>
        <v>3.3.1.1-2 Enteric methane</v>
      </c>
    </row>
    <row r="32" spans="1:22" ht="20.100000000000001" customHeight="1" x14ac:dyDescent="0.2">
      <c r="A32" s="5" t="str">
        <f>HYPERLINK("#'4.3.1.1-2 Methane'!A1", "4.3.1.1-2 Manure methane")</f>
        <v>4.3.1.1-2 Manure methane</v>
      </c>
    </row>
    <row r="33" spans="1:23" ht="20.100000000000001" customHeight="1" x14ac:dyDescent="0.2">
      <c r="A33" s="5" t="str">
        <f>HYPERLINK("#'4.3.1.3-4 Direct N20'!A1", "4.3.1.3-4 Direct N20")</f>
        <v>4.3.1.3-4 Direct N20</v>
      </c>
    </row>
    <row r="34" spans="1:23" ht="20.100000000000001" customHeight="1" x14ac:dyDescent="0.2">
      <c r="A34" s="5" t="str">
        <f>HYPERLINK("#'4.3.1.5 Atmos deposition'!A1", "4.3.1.5 Atmos deposition")</f>
        <v>4.3.1.5 Atmos deposition</v>
      </c>
      <c r="C34" s="88"/>
      <c r="D34" s="88"/>
      <c r="E34" s="88"/>
      <c r="F34" s="88"/>
      <c r="G34" s="88"/>
      <c r="H34" s="88"/>
      <c r="I34" s="88"/>
      <c r="J34" s="88"/>
      <c r="K34" s="88"/>
      <c r="L34" s="88"/>
      <c r="N34" s="88"/>
      <c r="O34" s="88"/>
      <c r="P34" s="88"/>
      <c r="Q34" s="88"/>
      <c r="R34" s="88"/>
      <c r="S34" s="88"/>
      <c r="T34" s="88"/>
      <c r="U34" s="88"/>
      <c r="V34" s="88"/>
      <c r="W34" s="88"/>
    </row>
    <row r="35" spans="1:23" ht="20.100000000000001" customHeight="1" x14ac:dyDescent="0.2">
      <c r="A35" s="5" t="str">
        <f>HYPERLINK("#'4.3.1.6-7 Leaching and runoff'!A1", "4.3.1.6-7 Leaching &amp; runoff")</f>
        <v>4.3.1.6-7 Leaching &amp; runoff</v>
      </c>
      <c r="D35" s="2" t="s">
        <v>1737</v>
      </c>
    </row>
    <row r="36" spans="1:23" ht="20.100000000000001" customHeight="1" x14ac:dyDescent="0.2">
      <c r="A36" s="5" t="str">
        <f>HYPERLINK("#'4.3.1.8 Manure applied to soils'!A1", "4.3.1.8 Manure applied to soils")</f>
        <v>4.3.1.8 Manure applied to soils</v>
      </c>
      <c r="D36" s="17" t="s">
        <v>1738</v>
      </c>
    </row>
    <row r="37" spans="1:23" ht="20.100000000000001" customHeight="1" x14ac:dyDescent="0.2">
      <c r="A37" s="5" t="str">
        <f>HYPERLINK("#'4.3.1.9 Soil direct N2O'!A1", "4.3.1.9 Soil direct N2O")</f>
        <v>4.3.1.9 Soil direct N2O</v>
      </c>
      <c r="D37" s="118"/>
      <c r="E37" s="118"/>
    </row>
    <row r="38" spans="1:23" ht="20.100000000000001" customHeight="1" x14ac:dyDescent="0.2">
      <c r="A38" s="5" t="str">
        <f>HYPERLINK("#'4.3.1.10-11 Soil Atmos Dep'!A1", "4.3.1.10-11 Soil Atmos Deposition")</f>
        <v>4.3.1.10-11 Soil Atmos Deposition</v>
      </c>
    </row>
    <row r="39" spans="1:23" ht="20.100000000000001" customHeight="1" x14ac:dyDescent="0.2">
      <c r="A39" s="119" t="str">
        <f>HYPERLINK("#'4.3.1.12-13 Soil leach runoff'!A1", "4.3.1.12-13 Soil leach &amp; runoff")</f>
        <v>4.3.1.12-13 Soil leach &amp; runoff</v>
      </c>
    </row>
    <row r="40" spans="1:23" ht="20.100000000000001" customHeight="1" x14ac:dyDescent="0.2">
      <c r="A40" s="5" t="str">
        <f>HYPERLINK("#'5.1.1.1-2 Inorganic fert N2O'!A1", "5.1.1.1-2 Inorganic fert N2O")</f>
        <v>5.1.1.1-2 Inorganic fert N2O</v>
      </c>
      <c r="D40" s="76" t="s">
        <v>378</v>
      </c>
      <c r="E40" s="1" t="s">
        <v>1695</v>
      </c>
    </row>
    <row r="41" spans="1:23" ht="20.100000000000001" customHeight="1" x14ac:dyDescent="0.2">
      <c r="A41" s="5" t="str">
        <f>HYPERLINK("#'5.1.1.3-4 Inorganic fert CO2'!A1", "5.1.1.3-4 Inorganic fert CO2")</f>
        <v>5.1.1.3-4 Inorganic fert CO2</v>
      </c>
      <c r="D41" s="76" t="s">
        <v>118</v>
      </c>
      <c r="E41" s="9" t="s">
        <v>11</v>
      </c>
    </row>
    <row r="42" spans="1:23" ht="20.100000000000001" customHeight="1" x14ac:dyDescent="0.2">
      <c r="A42" s="5" t="str">
        <f>HYPERLINK("#'5.2.1.1-2 Organic Fert N2O'!A1", "5.2.1.1-2 Organic fert N2O")</f>
        <v>5.2.1.1-2 Organic fert N2O</v>
      </c>
    </row>
    <row r="43" spans="1:23" ht="20.100000000000001" customHeight="1" x14ac:dyDescent="0.2">
      <c r="A43" s="5" t="str">
        <f>HYPERLINK("#'5.3.1.1-2 Lime CO2'!A1", "5.3.1.1-2 Lime CO2")</f>
        <v>5.3.1.1-2 Lime CO2</v>
      </c>
      <c r="D43" s="120" t="s">
        <v>1732</v>
      </c>
      <c r="E43" s="120" t="s">
        <v>1739</v>
      </c>
      <c r="F43" s="125"/>
      <c r="G43" s="126"/>
      <c r="H43" s="120" t="s">
        <v>1301</v>
      </c>
      <c r="I43" s="128" t="s">
        <v>1740</v>
      </c>
      <c r="J43" s="120">
        <f>$E$30</f>
        <v>5705.6199149884496</v>
      </c>
      <c r="O43" s="120" t="s">
        <v>1732</v>
      </c>
      <c r="P43" s="120" t="s">
        <v>1739</v>
      </c>
      <c r="Q43" s="125"/>
      <c r="R43" s="126"/>
      <c r="S43" s="120" t="s">
        <v>1301</v>
      </c>
      <c r="T43" s="128" t="s">
        <v>1740</v>
      </c>
      <c r="U43" s="132">
        <f>$P$30</f>
        <v>5705.6199149884496</v>
      </c>
    </row>
    <row r="44" spans="1:23" ht="20.100000000000001" customHeight="1" x14ac:dyDescent="0.2">
      <c r="A44" s="5" t="str">
        <f>HYPERLINK("#'5.4.1.1-4 Atmos deposition'!A1", "5.4.1.1-4 Atmos. deposition")</f>
        <v>5.4.1.1-4 Atmos. deposition</v>
      </c>
      <c r="D44" s="120" t="s">
        <v>1698</v>
      </c>
      <c r="E44" s="120" t="s">
        <v>1699</v>
      </c>
      <c r="F44" s="125"/>
      <c r="G44" s="126"/>
      <c r="H44" s="120" t="s">
        <v>1663</v>
      </c>
      <c r="I44" s="128" t="s">
        <v>1501</v>
      </c>
      <c r="J44" s="120">
        <f>SourceData_Dairy_EmissionFactorForLeachingAndRunoff_Data</f>
        <v>1.0999999999999999E-2</v>
      </c>
      <c r="O44" s="120" t="s">
        <v>1698</v>
      </c>
      <c r="P44" s="120" t="s">
        <v>1699</v>
      </c>
      <c r="Q44" s="125"/>
      <c r="R44" s="126"/>
      <c r="S44" s="120" t="s">
        <v>1663</v>
      </c>
      <c r="T44" s="128" t="s">
        <v>1501</v>
      </c>
      <c r="U44" s="132"/>
    </row>
    <row r="45" spans="1:23" ht="20.100000000000001" customHeight="1" x14ac:dyDescent="0.2">
      <c r="A45" s="5" t="str">
        <f>HYPERLINK("#'5.5.1.1-2 Leaching and runoff'!A1", "5.5.1.1-2 Leaching &amp; runoff")</f>
        <v>5.5.1.1-2 Leaching &amp; runoff</v>
      </c>
      <c r="D45" s="120" t="s">
        <v>1660</v>
      </c>
      <c r="E45" s="120" t="s">
        <v>1661</v>
      </c>
      <c r="F45" s="125"/>
      <c r="G45" s="126"/>
      <c r="H45" s="120"/>
      <c r="I45" s="128" t="s">
        <v>1501</v>
      </c>
      <c r="J45" s="120">
        <f>Common_InputFunctions.Utility_LookupValueInTableNumber("N2O",Table_GasToMolecularConversionFactor[Gas],Table_GasToMolecularConversionFactor[Conversion factor combined])</f>
        <v>1.5714285714285714</v>
      </c>
      <c r="O45" s="120" t="s">
        <v>1660</v>
      </c>
      <c r="P45" s="120" t="s">
        <v>1661</v>
      </c>
      <c r="Q45" s="125"/>
      <c r="R45" s="126"/>
      <c r="S45" s="120"/>
      <c r="T45" s="128" t="s">
        <v>1501</v>
      </c>
      <c r="U45" s="132"/>
    </row>
    <row r="46" spans="1:23" ht="20.100000000000001" customHeight="1" x14ac:dyDescent="0.2">
      <c r="A46" s="5" t="str">
        <f>HYPERLINK("#'6.2.1.1-2 Pasture residue N2O'!A1", "6.2.1.1-2 Pasture residue N2O")</f>
        <v>6.2.1.1-2 Pasture residue N2O</v>
      </c>
    </row>
    <row r="47" spans="1:23" ht="20.100000000000001" customHeight="1" x14ac:dyDescent="0.2">
      <c r="A47" s="5" t="str">
        <f>HYPERLINK("#'6.3.1.1-2 Leach runoff pasture'!A1", "6.3.1.1-2 Leach &amp; runoff (pasture)")</f>
        <v>6.3.1.1-2 Leach &amp; runoff (pasture)</v>
      </c>
      <c r="D47" s="87" t="s">
        <v>608</v>
      </c>
      <c r="E47" s="90">
        <f>($J$43 * $J$44 * $J$45 * 10 ^ -3)</f>
        <v>9.8625715673371778E-2</v>
      </c>
      <c r="F47" s="89" t="str">
        <f>$E$41</f>
        <v>t N2O</v>
      </c>
      <c r="O47" s="87" t="s">
        <v>608</v>
      </c>
      <c r="P47" s="90">
        <f>($U$43 * $J$44 * $J$45 * 10 ^ -3)</f>
        <v>9.8625715673371778E-2</v>
      </c>
      <c r="Q47" s="89" t="str">
        <f>$E$41</f>
        <v>t N2O</v>
      </c>
    </row>
    <row r="48" spans="1:23" ht="20.100000000000001" customHeight="1" x14ac:dyDescent="0.2">
      <c r="A48" s="5" t="str">
        <f>HYPERLINK("#'8.1.1.1-2 Transport fuel'!A1", "8.1.1.1-2 Transport fuel")</f>
        <v>8.1.1.1-2 Transport fuel</v>
      </c>
    </row>
    <row r="49" spans="1:18" ht="20.100000000000001" customHeight="1" x14ac:dyDescent="0.2">
      <c r="A49" s="5" t="str">
        <f>HYPERLINK("#'8.2.1.1-2 Stationary fuel'!A1", "8.2.1.1-2 Stationary fuel")</f>
        <v>8.2.1.1-2 Stationary fuel</v>
      </c>
      <c r="D49" s="132" t="str" cm="1">
        <f t="array" ref="D49:E50">Common_Equations.Common_ConvertN2OToCO2e_Arguments()</f>
        <v>EN2O</v>
      </c>
      <c r="E49" s="135" t="str">
        <v>Nitrous oxide emissions (t N2O)</v>
      </c>
      <c r="F49" s="136"/>
      <c r="G49" s="15">
        <f>VEERG_4_3_1_12__1_LeachingAndRunoffEmissionsFromUrineAndDungOnPasture_Result_Method1</f>
        <v>9.8625715673371778E-2</v>
      </c>
      <c r="O49" s="132" t="str" cm="1">
        <f t="array" ref="O49:P50">Common_Equations.Common_ConvertN2OToCO2e_Arguments()</f>
        <v>EN2O</v>
      </c>
      <c r="P49" s="135" t="str">
        <v>Nitrous oxide emissions (t N2O)</v>
      </c>
      <c r="Q49" s="136"/>
      <c r="R49" s="15">
        <f>VEERG_4_3_1_12__1_LeachingAndRunoffEmissionsFromUrineAndDungOnPasture_Result_Method2</f>
        <v>9.8625715673371778E-2</v>
      </c>
    </row>
    <row r="50" spans="1:18" ht="20.100000000000001" customHeight="1" x14ac:dyDescent="0.2">
      <c r="A50" s="5" t="str">
        <f>HYPERLINK("#'9.1.1.1-2 Refrigerant use'!A1", "9.1.1.1-2 Refrigerant use")</f>
        <v>9.1.1.1-2 Refrigerant use</v>
      </c>
      <c r="D50" s="132" t="str">
        <v>GWPN2O</v>
      </c>
      <c r="E50" s="135" t="str">
        <v>Global warming potential for nitrous oxide (t CO2-e / t N2O)</v>
      </c>
      <c r="F50" s="136"/>
      <c r="G50" s="15">
        <f>Common_InputFunctions.Utility_LookupValueInTableNumber("N2O",Table_GWPData[Gas],Table_GWPData[CO2-e factor])</f>
        <v>265</v>
      </c>
      <c r="O50" s="132" t="str">
        <v>GWPN2O</v>
      </c>
      <c r="P50" s="135" t="str">
        <v>Global warming potential for nitrous oxide (t CO2-e / t N2O)</v>
      </c>
      <c r="Q50" s="136"/>
      <c r="R50" s="15">
        <f>Common_InputFunctions.Utility_LookupValueInTableNumber("N2O",Table_GWPData[Gas],Table_GWPData[CO2-e factor])</f>
        <v>265</v>
      </c>
    </row>
    <row r="51" spans="1:18" ht="20.100000000000001" customHeight="1" x14ac:dyDescent="0.2">
      <c r="A51" s="5" t="str">
        <f>HYPERLINK("#'10.1.1-2 Solid waste treatment'!A1", "10.1.1.1-2 Solid waste")</f>
        <v>10.1.1.1-2 Solid waste</v>
      </c>
    </row>
    <row r="52" spans="1:18" ht="20.100000000000001" customHeight="1" x14ac:dyDescent="0.2">
      <c r="A52" s="5" t="str">
        <f>HYPERLINK("#'14.1.1-2 Purchased electricity'!A1", "14.1.1-2 Purchased electricity")</f>
        <v>14.1.1-2 Purchased electricity</v>
      </c>
      <c r="D52" s="88" t="s">
        <v>527</v>
      </c>
      <c r="E52" s="88" cm="1">
        <f t="array" ref="E52">Common_Equations.Common_ConvertN2OToCO2e(G49,G50)</f>
        <v>26.135814653443521</v>
      </c>
      <c r="F52" s="93" t="str" cm="1">
        <f t="array" ref="F52">Common_Equations.Common_ConvertN2OToCO2e_Unit()</f>
        <v>t CO2e</v>
      </c>
      <c r="O52" s="88" t="s">
        <v>527</v>
      </c>
      <c r="P52" s="88" cm="1">
        <f t="array" ref="P52">Common_Equations.Common_ConvertN2OToCO2e(R49,R50)</f>
        <v>26.135814653443521</v>
      </c>
      <c r="Q52" s="93" t="str" cm="1">
        <f t="array" ref="Q52">Common_Equations.Common_ConvertN2OToCO2e_Unit()</f>
        <v>t CO2e</v>
      </c>
    </row>
    <row r="53" spans="1:18" ht="20.100000000000001" customHeight="1" x14ac:dyDescent="0.2">
      <c r="A53" s="5" t="str">
        <f>HYPERLINK("#'15 Scope 3'!A1", "15 Scope 3")</f>
        <v>15 Scope 3</v>
      </c>
    </row>
    <row r="54" spans="1:18" ht="20.100000000000001" customHeight="1" x14ac:dyDescent="0.2">
      <c r="A54" s="5" t="str">
        <f>HYPERLINK("#'Calcs - Manure sent off-site'!A1", "Calcs - Manure sent off-site")</f>
        <v>Calcs - Manure sent off-site</v>
      </c>
    </row>
    <row r="57" spans="1:18" ht="20.100000000000001" customHeight="1" x14ac:dyDescent="0.2">
      <c r="A57" s="82" t="s">
        <v>1</v>
      </c>
    </row>
    <row r="58" spans="1:18" ht="20.100000000000001" customHeight="1" x14ac:dyDescent="0.2">
      <c r="A58" s="5" t="str">
        <f>HYPERLINK("#'Constants - Dairy'!A1", "Constants - Dairy")</f>
        <v>Constants - Dairy</v>
      </c>
    </row>
    <row r="59" spans="1:18" ht="20.100000000000001" customHeight="1" x14ac:dyDescent="0.2">
      <c r="A59" s="5" t="str">
        <f>HYPERLINK("#'Constants - Ag Residue'!A1", "Constants - Ag residue")</f>
        <v>Constants - Ag residue</v>
      </c>
    </row>
    <row r="60" spans="1:18" ht="20.100000000000001" customHeight="1" x14ac:dyDescent="0.2">
      <c r="A60" s="5" t="str">
        <f>HYPERLINK("#'Constants - Common Livestock'!A1", "Constants - Common Livestock")</f>
        <v>Constants - Common Livestock</v>
      </c>
    </row>
    <row r="61" spans="1:18" ht="20.100000000000001" customHeight="1" x14ac:dyDescent="0.2">
      <c r="A61" s="5" t="str">
        <f>HYPERLINK("#'Constants - Electricity'!A1", "Constants - Electricity")</f>
        <v>Constants - Electricity</v>
      </c>
    </row>
    <row r="62" spans="1:18" ht="20.100000000000001" customHeight="1" x14ac:dyDescent="0.2">
      <c r="A62" s="5" t="str">
        <f>HYPERLINK("#'Constants - Fertiliser'!A1", "Constants - Fertiliser")</f>
        <v>Constants - Fertiliser</v>
      </c>
    </row>
    <row r="63" spans="1:18" ht="20.100000000000001" customHeight="1" x14ac:dyDescent="0.2">
      <c r="A63" s="5" t="str">
        <f>HYPERLINK("#'Constants - Fuel'!A1", "Constants - Fuel")</f>
        <v>Constants - Fuel</v>
      </c>
    </row>
    <row r="64" spans="1:18"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dataValidations count="1">
    <dataValidation operator="equal" allowBlank="1" showInputMessage="1" showErrorMessage="1" sqref="E23 P23 E28 P28" xr:uid="{D97412DC-E18E-4626-A356-AF5366A7D993}"/>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4D36-6401-4C38-9A82-7CABC08DC0FF}">
  <sheetPr>
    <tabColor rgb="FF008000"/>
  </sheetPr>
  <dimension ref="A1:X342"/>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0" customFormat="1" ht="30" customHeight="1" x14ac:dyDescent="0.35">
      <c r="A1" s="10" t="e" vm="1">
        <v>#VALUE!</v>
      </c>
      <c r="C1" s="20" t="s">
        <v>731</v>
      </c>
      <c r="K1"/>
    </row>
    <row r="2" spans="1:24" s="3" customFormat="1" ht="20.100000000000001" customHeight="1" x14ac:dyDescent="0.2">
      <c r="A2"/>
      <c r="K2"/>
    </row>
    <row r="3" spans="1:24" ht="20.100000000000001" customHeight="1" x14ac:dyDescent="0.2">
      <c r="A3" s="5" t="str">
        <f>HYPERLINK("#'Home'!A1", "Home")</f>
        <v>Home</v>
      </c>
      <c r="C3" s="22"/>
      <c r="D3" s="22" t="s">
        <v>129</v>
      </c>
      <c r="E3" s="22"/>
      <c r="F3" s="22"/>
      <c r="G3" s="22"/>
      <c r="H3" s="22"/>
      <c r="I3" s="22"/>
      <c r="J3" s="22"/>
      <c r="L3" s="22"/>
      <c r="M3" s="22" t="s">
        <v>130</v>
      </c>
      <c r="N3" s="22"/>
      <c r="O3" s="22"/>
      <c r="P3" s="22"/>
      <c r="Q3" s="22"/>
      <c r="R3" s="22"/>
      <c r="S3" s="22"/>
      <c r="T3" s="22"/>
      <c r="U3" s="22"/>
      <c r="V3" s="22"/>
      <c r="W3" s="22"/>
      <c r="X3" s="22"/>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
        <v>1741</v>
      </c>
      <c r="M5" s="79" t="s">
        <v>732</v>
      </c>
    </row>
    <row r="6" spans="1:24" ht="20.100000000000001" customHeight="1" x14ac:dyDescent="0.2">
      <c r="A6" s="5" t="str">
        <f>HYPERLINK("#'Results'!A1", "Results")</f>
        <v>Results</v>
      </c>
      <c r="D6" s="17" t="s">
        <v>1742</v>
      </c>
      <c r="M6" s="69" t="s">
        <v>733</v>
      </c>
      <c r="N6" s="69"/>
      <c r="O6" s="69"/>
      <c r="P6" s="69"/>
      <c r="Q6" s="69"/>
      <c r="R6" s="69"/>
      <c r="S6" s="69"/>
    </row>
    <row r="7" spans="1:24" ht="20.100000000000001" customHeight="1" x14ac:dyDescent="0.2">
      <c r="D7" s="118"/>
      <c r="E7" s="118"/>
      <c r="M7" s="122" t="s">
        <v>734</v>
      </c>
    </row>
    <row r="8" spans="1:24" ht="20.100000000000001" customHeight="1" x14ac:dyDescent="0.2">
      <c r="M8" s="123" t="s">
        <v>735</v>
      </c>
    </row>
    <row r="9" spans="1:24" ht="20.100000000000001" customHeight="1" x14ac:dyDescent="0.2">
      <c r="A9" s="7" t="s">
        <v>0</v>
      </c>
      <c r="O9" s="178" t="s">
        <v>736</v>
      </c>
      <c r="P9" s="178" t="s">
        <v>737</v>
      </c>
      <c r="Q9" s="178" t="s">
        <v>738</v>
      </c>
    </row>
    <row r="10" spans="1:24" ht="20.100000000000001" customHeight="1" x14ac:dyDescent="0.2">
      <c r="A10" s="5" t="str">
        <f>HYPERLINK("#'Input - Enterprise'!A1", "Enterprise")</f>
        <v>Enterprise</v>
      </c>
      <c r="D10" s="76" t="s">
        <v>378</v>
      </c>
      <c r="E10" s="1" t="s">
        <v>1743</v>
      </c>
      <c r="M10" s="124" t="s">
        <v>739</v>
      </c>
      <c r="N10" s="81" t="s">
        <v>739</v>
      </c>
      <c r="O10" s="81" t="s">
        <v>740</v>
      </c>
      <c r="P10" s="81" t="s">
        <v>741</v>
      </c>
      <c r="Q10" s="124" t="s">
        <v>742</v>
      </c>
    </row>
    <row r="11" spans="1:24" ht="20.100000000000001" customHeight="1" x14ac:dyDescent="0.2">
      <c r="A11" s="5" t="str">
        <f>HYPERLINK("#'Input - Site'!A1", "Site")</f>
        <v>Site</v>
      </c>
      <c r="D11" s="76" t="s">
        <v>118</v>
      </c>
      <c r="E11" s="9" t="s">
        <v>1301</v>
      </c>
      <c r="M11" s="15" t="s">
        <v>743</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1000</v>
      </c>
      <c r="Q11" s="15">
        <f>O11*P11</f>
        <v>46000</v>
      </c>
    </row>
    <row r="12" spans="1:24" ht="20.100000000000001" customHeight="1" x14ac:dyDescent="0.2">
      <c r="A12" s="5" t="str">
        <f>HYPERLINK("#'Input - Dairy'!A1", "Dairy")</f>
        <v>Dairy</v>
      </c>
      <c r="M12" s="15" t="s">
        <v>743</v>
      </c>
      <c r="N12" s="15" t="str">
        <v>Boost-It</v>
      </c>
      <c r="O12" s="15">
        <v>24</v>
      </c>
      <c r="P12" s="15">
        <v>1000</v>
      </c>
      <c r="Q12" s="15">
        <f>O12*P12</f>
        <v>24000</v>
      </c>
    </row>
    <row r="13" spans="1:24" ht="20.100000000000001" customHeight="1" x14ac:dyDescent="0.2">
      <c r="A13" s="5" t="str">
        <f>HYPERLINK("#'Input - Livestock sales'!A1", "Livestock sales")</f>
        <v>Livestock sales</v>
      </c>
      <c r="D13" s="132" t="s">
        <v>1744</v>
      </c>
      <c r="E13" s="132" t="s">
        <v>1745</v>
      </c>
      <c r="F13" s="132"/>
      <c r="G13" s="132" t="s">
        <v>738</v>
      </c>
      <c r="H13" s="121" t="s">
        <v>1469</v>
      </c>
      <c r="I13" s="127" t="str" cm="1">
        <f t="array" aca="1" ref="I13" ca="1">HYPERLINK(Common_InputFunctions.Utility_SourceHyperlink($D$16), $D$16)</f>
        <v>Table_MN_j_f</v>
      </c>
      <c r="M13" s="15" t="s">
        <v>743</v>
      </c>
      <c r="N13" s="15" t="str">
        <v>Cal-Gran 50/50</v>
      </c>
      <c r="O13" s="15">
        <v>17.899999999999999</v>
      </c>
      <c r="P13" s="15">
        <v>1000</v>
      </c>
      <c r="Q13" s="15">
        <f t="shared" ref="Q13:Q20" si="0">O13*P13</f>
        <v>17900</v>
      </c>
    </row>
    <row r="14" spans="1:24" ht="20.100000000000001" customHeight="1" x14ac:dyDescent="0.2">
      <c r="A14" s="5" t="str">
        <f>HYPERLINK("#'Input - Dairy cattle purchases'!A1", "Dairy cattle purchases")</f>
        <v>Dairy cattle purchases</v>
      </c>
      <c r="D14" s="132" t="s">
        <v>1746</v>
      </c>
      <c r="E14" s="135" t="s">
        <v>1747</v>
      </c>
      <c r="F14" s="138"/>
      <c r="G14" s="132" t="s">
        <v>1748</v>
      </c>
      <c r="H14" s="128" t="s">
        <v>1501</v>
      </c>
      <c r="I14" s="127" t="str" cm="1">
        <f t="array" aca="1" ref="I14" ca="1">HYPERLINK(Common_InputFunctions.Utility_SourceHyperlink($D$16), $D$16)</f>
        <v>Table_MN_j_f</v>
      </c>
      <c r="M14" s="15" t="s">
        <v>743</v>
      </c>
      <c r="N14" s="15">
        <v>0</v>
      </c>
      <c r="O14" s="15">
        <v>0</v>
      </c>
      <c r="P14" s="15">
        <v>0</v>
      </c>
      <c r="Q14" s="15">
        <f t="shared" si="0"/>
        <v>0</v>
      </c>
    </row>
    <row r="15" spans="1:24" ht="20.100000000000001" customHeight="1" x14ac:dyDescent="0.2">
      <c r="A15" s="5" t="str">
        <f>HYPERLINK("#'Input - Pasture'!A1", "Pasture")</f>
        <v>Pasture</v>
      </c>
      <c r="M15" s="15" t="s">
        <v>743</v>
      </c>
      <c r="N15" s="15">
        <v>0</v>
      </c>
      <c r="O15" s="15">
        <v>0</v>
      </c>
      <c r="P15" s="15">
        <v>0</v>
      </c>
      <c r="Q15" s="15">
        <f t="shared" si="0"/>
        <v>0</v>
      </c>
    </row>
    <row r="16" spans="1:24" ht="20.100000000000001" customHeight="1" x14ac:dyDescent="0.2">
      <c r="A16" s="5" t="str">
        <f>HYPERLINK("#'Input - Fert Prod System'!A1", "Fert Prod System")</f>
        <v>Fert Prod System</v>
      </c>
      <c r="D16" s="122" t="s">
        <v>744</v>
      </c>
      <c r="M16" s="15" t="s">
        <v>743</v>
      </c>
      <c r="N16" s="15">
        <v>0</v>
      </c>
      <c r="O16" s="15">
        <v>0</v>
      </c>
      <c r="P16" s="15">
        <v>0</v>
      </c>
      <c r="Q16" s="15">
        <f t="shared" si="0"/>
        <v>0</v>
      </c>
    </row>
    <row r="17" spans="1:17" ht="20.100000000000001" customHeight="1" x14ac:dyDescent="0.2">
      <c r="A17" s="5" t="str">
        <f>HYPERLINK("#'Input - Fertiliser'!A1", "Fertiliser")</f>
        <v>Fertiliser</v>
      </c>
      <c r="D17" s="123" t="s">
        <v>745</v>
      </c>
      <c r="M17" s="15" t="s">
        <v>743</v>
      </c>
      <c r="N17" s="15">
        <v>0</v>
      </c>
      <c r="O17" s="15">
        <v>0</v>
      </c>
      <c r="P17" s="15">
        <v>0</v>
      </c>
      <c r="Q17" s="15">
        <f t="shared" si="0"/>
        <v>0</v>
      </c>
    </row>
    <row r="18" spans="1:17" ht="20.100000000000001" customHeight="1" x14ac:dyDescent="0.2">
      <c r="A18" s="5" t="str">
        <f>HYPERLINK("#'Input - Fuel'!A1", "Fuel")</f>
        <v>Fuel</v>
      </c>
      <c r="D18" s="124" t="s">
        <v>746</v>
      </c>
      <c r="E18" s="81" t="s">
        <v>747</v>
      </c>
      <c r="F18" s="124" t="s">
        <v>748</v>
      </c>
      <c r="G18" s="124" t="s">
        <v>749</v>
      </c>
      <c r="M18" s="15" t="s">
        <v>743</v>
      </c>
      <c r="N18" s="15">
        <v>0</v>
      </c>
      <c r="O18" s="15">
        <v>0</v>
      </c>
      <c r="P18" s="15">
        <v>0</v>
      </c>
      <c r="Q18" s="15">
        <f t="shared" si="0"/>
        <v>0</v>
      </c>
    </row>
    <row r="19" spans="1:17" ht="20.100000000000001" customHeight="1" x14ac:dyDescent="0.2">
      <c r="A19" s="5" t="str">
        <f>HYPERLINK("#'Input - Electricity'!A1", "Electricity")</f>
        <v>Electricity</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f>(E19 * F19)</f>
        <v>0</v>
      </c>
      <c r="M19" s="15" t="s">
        <v>743</v>
      </c>
      <c r="N19" s="15">
        <v>0</v>
      </c>
      <c r="O19" s="15">
        <v>0</v>
      </c>
      <c r="P19" s="15">
        <v>0</v>
      </c>
      <c r="Q19" s="15">
        <f t="shared" si="0"/>
        <v>0</v>
      </c>
    </row>
    <row r="20" spans="1:17" ht="20.100000000000001" customHeight="1" x14ac:dyDescent="0.2">
      <c r="A20" s="5" t="str">
        <f>HYPERLINK("#'Input - Common farm inputs'!A1", "Common farm inputs")</f>
        <v>Common farm inputs</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f>(E20 * F20)</f>
        <v>0</v>
      </c>
      <c r="M20" s="15" t="s">
        <v>743</v>
      </c>
      <c r="N20" s="15">
        <v>0</v>
      </c>
      <c r="O20" s="15">
        <v>0</v>
      </c>
      <c r="P20" s="15">
        <v>0</v>
      </c>
      <c r="Q20" s="15">
        <f t="shared" si="0"/>
        <v>0</v>
      </c>
    </row>
    <row r="21" spans="1:17" ht="20.100000000000001" customHeight="1" x14ac:dyDescent="0.2">
      <c r="A21" s="5" t="str">
        <f>HYPERLINK("#'Input - Crop pasture farm input'!A1", "Crop pasture farm input")</f>
        <v>Crop pasture farm input</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f>(E21 * F21)</f>
        <v>115999.99400000001</v>
      </c>
      <c r="M21" s="15" t="s">
        <v>750</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1000</v>
      </c>
      <c r="Q21" s="15">
        <f>O21*P21</f>
        <v>7750</v>
      </c>
    </row>
    <row r="22" spans="1:17" ht="20.100000000000001" customHeight="1" x14ac:dyDescent="0.2">
      <c r="A22" s="5" t="str">
        <f>HYPERLINK("#'Input - Livestock farm Inputs'!A1", "Livestock farm Inputs")</f>
        <v>Livestock farm Inputs</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f>(E22 * F22)</f>
        <v>0</v>
      </c>
      <c r="M22" s="15" t="s">
        <v>750</v>
      </c>
      <c r="N22" s="15" t="str">
        <v>My second custom blend</v>
      </c>
      <c r="O22" s="15">
        <v>46</v>
      </c>
      <c r="P22" s="15">
        <v>1000</v>
      </c>
      <c r="Q22" s="15">
        <f>O22*P22</f>
        <v>46000</v>
      </c>
    </row>
    <row r="23" spans="1:17" ht="20.100000000000001" customHeight="1" x14ac:dyDescent="0.2">
      <c r="A23" s="5" t="str">
        <f>HYPERLINK("#'Input - Freight'!A1", "Freight")</f>
        <v>Freight</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f>(E23 * F23)</f>
        <v>0</v>
      </c>
      <c r="M23" s="15" t="s">
        <v>750</v>
      </c>
      <c r="N23" s="15" t="str">
        <v>My third custom blend</v>
      </c>
      <c r="O23" s="15">
        <v>41.174999999999997</v>
      </c>
      <c r="P23" s="15">
        <v>1000</v>
      </c>
      <c r="Q23" s="15">
        <f>O23*P23</f>
        <v>41175</v>
      </c>
    </row>
    <row r="24" spans="1:17" ht="20.100000000000001" customHeight="1" x14ac:dyDescent="0.2">
      <c r="A24" s="5" t="str">
        <f>HYPERLINK("#'Input - Solid waste'!A1", "Solid waste")</f>
        <v>Solid waste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f>(E24 * F24)</f>
        <v>0</v>
      </c>
      <c r="J24" s="16"/>
      <c r="M24" s="15" t="s">
        <v>750</v>
      </c>
      <c r="N24" s="15">
        <v>0</v>
      </c>
      <c r="O24" s="15">
        <v>0</v>
      </c>
      <c r="P24" s="15">
        <v>0</v>
      </c>
      <c r="Q24" s="15">
        <f>O24*P24</f>
        <v>0</v>
      </c>
    </row>
    <row r="25" spans="1:17" ht="20.100000000000001" customHeight="1" x14ac:dyDescent="0.2">
      <c r="A25" s="5" t="str">
        <f>HYPERLINK("#'Input - Manure sent off-site'!A1", "Manure sent off-site")</f>
        <v>Manure sent off-site</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f>(E25 * F25)</f>
        <v>0</v>
      </c>
      <c r="J25" s="16"/>
      <c r="M25" s="15" t="s">
        <v>750</v>
      </c>
      <c r="N25" s="15">
        <v>0</v>
      </c>
      <c r="O25" s="15">
        <v>0</v>
      </c>
      <c r="P25" s="15">
        <v>0</v>
      </c>
      <c r="Q25" s="15">
        <f>O25*P25</f>
        <v>0</v>
      </c>
    </row>
    <row r="26" spans="1:17" ht="20.100000000000001" customHeight="1" x14ac:dyDescent="0.2">
      <c r="A26" s="5" t="str">
        <f>HYPERLINK("#'Input - Refrigerants'!A1", "Refrigerants")</f>
        <v>Refrigerants</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f],Table_Fertiliser_ChemicalCompounds[FNinorganic f])</f>
        <v>1</v>
      </c>
      <c r="G26" s="15">
        <f>(E26 * F26)</f>
        <v>12400</v>
      </c>
      <c r="M26" s="15" t="s">
        <v>750</v>
      </c>
      <c r="N26" s="15">
        <v>0</v>
      </c>
      <c r="O26" s="15">
        <v>0</v>
      </c>
      <c r="P26" s="15">
        <v>0</v>
      </c>
      <c r="Q26" s="15">
        <f t="shared" ref="Q26:Q30" si="1">O26*P26</f>
        <v>0</v>
      </c>
    </row>
    <row r="27" spans="1:17" ht="20.100000000000001" customHeight="1" x14ac:dyDescent="0.2">
      <c r="A27" s="5" t="str">
        <f>HYPERLINK("#'Input - Data quality'!A1", "Data quality")</f>
        <v>Data quality</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f],Table_Fertiliser_ChemicalCompounds[FNinorganic f])</f>
        <v>1</v>
      </c>
      <c r="G27" s="15">
        <f>(E27 * F27)</f>
        <v>5500</v>
      </c>
      <c r="M27" s="15" t="s">
        <v>750</v>
      </c>
      <c r="N27" s="15">
        <v>0</v>
      </c>
      <c r="O27" s="15">
        <v>0</v>
      </c>
      <c r="P27" s="15">
        <v>0</v>
      </c>
      <c r="Q27" s="15">
        <f t="shared" si="1"/>
        <v>0</v>
      </c>
    </row>
    <row r="28" spans="1:17" ht="20.100000000000001" customHeight="1" x14ac:dyDescent="0.2">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f>(E28 * F28)</f>
        <v>0</v>
      </c>
      <c r="M28" s="15" t="s">
        <v>750</v>
      </c>
      <c r="N28" s="15">
        <v>0</v>
      </c>
      <c r="O28" s="15">
        <v>0</v>
      </c>
      <c r="P28" s="15">
        <v>0</v>
      </c>
      <c r="Q28" s="15">
        <f t="shared" si="1"/>
        <v>0</v>
      </c>
    </row>
    <row r="29" spans="1:17" ht="20.100000000000001" customHeight="1" x14ac:dyDescent="0.2">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f],Table_Fertiliser_ChemicalCompounds[FNinorganic f])</f>
        <v>0</v>
      </c>
      <c r="G29" s="15">
        <f>(E29 * F29)</f>
        <v>0</v>
      </c>
      <c r="M29" s="15" t="s">
        <v>750</v>
      </c>
      <c r="N29" s="15">
        <v>0</v>
      </c>
      <c r="O29" s="15">
        <v>0</v>
      </c>
      <c r="P29" s="15">
        <v>0</v>
      </c>
      <c r="Q29" s="15">
        <f t="shared" si="1"/>
        <v>0</v>
      </c>
    </row>
    <row r="30" spans="1:17" ht="20.100000000000001" customHeight="1" x14ac:dyDescent="0.2">
      <c r="A30" s="6" t="s">
        <v>2</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f],Table_Fertiliser_ChemicalCompounds[FNinorganic f])</f>
        <v>0</v>
      </c>
      <c r="G30" s="15">
        <f>(E30 * F30)</f>
        <v>0</v>
      </c>
      <c r="M30" s="15" t="s">
        <v>750</v>
      </c>
      <c r="N30" s="15">
        <v>0</v>
      </c>
      <c r="O30" s="15">
        <v>0</v>
      </c>
      <c r="P30" s="15">
        <v>0</v>
      </c>
      <c r="Q30" s="15">
        <f t="shared" si="1"/>
        <v>0</v>
      </c>
    </row>
    <row r="31" spans="1:17" ht="20.100000000000001" customHeight="1" x14ac:dyDescent="0.2">
      <c r="A31" s="5" t="str">
        <f>HYPERLINK("#'3.3.1.1-2 Enteric Methane'!A1", "3.3.1.1-2 Enteric methane")</f>
        <v>3.3.1.1-2 Enteric methane</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f],Table_Fertiliser_ChemicalCompounds[FNinorganic f])</f>
        <v>0</v>
      </c>
      <c r="G31" s="15">
        <f>(E31 * F31)</f>
        <v>0</v>
      </c>
    </row>
    <row r="32" spans="1:17" ht="20.100000000000001" customHeight="1" x14ac:dyDescent="0.2">
      <c r="A32" s="5" t="str">
        <f>HYPERLINK("#'4.3.1.1-2 Methane'!A1", "4.3.1.1-2 Manure methane")</f>
        <v>4.3.1.1-2 Manure methane</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f],Table_Fertiliser_ChemicalCompounds[FNinorganic f])</f>
        <v>0</v>
      </c>
      <c r="G32" s="15">
        <f>(E32 * F32)</f>
        <v>0</v>
      </c>
    </row>
    <row r="33" spans="1:24" ht="20.100000000000001" customHeight="1" x14ac:dyDescent="0.2">
      <c r="A33" s="5" t="str">
        <f>HYPERLINK("#'4.3.1.3-4 Direct N20'!A1", "4.3.1.3-4 Direct N20")</f>
        <v>4.3.1.3-4 Direct N20</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f>(E33 * F33)</f>
        <v>0</v>
      </c>
      <c r="M33" s="92" t="s">
        <v>751</v>
      </c>
      <c r="N33" s="88">
        <f>SUM(Q11:Q30)</f>
        <v>182825</v>
      </c>
    </row>
    <row r="34" spans="1:24" ht="20.100000000000001" customHeight="1" x14ac:dyDescent="0.2">
      <c r="A34" s="5" t="str">
        <f>HYPERLINK("#'4.3.1.5 Atmos deposition'!A1", "4.3.1.5 Atmos deposition")</f>
        <v>4.3.1.5 Atmos deposition</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f>(E34 * F34)</f>
        <v>0</v>
      </c>
      <c r="M34" s="76" t="s">
        <v>752</v>
      </c>
      <c r="N34" s="1">
        <f>MAX(P11:P30)</f>
        <v>1000</v>
      </c>
    </row>
    <row r="35" spans="1:24" ht="20.100000000000001" customHeight="1" x14ac:dyDescent="0.2">
      <c r="A35" s="5" t="str">
        <f>HYPERLINK("#'4.3.1.6-7 Leaching and runoff'!A1", "4.3.1.6-7 Leaching &amp; runoff")</f>
        <v>4.3.1.6-7 Leaching &amp; runoff</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f>(E35 * F35)</f>
        <v>0</v>
      </c>
      <c r="M35" s="76" t="s">
        <v>753</v>
      </c>
      <c r="N35" s="1">
        <f>N33/N34</f>
        <v>182.82499999999999</v>
      </c>
    </row>
    <row r="36" spans="1:24" ht="20.100000000000001" customHeight="1" x14ac:dyDescent="0.2">
      <c r="A36" s="5" t="str">
        <f>HYPERLINK("#'4.3.1.8 Manure applied to soils'!A1", "4.3.1.8 Manure applied to soils")</f>
        <v>4.3.1.8 Manure applied to soils</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f],Table_Fertiliser_ChemicalCompounds[FNinorganic f])</f>
        <v>0.82350000000000001</v>
      </c>
      <c r="G36" s="15">
        <f>(E36 * F36)</f>
        <v>41175</v>
      </c>
    </row>
    <row r="37" spans="1:24" ht="20.100000000000001" customHeight="1" x14ac:dyDescent="0.2">
      <c r="A37" s="5" t="str">
        <f>HYPERLINK("#'4.3.1.9 Soil direct N2O'!A1", "4.3.1.9 Soil direct N2O")</f>
        <v>4.3.1.9 Soil direct N2O</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f],Table_Fertiliser_ChemicalCompounds[FNinorganic f])</f>
        <v>0.155</v>
      </c>
      <c r="G37" s="15">
        <f>(E37 * F37)</f>
        <v>7750</v>
      </c>
      <c r="L37" s="88"/>
      <c r="M37" s="88"/>
      <c r="N37" s="88"/>
      <c r="O37" s="88"/>
      <c r="P37" s="88"/>
      <c r="Q37" s="88"/>
      <c r="R37" s="88"/>
      <c r="S37" s="88"/>
      <c r="T37" s="88"/>
      <c r="U37" s="88"/>
      <c r="V37" s="88"/>
      <c r="W37" s="88"/>
      <c r="X37" s="88"/>
    </row>
    <row r="38" spans="1:24" ht="20.100000000000001" customHeight="1" x14ac:dyDescent="0.2">
      <c r="A38" s="5" t="str">
        <f>HYPERLINK("#'4.3.1.10-11 Soil Atmos Dep'!A1", "4.3.1.10-11 Soil Atmos Deposition")</f>
        <v>4.3.1.10-11 Soil Atmos Deposition</v>
      </c>
    </row>
    <row r="39" spans="1:24" ht="20.100000000000001" customHeight="1" x14ac:dyDescent="0.2">
      <c r="A39" s="5" t="str">
        <f>HYPERLINK("#'4.3.1.12-13 Soil leach runoff'!A1", "4.3.1.12-13 Soil leach &amp; runoff")</f>
        <v>4.3.1.12-13 Soil leach &amp; runoff</v>
      </c>
      <c r="C39" s="88"/>
      <c r="D39" s="88"/>
      <c r="E39" s="88"/>
      <c r="F39" s="88"/>
      <c r="G39" s="88"/>
      <c r="H39" s="88"/>
      <c r="I39" s="88"/>
      <c r="J39" s="88"/>
      <c r="M39" s="2" t="s">
        <v>1749</v>
      </c>
    </row>
    <row r="40" spans="1:24" ht="20.100000000000001" customHeight="1" x14ac:dyDescent="0.2">
      <c r="A40" s="119" t="str">
        <f>HYPERLINK("#'5.1.1.1-2 Inorganic fert N2O'!A1", "5.1.1.1-2 Inorganic fert N2O")</f>
        <v>5.1.1.1-2 Inorganic fert N2O</v>
      </c>
      <c r="D40" s="2" t="s">
        <v>1751</v>
      </c>
      <c r="M40" s="17" t="s">
        <v>1750</v>
      </c>
    </row>
    <row r="41" spans="1:24" ht="20.100000000000001" customHeight="1" x14ac:dyDescent="0.2">
      <c r="A41" s="5" t="str">
        <f>HYPERLINK("#'5.1.1.3-4 Inorganic fert CO2'!A1", "5.1.1.3-4 Inorganic fert CO2")</f>
        <v>5.1.1.3-4 Inorganic fert CO2</v>
      </c>
      <c r="D41" s="17" t="s">
        <v>1752</v>
      </c>
    </row>
    <row r="42" spans="1:24" ht="20.100000000000001" customHeight="1" x14ac:dyDescent="0.2">
      <c r="A42" s="5" t="str">
        <f>HYPERLINK("#'5.2.1.1-2 Organic Fert N2O'!A1", "5.2.1.1-2 Organic fert N2O")</f>
        <v>5.2.1.1-2 Organic fert N2O</v>
      </c>
      <c r="D42" s="118"/>
      <c r="E42" s="118"/>
      <c r="F42" s="16"/>
    </row>
    <row r="43" spans="1:24" ht="20.100000000000001" customHeight="1" x14ac:dyDescent="0.2">
      <c r="A43" s="5" t="str">
        <f>HYPERLINK("#'5.3.1.1-2 Lime CO2'!A1", "5.3.1.1-2 Lime CO2")</f>
        <v>5.3.1.1-2 Lime CO2</v>
      </c>
      <c r="F43" s="16"/>
      <c r="M43" s="76" t="s">
        <v>378</v>
      </c>
      <c r="N43" s="1" t="s">
        <v>1753</v>
      </c>
    </row>
    <row r="44" spans="1:24" ht="20.100000000000001" customHeight="1" x14ac:dyDescent="0.2">
      <c r="A44" s="5" t="str">
        <f>HYPERLINK("#'5.4.1.1-4 Atmos deposition'!A1", "5.4.1.1-4 Atmos. deposition")</f>
        <v>5.4.1.1-4 Atmos. deposition</v>
      </c>
      <c r="F44" s="16"/>
      <c r="M44" s="76" t="s">
        <v>118</v>
      </c>
      <c r="N44" s="9" t="s">
        <v>1754</v>
      </c>
    </row>
    <row r="45" spans="1:24" ht="20.100000000000001" customHeight="1" x14ac:dyDescent="0.2">
      <c r="A45" s="5" t="str">
        <f>HYPERLINK("#'5.5.1.1-2 Leaching and runoff'!A1", "5.5.1.1-2 Leaching &amp; runoff")</f>
        <v>5.5.1.1-2 Leaching &amp; runoff</v>
      </c>
      <c r="F45" s="16"/>
    </row>
    <row r="46" spans="1:24" ht="20.100000000000001" customHeight="1" x14ac:dyDescent="0.2">
      <c r="A46" s="5" t="str">
        <f>HYPERLINK("#'6.2.1.1-2 Pasture residue N2O'!A1", "6.2.1.1-2 Pasture residue N2O")</f>
        <v>6.2.1.1-2 Pasture residue N2O</v>
      </c>
      <c r="D46" s="76" t="s">
        <v>378</v>
      </c>
      <c r="E46" s="1" t="s">
        <v>1153</v>
      </c>
      <c r="F46" s="16"/>
      <c r="M46" s="132" t="s">
        <v>1755</v>
      </c>
      <c r="N46" s="135" t="s">
        <v>1756</v>
      </c>
      <c r="O46" s="141"/>
      <c r="P46" s="132" t="s">
        <v>1759</v>
      </c>
      <c r="Q46" s="121" t="s">
        <v>1469</v>
      </c>
      <c r="R46" s="125">
        <f>$N$35</f>
        <v>182.82499999999999</v>
      </c>
      <c r="S46" s="179"/>
    </row>
    <row r="47" spans="1:24" ht="20.100000000000001" customHeight="1" x14ac:dyDescent="0.2">
      <c r="A47" s="5" t="str">
        <f>HYPERLINK("#'6.3.1.1-2 Leach runoff pasture'!A1", "6.3.1.1-2 Leach &amp; runoff (pasture)")</f>
        <v>6.3.1.1-2 Leach &amp; runoff (pasture)</v>
      </c>
      <c r="D47" s="76" t="s">
        <v>118</v>
      </c>
      <c r="E47" s="9" t="s">
        <v>11</v>
      </c>
      <c r="F47" s="16"/>
      <c r="M47" s="132" t="s">
        <v>1757</v>
      </c>
      <c r="N47" s="135" t="s">
        <v>1758</v>
      </c>
      <c r="O47" s="141"/>
      <c r="P47" s="132"/>
      <c r="Q47" s="128" t="s">
        <v>1501</v>
      </c>
      <c r="R47" s="135" t="s">
        <v>754</v>
      </c>
      <c r="S47" s="179"/>
    </row>
    <row r="48" spans="1:24" ht="20.100000000000001" customHeight="1" x14ac:dyDescent="0.2">
      <c r="A48" s="5" t="str">
        <f>HYPERLINK("#'8.1.1.1-2 Transport fuel'!A1", "8.1.1.1-2 Transport fuel")</f>
        <v>8.1.1.1-2 Transport fuel</v>
      </c>
      <c r="F48" s="16"/>
    </row>
    <row r="49" spans="1:19" ht="20.100000000000001" customHeight="1" x14ac:dyDescent="0.2">
      <c r="A49" s="5" t="str">
        <f>HYPERLINK("#'8.2.1.1-2 Stationary fuel'!A1", "8.2.1.1-2 Stationary fuel")</f>
        <v>8.2.1.1-2 Stationary fuel</v>
      </c>
      <c r="D49" s="132" t="s">
        <v>1743</v>
      </c>
      <c r="E49" s="135" t="s">
        <v>1760</v>
      </c>
      <c r="F49" s="141"/>
      <c r="G49" s="132" t="s">
        <v>1301</v>
      </c>
      <c r="H49" s="128" t="s">
        <v>1765</v>
      </c>
      <c r="I49" s="127" t="str" cm="1">
        <f t="array" aca="1" ref="I49" ca="1">HYPERLINK(Common_InputFunctions.Utility_SourceHyperlink(D16), D16)</f>
        <v>Table_MN_j_f</v>
      </c>
      <c r="M49" s="1" t="s">
        <v>755</v>
      </c>
      <c r="N49" s="1">
        <f>((-0.1474 + (0.0061 * R46)) * 10 ^ -2)</f>
        <v>9.6783250000000015E-3</v>
      </c>
      <c r="O49" s="9" t="str">
        <f>N44</f>
        <v>kg N2O-N/kg N applied</v>
      </c>
    </row>
    <row r="50" spans="1:19" ht="20.100000000000001" customHeight="1" x14ac:dyDescent="0.2">
      <c r="A50" s="5" t="str">
        <f>HYPERLINK("#'9.1.1.1-2 Refrigerant use'!A1", "9.1.1.1-2 Refrigerant use")</f>
        <v>9.1.1.1-2 Refrigerant use</v>
      </c>
      <c r="D50" s="132" t="s">
        <v>1761</v>
      </c>
      <c r="E50" s="135" t="s">
        <v>1762</v>
      </c>
      <c r="F50" s="141"/>
      <c r="G50" s="132" t="s">
        <v>1754</v>
      </c>
      <c r="H50" s="128" t="s">
        <v>1501</v>
      </c>
      <c r="I50" s="132">
        <f>Common_InputFunctions.Utility_LookupN2OEFFromProdIrrigationRainfall(I52,I54,I55,Table_SourceData_Common_EFN2O[Production system only],Table_SourceData_Common_EFN2O[Irrigation method],Table_SourceData_Common_EFN2O[Rainfall zone],Table_SourceData_Common_EFN2O[EFN2O])</f>
        <v>5.8999999999999999E-3</v>
      </c>
    </row>
    <row r="51" spans="1:19" ht="20.100000000000001" customHeight="1" x14ac:dyDescent="0.2">
      <c r="A51" s="5" t="str">
        <f>HYPERLINK("#'10.1.1-2 Solid waste treatment'!A1", "10.1.1.1-2 Solid waste")</f>
        <v>10.1.1.1-2 Solid waste</v>
      </c>
      <c r="D51" s="132" t="s">
        <v>1660</v>
      </c>
      <c r="E51" s="135" t="s">
        <v>1763</v>
      </c>
      <c r="F51" s="141"/>
      <c r="G51" s="132"/>
      <c r="H51" s="128" t="s">
        <v>1501</v>
      </c>
      <c r="I51" s="132">
        <f>Common_InputFunctions.Utility_LookupValueInTableNumber("N2O",Table_GasToMolecularConversionFactor[Gas],Table_GasToMolecularConversionFactor[Conversion factor combined])</f>
        <v>1.5714285714285714</v>
      </c>
    </row>
    <row r="52" spans="1:19" ht="20.100000000000001" customHeight="1" x14ac:dyDescent="0.2">
      <c r="A52" s="5" t="str">
        <f>HYPERLINK("#'14.1.1-2 Purchased electricity'!A1", "14.1.1-2 Purchased electricity")</f>
        <v>14.1.1-2 Purchased electricity</v>
      </c>
      <c r="D52" s="132" t="s">
        <v>1675</v>
      </c>
      <c r="E52" s="135" t="s">
        <v>159</v>
      </c>
      <c r="F52" s="141"/>
      <c r="G52" s="132"/>
      <c r="H52" s="121" t="s">
        <v>1469</v>
      </c>
      <c r="I52" s="132" t="str">
        <f>X_Cell_Fertiliser_ProductionSystem</f>
        <v>Pasture</v>
      </c>
    </row>
    <row r="53" spans="1:19" ht="20.100000000000001" customHeight="1" x14ac:dyDescent="0.2">
      <c r="A53" s="5" t="str">
        <f>HYPERLINK("#'15 Scope 3'!A1", "15 Scope 3")</f>
        <v>15 Scope 3</v>
      </c>
      <c r="D53" s="132" t="s">
        <v>1757</v>
      </c>
      <c r="E53" s="135" t="s">
        <v>1758</v>
      </c>
      <c r="F53" s="141"/>
      <c r="G53" s="132"/>
      <c r="H53" s="128" t="s">
        <v>1501</v>
      </c>
      <c r="I53" s="132" t="str">
        <f>"See " &amp; D57</f>
        <v>See M1_Table_E_N2O</v>
      </c>
      <c r="M53" s="2" t="s">
        <v>1766</v>
      </c>
    </row>
    <row r="54" spans="1:19" ht="20.100000000000001" customHeight="1" x14ac:dyDescent="0.2">
      <c r="A54" s="5" t="str">
        <f>HYPERLINK("#'Calcs - Manure sent off-site'!A1", "Calcs - Manure sent off-site")</f>
        <v>Calcs - Manure sent off-site</v>
      </c>
      <c r="D54" s="132" t="s">
        <v>1677</v>
      </c>
      <c r="E54" s="135" t="s">
        <v>1678</v>
      </c>
      <c r="F54" s="141"/>
      <c r="G54" s="132"/>
      <c r="H54" s="121" t="s">
        <v>1469</v>
      </c>
      <c r="I54" s="132" t="str">
        <f>X_Cell_Fertiliser_IrrigationMethod</f>
        <v>Surface irrigation</v>
      </c>
      <c r="M54" s="17" t="s">
        <v>1767</v>
      </c>
    </row>
    <row r="55" spans="1:19" ht="20.100000000000001" customHeight="1" x14ac:dyDescent="0.2">
      <c r="D55" s="132" t="s">
        <v>1691</v>
      </c>
      <c r="E55" s="135" t="s">
        <v>1764</v>
      </c>
      <c r="F55" s="141"/>
      <c r="G55" s="132"/>
      <c r="H55" s="121" t="s">
        <v>1469</v>
      </c>
      <c r="I55" s="132" t="str">
        <f>X_Cell_Site_RainfallZone</f>
        <v>High rainfall</v>
      </c>
    </row>
    <row r="56" spans="1:19" ht="20.100000000000001" customHeight="1" x14ac:dyDescent="0.2">
      <c r="F56" s="16"/>
    </row>
    <row r="57" spans="1:19" ht="20.100000000000001" customHeight="1" x14ac:dyDescent="0.2">
      <c r="A57" s="82" t="s">
        <v>1</v>
      </c>
      <c r="D57" s="122" t="s">
        <v>756</v>
      </c>
      <c r="F57" s="16"/>
      <c r="M57" s="76" t="s">
        <v>378</v>
      </c>
      <c r="N57" s="1" t="s">
        <v>1768</v>
      </c>
    </row>
    <row r="58" spans="1:19" ht="20.100000000000001" customHeight="1" x14ac:dyDescent="0.2">
      <c r="A58" s="5" t="str">
        <f>HYPERLINK("#'Constants - Dairy'!A1", "Constants - Dairy")</f>
        <v>Constants - Dairy</v>
      </c>
      <c r="D58" s="123" t="s">
        <v>757</v>
      </c>
      <c r="F58" s="16"/>
      <c r="M58" s="76" t="s">
        <v>118</v>
      </c>
      <c r="N58" s="9" t="s">
        <v>1754</v>
      </c>
    </row>
    <row r="59" spans="1:19" ht="20.100000000000001" customHeight="1" x14ac:dyDescent="0.2">
      <c r="A59" s="5" t="str">
        <f>HYPERLINK("#'Constants - Ag Residue'!A1", "Constants - Ag residue")</f>
        <v>Constants - Ag residue</v>
      </c>
      <c r="D59" s="124" t="s">
        <v>746</v>
      </c>
      <c r="E59" s="124" t="s">
        <v>758</v>
      </c>
    </row>
    <row r="60" spans="1:19" ht="20.100000000000001" customHeight="1" x14ac:dyDescent="0.2">
      <c r="A60" s="5" t="str">
        <f>HYPERLINK("#'Constants - Common Livestock'!A1", "Constants - Common Livestock")</f>
        <v>Constants - Common Livestock</v>
      </c>
      <c r="D60" s="15" t="str" cm="1">
        <f t="array" ref="D60:D78">Table_Fertiliser_ChemicalCompounds[Fertiliser type f]</f>
        <v>Monoammonium phosphate (MAP)</v>
      </c>
      <c r="E60" s="15">
        <f>((G19 * $I$50 * $I$51) * 10 ^ -3)</f>
        <v>0</v>
      </c>
      <c r="F60" s="16" t="str">
        <f>E47</f>
        <v>t N2O</v>
      </c>
      <c r="M60" s="132" t="s">
        <v>1769</v>
      </c>
      <c r="N60" s="135" t="s">
        <v>1770</v>
      </c>
      <c r="O60" s="141"/>
      <c r="P60" s="132" t="s">
        <v>1759</v>
      </c>
      <c r="Q60" s="121" t="s">
        <v>1469</v>
      </c>
      <c r="R60" s="125">
        <f>$N$35</f>
        <v>182.82499999999999</v>
      </c>
      <c r="S60" s="179"/>
    </row>
    <row r="61" spans="1:19" ht="20.100000000000001" customHeight="1" x14ac:dyDescent="0.2">
      <c r="A61" s="5" t="str">
        <f>HYPERLINK("#'Constants - Electricity'!A1", "Constants - Electricity")</f>
        <v>Constants - Electricity</v>
      </c>
      <c r="D61" s="15" t="str">
        <v>Diammonium phosphate (DAP)</v>
      </c>
      <c r="E61" s="15">
        <f>((G20 * $I$50 * $I$51) * 10 ^ -3)</f>
        <v>0</v>
      </c>
      <c r="M61" s="132" t="s">
        <v>1757</v>
      </c>
      <c r="N61" s="135" t="s">
        <v>1758</v>
      </c>
      <c r="O61" s="141"/>
      <c r="P61" s="132"/>
      <c r="Q61" s="128" t="s">
        <v>1501</v>
      </c>
      <c r="R61" s="135" t="s">
        <v>754</v>
      </c>
      <c r="S61" s="138"/>
    </row>
    <row r="62" spans="1:19" ht="20.100000000000001" customHeight="1" x14ac:dyDescent="0.2">
      <c r="A62" s="5" t="str">
        <f>HYPERLINK("#'Constants - Fertiliser'!A1", "Constants - Fertiliser")</f>
        <v>Constants - Fertiliser</v>
      </c>
      <c r="D62" s="15" t="str">
        <v>Urea</v>
      </c>
      <c r="E62" s="15">
        <f>((G21 * $I$50 * $I$51) * 10 ^ -3)</f>
        <v>1.0754856586571429</v>
      </c>
    </row>
    <row r="63" spans="1:19" ht="20.100000000000001" customHeight="1" x14ac:dyDescent="0.2">
      <c r="A63" s="5" t="str">
        <f>HYPERLINK("#'Constants - Fuel'!A1", "Constants - Fuel")</f>
        <v>Constants - Fuel</v>
      </c>
      <c r="D63" s="15" t="str">
        <v>Sulphate of ammonia (SOA)</v>
      </c>
      <c r="E63" s="15">
        <f>((G22 * $I$50 * $I$51) * 10 ^ -3)</f>
        <v>0</v>
      </c>
      <c r="M63" s="76" t="s">
        <v>759</v>
      </c>
      <c r="N63" s="1">
        <f>((0.0781 + (0.0075 * R60)) * 10 ^ -2)</f>
        <v>1.4492874999999999E-2</v>
      </c>
      <c r="O63" s="9" t="str">
        <f>N58</f>
        <v>kg N2O-N/kg N applied</v>
      </c>
    </row>
    <row r="64" spans="1:19" ht="20.100000000000001" customHeight="1" x14ac:dyDescent="0.2">
      <c r="A64" s="5" t="str">
        <f>HYPERLINK("#'Constants - Scope 3'!A1", "Constants - Scope 3")</f>
        <v>Constants - Scope 3</v>
      </c>
      <c r="D64" s="15" t="str">
        <v>Urea-ammonium nitrate (UAN)</v>
      </c>
      <c r="E64" s="15">
        <f>((G23 * $I$50 * $I$51) * 10 ^ -3)</f>
        <v>0</v>
      </c>
    </row>
    <row r="65" spans="1:20" ht="20.100000000000001" customHeight="1" x14ac:dyDescent="0.2">
      <c r="A65" s="5" t="str">
        <f>HYPERLINK("#'Constants - Common'!A1", "Constants - Common")</f>
        <v>Constants - Common</v>
      </c>
      <c r="D65" s="15" t="str">
        <v>Ammonium nitrate (AN)</v>
      </c>
      <c r="E65" s="15">
        <f>((G24 * $I$50 * $I$51) * 10 ^ -3)</f>
        <v>0</v>
      </c>
    </row>
    <row r="66" spans="1:20" ht="20.100000000000001" customHeight="1" x14ac:dyDescent="0.2">
      <c r="A66" s="5" t="str">
        <f>HYPERLINK("#'Constants - Refrigerants'!A1", "Constants - Refrigerants")</f>
        <v>Constants - Refrigerants</v>
      </c>
      <c r="D66" s="15" t="str">
        <v>Calcium ammonium nitrate (CAN)</v>
      </c>
      <c r="E66" s="15">
        <f>((G25 * $I$50 * $I$51) * 10 ^ -3)</f>
        <v>0</v>
      </c>
      <c r="M66" s="2" t="s">
        <v>1771</v>
      </c>
    </row>
    <row r="67" spans="1:20" ht="20.100000000000001" customHeight="1" x14ac:dyDescent="0.2">
      <c r="A67" s="5" t="str">
        <f>HYPERLINK("#'Constants - Solid Waste'!A1", "Constants - Solid Waste")</f>
        <v>Constants - Solid Waste</v>
      </c>
      <c r="D67" s="15" t="str">
        <v>Nitrogen - Ammoniacal</v>
      </c>
      <c r="E67" s="15">
        <f>((G26 * $I$50 * $I$51) * 10 ^ -3)</f>
        <v>0.11496571428571428</v>
      </c>
      <c r="M67" s="17" t="s">
        <v>1772</v>
      </c>
    </row>
    <row r="68" spans="1:20" ht="20.100000000000001" customHeight="1" x14ac:dyDescent="0.2">
      <c r="A68" s="5" t="str">
        <f>HYPERLINK("#'Acknowledgements'!A1", "Acknowledgements")</f>
        <v>Acknowledgements</v>
      </c>
      <c r="D68" s="15" t="str">
        <v>Nitrogen - Nitrate</v>
      </c>
      <c r="E68" s="15">
        <f>((G27 * $I$50 * $I$51) * 10 ^ -3)</f>
        <v>5.0992857142857131E-2</v>
      </c>
    </row>
    <row r="69" spans="1:20" ht="20.100000000000001" customHeight="1" x14ac:dyDescent="0.2">
      <c r="D69" s="15" t="str">
        <v>Nitrogen - Generic</v>
      </c>
      <c r="E69" s="15">
        <f>((G28 * $I$50 * $I$51) * 10 ^ -3)</f>
        <v>0</v>
      </c>
    </row>
    <row r="70" spans="1:20" ht="20.100000000000001" customHeight="1" x14ac:dyDescent="0.2">
      <c r="D70" s="15" t="str">
        <v>Phosphorus - Generic</v>
      </c>
      <c r="E70" s="15">
        <f>((G29 * $I$50 * $I$51) * 10 ^ -3)</f>
        <v>0</v>
      </c>
    </row>
    <row r="71" spans="1:20" ht="20.100000000000001" customHeight="1" x14ac:dyDescent="0.2">
      <c r="D71" s="15" t="str">
        <v>Potassium - Generic</v>
      </c>
      <c r="E71" s="15">
        <f>((G30 * $I$50 * $I$51) * 10 ^ -3)</f>
        <v>0</v>
      </c>
      <c r="M71" s="76" t="s">
        <v>378</v>
      </c>
      <c r="N71" s="1" t="s">
        <v>1773</v>
      </c>
    </row>
    <row r="72" spans="1:20" ht="20.100000000000001" customHeight="1" x14ac:dyDescent="0.2">
      <c r="D72" s="15" t="str">
        <v>Sulfur - Generic</v>
      </c>
      <c r="E72" s="15">
        <f>((G31 * $I$50 * $I$51) * 10 ^ -3)</f>
        <v>0</v>
      </c>
      <c r="M72" s="76" t="s">
        <v>118</v>
      </c>
      <c r="N72" s="9" t="s">
        <v>1754</v>
      </c>
    </row>
    <row r="73" spans="1:20" ht="20.100000000000001" customHeight="1" x14ac:dyDescent="0.2">
      <c r="D73" s="15" t="str">
        <v>Zinc - Generic</v>
      </c>
      <c r="E73" s="15">
        <f>((G32 * $I$50 * $I$51) * 10 ^ -3)</f>
        <v>0</v>
      </c>
    </row>
    <row r="74" spans="1:20" ht="20.100000000000001" customHeight="1" x14ac:dyDescent="0.2">
      <c r="D74" s="15" t="str">
        <v>Muriate of potash (MOP)</v>
      </c>
      <c r="E74" s="15">
        <f>((G33 * $I$50 * $I$51) * 10 ^ -3)</f>
        <v>0</v>
      </c>
      <c r="M74" s="69" t="s">
        <v>760</v>
      </c>
      <c r="N74" s="69"/>
      <c r="O74" s="69"/>
      <c r="P74" s="69"/>
      <c r="Q74" s="69"/>
      <c r="R74" s="69"/>
      <c r="S74" s="69"/>
      <c r="T74" s="69"/>
    </row>
    <row r="75" spans="1:20" ht="20.100000000000001" customHeight="1" x14ac:dyDescent="0.2">
      <c r="D75" s="15" t="str">
        <v>Double superphosphate</v>
      </c>
      <c r="E75" s="15">
        <f>((G34 * $I$50 * $I$51) * 10 ^ -3)</f>
        <v>0</v>
      </c>
    </row>
    <row r="76" spans="1:20" ht="20.100000000000001" customHeight="1" x14ac:dyDescent="0.2">
      <c r="D76" s="15" t="str">
        <v>Single superphosphate (SSP)</v>
      </c>
      <c r="E76" s="15">
        <f>((G35 * $I$50 * $I$51) * 10 ^ -3)</f>
        <v>0</v>
      </c>
      <c r="M76" s="132" t="s">
        <v>1774</v>
      </c>
      <c r="N76" s="135" t="s">
        <v>1775</v>
      </c>
      <c r="O76" s="141"/>
      <c r="P76" s="135" t="s">
        <v>1759</v>
      </c>
      <c r="Q76" s="121" t="s">
        <v>1469</v>
      </c>
      <c r="R76" s="125">
        <f>MIN(300, $N$35)</f>
        <v>182.82499999999999</v>
      </c>
      <c r="S76" s="179"/>
    </row>
    <row r="77" spans="1:20" ht="20.100000000000001" customHeight="1" x14ac:dyDescent="0.2">
      <c r="D77" s="15" t="str">
        <v>Ammonia</v>
      </c>
      <c r="E77" s="15">
        <f>((G36 * $I$50 * $I$51) * 10 ^ -3)</f>
        <v>0.38175107142857145</v>
      </c>
      <c r="M77" s="132" t="s">
        <v>1757</v>
      </c>
      <c r="N77" s="135" t="s">
        <v>1758</v>
      </c>
      <c r="O77" s="141"/>
      <c r="P77" s="135"/>
      <c r="Q77" s="128" t="s">
        <v>1501</v>
      </c>
      <c r="R77" s="135" t="s">
        <v>754</v>
      </c>
      <c r="S77" s="138"/>
    </row>
    <row r="78" spans="1:20" ht="20.100000000000001" customHeight="1" x14ac:dyDescent="0.2">
      <c r="D78" s="15" t="str">
        <v>Calcium nitrate</v>
      </c>
      <c r="E78" s="15">
        <f>((G37 * $I$50 * $I$51) * 10 ^ -3)</f>
        <v>7.1853571428571433E-2</v>
      </c>
    </row>
    <row r="79" spans="1:20" ht="20.100000000000001" customHeight="1" x14ac:dyDescent="0.2">
      <c r="A79" s="129" t="str">
        <f>HYPERLINK("#A1", "▲ Back to top")</f>
        <v>▲ Back to top</v>
      </c>
      <c r="M79" s="76" t="s">
        <v>759</v>
      </c>
      <c r="N79" s="1">
        <f>((0.01 * (0.29 + ((0.007 * (EXP(0.037 * R76) - 1)) / R76))) * 10 ^ -2)</f>
        <v>3.231403335233797E-5</v>
      </c>
      <c r="O79" s="9" t="str">
        <f>N72</f>
        <v>kg N2O-N/kg N applied</v>
      </c>
    </row>
    <row r="80" spans="1:20" ht="20.100000000000001" customHeight="1" x14ac:dyDescent="0.2">
      <c r="D80" s="87" t="s">
        <v>761</v>
      </c>
      <c r="E80" s="90">
        <f>SUM(E60:E78)</f>
        <v>1.6950488729428572</v>
      </c>
      <c r="F80" s="89" t="str">
        <f>$E$47</f>
        <v>t N2O</v>
      </c>
    </row>
    <row r="82" spans="4:24" ht="20.100000000000001" customHeight="1" x14ac:dyDescent="0.2">
      <c r="D82" s="132" t="str" cm="1">
        <f t="array" ref="D82:E83">Common_Equations.Common_ConvertN2OToCO2e_Arguments()</f>
        <v>EN2O</v>
      </c>
      <c r="E82" s="135" t="str">
        <v>Nitrous oxide emissions (t N2O)</v>
      </c>
      <c r="F82" s="136"/>
      <c r="G82" s="15">
        <f>VEERG_5_1_1_1__1_InorganicFertiliserApplicationN2OEmissions_Result_Method1</f>
        <v>1.6950488729428572</v>
      </c>
      <c r="L82" s="88"/>
      <c r="M82" s="88"/>
      <c r="N82" s="88"/>
      <c r="O82" s="88"/>
      <c r="P82" s="88"/>
      <c r="Q82" s="88"/>
      <c r="R82" s="88"/>
      <c r="S82" s="88"/>
      <c r="T82" s="88"/>
      <c r="U82" s="88"/>
      <c r="V82" s="88"/>
      <c r="W82" s="88"/>
      <c r="X82" s="88"/>
    </row>
    <row r="83" spans="4:24" ht="20.100000000000001" customHeight="1" x14ac:dyDescent="0.2">
      <c r="D83" s="132" t="str">
        <v>GWPN2O</v>
      </c>
      <c r="E83" s="135" t="str">
        <v>Global warming potential for nitrous oxide (t CO2-e / t N2O)</v>
      </c>
      <c r="F83" s="136"/>
      <c r="G83" s="15">
        <f>Common_InputFunctions.Utility_LookupValueInTableNumber("N2O",Table_GWPData[Gas],Table_GWPData[CO2-e factor])</f>
        <v>265</v>
      </c>
      <c r="M83" s="2" t="s">
        <v>1751</v>
      </c>
    </row>
    <row r="84" spans="4:24" ht="20.100000000000001" customHeight="1" x14ac:dyDescent="0.2">
      <c r="M84" s="17" t="s">
        <v>1752</v>
      </c>
    </row>
    <row r="85" spans="4:24" ht="20.100000000000001" customHeight="1" x14ac:dyDescent="0.2">
      <c r="D85" s="88" t="s">
        <v>527</v>
      </c>
      <c r="E85" s="88" cm="1">
        <f t="array" ref="E85">Common_Equations.Common_ConvertN2OToCO2e(G82,G83)</f>
        <v>449.18795132985719</v>
      </c>
      <c r="F85" s="93" t="str" cm="1">
        <f t="array" ref="F85">Common_Equations.Common_ConvertN2OToCO2e_Unit()</f>
        <v>t CO2e</v>
      </c>
      <c r="M85" s="118"/>
      <c r="N85" s="118"/>
    </row>
    <row r="89" spans="4:24" ht="20.100000000000001" customHeight="1" x14ac:dyDescent="0.2">
      <c r="M89" s="76" t="s">
        <v>378</v>
      </c>
      <c r="N89" s="1" t="s">
        <v>1153</v>
      </c>
    </row>
    <row r="90" spans="4:24" ht="20.100000000000001" customHeight="1" x14ac:dyDescent="0.2">
      <c r="M90" s="76" t="s">
        <v>118</v>
      </c>
      <c r="N90" s="9" t="s">
        <v>11</v>
      </c>
    </row>
    <row r="92" spans="4:24" ht="20.100000000000001" customHeight="1" x14ac:dyDescent="0.2">
      <c r="M92" s="132" t="s">
        <v>1743</v>
      </c>
      <c r="N92" s="135" t="s">
        <v>1760</v>
      </c>
      <c r="O92" s="141"/>
      <c r="P92" s="138"/>
      <c r="Q92" s="132" t="s">
        <v>1301</v>
      </c>
      <c r="R92" s="128" t="s">
        <v>1765</v>
      </c>
      <c r="S92" s="120">
        <f>N33</f>
        <v>182825</v>
      </c>
    </row>
    <row r="93" spans="4:24" ht="20.100000000000001" customHeight="1" x14ac:dyDescent="0.2">
      <c r="M93" s="132" t="s">
        <v>1761</v>
      </c>
      <c r="N93" s="135" t="s">
        <v>1762</v>
      </c>
      <c r="O93" s="141"/>
      <c r="P93" s="138"/>
      <c r="Q93" s="132" t="s">
        <v>1754</v>
      </c>
      <c r="R93" s="128" t="s">
        <v>1777</v>
      </c>
      <c r="S93" s="120">
        <f>_xlfn.XLOOKUP(TRUE,N105:N108,O105:O108)</f>
        <v>5.8999999999999999E-3</v>
      </c>
    </row>
    <row r="94" spans="4:24" ht="20.100000000000001" customHeight="1" x14ac:dyDescent="0.2">
      <c r="M94" s="132" t="s">
        <v>1660</v>
      </c>
      <c r="N94" s="135" t="s">
        <v>1763</v>
      </c>
      <c r="O94" s="141"/>
      <c r="P94" s="138"/>
      <c r="Q94" s="132"/>
      <c r="R94" s="128" t="s">
        <v>1501</v>
      </c>
      <c r="S94" s="132">
        <f>Common_InputFunctions.Utility_LookupValueInTableNumber("N2O",Table_GasToMolecularConversionFactor[Gas],Table_GasToMolecularConversionFactor[Conversion factor combined])</f>
        <v>1.5714285714285714</v>
      </c>
    </row>
    <row r="95" spans="4:24" ht="20.100000000000001" customHeight="1" x14ac:dyDescent="0.2">
      <c r="M95" s="132" t="s">
        <v>1675</v>
      </c>
      <c r="N95" s="135" t="s">
        <v>159</v>
      </c>
      <c r="O95" s="141"/>
      <c r="P95" s="138"/>
      <c r="Q95" s="132"/>
      <c r="R95" s="121" t="s">
        <v>1469</v>
      </c>
      <c r="S95" s="132" t="str">
        <f>X_Cell_Fertiliser_ProductionSystem</f>
        <v>Pasture</v>
      </c>
    </row>
    <row r="96" spans="4:24" ht="20.100000000000001" customHeight="1" x14ac:dyDescent="0.2">
      <c r="M96" s="132" t="s">
        <v>1776</v>
      </c>
      <c r="N96" s="135" t="s">
        <v>160</v>
      </c>
      <c r="O96" s="141"/>
      <c r="P96" s="138"/>
      <c r="Q96" s="132"/>
      <c r="R96" s="121" t="s">
        <v>1469</v>
      </c>
      <c r="S96" s="132" t="str">
        <f>X_Cell_Fertiliser_CropType</f>
        <v>Pasture</v>
      </c>
    </row>
    <row r="97" spans="1:19" ht="20.100000000000001" customHeight="1" x14ac:dyDescent="0.2">
      <c r="M97" s="132" t="s">
        <v>1757</v>
      </c>
      <c r="N97" s="135" t="s">
        <v>1758</v>
      </c>
      <c r="O97" s="141"/>
      <c r="P97" s="138"/>
      <c r="Q97" s="132"/>
      <c r="R97" s="128" t="s">
        <v>1501</v>
      </c>
      <c r="S97" s="132" t="s">
        <v>762</v>
      </c>
    </row>
    <row r="98" spans="1:19" ht="20.100000000000001" customHeight="1" x14ac:dyDescent="0.2">
      <c r="M98" s="132" t="s">
        <v>1677</v>
      </c>
      <c r="N98" s="135" t="s">
        <v>1678</v>
      </c>
      <c r="O98" s="141"/>
      <c r="P98" s="138"/>
      <c r="Q98" s="132"/>
      <c r="R98" s="121" t="s">
        <v>1469</v>
      </c>
      <c r="S98" s="132" t="str">
        <f>X_Cell_Fertiliser_IrrigationMethod</f>
        <v>Surface irrigation</v>
      </c>
    </row>
    <row r="99" spans="1:19" ht="20.100000000000001" customHeight="1" x14ac:dyDescent="0.2">
      <c r="M99" s="135" t="s">
        <v>1691</v>
      </c>
      <c r="N99" s="135" t="s">
        <v>1764</v>
      </c>
      <c r="O99" s="141"/>
      <c r="P99" s="141"/>
      <c r="Q99" s="132"/>
      <c r="R99" s="121" t="s">
        <v>1469</v>
      </c>
      <c r="S99" s="132" t="str">
        <f>X_Cell_Site_RainfallZone</f>
        <v>High rainfall</v>
      </c>
    </row>
    <row r="102" spans="1:19" ht="20.100000000000001" customHeight="1" x14ac:dyDescent="0.2">
      <c r="M102" s="122" t="s">
        <v>763</v>
      </c>
    </row>
    <row r="103" spans="1:19" ht="20.100000000000001" customHeight="1" x14ac:dyDescent="0.2">
      <c r="M103" s="123" t="s">
        <v>764</v>
      </c>
    </row>
    <row r="104" spans="1:19" ht="20.100000000000001" customHeight="1" x14ac:dyDescent="0.2">
      <c r="M104" s="124" t="s">
        <v>159</v>
      </c>
      <c r="N104" s="124" t="s">
        <v>765</v>
      </c>
      <c r="O104" s="124" t="s">
        <v>766</v>
      </c>
    </row>
    <row r="105" spans="1:19" ht="20.100000000000001" customHeight="1" x14ac:dyDescent="0.2">
      <c r="M105" s="15" t="s">
        <v>767</v>
      </c>
      <c r="N105" s="15" t="b">
        <f>IF(AND(S96="Maize", NOT(S98="Not irrigated")), TRUE)</f>
        <v>0</v>
      </c>
      <c r="O105" s="15">
        <f>N49</f>
        <v>9.6783250000000015E-3</v>
      </c>
    </row>
    <row r="106" spans="1:19" ht="20.100000000000001" customHeight="1" x14ac:dyDescent="0.2">
      <c r="M106" s="15" t="s">
        <v>768</v>
      </c>
      <c r="N106" s="15" t="b">
        <f>IF(AND(S96="Grains", S98="Not irrigated", S99="High rainfall"), TRUE)</f>
        <v>0</v>
      </c>
      <c r="O106" s="15">
        <f>N63</f>
        <v>1.4492874999999999E-2</v>
      </c>
    </row>
    <row r="107" spans="1:19" ht="20.100000000000001" customHeight="1" x14ac:dyDescent="0.2">
      <c r="M107" s="15" t="s">
        <v>769</v>
      </c>
      <c r="N107" s="15" t="b">
        <f>IF(S96="Cotton", TRUE)</f>
        <v>0</v>
      </c>
      <c r="O107" s="180">
        <f>N79</f>
        <v>3.231403335233797E-5</v>
      </c>
    </row>
    <row r="108" spans="1:19" ht="20.100000000000001" customHeight="1" x14ac:dyDescent="0.2">
      <c r="M108" s="15" t="s">
        <v>770</v>
      </c>
      <c r="N108" s="15" t="b">
        <f>IF(AND(N105=FALSE, N107=FALSE, N106=FALSE),TRUE)</f>
        <v>1</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5.8999999999999999E-3</v>
      </c>
    </row>
    <row r="109" spans="1:19" ht="20.100000000000001" customHeight="1" x14ac:dyDescent="0.2">
      <c r="A109" s="129" t="str">
        <f>HYPERLINK("#A1", "▲ Back to top")</f>
        <v>▲ Back to top</v>
      </c>
    </row>
    <row r="110" spans="1:19" ht="20.100000000000001" customHeight="1" x14ac:dyDescent="0.2">
      <c r="M110" s="87" t="s">
        <v>761</v>
      </c>
      <c r="N110" s="90">
        <f>((S92 * S93 * $S$94) * 10 ^ -3)</f>
        <v>1.6950489285714287</v>
      </c>
      <c r="O110" s="89" t="str">
        <f>$E$47</f>
        <v>t N2O</v>
      </c>
    </row>
    <row r="112" spans="1:19" ht="20.100000000000001" customHeight="1" x14ac:dyDescent="0.2">
      <c r="M112" s="132" t="str" cm="1">
        <f t="array" ref="M112:N113">Common_Equations.Common_ConvertN2OToCO2e_Arguments()</f>
        <v>EN2O</v>
      </c>
      <c r="N112" s="135" t="str">
        <v>Nitrous oxide emissions (t N2O)</v>
      </c>
      <c r="O112" s="136"/>
      <c r="P112" s="15">
        <f>VEERG_5_1_1_1__1_InorganicFertiliserApplicationN2OEmissions_Result_Method2</f>
        <v>1.6950489285714287</v>
      </c>
    </row>
    <row r="113" spans="13:16" ht="20.100000000000001" customHeight="1" x14ac:dyDescent="0.2">
      <c r="M113" s="132" t="str">
        <v>GWPN2O</v>
      </c>
      <c r="N113" s="135" t="str">
        <v>Global warming potential for nitrous oxide (t CO2-e / t N2O)</v>
      </c>
      <c r="O113" s="136"/>
      <c r="P113" s="15">
        <f>Common_InputFunctions.Utility_LookupValueInTableNumber("N2O",Table_GWPData[Gas],Table_GWPData[CO2-e factor])</f>
        <v>265</v>
      </c>
    </row>
    <row r="115" spans="13:16" ht="20.100000000000001" customHeight="1" x14ac:dyDescent="0.2">
      <c r="M115" s="88" t="s">
        <v>527</v>
      </c>
      <c r="N115" s="88" cm="1">
        <f t="array" ref="N115">Common_Equations.Common_ConvertN2OToCO2e(P112,P113)</f>
        <v>449.1879660714286</v>
      </c>
      <c r="O115" s="93"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41B6A854-481C-4017-9453-9F8DD9A4FE0E}"/>
  </dataValidation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3F2E-F938-4C99-AE18-2E010EADAE7C}">
  <sheetPr>
    <tabColor rgb="FF008000"/>
  </sheetPr>
  <dimension ref="A1:U7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771</v>
      </c>
    </row>
    <row r="2" spans="1:21" s="3" customFormat="1" ht="20.100000000000001" customHeight="1" x14ac:dyDescent="0.2">
      <c r="A2"/>
    </row>
    <row r="3" spans="1:21" ht="20.100000000000001" customHeight="1" x14ac:dyDescent="0.2">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1778</v>
      </c>
    </row>
    <row r="6" spans="1:21" ht="20.100000000000001" customHeight="1" x14ac:dyDescent="0.2">
      <c r="A6" s="5" t="str">
        <f>HYPERLINK("#'Results'!A1", "Results")</f>
        <v>Results</v>
      </c>
      <c r="D6" s="17" t="s">
        <v>1779</v>
      </c>
    </row>
    <row r="7" spans="1:21" ht="20.100000000000001" customHeight="1" x14ac:dyDescent="0.2">
      <c r="D7" s="118"/>
      <c r="E7" s="118"/>
    </row>
    <row r="9" spans="1:21" ht="20.100000000000001" customHeight="1" x14ac:dyDescent="0.2">
      <c r="A9" s="7" t="s">
        <v>0</v>
      </c>
    </row>
    <row r="10" spans="1:21" ht="20.100000000000001" customHeight="1" x14ac:dyDescent="0.2">
      <c r="A10" s="5" t="str">
        <f>HYPERLINK("#'Input - Enterprise'!A1", "Enterprise")</f>
        <v>Enterprise</v>
      </c>
      <c r="D10" s="76" t="s">
        <v>378</v>
      </c>
      <c r="E10" s="1" t="s">
        <v>1780</v>
      </c>
    </row>
    <row r="11" spans="1:21" ht="20.100000000000001" customHeight="1" x14ac:dyDescent="0.2">
      <c r="A11" s="5" t="str">
        <f>HYPERLINK("#'Input - Site'!A1", "Site")</f>
        <v>Site</v>
      </c>
      <c r="D11" s="76" t="s">
        <v>118</v>
      </c>
      <c r="E11" s="9" t="s">
        <v>1781</v>
      </c>
    </row>
    <row r="12" spans="1:21" ht="20.100000000000001" customHeight="1" x14ac:dyDescent="0.2">
      <c r="A12" s="5" t="str">
        <f>HYPERLINK("#'Input - Dairy'!A1", "Dairy")</f>
        <v>Dairy</v>
      </c>
    </row>
    <row r="13" spans="1:21" ht="20.100000000000001" customHeight="1" x14ac:dyDescent="0.2">
      <c r="A13" s="5" t="str">
        <f>HYPERLINK("#'Input - Livestock sales'!A1", "Livestock sales")</f>
        <v>Livestock sales</v>
      </c>
      <c r="D13" s="132" t="s">
        <v>1744</v>
      </c>
      <c r="E13" s="135" t="s">
        <v>1745</v>
      </c>
      <c r="F13" s="138"/>
      <c r="G13" s="132" t="s">
        <v>738</v>
      </c>
      <c r="H13" s="121" t="s">
        <v>1469</v>
      </c>
      <c r="I13" s="127" t="str" cm="1">
        <f t="array" aca="1" ref="I13" ca="1">HYPERLINK(Common_InputFunctions.Utility_SourceHyperlink($D$16), $D$16)</f>
        <v>Table_MU_j_f</v>
      </c>
    </row>
    <row r="14" spans="1:21" ht="20.100000000000001" customHeight="1" x14ac:dyDescent="0.2">
      <c r="A14" s="5" t="str">
        <f>HYPERLINK("#'Input - Dairy cattle purchases'!A1", "Dairy cattle purchases")</f>
        <v>Dairy cattle purchases</v>
      </c>
      <c r="D14" s="132" t="s">
        <v>1782</v>
      </c>
      <c r="E14" s="135" t="s">
        <v>1783</v>
      </c>
      <c r="F14" s="138"/>
      <c r="G14" s="132" t="s">
        <v>1784</v>
      </c>
      <c r="H14" s="128" t="s">
        <v>1785</v>
      </c>
      <c r="I14" s="127" t="str" cm="1">
        <f t="array" aca="1" ref="I14" ca="1">HYPERLINK(Common_InputFunctions.Utility_SourceHyperlink($D$16), $D$16)</f>
        <v>Table_MU_j_f</v>
      </c>
    </row>
    <row r="15" spans="1:21" ht="20.100000000000001" customHeight="1" x14ac:dyDescent="0.2">
      <c r="A15" s="5" t="str">
        <f>HYPERLINK("#'Input - Pasture'!A1", "Pasture")</f>
        <v>Pasture</v>
      </c>
    </row>
    <row r="16" spans="1:21" ht="20.100000000000001" customHeight="1" x14ac:dyDescent="0.2">
      <c r="A16" s="5" t="str">
        <f>HYPERLINK("#'Input - Fert Prod System'!A1", "Fert Prod System")</f>
        <v>Fert Prod System</v>
      </c>
      <c r="D16" s="122" t="s">
        <v>772</v>
      </c>
    </row>
    <row r="17" spans="1:7" ht="20.100000000000001" customHeight="1" x14ac:dyDescent="0.2">
      <c r="A17" s="5" t="str">
        <f>HYPERLINK("#'Input - Fertiliser'!A1", "Fertiliser")</f>
        <v>Fertiliser</v>
      </c>
      <c r="D17" s="123" t="s">
        <v>773</v>
      </c>
    </row>
    <row r="18" spans="1:7" ht="20.100000000000001" customHeight="1" x14ac:dyDescent="0.2">
      <c r="A18" s="5" t="str">
        <f>HYPERLINK("#'Input - Fuel'!A1", "Fuel")</f>
        <v>Fuel</v>
      </c>
      <c r="D18" s="124" t="s">
        <v>746</v>
      </c>
      <c r="E18" s="81" t="s">
        <v>747</v>
      </c>
      <c r="F18" s="124" t="s">
        <v>774</v>
      </c>
      <c r="G18" s="124" t="s">
        <v>775</v>
      </c>
    </row>
    <row r="19" spans="1:7" ht="20.100000000000001" customHeight="1" x14ac:dyDescent="0.2">
      <c r="A19" s="5" t="str">
        <f>HYPERLINK("#'Input - Electricity'!A1", "Electricity")</f>
        <v>Electricity</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f>(E19 * F19)</f>
        <v>0</v>
      </c>
    </row>
    <row r="20" spans="1:7" ht="20.100000000000001" customHeight="1" x14ac:dyDescent="0.2">
      <c r="A20" s="5" t="str">
        <f>HYPERLINK("#'Input - Common farm inputs'!A1", "Common farm inputs")</f>
        <v>Common farm inputs</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f>(E20 * F20)</f>
        <v>0</v>
      </c>
    </row>
    <row r="21" spans="1:7" ht="20.100000000000001" customHeight="1" x14ac:dyDescent="0.2">
      <c r="A21" s="5" t="str">
        <f>HYPERLINK("#'Input - Crop pasture farm input'!A1", "Crop pasture farm input")</f>
        <v>Crop pasture farm input</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f>(E21 * F21)</f>
        <v>252173.9</v>
      </c>
    </row>
    <row r="22" spans="1:7" ht="20.100000000000001" customHeight="1" x14ac:dyDescent="0.2">
      <c r="A22" s="5" t="str">
        <f>HYPERLINK("#'Input - Livestock farm Inputs'!A1", "Livestock farm Inputs")</f>
        <v>Livestock farm Inputs</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f>(E22 * F22)</f>
        <v>0</v>
      </c>
    </row>
    <row r="23" spans="1:7" ht="20.100000000000001" customHeight="1" x14ac:dyDescent="0.2">
      <c r="A23" s="5" t="str">
        <f>HYPERLINK("#'Input - Freight'!A1", "Freight")</f>
        <v>Freight</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f>(E23 * F23)</f>
        <v>0</v>
      </c>
    </row>
    <row r="24" spans="1:7" ht="20.100000000000001" customHeight="1" x14ac:dyDescent="0.2">
      <c r="A24" s="5" t="str">
        <f>HYPERLINK("#'Input - Solid waste'!A1", "Solid waste")</f>
        <v>Solid waste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f>(E24 * F24)</f>
        <v>0</v>
      </c>
    </row>
    <row r="25" spans="1:7" ht="20.100000000000001" customHeight="1" x14ac:dyDescent="0.2">
      <c r="A25" s="5" t="str">
        <f>HYPERLINK("#'Input - Manure sent off-site'!A1", "Manure sent off-site")</f>
        <v>Manure sent off-site</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f>(E25 * F25)</f>
        <v>0</v>
      </c>
    </row>
    <row r="26" spans="1:7" ht="20.100000000000001" customHeight="1" x14ac:dyDescent="0.2">
      <c r="A26" s="5" t="str">
        <f>HYPERLINK("#'Input - Refrigerants'!A1", "Refrigerants")</f>
        <v>Refrigerants</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f],Table_Fertiliser_ChemicalCompounds[FU f])</f>
        <v>0</v>
      </c>
      <c r="G26" s="15">
        <f>(E26 * F26)</f>
        <v>0</v>
      </c>
    </row>
    <row r="27" spans="1:7" ht="20.100000000000001" customHeight="1" x14ac:dyDescent="0.2">
      <c r="A27" s="5" t="str">
        <f>HYPERLINK("#'Input - Data quality'!A1", "Data quality")</f>
        <v>Data quality</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f],Table_Fertiliser_ChemicalCompounds[FU f])</f>
        <v>0</v>
      </c>
      <c r="G27" s="15">
        <f>(E27 * F27)</f>
        <v>0</v>
      </c>
    </row>
    <row r="28" spans="1:7" ht="20.100000000000001" customHeight="1" x14ac:dyDescent="0.2">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f>(E28 * F28)</f>
        <v>0</v>
      </c>
    </row>
    <row r="29" spans="1:7" ht="20.100000000000001" customHeight="1" x14ac:dyDescent="0.2">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f],Table_Fertiliser_ChemicalCompounds[FU f])</f>
        <v>0</v>
      </c>
      <c r="G29" s="15">
        <f>(E29 * F29)</f>
        <v>0</v>
      </c>
    </row>
    <row r="30" spans="1:7" ht="20.100000000000001" customHeight="1" x14ac:dyDescent="0.2">
      <c r="A30" s="6" t="s">
        <v>2</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f],Table_Fertiliser_ChemicalCompounds[FU f])</f>
        <v>0</v>
      </c>
      <c r="G30" s="15">
        <f>(E30 * F30)</f>
        <v>0</v>
      </c>
    </row>
    <row r="31" spans="1:7" ht="20.100000000000001" customHeight="1" x14ac:dyDescent="0.2">
      <c r="A31" s="5" t="str">
        <f>HYPERLINK("#'3.3.1.1-2 Enteric Methane'!A1", "3.3.1.1-2 Enteric methane")</f>
        <v>3.3.1.1-2 Enteric methane</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f],Table_Fertiliser_ChemicalCompounds[FU f])</f>
        <v>0</v>
      </c>
      <c r="G31" s="15">
        <f>(E31 * F31)</f>
        <v>0</v>
      </c>
    </row>
    <row r="32" spans="1:7" ht="20.100000000000001" customHeight="1" x14ac:dyDescent="0.2">
      <c r="A32" s="5" t="str">
        <f>HYPERLINK("#'4.3.1.1-2 Methane'!A1", "4.3.1.1-2 Manure methane")</f>
        <v>4.3.1.1-2 Manure methane</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f],Table_Fertiliser_ChemicalCompounds[FU f])</f>
        <v>0</v>
      </c>
      <c r="G32" s="15">
        <f>(E32 * F32)</f>
        <v>0</v>
      </c>
    </row>
    <row r="33" spans="1:12" ht="20.100000000000001" customHeight="1" x14ac:dyDescent="0.2">
      <c r="A33" s="5" t="str">
        <f>HYPERLINK("#'4.3.1.3-4 Direct N20'!A1", "4.3.1.3-4 Direct N20")</f>
        <v>4.3.1.3-4 Direct N20</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f>(E33 * F33)</f>
        <v>0</v>
      </c>
    </row>
    <row r="34" spans="1:12" ht="20.100000000000001" customHeight="1" x14ac:dyDescent="0.2">
      <c r="A34" s="5" t="str">
        <f>HYPERLINK("#'4.3.1.5 Atmos deposition'!A1", "4.3.1.5 Atmos deposition")</f>
        <v>4.3.1.5 Atmos deposition</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f>(E34 * F34)</f>
        <v>0</v>
      </c>
    </row>
    <row r="35" spans="1:12" ht="20.100000000000001" customHeight="1" x14ac:dyDescent="0.2">
      <c r="A35" s="5" t="str">
        <f>HYPERLINK("#'4.3.1.6-7 Leaching and runoff'!A1", "4.3.1.6-7 Leaching &amp; runoff")</f>
        <v>4.3.1.6-7 Leaching &amp; runoff</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f>(E35 * F35)</f>
        <v>0</v>
      </c>
    </row>
    <row r="36" spans="1:12" ht="20.100000000000001" customHeight="1" x14ac:dyDescent="0.2">
      <c r="A36" s="5" t="str">
        <f>HYPERLINK("#'4.3.1.8 Manure applied to soils'!A1", "4.3.1.8 Manure applied to soils")</f>
        <v>4.3.1.8 Manure applied to soils</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f],Table_Fertiliser_ChemicalCompounds[FU f])</f>
        <v>0</v>
      </c>
      <c r="G36" s="15">
        <f>(E36 * F36)</f>
        <v>0</v>
      </c>
    </row>
    <row r="37" spans="1:12" ht="20.100000000000001" customHeight="1" x14ac:dyDescent="0.2">
      <c r="A37" s="5" t="str">
        <f>HYPERLINK("#'4.3.1.9 Soil direct N2O'!A1", "4.3.1.9 Soil direct N2O")</f>
        <v>4.3.1.9 Soil direct N2O</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f],Table_Fertiliser_ChemicalCompounds[FU f])</f>
        <v>0</v>
      </c>
      <c r="G37" s="15">
        <f>(E37 * F37)</f>
        <v>0</v>
      </c>
    </row>
    <row r="38" spans="1:12" ht="20.100000000000001" customHeight="1" x14ac:dyDescent="0.2">
      <c r="A38" s="5" t="str">
        <f>HYPERLINK("#'4.3.1.10-11 Soil Atmos Dep'!A1", "4.3.1.10-11 Soil Atmos Deposition")</f>
        <v>4.3.1.10-11 Soil Atmos Deposition</v>
      </c>
    </row>
    <row r="39" spans="1:12" ht="20.100000000000001" customHeight="1" x14ac:dyDescent="0.2">
      <c r="A39" s="5" t="str">
        <f>HYPERLINK("#'4.3.1.12-13 Soil leach runoff'!A1", "4.3.1.12-13 Soil leach &amp; runoff")</f>
        <v>4.3.1.12-13 Soil leach &amp; runoff</v>
      </c>
    </row>
    <row r="40" spans="1:12" ht="20.100000000000001" customHeight="1" x14ac:dyDescent="0.2">
      <c r="A40" s="5" t="str">
        <f>HYPERLINK("#'5.1.1.1-2 Inorganic fert N2O'!A1", "5.1.1.1-2 Inorganic fert N2O")</f>
        <v>5.1.1.1-2 Inorganic fert N2O</v>
      </c>
      <c r="C40" s="88"/>
      <c r="D40" s="88"/>
      <c r="E40" s="88"/>
      <c r="F40" s="88"/>
      <c r="G40" s="88"/>
      <c r="H40" s="88"/>
      <c r="I40" s="88"/>
      <c r="J40" s="88"/>
      <c r="K40" s="88"/>
      <c r="L40" s="88"/>
    </row>
    <row r="41" spans="1:12" ht="20.100000000000001" customHeight="1" x14ac:dyDescent="0.2">
      <c r="A41" s="119" t="str">
        <f>HYPERLINK("#'5.1.1.3-4 Inorganic fert CO2'!A1", "5.1.1.3-4 Inorganic fert CO2")</f>
        <v>5.1.1.3-4 Inorganic fert CO2</v>
      </c>
      <c r="D41" s="2" t="s">
        <v>1786</v>
      </c>
    </row>
    <row r="42" spans="1:12" ht="20.100000000000001" customHeight="1" x14ac:dyDescent="0.2">
      <c r="A42" s="5" t="str">
        <f>HYPERLINK("#'5.2.1.1-2 Organic Fert N2O'!A1", "5.2.1.1-2 Organic fert N2O")</f>
        <v>5.2.1.1-2 Organic fert N2O</v>
      </c>
      <c r="D42" s="17" t="s">
        <v>1787</v>
      </c>
    </row>
    <row r="43" spans="1:12" ht="20.100000000000001" customHeight="1" x14ac:dyDescent="0.2">
      <c r="A43" s="5" t="str">
        <f>HYPERLINK("#'5.3.1.1-2 Lime CO2'!A1", "5.3.1.1-2 Lime CO2")</f>
        <v>5.3.1.1-2 Lime CO2</v>
      </c>
      <c r="D43" s="118"/>
      <c r="E43" s="118"/>
    </row>
    <row r="44" spans="1:12" ht="20.100000000000001" customHeight="1" x14ac:dyDescent="0.2">
      <c r="A44" s="5" t="str">
        <f>HYPERLINK("#'5.4.1.1-4 Atmos deposition'!A1", "5.4.1.1-4 Atmos. deposition")</f>
        <v>5.4.1.1-4 Atmos. deposition</v>
      </c>
    </row>
    <row r="45" spans="1:12" ht="20.100000000000001" customHeight="1" x14ac:dyDescent="0.2">
      <c r="A45" s="5" t="str">
        <f>HYPERLINK("#'5.5.1.1-2 Leaching and runoff'!A1", "5.5.1.1-2 Leaching &amp; runoff")</f>
        <v>5.5.1.1-2 Leaching &amp; runoff</v>
      </c>
    </row>
    <row r="46" spans="1:12" ht="20.100000000000001" customHeight="1" x14ac:dyDescent="0.2">
      <c r="A46" s="5" t="str">
        <f>HYPERLINK("#'6.2.1.1-2 Pasture residue N2O'!A1", "6.2.1.1-2 Pasture residue N2O")</f>
        <v>6.2.1.1-2 Pasture residue N2O</v>
      </c>
      <c r="D46" s="76" t="s">
        <v>378</v>
      </c>
      <c r="E46" s="1" t="s">
        <v>1788</v>
      </c>
    </row>
    <row r="47" spans="1:12" ht="20.100000000000001" customHeight="1" x14ac:dyDescent="0.2">
      <c r="A47" s="5" t="str">
        <f>HYPERLINK("#'6.3.1.1-2 Leach runoff pasture'!A1", "6.3.1.1-2 Leach &amp; runoff (pasture)")</f>
        <v>6.3.1.1-2 Leach &amp; runoff (pasture)</v>
      </c>
      <c r="D47" s="76" t="s">
        <v>118</v>
      </c>
      <c r="E47" s="9" t="s">
        <v>126</v>
      </c>
    </row>
    <row r="48" spans="1:12" ht="20.100000000000001" customHeight="1" x14ac:dyDescent="0.2">
      <c r="A48" s="5" t="str">
        <f>HYPERLINK("#'8.1.1.1-2 Transport fuel'!A1", "8.1.1.1-2 Transport fuel")</f>
        <v>8.1.1.1-2 Transport fuel</v>
      </c>
    </row>
    <row r="49" spans="1:9" ht="20.100000000000001" customHeight="1" x14ac:dyDescent="0.2">
      <c r="A49" s="5" t="str">
        <f>HYPERLINK("#'8.2.1.1-2 Stationary fuel'!A1", "8.2.1.1-2 Stationary fuel")</f>
        <v>8.2.1.1-2 Stationary fuel</v>
      </c>
      <c r="D49" s="132" t="s">
        <v>1780</v>
      </c>
      <c r="E49" s="135" t="s">
        <v>1789</v>
      </c>
      <c r="F49" s="138"/>
      <c r="G49" s="132" t="s">
        <v>1781</v>
      </c>
      <c r="H49" s="128" t="s">
        <v>1794</v>
      </c>
      <c r="I49" s="127" t="str" cm="1">
        <f t="array" aca="1" ref="I49" ca="1">HYPERLINK(Common_InputFunctions.Utility_SourceHyperlink($D$16), $D$16)</f>
        <v>Table_MU_j_f</v>
      </c>
    </row>
    <row r="50" spans="1:9" ht="20.100000000000001" customHeight="1" x14ac:dyDescent="0.2">
      <c r="A50" s="5" t="str">
        <f>HYPERLINK("#'9.1.1.1-2 Refrigerant use'!A1", "9.1.1.1-2 Refrigerant use")</f>
        <v>9.1.1.1-2 Refrigerant use</v>
      </c>
      <c r="D50" s="132" t="s">
        <v>1790</v>
      </c>
      <c r="E50" s="135" t="s">
        <v>1791</v>
      </c>
      <c r="F50" s="138"/>
      <c r="G50" s="132" t="s">
        <v>1795</v>
      </c>
      <c r="H50" s="128" t="s">
        <v>1501</v>
      </c>
      <c r="I50" s="132">
        <f>Fertiliser_EFUreaCO2_Data</f>
        <v>0.2</v>
      </c>
    </row>
    <row r="51" spans="1:9" ht="20.100000000000001" customHeight="1" x14ac:dyDescent="0.2">
      <c r="A51" s="5" t="str">
        <f>HYPERLINK("#'10.1.1-2 Solid waste treatment'!A1", "10.1.1.1-2 Solid waste")</f>
        <v>10.1.1.1-2 Solid waste</v>
      </c>
      <c r="D51" s="132" t="s">
        <v>1792</v>
      </c>
      <c r="E51" s="135" t="s">
        <v>1793</v>
      </c>
      <c r="F51" s="138"/>
      <c r="G51" s="132"/>
      <c r="H51" s="128" t="s">
        <v>1501</v>
      </c>
      <c r="I51" s="132">
        <f>Common_InputFunctions.Utility_LookupValueInTableNumber("CO2",Table_GasToMolecularConversionFactor[Gas], Table_GasToMolecularConversionFactor[Conversion factor combined])</f>
        <v>3.6666666666666665</v>
      </c>
    </row>
    <row r="52" spans="1:9" ht="20.100000000000001" customHeight="1" x14ac:dyDescent="0.2">
      <c r="A52" s="5" t="str">
        <f>HYPERLINK("#'14.1.1-2 Purchased electricity'!A1", "14.1.1-2 Purchased electricity")</f>
        <v>14.1.1-2 Purchased electricity</v>
      </c>
      <c r="D52" s="132" t="s">
        <v>1675</v>
      </c>
      <c r="E52" s="135" t="s">
        <v>159</v>
      </c>
      <c r="F52" s="138"/>
      <c r="G52" s="132"/>
      <c r="H52" s="121" t="s">
        <v>1469</v>
      </c>
      <c r="I52" s="132" t="str">
        <f>X_Cell_Fertiliser_ProductionSystem</f>
        <v>Pasture</v>
      </c>
    </row>
    <row r="53" spans="1:9" ht="20.100000000000001" customHeight="1" x14ac:dyDescent="0.2">
      <c r="A53" s="5" t="str">
        <f>HYPERLINK("#'15 Scope 3'!A1", "15 Scope 3")</f>
        <v>15 Scope 3</v>
      </c>
      <c r="D53" s="132" t="s">
        <v>1757</v>
      </c>
      <c r="E53" s="135" t="s">
        <v>1758</v>
      </c>
      <c r="F53" s="138"/>
      <c r="G53" s="132"/>
      <c r="H53" s="128" t="s">
        <v>1785</v>
      </c>
      <c r="I53" s="127" t="str" cm="1">
        <f t="array" aca="1" ref="I53" ca="1">HYPERLINK(Common_InputFunctions.Utility_SourceHyperlink($D$16), $D$16)</f>
        <v>Table_MU_j_f</v>
      </c>
    </row>
    <row r="54" spans="1:9" ht="20.100000000000001" customHeight="1" x14ac:dyDescent="0.2">
      <c r="A54" s="5" t="str">
        <f>HYPERLINK("#'Calcs - Manure sent off-site'!A1", "Calcs - Manure sent off-site")</f>
        <v>Calcs - Manure sent off-site</v>
      </c>
    </row>
    <row r="55" spans="1:9" ht="20.100000000000001" customHeight="1" x14ac:dyDescent="0.2">
      <c r="D55" s="122" t="s">
        <v>776</v>
      </c>
    </row>
    <row r="56" spans="1:9" ht="20.100000000000001" customHeight="1" x14ac:dyDescent="0.2">
      <c r="D56" s="123" t="s">
        <v>777</v>
      </c>
    </row>
    <row r="57" spans="1:9" ht="20.100000000000001" customHeight="1" x14ac:dyDescent="0.2">
      <c r="A57" s="82" t="s">
        <v>1</v>
      </c>
      <c r="D57" s="124" t="s">
        <v>746</v>
      </c>
      <c r="E57" s="124" t="s">
        <v>758</v>
      </c>
    </row>
    <row r="58" spans="1:9" ht="20.100000000000001" customHeight="1" x14ac:dyDescent="0.2">
      <c r="A58" s="5" t="str">
        <f>HYPERLINK("#'Constants - Dairy'!A1", "Constants - Dairy")</f>
        <v>Constants - Dairy</v>
      </c>
      <c r="D58" s="15" t="str" cm="1">
        <f t="array" ref="D58:D76">Table_Fertiliser_ChemicalCompounds[Fertiliser type f]</f>
        <v>Monoammonium phosphate (MAP)</v>
      </c>
      <c r="E58" s="15">
        <f>((G19 * $I$50 * $I$51) * 10 ^ -3)</f>
        <v>0</v>
      </c>
      <c r="F58" s="16" t="str">
        <f>$E$47</f>
        <v>t CO2</v>
      </c>
    </row>
    <row r="59" spans="1:9" ht="20.100000000000001" customHeight="1" x14ac:dyDescent="0.2">
      <c r="A59" s="5" t="str">
        <f>HYPERLINK("#'Constants - Ag Residue'!A1", "Constants - Ag residue")</f>
        <v>Constants - Ag residue</v>
      </c>
      <c r="D59" s="15" t="str">
        <v>Diammonium phosphate (DAP)</v>
      </c>
      <c r="E59" s="15">
        <f>((G20 * $I$50 * $I$51) * 10 ^ -3)</f>
        <v>0</v>
      </c>
    </row>
    <row r="60" spans="1:9" ht="20.100000000000001" customHeight="1" x14ac:dyDescent="0.2">
      <c r="A60" s="5" t="str">
        <f>HYPERLINK("#'Constants - Common Livestock'!A1", "Constants - Common Livestock")</f>
        <v>Constants - Common Livestock</v>
      </c>
      <c r="D60" s="15" t="str">
        <v>Urea</v>
      </c>
      <c r="E60" s="15">
        <f>((G21 * $I$50 * $I$51) * 10 ^ -3)</f>
        <v>184.92752666666664</v>
      </c>
    </row>
    <row r="61" spans="1:9" ht="20.100000000000001" customHeight="1" x14ac:dyDescent="0.2">
      <c r="A61" s="5" t="str">
        <f>HYPERLINK("#'Constants - Electricity'!A1", "Constants - Electricity")</f>
        <v>Constants - Electricity</v>
      </c>
      <c r="D61" s="15" t="str">
        <v>Sulphate of ammonia (SOA)</v>
      </c>
      <c r="E61" s="15">
        <f>((G22 * $I$50 * $I$51) * 10 ^ -3)</f>
        <v>0</v>
      </c>
    </row>
    <row r="62" spans="1:9" ht="20.100000000000001" customHeight="1" x14ac:dyDescent="0.2">
      <c r="A62" s="5" t="str">
        <f>HYPERLINK("#'Constants - Fertiliser'!A1", "Constants - Fertiliser")</f>
        <v>Constants - Fertiliser</v>
      </c>
      <c r="D62" s="15" t="str">
        <v>Urea-ammonium nitrate (UAN)</v>
      </c>
      <c r="E62" s="15">
        <f>((G23 * $I$50 * $I$51) * 10 ^ -3)</f>
        <v>0</v>
      </c>
    </row>
    <row r="63" spans="1:9" ht="20.100000000000001" customHeight="1" x14ac:dyDescent="0.2">
      <c r="A63" s="5" t="str">
        <f>HYPERLINK("#'Constants - Fuel'!A1", "Constants - Fuel")</f>
        <v>Constants - Fuel</v>
      </c>
      <c r="D63" s="15" t="str">
        <v>Ammonium nitrate (AN)</v>
      </c>
      <c r="E63" s="15">
        <f>((G24 * $I$50 * $I$51) * 10 ^ -3)</f>
        <v>0</v>
      </c>
    </row>
    <row r="64" spans="1:9" ht="20.100000000000001" customHeight="1" x14ac:dyDescent="0.2">
      <c r="A64" s="5" t="str">
        <f>HYPERLINK("#'Constants - Scope 3'!A1", "Constants - Scope 3")</f>
        <v>Constants - Scope 3</v>
      </c>
      <c r="D64" s="15" t="str">
        <v>Calcium ammonium nitrate (CAN)</v>
      </c>
      <c r="E64" s="15">
        <f>((G25 * $I$50 * $I$51) * 10 ^ -3)</f>
        <v>0</v>
      </c>
    </row>
    <row r="65" spans="1:6" ht="20.100000000000001" customHeight="1" x14ac:dyDescent="0.2">
      <c r="A65" s="5" t="str">
        <f>HYPERLINK("#'Constants - Common'!A1", "Constants - Common")</f>
        <v>Constants - Common</v>
      </c>
      <c r="D65" s="15" t="str">
        <v>Nitrogen - Ammoniacal</v>
      </c>
      <c r="E65" s="15">
        <f>((G26 * $I$50 * $I$51) * 10 ^ -3)</f>
        <v>0</v>
      </c>
    </row>
    <row r="66" spans="1:6" ht="20.100000000000001" customHeight="1" x14ac:dyDescent="0.2">
      <c r="A66" s="5" t="str">
        <f>HYPERLINK("#'Constants - Refrigerants'!A1", "Constants - Refrigerants")</f>
        <v>Constants - Refrigerants</v>
      </c>
      <c r="D66" s="15" t="str">
        <v>Nitrogen - Nitrate</v>
      </c>
      <c r="E66" s="15">
        <f>((G27 * $I$50 * $I$51) * 10 ^ -3)</f>
        <v>0</v>
      </c>
    </row>
    <row r="67" spans="1:6" ht="20.100000000000001" customHeight="1" x14ac:dyDescent="0.2">
      <c r="A67" s="5" t="str">
        <f>HYPERLINK("#'Constants - Solid Waste'!A1", "Constants - Solid Waste")</f>
        <v>Constants - Solid Waste</v>
      </c>
      <c r="D67" s="15" t="str">
        <v>Nitrogen - Generic</v>
      </c>
      <c r="E67" s="15">
        <f>((G28 * $I$50 * $I$51) * 10 ^ -3)</f>
        <v>0</v>
      </c>
    </row>
    <row r="68" spans="1:6" ht="20.100000000000001" customHeight="1" x14ac:dyDescent="0.2">
      <c r="A68" s="5" t="str">
        <f>HYPERLINK("#'Acknowledgements'!A1", "Acknowledgements")</f>
        <v>Acknowledgements</v>
      </c>
      <c r="D68" s="15" t="str">
        <v>Phosphorus - Generic</v>
      </c>
      <c r="E68" s="15">
        <f>((G29 * $I$50 * $I$51) * 10 ^ -3)</f>
        <v>0</v>
      </c>
    </row>
    <row r="69" spans="1:6" ht="20.100000000000001" customHeight="1" x14ac:dyDescent="0.2">
      <c r="D69" s="15" t="str">
        <v>Potassium - Generic</v>
      </c>
      <c r="E69" s="15">
        <f>((G30 * $I$50 * $I$51) * 10 ^ -3)</f>
        <v>0</v>
      </c>
    </row>
    <row r="70" spans="1:6" ht="20.100000000000001" customHeight="1" x14ac:dyDescent="0.2">
      <c r="D70" s="15" t="str">
        <v>Sulfur - Generic</v>
      </c>
      <c r="E70" s="15">
        <f>((G31 * $I$50 * $I$51) * 10 ^ -3)</f>
        <v>0</v>
      </c>
    </row>
    <row r="71" spans="1:6" ht="20.100000000000001" customHeight="1" x14ac:dyDescent="0.2">
      <c r="D71" s="15" t="str">
        <v>Zinc - Generic</v>
      </c>
      <c r="E71" s="15">
        <f>((G32 * $I$50 * $I$51) * 10 ^ -3)</f>
        <v>0</v>
      </c>
    </row>
    <row r="72" spans="1:6" ht="20.100000000000001" customHeight="1" x14ac:dyDescent="0.2">
      <c r="D72" s="15" t="str">
        <v>Muriate of potash (MOP)</v>
      </c>
      <c r="E72" s="15">
        <f>((G33 * $I$50 * $I$51) * 10 ^ -3)</f>
        <v>0</v>
      </c>
    </row>
    <row r="73" spans="1:6" ht="20.100000000000001" customHeight="1" x14ac:dyDescent="0.2">
      <c r="D73" s="15" t="str">
        <v>Double superphosphate</v>
      </c>
      <c r="E73" s="15">
        <f>((G34 * $I$50 * $I$51) * 10 ^ -3)</f>
        <v>0</v>
      </c>
    </row>
    <row r="74" spans="1:6" ht="20.100000000000001" customHeight="1" x14ac:dyDescent="0.2">
      <c r="D74" s="15" t="str">
        <v>Single superphosphate (SSP)</v>
      </c>
      <c r="E74" s="15">
        <f>((G35 * $I$50 * $I$51) * 10 ^ -3)</f>
        <v>0</v>
      </c>
    </row>
    <row r="75" spans="1:6" ht="20.100000000000001" customHeight="1" x14ac:dyDescent="0.2">
      <c r="D75" s="15" t="str">
        <v>Ammonia</v>
      </c>
      <c r="E75" s="15">
        <f>((G36 * $I$50 * $I$51) * 10 ^ -3)</f>
        <v>0</v>
      </c>
    </row>
    <row r="76" spans="1:6" ht="20.100000000000001" customHeight="1" x14ac:dyDescent="0.2">
      <c r="D76" s="15" t="str">
        <v>Calcium nitrate</v>
      </c>
      <c r="E76" s="15">
        <f>((G37 * $I$50 * $I$51) * 10 ^ -3)</f>
        <v>0</v>
      </c>
    </row>
    <row r="78" spans="1:6" ht="20.100000000000001" customHeight="1" x14ac:dyDescent="0.2">
      <c r="D78" s="87" t="s">
        <v>778</v>
      </c>
      <c r="E78" s="90">
        <f>SUM(E58:E76)</f>
        <v>184.92752666666664</v>
      </c>
      <c r="F78" s="89" t="str">
        <f>$E$47</f>
        <v>t CO2</v>
      </c>
    </row>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85507-B136-44BA-889F-F2B411A8682C}">
  <sheetPr>
    <tabColor rgb="FF008000"/>
  </sheetPr>
  <dimension ref="A1:U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779</v>
      </c>
    </row>
    <row r="2" spans="1:21" s="3" customFormat="1" ht="20.100000000000001" customHeight="1" x14ac:dyDescent="0.2">
      <c r="A2"/>
    </row>
    <row r="3" spans="1:21" ht="20.100000000000001" customHeight="1" x14ac:dyDescent="0.2">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1796</v>
      </c>
    </row>
    <row r="6" spans="1:21" ht="20.100000000000001" customHeight="1" x14ac:dyDescent="0.2">
      <c r="A6" s="5" t="str">
        <f>HYPERLINK("#'Results'!A1", "Results")</f>
        <v>Results</v>
      </c>
      <c r="D6" s="17" t="s">
        <v>1797</v>
      </c>
    </row>
    <row r="7" spans="1:21" ht="20.100000000000001" customHeight="1" x14ac:dyDescent="0.2">
      <c r="D7" s="118"/>
      <c r="E7" s="118"/>
    </row>
    <row r="9" spans="1:21" ht="20.100000000000001" customHeight="1" x14ac:dyDescent="0.2">
      <c r="A9" s="7" t="s">
        <v>0</v>
      </c>
    </row>
    <row r="10" spans="1:21" ht="20.100000000000001" customHeight="1" x14ac:dyDescent="0.2">
      <c r="A10" s="5" t="str">
        <f>HYPERLINK("#'Input - Enterprise'!A1", "Enterprise")</f>
        <v>Enterprise</v>
      </c>
      <c r="D10" s="76" t="s">
        <v>378</v>
      </c>
      <c r="E10" s="1" t="s">
        <v>1798</v>
      </c>
    </row>
    <row r="11" spans="1:21" ht="20.100000000000001" customHeight="1" x14ac:dyDescent="0.2">
      <c r="A11" s="5" t="str">
        <f>HYPERLINK("#'Input - Site'!A1", "Site")</f>
        <v>Site</v>
      </c>
      <c r="D11" s="76" t="s">
        <v>118</v>
      </c>
      <c r="E11" s="9" t="s">
        <v>1301</v>
      </c>
    </row>
    <row r="12" spans="1:21" ht="20.100000000000001" customHeight="1" x14ac:dyDescent="0.2">
      <c r="A12" s="5" t="str">
        <f>HYPERLINK("#'Input - Dairy'!A1", "Dairy")</f>
        <v>Dairy</v>
      </c>
    </row>
    <row r="13" spans="1:21" ht="20.100000000000001" customHeight="1" x14ac:dyDescent="0.2">
      <c r="A13" s="5" t="str">
        <f>HYPERLINK("#'Input - Livestock sales'!A1", "Livestock sales")</f>
        <v>Livestock sales</v>
      </c>
      <c r="D13" s="132" t="s">
        <v>1799</v>
      </c>
      <c r="E13" s="135" t="s">
        <v>1800</v>
      </c>
      <c r="F13" s="138"/>
      <c r="G13" s="120" t="s">
        <v>738</v>
      </c>
      <c r="H13" s="121" t="s">
        <v>1469</v>
      </c>
      <c r="I13" s="127" t="str" cm="1">
        <f t="array" aca="1" ref="I13" ca="1">HYPERLINK(Common_InputFunctions.Utility_SourceHyperlink($D$17), $D$17)</f>
        <v>Table_MNSoil_j_f</v>
      </c>
    </row>
    <row r="14" spans="1:21" ht="20.100000000000001" customHeight="1" x14ac:dyDescent="0.2">
      <c r="A14" s="5" t="str">
        <f>HYPERLINK("#'Input - Dairy cattle purchases'!A1", "Dairy cattle purchases")</f>
        <v>Dairy cattle purchases</v>
      </c>
      <c r="D14" s="132" t="s">
        <v>1801</v>
      </c>
      <c r="E14" s="135" t="s">
        <v>1802</v>
      </c>
      <c r="F14" s="138"/>
      <c r="G14" s="120" t="s">
        <v>1748</v>
      </c>
      <c r="H14" s="121" t="s">
        <v>1469</v>
      </c>
      <c r="I14" s="127" t="str" cm="1">
        <f t="array" aca="1" ref="I14" ca="1">HYPERLINK(Common_InputFunctions.Utility_SourceHyperlink($D$17), $D$17)</f>
        <v>Table_MNSoil_j_f</v>
      </c>
    </row>
    <row r="15" spans="1:21" ht="20.100000000000001" customHeight="1" x14ac:dyDescent="0.2">
      <c r="A15" s="5" t="str">
        <f>HYPERLINK("#'Input - Pasture'!A1", "Pasture")</f>
        <v>Pasture</v>
      </c>
      <c r="D15" s="132" t="s">
        <v>1757</v>
      </c>
      <c r="E15" s="135" t="s">
        <v>832</v>
      </c>
      <c r="F15" s="138"/>
      <c r="G15" s="120"/>
      <c r="H15" s="121" t="s">
        <v>1469</v>
      </c>
      <c r="I15" s="127" t="str" cm="1">
        <f t="array" aca="1" ref="I15" ca="1">HYPERLINK(Common_InputFunctions.Utility_SourceHyperlink($D$17), $D$17)</f>
        <v>Table_MNSoil_j_f</v>
      </c>
    </row>
    <row r="16" spans="1:21" ht="20.100000000000001" customHeight="1" x14ac:dyDescent="0.2">
      <c r="A16" s="5" t="str">
        <f>HYPERLINK("#'Input - Fert Prod System'!A1", "Fert Prod System")</f>
        <v>Fert Prod System</v>
      </c>
    </row>
    <row r="17" spans="1:10" ht="20.100000000000001" customHeight="1" x14ac:dyDescent="0.2">
      <c r="A17" s="5" t="str">
        <f>HYPERLINK("#'Input - Fertiliser'!A1", "Fertiliser")</f>
        <v>Fertiliser</v>
      </c>
      <c r="D17" s="122" t="s">
        <v>780</v>
      </c>
    </row>
    <row r="18" spans="1:10" ht="20.100000000000001" customHeight="1" x14ac:dyDescent="0.2">
      <c r="A18" s="5" t="str">
        <f>HYPERLINK("#'Input - Fuel'!A1", "Fuel")</f>
        <v>Fuel</v>
      </c>
      <c r="D18" s="123" t="s">
        <v>781</v>
      </c>
    </row>
    <row r="19" spans="1:10" ht="20.100000000000001" customHeight="1" x14ac:dyDescent="0.2">
      <c r="A19" s="5" t="str">
        <f>HYPERLINK("#'Input - Electricity'!A1", "Electricity")</f>
        <v>Electricity</v>
      </c>
      <c r="D19" s="81" t="s">
        <v>782</v>
      </c>
      <c r="E19" s="81" t="s">
        <v>783</v>
      </c>
      <c r="F19" s="81" t="s">
        <v>672</v>
      </c>
      <c r="G19" s="181" t="s">
        <v>784</v>
      </c>
      <c r="H19" s="81" t="s">
        <v>785</v>
      </c>
      <c r="I19" s="181" t="s">
        <v>786</v>
      </c>
    </row>
    <row r="20" spans="1:10" ht="20.100000000000001" customHeight="1" x14ac:dyDescent="0.2">
      <c r="A20" s="5" t="str">
        <f>HYPERLINK("#'Input - Common farm inputs'!A1", "Common farm inputs")</f>
        <v>Common farm inputs</v>
      </c>
      <c r="D20" s="15" t="str" cm="1">
        <f t="array" ref="D20:D22">Table_Input_OrganicFertiliser[Organic fertiliser type (select)]</f>
        <v>Manure - Other</v>
      </c>
      <c r="E20" s="182" cm="1">
        <f t="array" ref="E20:E22">Table_Input_OrganicFertiliser[Amount applied (kg/hectare)]</f>
        <v>10</v>
      </c>
      <c r="F20" s="182" cm="1">
        <f t="array" ref="F20:F22">Table_Input_OrganicFertiliser[Application area (ha)]</f>
        <v>1000</v>
      </c>
      <c r="G20" s="15" cm="1">
        <f t="array" ref="G20:G22">Table_Input_OrganicFertiliser[Amount applied (kg/hectare)]*Table_Input_OrganicFertiliser[Application area (ha)]</f>
        <v>10000</v>
      </c>
      <c r="H20" s="183" cm="1">
        <f t="array" ref="H20:H22">Table_Input_OrganicFertiliser[Percentage of N in fertiliser]</f>
        <v>0.3</v>
      </c>
      <c r="I20" s="15">
        <f>(G20 * H20)</f>
        <v>3000</v>
      </c>
    </row>
    <row r="21" spans="1:10" ht="20.100000000000001" customHeight="1" x14ac:dyDescent="0.2">
      <c r="A21" s="5" t="str">
        <f>HYPERLINK("#'Input - Crop pasture farm input'!A1", "Crop pasture farm input")</f>
        <v>Crop pasture farm input</v>
      </c>
      <c r="D21" s="15" t="str">
        <v>Manure - Poultry</v>
      </c>
      <c r="E21" s="15">
        <v>10</v>
      </c>
      <c r="F21" s="15">
        <v>1000</v>
      </c>
      <c r="G21" s="15">
        <v>10000</v>
      </c>
      <c r="H21" s="15">
        <v>0.25</v>
      </c>
      <c r="I21" s="15">
        <f>(G21 * H21)</f>
        <v>2500</v>
      </c>
    </row>
    <row r="22" spans="1:10" ht="20.100000000000001" customHeight="1" x14ac:dyDescent="0.2">
      <c r="A22" s="5" t="str">
        <f>HYPERLINK("#'Input - Livestock farm Inputs'!A1", "Livestock farm Inputs")</f>
        <v>Livestock farm Inputs</v>
      </c>
      <c r="D22" s="15" t="str">
        <v>Other organic fertiliser</v>
      </c>
      <c r="E22" s="15">
        <v>10</v>
      </c>
      <c r="F22" s="15">
        <v>1000</v>
      </c>
      <c r="G22" s="15">
        <v>10000</v>
      </c>
      <c r="H22" s="15">
        <v>0.16</v>
      </c>
      <c r="I22" s="15">
        <f>(G22 * H22)</f>
        <v>1600</v>
      </c>
    </row>
    <row r="23" spans="1:10" ht="20.100000000000001" customHeight="1" x14ac:dyDescent="0.2">
      <c r="A23" s="5" t="str">
        <f>HYPERLINK("#'Input - Freight'!A1", "Freight")</f>
        <v>Freight</v>
      </c>
      <c r="D23" s="15"/>
      <c r="E23" s="15"/>
      <c r="F23" s="15"/>
      <c r="G23" s="15"/>
      <c r="H23" s="15"/>
      <c r="I23" s="15">
        <f>(G23 * H23)</f>
        <v>0</v>
      </c>
    </row>
    <row r="24" spans="1:10" ht="20.100000000000001" customHeight="1" x14ac:dyDescent="0.2">
      <c r="A24" s="5" t="str">
        <f>HYPERLINK("#'Input - Solid waste'!A1", "Solid waste")</f>
        <v>Solid waste</v>
      </c>
      <c r="D24" s="15"/>
      <c r="E24" s="15"/>
      <c r="F24" s="15"/>
      <c r="G24" s="15"/>
      <c r="H24" s="15"/>
      <c r="I24" s="15">
        <f>(G24 * H24)</f>
        <v>0</v>
      </c>
    </row>
    <row r="25" spans="1:10" ht="20.100000000000001" customHeight="1" x14ac:dyDescent="0.2">
      <c r="A25" s="5" t="str">
        <f>HYPERLINK("#'Input - Manure sent off-site'!A1", "Manure sent off-site")</f>
        <v>Manure sent off-site</v>
      </c>
      <c r="D25" s="15"/>
      <c r="E25" s="15"/>
      <c r="F25" s="15"/>
      <c r="G25" s="15"/>
      <c r="H25" s="15"/>
      <c r="I25" s="15">
        <f>(G25 * H25)</f>
        <v>0</v>
      </c>
    </row>
    <row r="26" spans="1:10" ht="20.100000000000001" customHeight="1" x14ac:dyDescent="0.2">
      <c r="A26" s="5" t="str">
        <f>HYPERLINK("#'Input - Refrigerants'!A1", "Refrigerants")</f>
        <v>Refrigerants</v>
      </c>
      <c r="D26" s="15"/>
      <c r="E26" s="15"/>
      <c r="F26" s="15"/>
      <c r="G26" s="15"/>
      <c r="H26" s="15"/>
      <c r="I26" s="15">
        <f>(G26 * H26)</f>
        <v>0</v>
      </c>
    </row>
    <row r="27" spans="1:10" ht="20.100000000000001" customHeight="1" x14ac:dyDescent="0.2">
      <c r="A27" s="5" t="str">
        <f>HYPERLINK("#'Input - Data quality'!A1", "Data quality")</f>
        <v>Data quality</v>
      </c>
      <c r="D27" s="15"/>
      <c r="E27" s="15"/>
      <c r="F27" s="15"/>
      <c r="G27" s="15"/>
      <c r="H27" s="15"/>
      <c r="I27" s="15">
        <f>(G27 * H27)</f>
        <v>0</v>
      </c>
    </row>
    <row r="28" spans="1:10" ht="20.100000000000001" customHeight="1" x14ac:dyDescent="0.2">
      <c r="D28" s="15"/>
      <c r="E28" s="15"/>
      <c r="F28" s="15"/>
      <c r="G28" s="15"/>
      <c r="H28" s="15"/>
      <c r="I28" s="15">
        <f>(G28 * H28)</f>
        <v>0</v>
      </c>
    </row>
    <row r="29" spans="1:10" ht="20.100000000000001" customHeight="1" x14ac:dyDescent="0.2">
      <c r="D29" s="15"/>
      <c r="E29" s="15"/>
      <c r="F29" s="15"/>
      <c r="G29" s="15"/>
      <c r="H29" s="15"/>
      <c r="I29" s="15">
        <f>(G29 * H29)</f>
        <v>0</v>
      </c>
    </row>
    <row r="30" spans="1:10" ht="20.100000000000001" customHeight="1" x14ac:dyDescent="0.2">
      <c r="A30" s="6" t="s">
        <v>2</v>
      </c>
      <c r="D30" s="15"/>
      <c r="E30" s="15"/>
      <c r="F30" s="15"/>
      <c r="G30" s="15"/>
      <c r="H30" s="15"/>
      <c r="I30" s="15">
        <f>(G30 * H30)</f>
        <v>0</v>
      </c>
    </row>
    <row r="31" spans="1:10" ht="20.100000000000001" customHeight="1" x14ac:dyDescent="0.2">
      <c r="A31" s="5" t="str">
        <f>HYPERLINK("#'3.3.1.1-2 Enteric Methane'!A1", "3.3.1.1-2 Enteric methane")</f>
        <v>3.3.1.1-2 Enteric methane</v>
      </c>
      <c r="D31" s="184"/>
      <c r="E31" s="184"/>
      <c r="F31" s="184"/>
      <c r="G31" s="184"/>
      <c r="H31" s="184"/>
      <c r="I31" s="184"/>
      <c r="J31" s="184"/>
    </row>
    <row r="32" spans="1:10" ht="20.100000000000001" customHeight="1" x14ac:dyDescent="0.2">
      <c r="A32" s="5" t="str">
        <f>HYPERLINK("#'4.3.1.1-2 Methane'!A1", "4.3.1.1-2 Manure methane")</f>
        <v>4.3.1.1-2 Manure methane</v>
      </c>
      <c r="D32" s="92" t="s">
        <v>787</v>
      </c>
      <c r="E32" s="92">
        <f>SUM(I20:I30)</f>
        <v>7100</v>
      </c>
      <c r="F32" s="185" t="str">
        <f>$E$11</f>
        <v>kg N</v>
      </c>
      <c r="G32" s="184"/>
      <c r="H32" s="184"/>
      <c r="I32" s="184"/>
      <c r="J32" s="184"/>
    </row>
    <row r="33" spans="1:12" ht="20.100000000000001" customHeight="1" x14ac:dyDescent="0.2">
      <c r="A33" s="5" t="str">
        <f>HYPERLINK("#'4.3.1.3-4 Direct N20'!A1", "4.3.1.3-4 Direct N20")</f>
        <v>4.3.1.3-4 Direct N20</v>
      </c>
    </row>
    <row r="34" spans="1:12" ht="20.100000000000001" customHeight="1" x14ac:dyDescent="0.2">
      <c r="A34" s="5" t="str">
        <f>HYPERLINK("#'4.3.1.5 Atmos deposition'!A1", "4.3.1.5 Atmos deposition")</f>
        <v>4.3.1.5 Atmos deposition</v>
      </c>
    </row>
    <row r="35" spans="1:12" ht="20.100000000000001" customHeight="1" x14ac:dyDescent="0.2">
      <c r="A35" s="5" t="str">
        <f>HYPERLINK("#'4.3.1.6-7 Leaching and runoff'!A1", "4.3.1.6-7 Leaching &amp; runoff")</f>
        <v>4.3.1.6-7 Leaching &amp; runoff</v>
      </c>
      <c r="C35" s="186"/>
      <c r="D35" s="186"/>
      <c r="E35" s="186"/>
      <c r="F35" s="186"/>
      <c r="G35" s="186"/>
      <c r="H35" s="186"/>
      <c r="I35" s="186"/>
      <c r="J35" s="186"/>
      <c r="K35" s="186"/>
      <c r="L35" s="186"/>
    </row>
    <row r="36" spans="1:12" ht="20.100000000000001" customHeight="1" x14ac:dyDescent="0.2">
      <c r="A36" s="5" t="str">
        <f>HYPERLINK("#'4.3.1.8 Manure applied to soils'!A1", "4.3.1.8 Manure applied to soils")</f>
        <v>4.3.1.8 Manure applied to soils</v>
      </c>
      <c r="D36" s="2" t="s">
        <v>1803</v>
      </c>
    </row>
    <row r="37" spans="1:12" ht="20.100000000000001" customHeight="1" x14ac:dyDescent="0.2">
      <c r="A37" s="5" t="str">
        <f>HYPERLINK("#'4.3.1.9 Soil direct N2O'!A1", "4.3.1.9 Soil direct N2O")</f>
        <v>4.3.1.9 Soil direct N2O</v>
      </c>
      <c r="D37" s="17" t="s">
        <v>1804</v>
      </c>
    </row>
    <row r="38" spans="1:12" ht="20.100000000000001" customHeight="1" x14ac:dyDescent="0.2">
      <c r="A38" s="5" t="str">
        <f>HYPERLINK("#'4.3.1.10-11 Soil Atmos Dep'!A1", "4.3.1.10-11 Soil Atmos Deposition")</f>
        <v>4.3.1.10-11 Soil Atmos Deposition</v>
      </c>
      <c r="D38" s="118"/>
      <c r="E38" s="118"/>
    </row>
    <row r="39" spans="1:12" ht="20.100000000000001" customHeight="1" x14ac:dyDescent="0.2">
      <c r="A39" s="5" t="str">
        <f>HYPERLINK("#'4.3.1.12-13 Soil leach runoff'!A1", "4.3.1.12-13 Soil leach &amp; runoff")</f>
        <v>4.3.1.12-13 Soil leach &amp; runoff</v>
      </c>
    </row>
    <row r="40" spans="1:12" ht="20.100000000000001" customHeight="1" x14ac:dyDescent="0.2">
      <c r="A40" s="5" t="str">
        <f>HYPERLINK("#'5.1.1.1-2 Inorganic fert N2O'!A1", "5.1.1.1-2 Inorganic fert N2O")</f>
        <v>5.1.1.1-2 Inorganic fert N2O</v>
      </c>
    </row>
    <row r="41" spans="1:12" ht="20.100000000000001" customHeight="1" x14ac:dyDescent="0.2">
      <c r="A41" s="5" t="str">
        <f>HYPERLINK("#'5.1.1.3-4 Inorganic fert CO2'!A1", "5.1.1.3-4 Inorganic fert CO2")</f>
        <v>5.1.1.3-4 Inorganic fert CO2</v>
      </c>
      <c r="D41" s="76" t="s">
        <v>378</v>
      </c>
      <c r="E41" s="1" t="s">
        <v>1153</v>
      </c>
    </row>
    <row r="42" spans="1:12" ht="20.100000000000001" customHeight="1" x14ac:dyDescent="0.2">
      <c r="A42" s="119" t="str">
        <f>HYPERLINK("#'5.2.1.1-2 Organic Fert N2O'!A1", "5.2.1.1-2 Organic fert N2O")</f>
        <v>5.2.1.1-2 Organic fert N2O</v>
      </c>
      <c r="D42" s="76" t="s">
        <v>118</v>
      </c>
      <c r="E42" s="9" t="s">
        <v>11</v>
      </c>
    </row>
    <row r="43" spans="1:12" ht="20.100000000000001" customHeight="1" x14ac:dyDescent="0.2">
      <c r="A43" s="5" t="str">
        <f>HYPERLINK("#'5.3.1.1-2 Lime CO2'!A1", "5.3.1.1-2 Lime CO2")</f>
        <v>5.3.1.1-2 Lime CO2</v>
      </c>
    </row>
    <row r="44" spans="1:12" ht="20.100000000000001" customHeight="1" x14ac:dyDescent="0.2">
      <c r="A44" s="5" t="str">
        <f>HYPERLINK("#'5.4.1.1-4 Atmos deposition'!A1", "5.4.1.1-4 Atmos. deposition")</f>
        <v>5.4.1.1-4 Atmos. deposition</v>
      </c>
      <c r="D44" s="120" t="s">
        <v>1798</v>
      </c>
      <c r="E44" s="125" t="s">
        <v>1805</v>
      </c>
      <c r="F44" s="133"/>
      <c r="G44" s="133"/>
      <c r="H44" s="126"/>
      <c r="I44" s="120" t="s">
        <v>1301</v>
      </c>
      <c r="J44" s="128" t="s">
        <v>1808</v>
      </c>
      <c r="K44" s="120">
        <f>$E$32</f>
        <v>7100</v>
      </c>
    </row>
    <row r="45" spans="1:12" ht="20.100000000000001" customHeight="1" x14ac:dyDescent="0.2">
      <c r="A45" s="5" t="str">
        <f>HYPERLINK("#'5.5.1.1-2 Leaching and runoff'!A1", "5.5.1.1-2 Leaching &amp; runoff")</f>
        <v>5.5.1.1-2 Leaching &amp; runoff</v>
      </c>
      <c r="D45" s="120" t="s">
        <v>1806</v>
      </c>
      <c r="E45" s="125" t="s">
        <v>1807</v>
      </c>
      <c r="F45" s="133"/>
      <c r="G45" s="133"/>
      <c r="H45" s="126"/>
      <c r="I45" s="120" t="s">
        <v>1663</v>
      </c>
      <c r="J45" s="128" t="s">
        <v>1785</v>
      </c>
      <c r="K45" s="120">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A46" s="5" t="str">
        <f>HYPERLINK("#'6.2.1.1-2 Pasture residue N2O'!A1", "6.2.1.1-2 Pasture residue N2O")</f>
        <v>6.2.1.1-2 Pasture residue N2O</v>
      </c>
      <c r="D46" s="120" t="s">
        <v>1660</v>
      </c>
      <c r="E46" s="125" t="s">
        <v>1763</v>
      </c>
      <c r="F46" s="133"/>
      <c r="G46" s="133"/>
      <c r="H46" s="126"/>
      <c r="I46" s="120"/>
      <c r="J46" s="128" t="s">
        <v>1501</v>
      </c>
      <c r="K46" s="132">
        <f>Common_InputFunctions.Utility_LookupValueInTableNumber("N2O",Table_GasToMolecularConversionFactor[Gas],Table_GasToMolecularConversionFactor[Conversion factor combined])</f>
        <v>1.5714285714285714</v>
      </c>
    </row>
    <row r="47" spans="1:12" ht="20.100000000000001" customHeight="1" x14ac:dyDescent="0.2">
      <c r="A47" s="5" t="str">
        <f>HYPERLINK("#'6.3.1.1-2 Leach runoff pasture'!A1", "6.3.1.1-2 Leach &amp; runoff (pasture)")</f>
        <v>6.3.1.1-2 Leach &amp; runoff (pasture)</v>
      </c>
      <c r="D47" s="120" t="s">
        <v>1675</v>
      </c>
      <c r="E47" s="125" t="s">
        <v>159</v>
      </c>
      <c r="F47" s="133"/>
      <c r="G47" s="133"/>
      <c r="H47" s="126"/>
      <c r="I47" s="120"/>
      <c r="J47" s="121" t="s">
        <v>1469</v>
      </c>
      <c r="K47" s="120" t="str">
        <f>X_Cell_Fertiliser_ProductionSystem</f>
        <v>Pasture</v>
      </c>
    </row>
    <row r="48" spans="1:12" ht="20.100000000000001" customHeight="1" x14ac:dyDescent="0.2">
      <c r="A48" s="5" t="str">
        <f>HYPERLINK("#'8.1.1.1-2 Transport fuel'!A1", "8.1.1.1-2 Transport fuel")</f>
        <v>8.1.1.1-2 Transport fuel</v>
      </c>
      <c r="D48" s="120" t="s">
        <v>1577</v>
      </c>
      <c r="E48" s="125" t="s">
        <v>114</v>
      </c>
      <c r="F48" s="133"/>
      <c r="G48" s="133"/>
      <c r="H48" s="126"/>
      <c r="I48" s="120"/>
      <c r="J48" s="121" t="s">
        <v>1469</v>
      </c>
      <c r="K48" s="120" t="str">
        <f>X_Cell_Site_WetOrDryClimateZone</f>
        <v>Dry climate zone</v>
      </c>
    </row>
    <row r="49" spans="1:7" ht="20.100000000000001" customHeight="1" x14ac:dyDescent="0.2">
      <c r="A49" s="5" t="str">
        <f>HYPERLINK("#'8.2.1.1-2 Stationary fuel'!A1", "8.2.1.1-2 Stationary fuel")</f>
        <v>8.2.1.1-2 Stationary fuel</v>
      </c>
    </row>
    <row r="50" spans="1:7" ht="20.100000000000001" customHeight="1" x14ac:dyDescent="0.2">
      <c r="A50" s="5" t="str">
        <f>HYPERLINK("#'9.1.1.1-2 Refrigerant use'!A1", "9.1.1.1-2 Refrigerant use")</f>
        <v>9.1.1.1-2 Refrigerant use</v>
      </c>
      <c r="D50" s="87" t="s">
        <v>761</v>
      </c>
      <c r="E50" s="90">
        <f>((K44 * K45 * K46) * 10 ^ -3)</f>
        <v>5.5785714285714286E-2</v>
      </c>
      <c r="F50" s="89" t="str">
        <f>$E$42</f>
        <v>t N2O</v>
      </c>
    </row>
    <row r="51" spans="1:7" ht="20.100000000000001" customHeight="1" x14ac:dyDescent="0.2">
      <c r="A51" s="5" t="str">
        <f>HYPERLINK("#'10.1.1-2 Solid waste treatment'!A1", "10.1.1.1-2 Solid waste")</f>
        <v>10.1.1.1-2 Solid waste</v>
      </c>
    </row>
    <row r="52" spans="1:7" ht="20.100000000000001" customHeight="1" x14ac:dyDescent="0.2">
      <c r="A52" s="5" t="str">
        <f>HYPERLINK("#'14.1.1-2 Purchased electricity'!A1", "14.1.1-2 Purchased electricity")</f>
        <v>14.1.1-2 Purchased electricity</v>
      </c>
      <c r="D52" s="132" t="str" cm="1">
        <f t="array" ref="D52:E53">Common_Equations.Common_ConvertN2OToCO2e_Arguments()</f>
        <v>EN2O</v>
      </c>
      <c r="E52" s="135" t="str">
        <v>Nitrous oxide emissions (t N2O)</v>
      </c>
      <c r="F52" s="136"/>
      <c r="G52" s="15">
        <f>VEERG_5_2_1_1__2_MassOfNitrogenInOrganicFertiliser_Result_Method1</f>
        <v>5.5785714285714286E-2</v>
      </c>
    </row>
    <row r="53" spans="1:7" ht="20.100000000000001" customHeight="1" x14ac:dyDescent="0.2">
      <c r="A53" s="5" t="str">
        <f>HYPERLINK("#'15 Scope 3'!A1", "15 Scope 3")</f>
        <v>15 Scope 3</v>
      </c>
      <c r="D53" s="132" t="str">
        <v>GWPN2O</v>
      </c>
      <c r="E53" s="135" t="str">
        <v>Global warming potential for nitrous oxide (t CO2-e / t N2O)</v>
      </c>
      <c r="F53" s="136"/>
      <c r="G53" s="15">
        <f>Common_InputFunctions.Utility_LookupValueInTableNumber("N2O",Table_GWPData[Gas],Table_GWPData[CO2-e factor])</f>
        <v>265</v>
      </c>
    </row>
    <row r="54" spans="1:7" ht="20.100000000000001" customHeight="1" x14ac:dyDescent="0.2">
      <c r="A54" s="5" t="str">
        <f>HYPERLINK("#'Calcs - Manure sent off-site'!A1", "Calcs - Manure sent off-site")</f>
        <v>Calcs - Manure sent off-site</v>
      </c>
    </row>
    <row r="55" spans="1:7" ht="20.100000000000001" customHeight="1" x14ac:dyDescent="0.2">
      <c r="D55" s="88" t="s">
        <v>527</v>
      </c>
      <c r="E55" s="88" cm="1">
        <f t="array" ref="E55">Common_Equations.Common_ConvertN2OToCO2e(G52,G53)</f>
        <v>14.783214285714285</v>
      </c>
      <c r="F55" s="93" t="str" cm="1">
        <f t="array" ref="F55">Common_Equations.Common_ConvertN2OToCO2e_Unit()</f>
        <v>t CO2e</v>
      </c>
    </row>
    <row r="57" spans="1:7" ht="20.100000000000001" customHeight="1" x14ac:dyDescent="0.2">
      <c r="A57" s="82" t="s">
        <v>1</v>
      </c>
    </row>
    <row r="58" spans="1:7" ht="20.100000000000001" customHeight="1" x14ac:dyDescent="0.2">
      <c r="A58" s="5" t="str">
        <f>HYPERLINK("#'Constants - Dairy'!A1", "Constants - Dairy")</f>
        <v>Constants - Dairy</v>
      </c>
    </row>
    <row r="59" spans="1:7" ht="20.100000000000001" customHeight="1" x14ac:dyDescent="0.2">
      <c r="A59" s="5" t="str">
        <f>HYPERLINK("#'Constants - Ag Residue'!A1", "Constants - Ag residue")</f>
        <v>Constants - Ag residue</v>
      </c>
    </row>
    <row r="60" spans="1:7" ht="20.100000000000001" customHeight="1" x14ac:dyDescent="0.2">
      <c r="A60" s="5" t="str">
        <f>HYPERLINK("#'Constants - Common Livestock'!A1", "Constants - Common Livestock")</f>
        <v>Constants - Common Livestock</v>
      </c>
    </row>
    <row r="61" spans="1:7" ht="20.100000000000001" customHeight="1" x14ac:dyDescent="0.2">
      <c r="A61" s="5" t="str">
        <f>HYPERLINK("#'Constants - Electricity'!A1", "Constants - Electricity")</f>
        <v>Constants - Electricity</v>
      </c>
    </row>
    <row r="62" spans="1:7" ht="20.100000000000001" customHeight="1" x14ac:dyDescent="0.2">
      <c r="A62" s="5" t="str">
        <f>HYPERLINK("#'Constants - Fertiliser'!A1", "Constants - Fertiliser")</f>
        <v>Constants - Fertiliser</v>
      </c>
    </row>
    <row r="63" spans="1:7" ht="20.100000000000001" customHeight="1" x14ac:dyDescent="0.2">
      <c r="A63" s="5" t="str">
        <f>HYPERLINK("#'Constants - Fuel'!A1", "Constants - Fuel")</f>
        <v>Constants - Fuel</v>
      </c>
    </row>
    <row r="64" spans="1:7"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97E7-7FDD-4390-AD2A-ECD56FE5011D}">
  <sheetPr>
    <tabColor rgb="FF008000"/>
  </sheetPr>
  <dimension ref="A1:U68"/>
  <sheetViews>
    <sheetView showGridLines="0" zoomScaleNormal="100" workbookViewId="0">
      <pane xSplit="1" topLeftCell="B1" activePane="topRight" state="frozenSplit"/>
      <selection pane="topRight" activeCell="A109" sqref="A10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788</v>
      </c>
    </row>
    <row r="2" spans="1:21" s="3" customFormat="1" ht="20.100000000000001" customHeight="1" x14ac:dyDescent="0.2">
      <c r="A2"/>
    </row>
    <row r="3" spans="1:21" ht="20.100000000000001" customHeight="1" x14ac:dyDescent="0.2">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1809</v>
      </c>
    </row>
    <row r="6" spans="1:21" ht="20.100000000000001" customHeight="1" x14ac:dyDescent="0.2">
      <c r="A6" s="5" t="str">
        <f>HYPERLINK("#'Results'!A1", "Results")</f>
        <v>Results</v>
      </c>
      <c r="D6" s="17" t="s">
        <v>1810</v>
      </c>
    </row>
    <row r="7" spans="1:21" ht="20.100000000000001" customHeight="1" x14ac:dyDescent="0.2">
      <c r="D7" s="118"/>
      <c r="E7" s="118"/>
    </row>
    <row r="9" spans="1:21" ht="20.100000000000001" customHeight="1" x14ac:dyDescent="0.2">
      <c r="A9" s="7" t="s">
        <v>0</v>
      </c>
    </row>
    <row r="10" spans="1:21" ht="20.100000000000001" customHeight="1" x14ac:dyDescent="0.2">
      <c r="A10" s="5" t="str">
        <f>HYPERLINK("#'Input - Enterprise'!A1", "Enterprise")</f>
        <v>Enterprise</v>
      </c>
      <c r="D10" s="76" t="s">
        <v>378</v>
      </c>
      <c r="E10" s="1" t="s">
        <v>1811</v>
      </c>
    </row>
    <row r="11" spans="1:21" ht="20.100000000000001" customHeight="1" x14ac:dyDescent="0.2">
      <c r="A11" s="5" t="str">
        <f>HYPERLINK("#'Input - Site'!A1", "Site")</f>
        <v>Site</v>
      </c>
      <c r="D11" s="76" t="s">
        <v>118</v>
      </c>
      <c r="E11" s="9" t="s">
        <v>126</v>
      </c>
    </row>
    <row r="12" spans="1:21" ht="20.100000000000001" customHeight="1" x14ac:dyDescent="0.2">
      <c r="A12" s="5" t="str">
        <f>HYPERLINK("#'Input - Dairy'!A1", "Dairy")</f>
        <v>Dairy</v>
      </c>
    </row>
    <row r="13" spans="1:21" ht="20.100000000000001" customHeight="1" x14ac:dyDescent="0.2">
      <c r="A13" s="5" t="str">
        <f>HYPERLINK("#'Input - Livestock sales'!A1", "Livestock sales")</f>
        <v>Livestock sales</v>
      </c>
      <c r="D13" s="120" t="s">
        <v>1812</v>
      </c>
      <c r="E13" s="125" t="s">
        <v>1813</v>
      </c>
      <c r="F13" s="126"/>
      <c r="G13" s="120" t="s">
        <v>738</v>
      </c>
      <c r="H13" s="121" t="s">
        <v>1469</v>
      </c>
      <c r="I13" s="127" t="str" cm="1">
        <f t="array" aca="1" ref="I13" ca="1">HYPERLINK(Common_InputFunctions.Utility_SourceHyperlink($D$22), $D$22)</f>
        <v>Table_E_lime</v>
      </c>
    </row>
    <row r="14" spans="1:21" ht="20.100000000000001" customHeight="1" x14ac:dyDescent="0.2">
      <c r="A14" s="5" t="str">
        <f>HYPERLINK("#'Input - Dairy cattle purchases'!A1", "Dairy cattle purchases")</f>
        <v>Dairy cattle purchases</v>
      </c>
      <c r="D14" s="120" t="s">
        <v>792</v>
      </c>
      <c r="E14" s="125" t="s">
        <v>1814</v>
      </c>
      <c r="F14" s="126"/>
      <c r="G14" s="120" t="s">
        <v>383</v>
      </c>
      <c r="H14" s="121" t="s">
        <v>1469</v>
      </c>
      <c r="I14" s="127" t="str" cm="1">
        <f t="array" aca="1" ref="I14" ca="1">HYPERLINK(Common_InputFunctions.Utility_SourceHyperlink($D$22), $D$22)</f>
        <v>Table_E_lime</v>
      </c>
    </row>
    <row r="15" spans="1:21" ht="20.100000000000001" customHeight="1" x14ac:dyDescent="0.2">
      <c r="A15" s="5" t="str">
        <f>HYPERLINK("#'Input - Pasture'!A1", "Pasture")</f>
        <v>Pasture</v>
      </c>
      <c r="D15" s="120" t="s">
        <v>1815</v>
      </c>
      <c r="E15" s="125" t="s">
        <v>1816</v>
      </c>
      <c r="F15" s="126"/>
      <c r="G15" s="120" t="s">
        <v>383</v>
      </c>
      <c r="H15" s="128" t="s">
        <v>1501</v>
      </c>
      <c r="I15" s="120">
        <f>'Constants - Fertiliser'!$E$66</f>
        <v>0.9</v>
      </c>
    </row>
    <row r="16" spans="1:21" ht="20.100000000000001" customHeight="1" x14ac:dyDescent="0.2">
      <c r="A16" s="5" t="str">
        <f>HYPERLINK("#'Input - Fert Prod System'!A1", "Fert Prod System")</f>
        <v>Fert Prod System</v>
      </c>
      <c r="D16" s="120" t="s">
        <v>1817</v>
      </c>
      <c r="E16" s="125" t="s">
        <v>1818</v>
      </c>
      <c r="F16" s="126"/>
      <c r="G16" s="120" t="s">
        <v>1825</v>
      </c>
      <c r="H16" s="128" t="s">
        <v>1501</v>
      </c>
      <c r="I16" s="120">
        <f>'Constants - Fertiliser'!$F$66</f>
        <v>0.12</v>
      </c>
    </row>
    <row r="17" spans="1:9" ht="20.100000000000001" customHeight="1" x14ac:dyDescent="0.2">
      <c r="A17" s="5" t="str">
        <f>HYPERLINK("#'Input - Fertiliser'!A1", "Fertiliser")</f>
        <v>Fertiliser</v>
      </c>
      <c r="D17" s="120" t="s">
        <v>793</v>
      </c>
      <c r="E17" s="125" t="s">
        <v>1819</v>
      </c>
      <c r="F17" s="126"/>
      <c r="G17" s="120" t="s">
        <v>383</v>
      </c>
      <c r="H17" s="121" t="s">
        <v>1469</v>
      </c>
      <c r="I17" s="127" t="str" cm="1">
        <f t="array" aca="1" ref="I17" ca="1">HYPERLINK(Common_InputFunctions.Utility_SourceHyperlink($D$22), $D$22)</f>
        <v>Table_E_lime</v>
      </c>
    </row>
    <row r="18" spans="1:9" ht="20.100000000000001" customHeight="1" x14ac:dyDescent="0.2">
      <c r="A18" s="5" t="str">
        <f>HYPERLINK("#'Input - Fuel'!A1", "Fuel")</f>
        <v>Fuel</v>
      </c>
      <c r="D18" s="120" t="s">
        <v>1820</v>
      </c>
      <c r="E18" s="125" t="s">
        <v>1821</v>
      </c>
      <c r="F18" s="126"/>
      <c r="G18" s="120" t="s">
        <v>383</v>
      </c>
      <c r="H18" s="128" t="s">
        <v>1501</v>
      </c>
      <c r="I18" s="120">
        <f>'Constants - Fertiliser'!$E$67</f>
        <v>0.95</v>
      </c>
    </row>
    <row r="19" spans="1:9" ht="20.100000000000001" customHeight="1" x14ac:dyDescent="0.2">
      <c r="A19" s="5" t="str">
        <f>HYPERLINK("#'Input - Electricity'!A1", "Electricity")</f>
        <v>Electricity</v>
      </c>
      <c r="D19" s="120" t="s">
        <v>1822</v>
      </c>
      <c r="E19" s="125" t="s">
        <v>1823</v>
      </c>
      <c r="F19" s="126"/>
      <c r="G19" s="120" t="s">
        <v>1825</v>
      </c>
      <c r="H19" s="128" t="s">
        <v>1501</v>
      </c>
      <c r="I19" s="120">
        <f>'Constants - Fertiliser'!$F$67</f>
        <v>0.13</v>
      </c>
    </row>
    <row r="20" spans="1:9" ht="20.100000000000001" customHeight="1" x14ac:dyDescent="0.2">
      <c r="A20" s="5" t="str">
        <f>HYPERLINK("#'Input - Common farm inputs'!A1", "Common farm inputs")</f>
        <v>Common farm inputs</v>
      </c>
      <c r="D20" s="120" t="s">
        <v>1792</v>
      </c>
      <c r="E20" s="125" t="s">
        <v>1824</v>
      </c>
      <c r="F20" s="126"/>
      <c r="G20" s="120"/>
      <c r="H20" s="128" t="s">
        <v>1501</v>
      </c>
      <c r="I20" s="132">
        <f>Common_InputFunctions.Utility_LookupValueInTableNumber("CO2",Table_GasToMolecularConversionFactor[Gas], Table_GasToMolecularConversionFactor[Conversion factor combined])</f>
        <v>3.6666666666666665</v>
      </c>
    </row>
    <row r="21" spans="1:9" ht="20.100000000000001" customHeight="1" x14ac:dyDescent="0.2">
      <c r="A21" s="5" t="str">
        <f>HYPERLINK("#'Input - Crop pasture farm input'!A1", "Crop pasture farm input")</f>
        <v>Crop pasture farm input</v>
      </c>
    </row>
    <row r="22" spans="1:9" ht="20.100000000000001" customHeight="1" x14ac:dyDescent="0.2">
      <c r="A22" s="5" t="str">
        <f>HYPERLINK("#'Input - Livestock farm Inputs'!A1", "Livestock farm Inputs")</f>
        <v>Livestock farm Inputs</v>
      </c>
      <c r="D22" s="122" t="s">
        <v>789</v>
      </c>
    </row>
    <row r="23" spans="1:9" ht="20.100000000000001" customHeight="1" x14ac:dyDescent="0.2">
      <c r="A23" s="5" t="str">
        <f>HYPERLINK("#'Input - Freight'!A1", "Freight")</f>
        <v>Freight</v>
      </c>
      <c r="D23" s="123" t="s">
        <v>709</v>
      </c>
    </row>
    <row r="24" spans="1:9" ht="20.100000000000001" customHeight="1" x14ac:dyDescent="0.2">
      <c r="A24" s="5" t="str">
        <f>HYPERLINK("#'Input - Solid waste'!A1", "Solid waste")</f>
        <v>Solid waste</v>
      </c>
      <c r="D24" s="81" t="s">
        <v>790</v>
      </c>
      <c r="E24" s="81" t="s">
        <v>791</v>
      </c>
      <c r="F24" s="81" t="s">
        <v>792</v>
      </c>
      <c r="G24" s="81" t="s">
        <v>793</v>
      </c>
      <c r="H24" s="124" t="s">
        <v>794</v>
      </c>
    </row>
    <row r="25" spans="1:9" ht="20.100000000000001" customHeight="1" x14ac:dyDescent="0.2">
      <c r="A25" s="5" t="str">
        <f>HYPERLINK("#'Input - Manure sent off-site'!A1", "Manure sent off-site")</f>
        <v>Manure sent off-site</v>
      </c>
      <c r="D25" s="15" t="str" cm="1">
        <f t="array" ref="D25:D27">Table_Input_Lime[Product]</f>
        <v>Lime product 1</v>
      </c>
      <c r="E25" s="134" cm="1">
        <f t="array" ref="E25:E27">Table_Input_Lime[Total amount applied (t)]*10^3</f>
        <v>1000000</v>
      </c>
      <c r="F25" s="187" cm="1">
        <f t="array" ref="F25:F27">Table_Input_Lime[Percent Lime CaCO3]</f>
        <v>0.8</v>
      </c>
      <c r="G25" s="187" cm="1">
        <f t="array" ref="G25:G27">Table_Input_Lime[Percent Dolomite CaMg(CO3)2]</f>
        <v>0.1</v>
      </c>
      <c r="H25" s="15">
        <f>(((E25 * F25 * $I$15 * $I$16) + (E25 * G25 * $I$18 * $I$19)) * $I$20 * 10 ^ -3)</f>
        <v>362.08333333333331</v>
      </c>
    </row>
    <row r="26" spans="1:9" ht="20.100000000000001" customHeight="1" x14ac:dyDescent="0.2">
      <c r="A26" s="5" t="str">
        <f>HYPERLINK("#'Input - Refrigerants'!A1", "Refrigerants")</f>
        <v>Refrigerants</v>
      </c>
      <c r="D26" s="15" t="str">
        <v>Lime product 2</v>
      </c>
      <c r="E26" s="15">
        <v>1000000</v>
      </c>
      <c r="F26" s="15">
        <v>1</v>
      </c>
      <c r="G26" s="15">
        <v>0</v>
      </c>
      <c r="H26" s="15">
        <f>(((E26 * F26 * $I$15 * $I$16) + (E26 * G26 * $I$18 * $I$19)) * $I$20 * 10 ^ -3)</f>
        <v>396</v>
      </c>
    </row>
    <row r="27" spans="1:9" ht="20.100000000000001" customHeight="1" x14ac:dyDescent="0.2">
      <c r="A27" s="5" t="str">
        <f>HYPERLINK("#'Input - Data quality'!A1", "Data quality")</f>
        <v>Data quality</v>
      </c>
      <c r="D27" s="15" t="str">
        <v>Lime product 3</v>
      </c>
      <c r="E27" s="15">
        <v>1000000</v>
      </c>
      <c r="F27" s="15">
        <v>0</v>
      </c>
      <c r="G27" s="15">
        <v>0</v>
      </c>
      <c r="H27" s="15">
        <f>(((E27 * F27 * $I$15 * $I$16) + (E27 * G27 * $I$18 * $I$19)) * $I$20 * 10 ^ -3)</f>
        <v>0</v>
      </c>
    </row>
    <row r="28" spans="1:9" ht="20.100000000000001" customHeight="1" x14ac:dyDescent="0.2">
      <c r="D28" s="15"/>
      <c r="E28" s="15"/>
      <c r="F28" s="15"/>
      <c r="G28" s="15"/>
      <c r="H28" s="15">
        <f>(((E28 * F28 * $I$15 * $I$16) + (E28 * G28 * $I$18 * $I$19)) * $I$20 * 10 ^ -3)</f>
        <v>0</v>
      </c>
    </row>
    <row r="29" spans="1:9" ht="20.100000000000001" customHeight="1" x14ac:dyDescent="0.2">
      <c r="D29" s="15"/>
      <c r="E29" s="15"/>
      <c r="F29" s="15"/>
      <c r="G29" s="15"/>
      <c r="H29" s="15">
        <f>(((E29 * F29 * $I$15 * $I$16) + (E29 * G29 * $I$18 * $I$19)) * $I$20 * 10 ^ -3)</f>
        <v>0</v>
      </c>
    </row>
    <row r="30" spans="1:9" ht="20.100000000000001" customHeight="1" x14ac:dyDescent="0.2">
      <c r="A30" s="6" t="s">
        <v>2</v>
      </c>
    </row>
    <row r="31" spans="1:9" ht="20.100000000000001" customHeight="1" x14ac:dyDescent="0.2">
      <c r="A31" s="5" t="str">
        <f>HYPERLINK("#'3.3.1.1-2 Enteric Methane'!A1", "3.3.1.1-2 Enteric methane")</f>
        <v>3.3.1.1-2 Enteric methane</v>
      </c>
      <c r="D31" s="87" t="s">
        <v>795</v>
      </c>
      <c r="E31" s="90">
        <f>SUM(H25:H29)</f>
        <v>758.08333333333326</v>
      </c>
      <c r="F31" s="188" t="s">
        <v>126</v>
      </c>
    </row>
    <row r="32" spans="1:9"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119"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8D00C-1188-479A-A57D-1D15EBD5BFCA}">
  <sheetPr>
    <tabColor rgb="FF008000"/>
  </sheetPr>
  <dimension ref="A1:U151"/>
  <sheetViews>
    <sheetView showGridLines="0" zoomScaleNormal="100" workbookViewId="0">
      <pane xSplit="1" topLeftCell="B1" activePane="topRight" state="frozenSplit"/>
      <selection pane="topRight" activeCell="A68" sqref="A68"/>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796</v>
      </c>
    </row>
    <row r="2" spans="1:21" s="3" customFormat="1" ht="20.100000000000001" customHeight="1" x14ac:dyDescent="0.2">
      <c r="A2"/>
    </row>
    <row r="3" spans="1:21" ht="20.100000000000001" customHeight="1" x14ac:dyDescent="0.2">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1826</v>
      </c>
    </row>
    <row r="6" spans="1:21" ht="20.100000000000001" customHeight="1" x14ac:dyDescent="0.2">
      <c r="A6" s="5" t="str">
        <f>HYPERLINK("#'Results'!A1", "Results")</f>
        <v>Results</v>
      </c>
      <c r="D6" s="17" t="s">
        <v>1827</v>
      </c>
    </row>
    <row r="7" spans="1:21" ht="20.100000000000001" customHeight="1" x14ac:dyDescent="0.2">
      <c r="D7" s="118"/>
      <c r="E7" s="118"/>
    </row>
    <row r="9" spans="1:21" ht="20.100000000000001" customHeight="1" x14ac:dyDescent="0.2">
      <c r="A9" s="7" t="s">
        <v>0</v>
      </c>
    </row>
    <row r="10" spans="1:21" ht="20.100000000000001" customHeight="1" x14ac:dyDescent="0.2">
      <c r="A10" s="5" t="str">
        <f>HYPERLINK("#'Input - Enterprise'!A1", "Enterprise")</f>
        <v>Enterprise</v>
      </c>
      <c r="D10" s="76" t="s">
        <v>378</v>
      </c>
      <c r="E10" s="1" t="s">
        <v>1828</v>
      </c>
    </row>
    <row r="11" spans="1:21" ht="20.100000000000001" customHeight="1" x14ac:dyDescent="0.2">
      <c r="A11" s="5" t="str">
        <f>HYPERLINK("#'Input - Site'!A1", "Site")</f>
        <v>Site</v>
      </c>
      <c r="D11" s="76" t="s">
        <v>118</v>
      </c>
      <c r="E11" s="9" t="s">
        <v>1301</v>
      </c>
    </row>
    <row r="12" spans="1:21" ht="20.100000000000001" customHeight="1" x14ac:dyDescent="0.2">
      <c r="A12" s="5" t="str">
        <f>HYPERLINK("#'Input - Dairy'!A1", "Dairy")</f>
        <v>Dairy</v>
      </c>
    </row>
    <row r="13" spans="1:21" ht="20.100000000000001" customHeight="1" x14ac:dyDescent="0.2">
      <c r="A13" s="5" t="str">
        <f>HYPERLINK("#'Input - Livestock sales'!A1", "Livestock sales")</f>
        <v>Livestock sales</v>
      </c>
      <c r="D13" s="120" t="s">
        <v>1743</v>
      </c>
      <c r="E13" s="125" t="s">
        <v>1829</v>
      </c>
      <c r="F13" s="126"/>
      <c r="G13" s="120" t="s">
        <v>1301</v>
      </c>
      <c r="H13" s="128" t="s">
        <v>1765</v>
      </c>
      <c r="I13" s="127" t="str" cm="1">
        <f t="array" aca="1" ref="I13" ca="1">HYPERLINK(Common_InputFunctions.Utility_SourceHyperlink($D$16),$D$16)</f>
        <v>Table_M_vol_inorganic_j_f</v>
      </c>
    </row>
    <row r="14" spans="1:21" ht="20.100000000000001" customHeight="1" x14ac:dyDescent="0.2">
      <c r="A14" s="5" t="str">
        <f>HYPERLINK("#'Input - Dairy cattle purchases'!A1", "Dairy cattle purchases")</f>
        <v>Dairy cattle purchases</v>
      </c>
      <c r="D14" s="120" t="s">
        <v>1830</v>
      </c>
      <c r="E14" s="125" t="s">
        <v>1831</v>
      </c>
      <c r="F14" s="126"/>
      <c r="G14" s="120" t="s">
        <v>1832</v>
      </c>
      <c r="H14" s="128" t="s">
        <v>1501</v>
      </c>
      <c r="I14" s="127" t="str" cm="1">
        <f t="array" aca="1" ref="I14" ca="1">HYPERLINK(Common_InputFunctions.Utility_SourceHyperlink($D$16),$D$16)</f>
        <v>Table_M_vol_inorganic_j_f</v>
      </c>
    </row>
    <row r="15" spans="1:21" ht="20.100000000000001" customHeight="1" x14ac:dyDescent="0.2">
      <c r="A15" s="5" t="str">
        <f>HYPERLINK("#'Input - Pasture'!A1", "Pasture")</f>
        <v>Pasture</v>
      </c>
    </row>
    <row r="16" spans="1:21" ht="20.100000000000001" customHeight="1" x14ac:dyDescent="0.2">
      <c r="A16" s="5" t="str">
        <f>HYPERLINK("#'Input - Fert Prod System'!A1", "Fert Prod System")</f>
        <v>Fert Prod System</v>
      </c>
      <c r="D16" s="122" t="s">
        <v>797</v>
      </c>
    </row>
    <row r="17" spans="1:8" ht="20.100000000000001" customHeight="1" x14ac:dyDescent="0.2">
      <c r="A17" s="5" t="str">
        <f>HYPERLINK("#'Input - Fertiliser'!A1", "Fertiliser")</f>
        <v>Fertiliser</v>
      </c>
      <c r="D17" s="123" t="s">
        <v>798</v>
      </c>
    </row>
    <row r="18" spans="1:8" ht="20.100000000000001" customHeight="1" x14ac:dyDescent="0.2">
      <c r="A18" s="5" t="str">
        <f>HYPERLINK("#'Input - Fuel'!A1", "Fuel")</f>
        <v>Fuel</v>
      </c>
      <c r="D18" s="124" t="s">
        <v>799</v>
      </c>
      <c r="E18" s="124" t="s">
        <v>800</v>
      </c>
      <c r="F18" s="124" t="s">
        <v>801</v>
      </c>
      <c r="G18" s="189" t="s">
        <v>802</v>
      </c>
      <c r="H18" s="189" t="s">
        <v>803</v>
      </c>
    </row>
    <row r="19" spans="1:8" ht="20.100000000000001" customHeight="1" x14ac:dyDescent="0.2">
      <c r="A19" s="5" t="str">
        <f>HYPERLINK("#'Input - Electricity'!A1", "Electricity")</f>
        <v>Electricity</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f>(E19 * G19)</f>
        <v>0</v>
      </c>
    </row>
    <row r="20" spans="1:8" ht="20.100000000000001" customHeight="1" x14ac:dyDescent="0.2">
      <c r="A20" s="5" t="str">
        <f>HYPERLINK("#'Input - Common farm inputs'!A1", "Common farm inputs")</f>
        <v>Common farm inputs</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f>(E20 * G20)</f>
        <v>0</v>
      </c>
    </row>
    <row r="21" spans="1:8" ht="20.100000000000001" customHeight="1" x14ac:dyDescent="0.2">
      <c r="A21" s="5" t="str">
        <f>HYPERLINK("#'Input - Crop pasture farm input'!A1", "Crop pasture farm input")</f>
        <v>Crop pasture farm input</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f>(E21 * G21)</f>
        <v>17399.999100000001</v>
      </c>
    </row>
    <row r="22" spans="1:8" ht="20.100000000000001" customHeight="1" x14ac:dyDescent="0.2">
      <c r="A22" s="5" t="str">
        <f>HYPERLINK("#'Input - Livestock farm Inputs'!A1", "Livestock farm Inputs")</f>
        <v>Livestock farm Inputs</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f>(E22 * G22)</f>
        <v>0</v>
      </c>
    </row>
    <row r="23" spans="1:8" ht="20.100000000000001" customHeight="1" x14ac:dyDescent="0.2">
      <c r="A23" s="5" t="str">
        <f>HYPERLINK("#'Input - Freight'!A1", "Freight")</f>
        <v>Freight</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f>(E23 * G23)</f>
        <v>0</v>
      </c>
    </row>
    <row r="24" spans="1:8" ht="20.100000000000001" customHeight="1" x14ac:dyDescent="0.2">
      <c r="A24" s="5" t="str">
        <f>HYPERLINK("#'Input - Solid waste'!A1", "Solid waste")</f>
        <v>Solid waste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f>(E24 * G24)</f>
        <v>0</v>
      </c>
    </row>
    <row r="25" spans="1:8" ht="20.100000000000001" customHeight="1" x14ac:dyDescent="0.2">
      <c r="A25" s="5" t="str">
        <f>HYPERLINK("#'Input - Manure sent off-site'!A1", "Manure sent off-site")</f>
        <v>Manure sent off-site</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f>(E25 * G25)</f>
        <v>0</v>
      </c>
    </row>
    <row r="26" spans="1:8" ht="20.100000000000001" customHeight="1" x14ac:dyDescent="0.2">
      <c r="A26" s="5" t="str">
        <f>HYPERLINK("#'Input - Refrigerants'!A1", "Refrigerants")</f>
        <v>Refrigerants</v>
      </c>
      <c r="D26" s="15" t="str">
        <v>Nitrogen - Ammoniacal</v>
      </c>
      <c r="E26" s="15">
        <f>INDEX(Table_MN_j_f,9,4)</f>
        <v>12400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f>(E26 * G26)</f>
        <v>992</v>
      </c>
    </row>
    <row r="27" spans="1:8" ht="20.100000000000001" customHeight="1" x14ac:dyDescent="0.2">
      <c r="A27" s="5" t="str">
        <f>HYPERLINK("#'Input - Data quality'!A1", "Data quality")</f>
        <v>Data quality</v>
      </c>
      <c r="D27" s="15" t="str">
        <v>Nitrogen - Nitrate</v>
      </c>
      <c r="E27" s="15">
        <f>INDEX(Table_MN_j_f,10,4)</f>
        <v>5500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f>(E27 * G27)</f>
        <v>55</v>
      </c>
    </row>
    <row r="28" spans="1:8" ht="20.100000000000001" customHeight="1" x14ac:dyDescent="0.2">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f>(E28 * G28)</f>
        <v>0</v>
      </c>
    </row>
    <row r="29" spans="1:8" ht="20.100000000000001" customHeight="1" x14ac:dyDescent="0.2">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f>(E29 * G29)</f>
        <v>0</v>
      </c>
    </row>
    <row r="30" spans="1:8" ht="20.100000000000001" customHeight="1" x14ac:dyDescent="0.2">
      <c r="A30" s="6" t="s">
        <v>2</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f>(E30 * G30)</f>
        <v>0</v>
      </c>
    </row>
    <row r="31" spans="1:8" ht="20.100000000000001" customHeight="1" x14ac:dyDescent="0.2">
      <c r="A31" s="5" t="str">
        <f>HYPERLINK("#'3.3.1.1-2 Enteric Methane'!A1", "3.3.1.1-2 Enteric methane")</f>
        <v>3.3.1.1-2 Enteric methane</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f>(E31 * G31)</f>
        <v>0</v>
      </c>
    </row>
    <row r="32" spans="1:8" ht="20.100000000000001" customHeight="1" x14ac:dyDescent="0.2">
      <c r="A32" s="5" t="str">
        <f>HYPERLINK("#'4.3.1.1-2 Methane'!A1", "4.3.1.1-2 Manure methane")</f>
        <v>4.3.1.1-2 Manure methane</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f>(E32 * G32)</f>
        <v>0</v>
      </c>
    </row>
    <row r="33" spans="1:12" ht="20.100000000000001" customHeight="1" x14ac:dyDescent="0.2">
      <c r="A33" s="5" t="str">
        <f>HYPERLINK("#'4.3.1.3-4 Direct N20'!A1", "4.3.1.3-4 Direct N20")</f>
        <v>4.3.1.3-4 Direct N20</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f>(E33 * G33)</f>
        <v>0</v>
      </c>
    </row>
    <row r="34" spans="1:12" ht="20.100000000000001" customHeight="1" x14ac:dyDescent="0.2">
      <c r="A34" s="5" t="str">
        <f>HYPERLINK("#'4.3.1.5 Atmos deposition'!A1", "4.3.1.5 Atmos deposition")</f>
        <v>4.3.1.5 Atmos deposition</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f>(E34 * G34)</f>
        <v>0</v>
      </c>
    </row>
    <row r="35" spans="1:12" ht="20.100000000000001" customHeight="1" x14ac:dyDescent="0.2">
      <c r="A35" s="5" t="str">
        <f>HYPERLINK("#'4.3.1.6-7 Leaching and runoff'!A1", "4.3.1.6-7 Leaching &amp; runoff")</f>
        <v>4.3.1.6-7 Leaching &amp; runoff</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f>(E35 * G35)</f>
        <v>0</v>
      </c>
    </row>
    <row r="36" spans="1:12" ht="20.100000000000001" customHeight="1" x14ac:dyDescent="0.2">
      <c r="A36" s="5" t="str">
        <f>HYPERLINK("#'4.3.1.8 Manure applied to soils'!A1", "4.3.1.8 Manure applied to soils")</f>
        <v>4.3.1.8 Manure applied to soils</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f>(E36 * G36)</f>
        <v>3294</v>
      </c>
    </row>
    <row r="37" spans="1:12" ht="20.100000000000001" customHeight="1" x14ac:dyDescent="0.2">
      <c r="A37" s="5" t="str">
        <f>HYPERLINK("#'4.3.1.9 Soil direct N2O'!A1", "4.3.1.9 Soil direct N2O")</f>
        <v>4.3.1.9 Soil direct N2O</v>
      </c>
      <c r="D37" s="15" t="str">
        <v>Calcium nitrate</v>
      </c>
      <c r="E37" s="15">
        <f>INDEX(Table_MN_j_f,20,4)</f>
        <v>7750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f>(E37 * G37)</f>
        <v>77.5</v>
      </c>
    </row>
    <row r="38" spans="1:12" ht="20.100000000000001" customHeight="1" x14ac:dyDescent="0.2">
      <c r="A38" s="5" t="str">
        <f>HYPERLINK("#'4.3.1.10-11 Soil Atmos Dep'!A1", "4.3.1.10-11 Soil Atmos Deposition")</f>
        <v>4.3.1.10-11 Soil Atmos Deposition</v>
      </c>
    </row>
    <row r="39" spans="1:12" ht="20.100000000000001" customHeight="1" x14ac:dyDescent="0.2">
      <c r="A39" s="5" t="str">
        <f>HYPERLINK("#'4.3.1.12-13 Soil leach runoff'!A1", "4.3.1.12-13 Soil leach &amp; runoff")</f>
        <v>4.3.1.12-13 Soil leach &amp; runoff</v>
      </c>
    </row>
    <row r="40" spans="1:12" ht="20.100000000000001" customHeight="1" x14ac:dyDescent="0.2">
      <c r="A40" s="5" t="str">
        <f>HYPERLINK("#'5.1.1.1-2 Inorganic fert N2O'!A1", "5.1.1.1-2 Inorganic fert N2O")</f>
        <v>5.1.1.1-2 Inorganic fert N2O</v>
      </c>
      <c r="C40" s="186"/>
      <c r="D40" s="186"/>
      <c r="E40" s="186"/>
      <c r="F40" s="186"/>
      <c r="G40" s="186"/>
      <c r="H40" s="186"/>
      <c r="I40" s="186"/>
      <c r="J40" s="186"/>
      <c r="K40" s="186"/>
      <c r="L40" s="186"/>
    </row>
    <row r="41" spans="1:12" ht="20.100000000000001" customHeight="1" x14ac:dyDescent="0.2">
      <c r="A41" s="5" t="str">
        <f>HYPERLINK("#'5.1.1.3-4 Inorganic fert CO2'!A1", "5.1.1.3-4 Inorganic fert CO2")</f>
        <v>5.1.1.3-4 Inorganic fert CO2</v>
      </c>
      <c r="D41" s="2" t="s">
        <v>1833</v>
      </c>
    </row>
    <row r="42" spans="1:12" ht="20.100000000000001" customHeight="1" x14ac:dyDescent="0.2">
      <c r="A42" s="5" t="str">
        <f>HYPERLINK("#'5.2.1.1-2 Organic Fert N2O'!A1", "5.2.1.1-2 Organic fert N2O")</f>
        <v>5.2.1.1-2 Organic fert N2O</v>
      </c>
      <c r="D42" s="17" t="s">
        <v>1834</v>
      </c>
    </row>
    <row r="43" spans="1:12" ht="20.100000000000001" customHeight="1" x14ac:dyDescent="0.2">
      <c r="A43" s="5" t="str">
        <f>HYPERLINK("#'5.3.1.1-2 Lime CO2'!A1", "5.3.1.1-2 Lime CO2")</f>
        <v>5.3.1.1-2 Lime CO2</v>
      </c>
      <c r="D43" s="118"/>
      <c r="E43" s="118"/>
    </row>
    <row r="44" spans="1:12" ht="20.100000000000001" customHeight="1" x14ac:dyDescent="0.2">
      <c r="A44" s="119" t="str">
        <f>HYPERLINK("#'5.4.1.1-4 Atmos deposition'!A1", "5.4.1.1-4 Atmos. deposition")</f>
        <v>5.4.1.1-4 Atmos. deposition</v>
      </c>
    </row>
    <row r="45" spans="1:12" ht="20.100000000000001" customHeight="1" x14ac:dyDescent="0.2">
      <c r="A45" s="5" t="str">
        <f>HYPERLINK("#'5.5.1.1-2 Leaching and runoff'!A1", "5.5.1.1-2 Leaching &amp; runoff")</f>
        <v>5.5.1.1-2 Leaching &amp; runoff</v>
      </c>
    </row>
    <row r="46" spans="1:12" ht="20.100000000000001" customHeight="1" x14ac:dyDescent="0.2">
      <c r="A46" s="5" t="str">
        <f>HYPERLINK("#'6.2.1.1-2 Pasture residue N2O'!A1", "6.2.1.1-2 Pasture residue N2O")</f>
        <v>6.2.1.1-2 Pasture residue N2O</v>
      </c>
      <c r="D46" s="76" t="s">
        <v>378</v>
      </c>
      <c r="E46" s="1" t="s">
        <v>1835</v>
      </c>
    </row>
    <row r="47" spans="1:12" ht="20.100000000000001" customHeight="1" x14ac:dyDescent="0.2">
      <c r="A47" s="5" t="str">
        <f>HYPERLINK("#'6.3.1.1-2 Leach runoff pasture'!A1", "6.3.1.1-2 Leach &amp; runoff (pasture)")</f>
        <v>6.3.1.1-2 Leach &amp; runoff (pasture)</v>
      </c>
      <c r="D47" s="76" t="s">
        <v>118</v>
      </c>
      <c r="E47" s="9" t="s">
        <v>11</v>
      </c>
    </row>
    <row r="48" spans="1:12" ht="20.100000000000001" customHeight="1" x14ac:dyDescent="0.2">
      <c r="A48" s="5" t="str">
        <f>HYPERLINK("#'8.1.1.1-2 Transport fuel'!A1", "8.1.1.1-2 Transport fuel")</f>
        <v>8.1.1.1-2 Transport fuel</v>
      </c>
    </row>
    <row r="49" spans="1:10" ht="20.100000000000001" customHeight="1" x14ac:dyDescent="0.2">
      <c r="A49" s="5" t="str">
        <f>HYPERLINK("#'8.2.1.1-2 Stationary fuel'!A1", "8.2.1.1-2 Stationary fuel")</f>
        <v>8.2.1.1-2 Stationary fuel</v>
      </c>
      <c r="D49" s="120" t="s">
        <v>1828</v>
      </c>
      <c r="E49" s="125" t="s">
        <v>1836</v>
      </c>
      <c r="F49" s="133"/>
      <c r="G49" s="126"/>
      <c r="H49" s="120" t="s">
        <v>1301</v>
      </c>
      <c r="I49" s="128" t="s">
        <v>1839</v>
      </c>
      <c r="J49" s="127" t="str" cm="1">
        <f t="array" aca="1" ref="J49" ca="1">HYPERLINK(Common_InputFunctions.Utility_SourceHyperlink($D$16),$D$16)</f>
        <v>Table_M_vol_inorganic_j_f</v>
      </c>
    </row>
    <row r="50" spans="1:10" ht="20.100000000000001" customHeight="1" x14ac:dyDescent="0.2">
      <c r="A50" s="5" t="str">
        <f>HYPERLINK("#'9.1.1.1-2 Refrigerant use'!A1", "9.1.1.1-2 Refrigerant use")</f>
        <v>9.1.1.1-2 Refrigerant use</v>
      </c>
      <c r="D50" s="120" t="s">
        <v>1837</v>
      </c>
      <c r="E50" s="125" t="s">
        <v>1838</v>
      </c>
      <c r="F50" s="133"/>
      <c r="G50" s="126"/>
      <c r="H50" s="120" t="s">
        <v>1663</v>
      </c>
      <c r="I50" s="128" t="s">
        <v>1501</v>
      </c>
      <c r="J50" s="120">
        <f>Common_InputFunctions.Utility_LookupN2OEFFromProdIrrigationRainfall(J52,J53,J54,Table_SourceData_Common_EFN2O[Production system only],Table_SourceData_Common_EFN2O[Irrigation method],Table_SourceData_Common_EFN2O[Rainfall zone],Table_SourceData_Common_EFN2O[EFN2O])</f>
        <v>5.8999999999999999E-3</v>
      </c>
    </row>
    <row r="51" spans="1:10" ht="20.100000000000001" customHeight="1" x14ac:dyDescent="0.2">
      <c r="A51" s="5" t="str">
        <f>HYPERLINK("#'10.1.1-2 Solid waste treatment'!A1", "10.1.1.1-2 Solid waste")</f>
        <v>10.1.1.1-2 Solid waste</v>
      </c>
      <c r="D51" s="120" t="s">
        <v>1660</v>
      </c>
      <c r="E51" s="125" t="s">
        <v>1763</v>
      </c>
      <c r="F51" s="133"/>
      <c r="G51" s="126"/>
      <c r="H51" s="120"/>
      <c r="I51" s="128" t="s">
        <v>1501</v>
      </c>
      <c r="J51" s="132">
        <f>Common_InputFunctions.Utility_LookupValueInTableNumber("N2O",Table_GasToMolecularConversionFactor[Gas],Table_GasToMolecularConversionFactor[Conversion factor combined])</f>
        <v>1.5714285714285714</v>
      </c>
    </row>
    <row r="52" spans="1:10" ht="20.100000000000001" customHeight="1" x14ac:dyDescent="0.2">
      <c r="A52" s="5" t="str">
        <f>HYPERLINK("#'14.1.1-2 Purchased electricity'!A1", "14.1.1-2 Purchased electricity")</f>
        <v>14.1.1-2 Purchased electricity</v>
      </c>
      <c r="D52" s="120" t="s">
        <v>1675</v>
      </c>
      <c r="E52" s="125" t="s">
        <v>159</v>
      </c>
      <c r="F52" s="133"/>
      <c r="G52" s="126"/>
      <c r="H52" s="120"/>
      <c r="I52" s="121" t="s">
        <v>1469</v>
      </c>
      <c r="J52" s="120" t="str">
        <f>X_Cell_Fertiliser_ProductionSystem</f>
        <v>Pasture</v>
      </c>
    </row>
    <row r="53" spans="1:10" ht="20.100000000000001" customHeight="1" x14ac:dyDescent="0.2">
      <c r="A53" s="5" t="str">
        <f>HYPERLINK("#'15 Scope 3'!A1", "15 Scope 3")</f>
        <v>15 Scope 3</v>
      </c>
      <c r="D53" s="120" t="s">
        <v>1677</v>
      </c>
      <c r="E53" s="125" t="s">
        <v>1678</v>
      </c>
      <c r="F53" s="133"/>
      <c r="G53" s="126"/>
      <c r="H53" s="120"/>
      <c r="I53" s="121" t="s">
        <v>1469</v>
      </c>
      <c r="J53" s="120" t="str">
        <f>X_Cell_Fertiliser_IrrigationMethod</f>
        <v>Surface irrigation</v>
      </c>
    </row>
    <row r="54" spans="1:10" ht="20.100000000000001" customHeight="1" x14ac:dyDescent="0.2">
      <c r="A54" s="5" t="str">
        <f>HYPERLINK("#'Calcs - Manure sent off-site'!A1", "Calcs - Manure sent off-site")</f>
        <v>Calcs - Manure sent off-site</v>
      </c>
      <c r="D54" s="120" t="s">
        <v>1679</v>
      </c>
      <c r="E54" s="125" t="s">
        <v>1680</v>
      </c>
      <c r="F54" s="133"/>
      <c r="G54" s="126"/>
      <c r="H54" s="120"/>
      <c r="I54" s="121" t="s">
        <v>1469</v>
      </c>
      <c r="J54" s="120" t="str">
        <f>X_Cell_Site_RainfallZone</f>
        <v>High rainfall</v>
      </c>
    </row>
    <row r="56" spans="1:10" ht="20.100000000000001" customHeight="1" x14ac:dyDescent="0.2">
      <c r="D56" s="122" t="s">
        <v>804</v>
      </c>
    </row>
    <row r="57" spans="1:10" ht="20.100000000000001" customHeight="1" x14ac:dyDescent="0.2">
      <c r="A57" s="82" t="s">
        <v>1</v>
      </c>
      <c r="D57" s="123" t="s">
        <v>805</v>
      </c>
    </row>
    <row r="58" spans="1:10" ht="20.100000000000001" customHeight="1" x14ac:dyDescent="0.2">
      <c r="A58" s="5" t="str">
        <f>HYPERLINK("#'Constants - Dairy'!A1", "Constants - Dairy")</f>
        <v>Constants - Dairy</v>
      </c>
      <c r="D58" s="124" t="s">
        <v>799</v>
      </c>
      <c r="E58" s="189" t="s">
        <v>803</v>
      </c>
      <c r="F58" s="189" t="s">
        <v>806</v>
      </c>
    </row>
    <row r="59" spans="1:10" ht="20.100000000000001" customHeight="1" x14ac:dyDescent="0.2">
      <c r="A59" s="5" t="str">
        <f>HYPERLINK("#'Constants - Ag Residue'!A1", "Constants - Ag residue")</f>
        <v>Constants - Ag residue</v>
      </c>
      <c r="D59" s="15" t="str" cm="1">
        <f t="array" ref="D59:D77">Table_Fertiliser_ChemicalCompounds[Fertiliser type f]</f>
        <v>Monoammonium phosphate (MAP)</v>
      </c>
      <c r="E59" s="15">
        <f t="shared" ref="E59:E77" si="0">H19</f>
        <v>0</v>
      </c>
      <c r="F59" s="15">
        <f>((E59 * $J$50) * $J$51 * 10 ^ -3)</f>
        <v>0</v>
      </c>
      <c r="G59" s="16" t="str">
        <f>E47</f>
        <v>t N2O</v>
      </c>
    </row>
    <row r="60" spans="1:10" ht="20.100000000000001" customHeight="1" x14ac:dyDescent="0.2">
      <c r="A60" s="5" t="str">
        <f>HYPERLINK("#'Constants - Common Livestock'!A1", "Constants - Common Livestock")</f>
        <v>Constants - Common Livestock</v>
      </c>
      <c r="D60" s="15" t="str">
        <v>Diammonium phosphate (DAP)</v>
      </c>
      <c r="E60" s="15">
        <f t="shared" si="0"/>
        <v>0</v>
      </c>
      <c r="F60" s="15">
        <f>((E60 * $J$50) * $J$51 * 10 ^ -3)</f>
        <v>0</v>
      </c>
    </row>
    <row r="61" spans="1:10" ht="20.100000000000001" customHeight="1" x14ac:dyDescent="0.2">
      <c r="A61" s="5" t="str">
        <f>HYPERLINK("#'Constants - Electricity'!A1", "Constants - Electricity")</f>
        <v>Constants - Electricity</v>
      </c>
      <c r="D61" s="15" t="str">
        <v>Urea</v>
      </c>
      <c r="E61" s="15">
        <f t="shared" si="0"/>
        <v>17399.999100000001</v>
      </c>
      <c r="F61" s="15">
        <f>((E61 * $J$50) * $J$51 * 10 ^ -3)</f>
        <v>0.16132284879857145</v>
      </c>
    </row>
    <row r="62" spans="1:10" ht="20.100000000000001" customHeight="1" x14ac:dyDescent="0.2">
      <c r="A62" s="5" t="str">
        <f>HYPERLINK("#'Constants - Fertiliser'!A1", "Constants - Fertiliser")</f>
        <v>Constants - Fertiliser</v>
      </c>
      <c r="D62" s="15" t="str">
        <v>Sulphate of ammonia (SOA)</v>
      </c>
      <c r="E62" s="15">
        <f t="shared" si="0"/>
        <v>0</v>
      </c>
      <c r="F62" s="15">
        <f>((E62 * $J$50) * $J$51 * 10 ^ -3)</f>
        <v>0</v>
      </c>
    </row>
    <row r="63" spans="1:10" ht="20.100000000000001" customHeight="1" x14ac:dyDescent="0.2">
      <c r="A63" s="5" t="str">
        <f>HYPERLINK("#'Constants - Fuel'!A1", "Constants - Fuel")</f>
        <v>Constants - Fuel</v>
      </c>
      <c r="D63" s="15" t="str">
        <v>Urea-ammonium nitrate (UAN)</v>
      </c>
      <c r="E63" s="15">
        <f t="shared" si="0"/>
        <v>0</v>
      </c>
      <c r="F63" s="15">
        <f>((E63 * $J$50) * $J$51 * 10 ^ -3)</f>
        <v>0</v>
      </c>
    </row>
    <row r="64" spans="1:10" ht="20.100000000000001" customHeight="1" x14ac:dyDescent="0.2">
      <c r="A64" s="5" t="str">
        <f>HYPERLINK("#'Constants - Scope 3'!A1", "Constants - Scope 3")</f>
        <v>Constants - Scope 3</v>
      </c>
      <c r="D64" s="15" t="str">
        <v>Ammonium nitrate (AN)</v>
      </c>
      <c r="E64" s="15">
        <f t="shared" si="0"/>
        <v>0</v>
      </c>
      <c r="F64" s="15">
        <f>((E64 * $J$50) * $J$51 * 10 ^ -3)</f>
        <v>0</v>
      </c>
    </row>
    <row r="65" spans="1:6" ht="20.100000000000001" customHeight="1" x14ac:dyDescent="0.2">
      <c r="A65" s="5" t="str">
        <f>HYPERLINK("#'Constants - Common'!A1", "Constants - Common")</f>
        <v>Constants - Common</v>
      </c>
      <c r="D65" s="15" t="str">
        <v>Calcium ammonium nitrate (CAN)</v>
      </c>
      <c r="E65" s="15">
        <f t="shared" si="0"/>
        <v>0</v>
      </c>
      <c r="F65" s="15">
        <f>((E65 * $J$50) * $J$51 * 10 ^ -3)</f>
        <v>0</v>
      </c>
    </row>
    <row r="66" spans="1:6" ht="20.100000000000001" customHeight="1" x14ac:dyDescent="0.2">
      <c r="A66" s="5" t="str">
        <f>HYPERLINK("#'Constants - Refrigerants'!A1", "Constants - Refrigerants")</f>
        <v>Constants - Refrigerants</v>
      </c>
      <c r="D66" s="15" t="str">
        <v>Nitrogen - Ammoniacal</v>
      </c>
      <c r="E66" s="15">
        <f t="shared" si="0"/>
        <v>992</v>
      </c>
      <c r="F66" s="15">
        <f>((E66 * $J$50) * $J$51 * 10 ^ -3)</f>
        <v>9.1972571428571431E-3</v>
      </c>
    </row>
    <row r="67" spans="1:6" ht="20.100000000000001" customHeight="1" x14ac:dyDescent="0.2">
      <c r="A67" s="5" t="str">
        <f>HYPERLINK("#'Constants - Solid Waste'!A1", "Constants - Solid Waste")</f>
        <v>Constants - Solid Waste</v>
      </c>
      <c r="D67" s="15" t="str">
        <v>Nitrogen - Nitrate</v>
      </c>
      <c r="E67" s="15">
        <f t="shared" si="0"/>
        <v>55</v>
      </c>
      <c r="F67" s="15">
        <f>((E67 * $J$50) * $J$51 * 10 ^ -3)</f>
        <v>5.0992857142857144E-4</v>
      </c>
    </row>
    <row r="68" spans="1:6" ht="20.100000000000001" customHeight="1" x14ac:dyDescent="0.2">
      <c r="A68" s="5" t="str">
        <f>HYPERLINK("#'Acknowledgements'!A1", "Acknowledgements")</f>
        <v>Acknowledgements</v>
      </c>
      <c r="D68" s="15" t="str">
        <v>Nitrogen - Generic</v>
      </c>
      <c r="E68" s="15">
        <f t="shared" si="0"/>
        <v>0</v>
      </c>
      <c r="F68" s="15">
        <f>((E68 * $J$50) * $J$51 * 10 ^ -3)</f>
        <v>0</v>
      </c>
    </row>
    <row r="69" spans="1:6" ht="20.100000000000001" customHeight="1" x14ac:dyDescent="0.2">
      <c r="D69" s="15" t="str">
        <v>Phosphorus - Generic</v>
      </c>
      <c r="E69" s="15">
        <f t="shared" si="0"/>
        <v>0</v>
      </c>
      <c r="F69" s="15">
        <f>((E69 * $J$50) * $J$51 * 10 ^ -3)</f>
        <v>0</v>
      </c>
    </row>
    <row r="70" spans="1:6" ht="20.100000000000001" customHeight="1" x14ac:dyDescent="0.2">
      <c r="D70" s="15" t="str">
        <v>Potassium - Generic</v>
      </c>
      <c r="E70" s="15">
        <f t="shared" si="0"/>
        <v>0</v>
      </c>
      <c r="F70" s="15">
        <f>((E70 * $J$50) * $J$51 * 10 ^ -3)</f>
        <v>0</v>
      </c>
    </row>
    <row r="71" spans="1:6" ht="20.100000000000001" customHeight="1" x14ac:dyDescent="0.2">
      <c r="D71" s="15" t="str">
        <v>Sulfur - Generic</v>
      </c>
      <c r="E71" s="15">
        <f t="shared" si="0"/>
        <v>0</v>
      </c>
      <c r="F71" s="15">
        <f>((E71 * $J$50) * $J$51 * 10 ^ -3)</f>
        <v>0</v>
      </c>
    </row>
    <row r="72" spans="1:6" ht="20.100000000000001" customHeight="1" x14ac:dyDescent="0.2">
      <c r="D72" s="15" t="str">
        <v>Zinc - Generic</v>
      </c>
      <c r="E72" s="15">
        <f t="shared" si="0"/>
        <v>0</v>
      </c>
      <c r="F72" s="15">
        <f>((E72 * $J$50) * $J$51 * 10 ^ -3)</f>
        <v>0</v>
      </c>
    </row>
    <row r="73" spans="1:6" ht="20.100000000000001" customHeight="1" x14ac:dyDescent="0.2">
      <c r="D73" s="15" t="str">
        <v>Muriate of potash (MOP)</v>
      </c>
      <c r="E73" s="15">
        <f t="shared" si="0"/>
        <v>0</v>
      </c>
      <c r="F73" s="15">
        <f>((E73 * $J$50) * $J$51 * 10 ^ -3)</f>
        <v>0</v>
      </c>
    </row>
    <row r="74" spans="1:6" ht="20.100000000000001" customHeight="1" x14ac:dyDescent="0.2">
      <c r="D74" s="15" t="str">
        <v>Double superphosphate</v>
      </c>
      <c r="E74" s="15">
        <f t="shared" si="0"/>
        <v>0</v>
      </c>
      <c r="F74" s="15">
        <f>((E74 * $J$50) * $J$51 * 10 ^ -3)</f>
        <v>0</v>
      </c>
    </row>
    <row r="75" spans="1:6" ht="20.100000000000001" customHeight="1" x14ac:dyDescent="0.2">
      <c r="D75" s="15" t="str">
        <v>Single superphosphate (SSP)</v>
      </c>
      <c r="E75" s="15">
        <f t="shared" si="0"/>
        <v>0</v>
      </c>
      <c r="F75" s="15">
        <f>((E75 * $J$50) * $J$51 * 10 ^ -3)</f>
        <v>0</v>
      </c>
    </row>
    <row r="76" spans="1:6" ht="20.100000000000001" customHeight="1" x14ac:dyDescent="0.2">
      <c r="D76" s="15" t="str">
        <v>Ammonia</v>
      </c>
      <c r="E76" s="15">
        <f t="shared" si="0"/>
        <v>3294</v>
      </c>
      <c r="F76" s="15">
        <f>((E76 * $J$50) * $J$51 * 10 ^ -3)</f>
        <v>3.0540085714285712E-2</v>
      </c>
    </row>
    <row r="77" spans="1:6" ht="20.100000000000001" customHeight="1" x14ac:dyDescent="0.2">
      <c r="D77" s="15" t="str">
        <v>Calcium nitrate</v>
      </c>
      <c r="E77" s="15">
        <f t="shared" si="0"/>
        <v>77.5</v>
      </c>
      <c r="F77" s="15">
        <f>((E77 * $J$50) * $J$51 * 10 ^ -3)</f>
        <v>7.1853571428571431E-4</v>
      </c>
    </row>
    <row r="79" spans="1:6" ht="20.100000000000001" customHeight="1" x14ac:dyDescent="0.2">
      <c r="A79" s="129" t="str">
        <f>HYPERLINK("#A1", "▲ Back to top")</f>
        <v>▲ Back to top</v>
      </c>
      <c r="D79" s="87" t="s">
        <v>807</v>
      </c>
      <c r="E79" s="90">
        <f>SUM(F59:F77)</f>
        <v>0.20228865594142856</v>
      </c>
      <c r="F79" s="89" t="str">
        <f>$E$47</f>
        <v>t N2O</v>
      </c>
    </row>
    <row r="81" spans="3:12" ht="20.100000000000001" customHeight="1" x14ac:dyDescent="0.2">
      <c r="D81" s="132" t="str" cm="1">
        <f t="array" ref="D81:E82">Common_Equations.Common_ConvertN2OToCO2e_Arguments()</f>
        <v>EN2O</v>
      </c>
      <c r="E81" s="135" t="str">
        <v>Nitrous oxide emissions (t N2O)</v>
      </c>
      <c r="F81" s="136"/>
      <c r="G81" s="15">
        <f>VEERG_5_4_1_1__1_InorganicFertiliserAtmosphericDepositionN2OEmissions_Result_Method1</f>
        <v>0.20228865594142856</v>
      </c>
    </row>
    <row r="82" spans="3:12" ht="20.100000000000001" customHeight="1" x14ac:dyDescent="0.2">
      <c r="D82" s="132" t="str">
        <v>GWPN2O</v>
      </c>
      <c r="E82" s="135" t="str">
        <v>Global warming potential for nitrous oxide (t CO2-e / t N2O)</v>
      </c>
      <c r="F82" s="136"/>
      <c r="G82" s="15">
        <f>Common_InputFunctions.Utility_LookupValueInTableNumber("N2O",Table_GWPData[Gas],Table_GWPData[CO2-e factor])</f>
        <v>265</v>
      </c>
    </row>
    <row r="84" spans="3:12" ht="20.100000000000001" customHeight="1" x14ac:dyDescent="0.2">
      <c r="D84" s="88" t="s">
        <v>527</v>
      </c>
      <c r="E84" s="88" cm="1">
        <f t="array" ref="E84">Common_Equations.Common_ConvertN2OToCO2e(G81,G82)</f>
        <v>53.606493824478569</v>
      </c>
      <c r="F84" s="93" t="str" cm="1">
        <f t="array" ref="F84">Common_Equations.Common_ConvertN2OToCO2e_Unit()</f>
        <v>t CO2e</v>
      </c>
    </row>
    <row r="87" spans="3:12" ht="20.100000000000001" customHeight="1" x14ac:dyDescent="0.2">
      <c r="C87" s="186"/>
      <c r="D87" s="186"/>
      <c r="E87" s="186"/>
      <c r="F87" s="186"/>
      <c r="G87" s="186"/>
      <c r="H87" s="186"/>
      <c r="I87" s="186"/>
      <c r="J87" s="186"/>
      <c r="K87" s="186"/>
      <c r="L87" s="186"/>
    </row>
    <row r="88" spans="3:12" ht="20.100000000000001" customHeight="1" x14ac:dyDescent="0.2">
      <c r="D88" s="2" t="s">
        <v>1840</v>
      </c>
    </row>
    <row r="89" spans="3:12" ht="20.100000000000001" customHeight="1" x14ac:dyDescent="0.2">
      <c r="D89" s="17" t="s">
        <v>1841</v>
      </c>
    </row>
    <row r="90" spans="3:12" ht="20.100000000000001" customHeight="1" x14ac:dyDescent="0.2">
      <c r="D90" s="118"/>
      <c r="E90" s="118"/>
    </row>
    <row r="93" spans="3:12" ht="20.100000000000001" customHeight="1" x14ac:dyDescent="0.2">
      <c r="D93" s="76" t="s">
        <v>378</v>
      </c>
      <c r="E93" s="1" t="s">
        <v>1842</v>
      </c>
    </row>
    <row r="94" spans="3:12" ht="20.100000000000001" customHeight="1" x14ac:dyDescent="0.2">
      <c r="D94" s="76" t="s">
        <v>118</v>
      </c>
      <c r="E94" s="9" t="s">
        <v>1301</v>
      </c>
    </row>
    <row r="96" spans="3:12" ht="20.100000000000001" customHeight="1" x14ac:dyDescent="0.2">
      <c r="D96" s="120" t="s">
        <v>1798</v>
      </c>
      <c r="E96" s="120" t="s">
        <v>1805</v>
      </c>
      <c r="F96" s="120"/>
      <c r="G96" s="120" t="s">
        <v>1301</v>
      </c>
      <c r="H96" s="128" t="s">
        <v>1808</v>
      </c>
      <c r="I96" s="127" t="str" cm="1">
        <f t="array" aca="1" ref="I96" ca="1">HYPERLINK(Common_InputFunctions.Utility_SourceHyperlink($D$99), $D$99)</f>
        <v>Table_M_vol_organic_j_f</v>
      </c>
    </row>
    <row r="97" spans="1:9" ht="20.100000000000001" customHeight="1" x14ac:dyDescent="0.2">
      <c r="D97" s="120" t="s">
        <v>1843</v>
      </c>
      <c r="E97" s="120" t="s">
        <v>1844</v>
      </c>
      <c r="F97" s="120"/>
      <c r="G97" s="120" t="s">
        <v>1832</v>
      </c>
      <c r="H97" s="128" t="s">
        <v>1501</v>
      </c>
      <c r="I97" s="120">
        <f>Fertiliser_FracGASMSoil_Data</f>
        <v>0.21</v>
      </c>
    </row>
    <row r="99" spans="1:9" ht="20.100000000000001" customHeight="1" x14ac:dyDescent="0.2">
      <c r="D99" s="122" t="s">
        <v>808</v>
      </c>
    </row>
    <row r="100" spans="1:9" ht="20.100000000000001" customHeight="1" x14ac:dyDescent="0.2">
      <c r="D100" s="123" t="s">
        <v>809</v>
      </c>
    </row>
    <row r="101" spans="1:9" ht="20.100000000000001" customHeight="1" x14ac:dyDescent="0.2">
      <c r="D101" s="81" t="s">
        <v>782</v>
      </c>
      <c r="E101" s="181" t="s">
        <v>786</v>
      </c>
      <c r="F101" s="181" t="s">
        <v>810</v>
      </c>
    </row>
    <row r="102" spans="1:9" ht="20.100000000000001" customHeight="1" x14ac:dyDescent="0.2">
      <c r="D102" s="15" t="str" cm="1">
        <f t="array" ref="D102:D104">Table_Input_OrganicFertiliser[Organic fertiliser type (select)]</f>
        <v>Manure - Other</v>
      </c>
      <c r="E102" s="15">
        <f>INDEX(Table_MNSoil_j_f,2,6)</f>
        <v>3000</v>
      </c>
      <c r="F102" s="15">
        <f>(E102 * $I$97)</f>
        <v>630</v>
      </c>
      <c r="G102" s="16" t="str">
        <f>$E$94</f>
        <v>kg N</v>
      </c>
    </row>
    <row r="103" spans="1:9" ht="20.100000000000001" customHeight="1" x14ac:dyDescent="0.2">
      <c r="D103" s="15" t="str">
        <v>Manure - Poultry</v>
      </c>
      <c r="E103" s="15">
        <f>INDEX(Table_MNSoil_j_f,3,6)</f>
        <v>2500</v>
      </c>
      <c r="F103" s="15">
        <f>(E103 * $I$97)</f>
        <v>525</v>
      </c>
    </row>
    <row r="104" spans="1:9" ht="20.100000000000001" customHeight="1" x14ac:dyDescent="0.2">
      <c r="D104" s="15" t="str">
        <v>Other organic fertiliser</v>
      </c>
      <c r="E104" s="15">
        <f>INDEX(Table_MNSoil_j_f,4,6)</f>
        <v>1600</v>
      </c>
      <c r="F104" s="15">
        <f>(E104 * $I$97)</f>
        <v>336</v>
      </c>
    </row>
    <row r="105" spans="1:9" ht="20.100000000000001" customHeight="1" x14ac:dyDescent="0.2">
      <c r="D105" s="15"/>
      <c r="E105" s="15">
        <f>'5.2.1.1-2 Organic Fert N2O'!I23</f>
        <v>0</v>
      </c>
      <c r="F105" s="15">
        <f>(E105 * $I$97)</f>
        <v>0</v>
      </c>
    </row>
    <row r="106" spans="1:9" ht="20.100000000000001" customHeight="1" x14ac:dyDescent="0.2">
      <c r="D106" s="15"/>
      <c r="E106" s="15">
        <f>'5.2.1.1-2 Organic Fert N2O'!I24</f>
        <v>0</v>
      </c>
      <c r="F106" s="15">
        <f>(E106 * $I$97)</f>
        <v>0</v>
      </c>
    </row>
    <row r="107" spans="1:9" ht="20.100000000000001" customHeight="1" x14ac:dyDescent="0.2">
      <c r="D107" s="15"/>
      <c r="E107" s="15">
        <f>'5.2.1.1-2 Organic Fert N2O'!I25</f>
        <v>0</v>
      </c>
      <c r="F107" s="15">
        <f>(E107 * $I$97)</f>
        <v>0</v>
      </c>
    </row>
    <row r="108" spans="1:9" ht="20.100000000000001" customHeight="1" x14ac:dyDescent="0.2">
      <c r="D108" s="15"/>
      <c r="E108" s="15">
        <f>'5.2.1.1-2 Organic Fert N2O'!I26</f>
        <v>0</v>
      </c>
      <c r="F108" s="15">
        <f>(E108 * $I$97)</f>
        <v>0</v>
      </c>
    </row>
    <row r="109" spans="1:9" ht="20.100000000000001" customHeight="1" x14ac:dyDescent="0.2">
      <c r="A109" s="129" t="str">
        <f>HYPERLINK("#A1", "▲ Back to top")</f>
        <v>▲ Back to top</v>
      </c>
      <c r="D109" s="15"/>
      <c r="E109" s="15">
        <f>'5.2.1.1-2 Organic Fert N2O'!I27</f>
        <v>0</v>
      </c>
      <c r="F109" s="15">
        <f>(E109 * $I$97)</f>
        <v>0</v>
      </c>
    </row>
    <row r="110" spans="1:9" ht="20.100000000000001" customHeight="1" x14ac:dyDescent="0.2">
      <c r="D110" s="15"/>
      <c r="E110" s="15">
        <f>'5.2.1.1-2 Organic Fert N2O'!I28</f>
        <v>0</v>
      </c>
      <c r="F110" s="15">
        <f>(E110 * $I$97)</f>
        <v>0</v>
      </c>
    </row>
    <row r="111" spans="1:9" ht="20.100000000000001" customHeight="1" x14ac:dyDescent="0.2">
      <c r="D111" s="15"/>
      <c r="E111" s="15">
        <f>'5.2.1.1-2 Organic Fert N2O'!I29</f>
        <v>0</v>
      </c>
      <c r="F111" s="15">
        <f>(E111 * $I$97)</f>
        <v>0</v>
      </c>
    </row>
    <row r="112" spans="1:9" ht="20.100000000000001" customHeight="1" x14ac:dyDescent="0.2">
      <c r="D112" s="15"/>
      <c r="E112" s="15">
        <f>'5.2.1.1-2 Organic Fert N2O'!I30</f>
        <v>0</v>
      </c>
      <c r="F112" s="15">
        <f>(E112 * $I$97)</f>
        <v>0</v>
      </c>
    </row>
    <row r="115" spans="3:12" ht="20.100000000000001" customHeight="1" x14ac:dyDescent="0.2">
      <c r="C115" s="186"/>
      <c r="D115" s="186"/>
      <c r="E115" s="186"/>
      <c r="F115" s="186"/>
      <c r="G115" s="186"/>
      <c r="H115" s="186"/>
      <c r="I115" s="186"/>
      <c r="J115" s="186"/>
      <c r="K115" s="186"/>
      <c r="L115" s="186"/>
    </row>
    <row r="116" spans="3:12" ht="20.100000000000001" customHeight="1" x14ac:dyDescent="0.2">
      <c r="D116" s="2" t="s">
        <v>1845</v>
      </c>
    </row>
    <row r="117" spans="3:12" ht="20.100000000000001" customHeight="1" x14ac:dyDescent="0.2">
      <c r="D117" s="17" t="s">
        <v>1846</v>
      </c>
    </row>
    <row r="118" spans="3:12" ht="20.100000000000001" customHeight="1" x14ac:dyDescent="0.2">
      <c r="D118" s="118"/>
      <c r="E118" s="118"/>
    </row>
    <row r="121" spans="3:12" ht="20.100000000000001" customHeight="1" x14ac:dyDescent="0.2">
      <c r="D121" s="76" t="s">
        <v>378</v>
      </c>
      <c r="E121" s="1" t="s">
        <v>1847</v>
      </c>
    </row>
    <row r="122" spans="3:12" ht="20.100000000000001" customHeight="1" x14ac:dyDescent="0.2">
      <c r="D122" s="76" t="s">
        <v>118</v>
      </c>
      <c r="E122" s="9" t="s">
        <v>11</v>
      </c>
    </row>
    <row r="124" spans="3:12" ht="20.100000000000001" customHeight="1" x14ac:dyDescent="0.2">
      <c r="D124" s="120" t="s">
        <v>1842</v>
      </c>
      <c r="E124" s="125" t="s">
        <v>1848</v>
      </c>
      <c r="F124" s="126"/>
      <c r="G124" s="120" t="s">
        <v>1301</v>
      </c>
      <c r="H124" s="128" t="s">
        <v>1850</v>
      </c>
      <c r="I124" s="127" t="str" cm="1">
        <f t="array" aca="1" ref="I124" ca="1">HYPERLINK(Common_InputFunctions.Utility_SourceHyperlink($D$99), $D$99)</f>
        <v>Table_M_vol_organic_j_f</v>
      </c>
    </row>
    <row r="125" spans="3:12" ht="20.100000000000001" customHeight="1" x14ac:dyDescent="0.2">
      <c r="D125" s="120" t="s">
        <v>1837</v>
      </c>
      <c r="E125" s="125" t="s">
        <v>1849</v>
      </c>
      <c r="F125" s="126"/>
      <c r="G125" s="120" t="s">
        <v>1663</v>
      </c>
      <c r="H125" s="128" t="s">
        <v>1501</v>
      </c>
      <c r="I125" s="120">
        <f>Common_InputFunctions.Utility_LookupN2OEFFromProdIrrigationRainfall(I127,I128,I129,Table_SourceData_Common_EFN2O[Production system only],Table_SourceData_Common_EFN2O[Irrigation method],Table_SourceData_Common_EFN2O[Rainfall zone],Table_SourceData_Common_EFN2O[EFN2O])</f>
        <v>5.8999999999999999E-3</v>
      </c>
    </row>
    <row r="126" spans="3:12" ht="20.100000000000001" customHeight="1" x14ac:dyDescent="0.2">
      <c r="D126" s="120" t="s">
        <v>1660</v>
      </c>
      <c r="E126" s="125" t="s">
        <v>1763</v>
      </c>
      <c r="F126" s="126"/>
      <c r="G126" s="120"/>
      <c r="H126" s="128" t="s">
        <v>1501</v>
      </c>
      <c r="I126" s="132">
        <f>Common_InputFunctions.Utility_LookupValueInTableNumber("N2O",Table_GasToMolecularConversionFactor[Gas],Table_GasToMolecularConversionFactor[Conversion factor combined])</f>
        <v>1.5714285714285714</v>
      </c>
    </row>
    <row r="127" spans="3:12" ht="20.100000000000001" customHeight="1" x14ac:dyDescent="0.2">
      <c r="D127" s="120" t="s">
        <v>1675</v>
      </c>
      <c r="E127" s="125" t="s">
        <v>159</v>
      </c>
      <c r="F127" s="126"/>
      <c r="G127" s="120"/>
      <c r="H127" s="121" t="s">
        <v>1469</v>
      </c>
      <c r="I127" s="120" t="str">
        <f>X_Cell_Fertiliser_ProductionSystem</f>
        <v>Pasture</v>
      </c>
    </row>
    <row r="128" spans="3:12" ht="20.100000000000001" customHeight="1" x14ac:dyDescent="0.2">
      <c r="D128" s="120" t="s">
        <v>1677</v>
      </c>
      <c r="E128" s="125" t="s">
        <v>1678</v>
      </c>
      <c r="F128" s="126"/>
      <c r="G128" s="120"/>
      <c r="H128" s="121" t="s">
        <v>1469</v>
      </c>
      <c r="I128" s="120" t="str">
        <f>X_Cell_Fertiliser_IrrigationMethod</f>
        <v>Surface irrigation</v>
      </c>
    </row>
    <row r="129" spans="1:9" ht="20.100000000000001" customHeight="1" x14ac:dyDescent="0.2">
      <c r="D129" s="120" t="s">
        <v>1679</v>
      </c>
      <c r="E129" s="125" t="s">
        <v>1680</v>
      </c>
      <c r="F129" s="126"/>
      <c r="G129" s="120"/>
      <c r="H129" s="121" t="s">
        <v>1469</v>
      </c>
      <c r="I129" s="120" t="str">
        <f>X_Cell_Site_RainfallZone</f>
        <v>High rainfall</v>
      </c>
    </row>
    <row r="131" spans="1:9" ht="20.100000000000001" customHeight="1" x14ac:dyDescent="0.2">
      <c r="D131" s="122" t="s">
        <v>811</v>
      </c>
    </row>
    <row r="132" spans="1:9" ht="20.100000000000001" customHeight="1" x14ac:dyDescent="0.2">
      <c r="D132" s="123" t="s">
        <v>812</v>
      </c>
    </row>
    <row r="133" spans="1:9" ht="20.100000000000001" customHeight="1" x14ac:dyDescent="0.2">
      <c r="D133" s="81" t="s">
        <v>782</v>
      </c>
      <c r="E133" s="181" t="s">
        <v>810</v>
      </c>
      <c r="F133" s="181" t="s">
        <v>813</v>
      </c>
    </row>
    <row r="134" spans="1:9" ht="20.100000000000001" customHeight="1" x14ac:dyDescent="0.2">
      <c r="D134" s="15" t="str" cm="1">
        <f t="array" ref="D134:D136">Table_Input_OrganicFertiliser[Organic fertiliser type (select)]</f>
        <v>Manure - Other</v>
      </c>
      <c r="E134" s="15">
        <f>F102</f>
        <v>630</v>
      </c>
      <c r="F134" s="15">
        <f>((E134 * $I$125) * $I$126 * 10 ^ -3)</f>
        <v>5.8410000000000007E-3</v>
      </c>
    </row>
    <row r="135" spans="1:9" ht="20.100000000000001" customHeight="1" x14ac:dyDescent="0.2">
      <c r="D135" s="15" t="str">
        <v>Manure - Poultry</v>
      </c>
      <c r="E135" s="15">
        <f t="shared" ref="E135:E144" si="1">F103</f>
        <v>525</v>
      </c>
      <c r="F135" s="15">
        <f>((E135 * $I$125) * $I$126 * 10 ^ -3)</f>
        <v>4.8674999999999994E-3</v>
      </c>
    </row>
    <row r="136" spans="1:9" ht="20.100000000000001" customHeight="1" x14ac:dyDescent="0.2">
      <c r="D136" s="15" t="str">
        <v>Other organic fertiliser</v>
      </c>
      <c r="E136" s="15">
        <f t="shared" si="1"/>
        <v>336</v>
      </c>
      <c r="F136" s="15">
        <f>((E136 * $I$125) * $I$126 * 10 ^ -3)</f>
        <v>3.1151999999999998E-3</v>
      </c>
    </row>
    <row r="137" spans="1:9" ht="20.100000000000001" customHeight="1" x14ac:dyDescent="0.2">
      <c r="D137" s="15"/>
      <c r="E137" s="15">
        <f t="shared" si="1"/>
        <v>0</v>
      </c>
      <c r="F137" s="15">
        <f>((E137 * $I$125) * $I$126 * 10 ^ -3)</f>
        <v>0</v>
      </c>
    </row>
    <row r="138" spans="1:9" ht="20.100000000000001" customHeight="1" x14ac:dyDescent="0.2">
      <c r="D138" s="15"/>
      <c r="E138" s="15">
        <f t="shared" si="1"/>
        <v>0</v>
      </c>
      <c r="F138" s="15">
        <f>((E138 * $I$125) * $I$126 * 10 ^ -3)</f>
        <v>0</v>
      </c>
    </row>
    <row r="139" spans="1:9" ht="20.100000000000001" customHeight="1" x14ac:dyDescent="0.2">
      <c r="A139" s="129" t="str">
        <f>HYPERLINK("#A1", "▲ Back to top")</f>
        <v>▲ Back to top</v>
      </c>
      <c r="D139" s="15"/>
      <c r="E139" s="15">
        <f t="shared" si="1"/>
        <v>0</v>
      </c>
      <c r="F139" s="15">
        <f>((E139 * $I$125) * $I$126 * 10 ^ -3)</f>
        <v>0</v>
      </c>
    </row>
    <row r="140" spans="1:9" ht="20.100000000000001" customHeight="1" x14ac:dyDescent="0.2">
      <c r="D140" s="15"/>
      <c r="E140" s="15">
        <f t="shared" si="1"/>
        <v>0</v>
      </c>
      <c r="F140" s="15">
        <f>((E140 * $I$125) * $I$126 * 10 ^ -3)</f>
        <v>0</v>
      </c>
    </row>
    <row r="141" spans="1:9" ht="20.100000000000001" customHeight="1" x14ac:dyDescent="0.2">
      <c r="D141" s="15"/>
      <c r="E141" s="15">
        <f t="shared" si="1"/>
        <v>0</v>
      </c>
      <c r="F141" s="15">
        <f>((E141 * $I$125) * $I$126 * 10 ^ -3)</f>
        <v>0</v>
      </c>
    </row>
    <row r="142" spans="1:9" ht="20.100000000000001" customHeight="1" x14ac:dyDescent="0.2">
      <c r="D142" s="15"/>
      <c r="E142" s="15">
        <f t="shared" si="1"/>
        <v>0</v>
      </c>
      <c r="F142" s="15">
        <f>((E142 * $I$125) * $I$126 * 10 ^ -3)</f>
        <v>0</v>
      </c>
    </row>
    <row r="143" spans="1:9" ht="20.100000000000001" customHeight="1" x14ac:dyDescent="0.2">
      <c r="D143" s="15"/>
      <c r="E143" s="15">
        <f t="shared" si="1"/>
        <v>0</v>
      </c>
      <c r="F143" s="15">
        <f>((E143 * $I$125) * $I$126 * 10 ^ -3)</f>
        <v>0</v>
      </c>
    </row>
    <row r="144" spans="1:9" ht="20.100000000000001" customHeight="1" x14ac:dyDescent="0.2">
      <c r="D144" s="15"/>
      <c r="E144" s="15">
        <f t="shared" si="1"/>
        <v>0</v>
      </c>
      <c r="F144" s="15">
        <f>((E144 * $I$125) * $I$126 * 10 ^ -3)</f>
        <v>0</v>
      </c>
    </row>
    <row r="146" spans="4:7" ht="20.100000000000001" customHeight="1" x14ac:dyDescent="0.2">
      <c r="D146" s="87" t="s">
        <v>814</v>
      </c>
      <c r="E146" s="90">
        <f>SUM(F134:F144)</f>
        <v>1.38237E-2</v>
      </c>
      <c r="F146" s="89" t="str">
        <f>$E$122</f>
        <v>t N2O</v>
      </c>
    </row>
    <row r="148" spans="4:7" ht="20.100000000000001" customHeight="1" x14ac:dyDescent="0.2">
      <c r="D148" s="132" t="str" cm="1">
        <f t="array" ref="D148:E149">Common_Equations.Common_ConvertN2OToCO2e_Arguments()</f>
        <v>EN2O</v>
      </c>
      <c r="E148" s="135" t="str">
        <v>Nitrous oxide emissions (t N2O)</v>
      </c>
      <c r="F148" s="136"/>
      <c r="G148" s="15">
        <f>VEERG_5_4_1_3__1_OrganicFertiliserAtmosphericDepositionN2OEmissions_Result_Method1</f>
        <v>1.38237E-2</v>
      </c>
    </row>
    <row r="149" spans="4:7" ht="20.100000000000001" customHeight="1" x14ac:dyDescent="0.2">
      <c r="D149" s="132" t="str">
        <v>GWPN2O</v>
      </c>
      <c r="E149" s="135" t="str">
        <v>Global warming potential for nitrous oxide (t CO2-e / t N2O)</v>
      </c>
      <c r="F149" s="136"/>
      <c r="G149" s="15">
        <f>Common_InputFunctions.Utility_LookupValueInTableNumber("N2O",Table_GWPData[Gas],Table_GWPData[CO2-e factor])</f>
        <v>265</v>
      </c>
    </row>
    <row r="151" spans="4:7" ht="20.100000000000001" customHeight="1" x14ac:dyDescent="0.2">
      <c r="D151" s="88" t="s">
        <v>527</v>
      </c>
      <c r="E151" s="88" cm="1">
        <f t="array" ref="E151">Common_Equations.Common_ConvertN2OToCO2e(G148,G149)</f>
        <v>3.6632804999999999</v>
      </c>
      <c r="F151" s="93" t="str" cm="1">
        <f t="array" ref="F151">Common_Equations.Common_ConvertN2OToCO2e_Unit()</f>
        <v>t CO2e</v>
      </c>
    </row>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73D83-7B64-4A93-A5A5-262B2A9BA858}">
  <sheetPr>
    <tabColor rgb="FF008000"/>
  </sheetPr>
  <dimension ref="A1:T99"/>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815</v>
      </c>
    </row>
    <row r="2" spans="1:20" s="3" customFormat="1" ht="20.100000000000001" customHeight="1" x14ac:dyDescent="0.2">
      <c r="A2"/>
    </row>
    <row r="3" spans="1:20" ht="20.100000000000001" customHeight="1" x14ac:dyDescent="0.2">
      <c r="A3" s="5" t="str">
        <f>HYPERLINK("#'Home'!A1", "Home")</f>
        <v>Home</v>
      </c>
      <c r="C3" s="22"/>
      <c r="D3" s="22" t="s">
        <v>129</v>
      </c>
      <c r="E3" s="22"/>
      <c r="F3" s="22"/>
      <c r="G3" s="22"/>
      <c r="H3" s="22"/>
      <c r="I3" s="22"/>
      <c r="J3" s="22"/>
      <c r="K3" s="22"/>
      <c r="M3" s="22"/>
      <c r="N3" s="22" t="s">
        <v>130</v>
      </c>
      <c r="O3" s="22"/>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
        <v>1851</v>
      </c>
    </row>
    <row r="6" spans="1:20" ht="20.100000000000001" customHeight="1" x14ac:dyDescent="0.2">
      <c r="A6" s="5" t="str">
        <f>HYPERLINK("#'Results'!A1", "Results")</f>
        <v>Results</v>
      </c>
      <c r="D6" s="17" t="s">
        <v>1852</v>
      </c>
    </row>
    <row r="7" spans="1:20" ht="20.100000000000001" customHeight="1" x14ac:dyDescent="0.2">
      <c r="D7" s="118"/>
      <c r="E7" s="118"/>
    </row>
    <row r="9" spans="1:20" ht="20.100000000000001" customHeight="1" x14ac:dyDescent="0.2">
      <c r="A9" s="7" t="s">
        <v>0</v>
      </c>
    </row>
    <row r="10" spans="1:20" ht="20.100000000000001" customHeight="1" x14ac:dyDescent="0.2">
      <c r="A10" s="5" t="str">
        <f>HYPERLINK("#'Input - Enterprise'!A1", "Enterprise")</f>
        <v>Enterprise</v>
      </c>
      <c r="D10" s="76" t="s">
        <v>378</v>
      </c>
      <c r="E10" s="1" t="s">
        <v>1853</v>
      </c>
    </row>
    <row r="11" spans="1:20" ht="20.100000000000001" customHeight="1" x14ac:dyDescent="0.2">
      <c r="A11" s="5" t="str">
        <f>HYPERLINK("#'Input - Site'!A1", "Site")</f>
        <v>Site</v>
      </c>
      <c r="D11" s="76" t="s">
        <v>118</v>
      </c>
      <c r="E11" s="9" t="s">
        <v>1301</v>
      </c>
    </row>
    <row r="12" spans="1:20" ht="20.100000000000001" customHeight="1" x14ac:dyDescent="0.2">
      <c r="A12" s="5" t="str">
        <f>HYPERLINK("#'Input - Dairy'!A1", "Dairy")</f>
        <v>Dairy</v>
      </c>
    </row>
    <row r="13" spans="1:20" ht="20.100000000000001" customHeight="1" x14ac:dyDescent="0.2">
      <c r="A13" s="5" t="str">
        <f>HYPERLINK("#'Input - Livestock sales'!A1", "Livestock sales")</f>
        <v>Livestock sales</v>
      </c>
      <c r="D13" s="120" t="s">
        <v>1743</v>
      </c>
      <c r="E13" s="125" t="s">
        <v>1854</v>
      </c>
      <c r="F13" s="126"/>
      <c r="G13" s="120" t="s">
        <v>1301</v>
      </c>
      <c r="H13" s="128" t="s">
        <v>1765</v>
      </c>
      <c r="I13" s="127" t="str" cm="1">
        <f t="array" aca="1" ref="I13" ca="1">HYPERLINK(Common_InputFunctions.Utility_SourceHyperlink(D20), D20)</f>
        <v>Table_M_leach_inorganic_j</v>
      </c>
    </row>
    <row r="14" spans="1:20" ht="20.100000000000001" customHeight="1" x14ac:dyDescent="0.2">
      <c r="A14" s="5" t="str">
        <f>HYPERLINK("#'Input - Dairy cattle purchases'!A1", "Dairy cattle purchases")</f>
        <v>Dairy cattle purchases</v>
      </c>
      <c r="D14" s="120" t="s">
        <v>1855</v>
      </c>
      <c r="E14" s="125" t="s">
        <v>1734</v>
      </c>
      <c r="F14" s="126"/>
      <c r="G14" s="120" t="s">
        <v>383</v>
      </c>
      <c r="H14" s="128" t="s">
        <v>1501</v>
      </c>
      <c r="I14" s="120">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
      <c r="A15" s="5" t="str">
        <f>HYPERLINK("#'Input - Pasture'!A1", "Pasture")</f>
        <v>Pasture</v>
      </c>
      <c r="D15" s="120" t="s">
        <v>1735</v>
      </c>
      <c r="E15" s="125" t="s">
        <v>1690</v>
      </c>
      <c r="F15" s="126"/>
      <c r="G15" s="120" t="s">
        <v>383</v>
      </c>
      <c r="H15" s="128" t="s">
        <v>1501</v>
      </c>
      <c r="I15" s="120">
        <f>Fertiliser_FracLEACH_Data</f>
        <v>0.24</v>
      </c>
    </row>
    <row r="16" spans="1:20" ht="20.100000000000001" customHeight="1" x14ac:dyDescent="0.2">
      <c r="A16" s="5" t="str">
        <f>HYPERLINK("#'Input - Fert Prod System'!A1", "Fert Prod System")</f>
        <v>Fert Prod System</v>
      </c>
      <c r="D16" s="120" t="s">
        <v>1691</v>
      </c>
      <c r="E16" s="125" t="s">
        <v>1692</v>
      </c>
      <c r="F16" s="126"/>
      <c r="G16" s="120"/>
      <c r="H16" s="121" t="s">
        <v>1469</v>
      </c>
      <c r="I16" s="120" t="str">
        <f>X_Cell_Site_LeachingZone</f>
        <v>NO - Not in leaching zone</v>
      </c>
    </row>
    <row r="17" spans="1:9" ht="20.100000000000001" customHeight="1" x14ac:dyDescent="0.2">
      <c r="A17" s="5" t="str">
        <f>HYPERLINK("#'Input - Fertiliser'!A1", "Fertiliser")</f>
        <v>Fertiliser</v>
      </c>
      <c r="D17" s="120" t="s">
        <v>1675</v>
      </c>
      <c r="E17" s="125" t="s">
        <v>1676</v>
      </c>
      <c r="F17" s="126"/>
      <c r="G17" s="120"/>
      <c r="H17" s="121" t="s">
        <v>1469</v>
      </c>
      <c r="I17" s="120" t="str">
        <f>X_Cell_Fertiliser_ProductionSystem</f>
        <v>Pasture</v>
      </c>
    </row>
    <row r="18" spans="1:9" ht="20.100000000000001" customHeight="1" x14ac:dyDescent="0.2">
      <c r="A18" s="5" t="str">
        <f>HYPERLINK("#'Input - Fuel'!A1", "Fuel")</f>
        <v>Fuel</v>
      </c>
      <c r="D18" s="120" t="s">
        <v>1677</v>
      </c>
      <c r="E18" s="125" t="s">
        <v>1678</v>
      </c>
      <c r="F18" s="126"/>
      <c r="G18" s="120"/>
      <c r="H18" s="121" t="s">
        <v>1469</v>
      </c>
      <c r="I18" s="120" t="str">
        <f>X_Cell_Fertiliser_IrrigationMethod</f>
        <v>Surface irrigation</v>
      </c>
    </row>
    <row r="19" spans="1:9" ht="20.100000000000001" customHeight="1" x14ac:dyDescent="0.2">
      <c r="A19" s="5" t="str">
        <f>HYPERLINK("#'Input - Electricity'!A1", "Electricity")</f>
        <v>Electricity</v>
      </c>
    </row>
    <row r="20" spans="1:9" ht="20.100000000000001" customHeight="1" x14ac:dyDescent="0.2">
      <c r="A20" s="5" t="str">
        <f>HYPERLINK("#'Input - Common farm inputs'!A1", "Common farm inputs")</f>
        <v>Common farm inputs</v>
      </c>
      <c r="D20" s="122" t="s">
        <v>816</v>
      </c>
    </row>
    <row r="21" spans="1:9" ht="20.100000000000001" customHeight="1" x14ac:dyDescent="0.2">
      <c r="A21" s="5" t="str">
        <f>HYPERLINK("#'Input - Crop pasture farm input'!A1", "Crop pasture farm input")</f>
        <v>Crop pasture farm input</v>
      </c>
      <c r="D21" s="123" t="s">
        <v>817</v>
      </c>
    </row>
    <row r="22" spans="1:9" ht="20.100000000000001" customHeight="1" x14ac:dyDescent="0.2">
      <c r="A22" s="5" t="str">
        <f>HYPERLINK("#'Input - Livestock farm Inputs'!A1", "Livestock farm Inputs")</f>
        <v>Livestock farm Inputs</v>
      </c>
      <c r="D22" s="124" t="s">
        <v>746</v>
      </c>
      <c r="E22" s="124" t="s">
        <v>800</v>
      </c>
      <c r="F22" s="124" t="s">
        <v>818</v>
      </c>
    </row>
    <row r="23" spans="1:9" ht="20.100000000000001" customHeight="1" x14ac:dyDescent="0.2">
      <c r="A23" s="5" t="str">
        <f>HYPERLINK("#'Input - Freight'!A1", "Freight")</f>
        <v>Freight</v>
      </c>
      <c r="D23" s="15" t="str" cm="1">
        <f t="array" ref="D23:D41">Table_Fertiliser_ChemicalCompounds[Fertiliser type f]</f>
        <v>Monoammonium phosphate (MAP)</v>
      </c>
      <c r="E23" s="15">
        <f>INDEX(Table_MN_j_f,2,4)</f>
        <v>0</v>
      </c>
      <c r="F23" s="15">
        <f>(E23 * $I$14 * $I$15)</f>
        <v>0</v>
      </c>
    </row>
    <row r="24" spans="1:9" ht="20.100000000000001" customHeight="1" x14ac:dyDescent="0.2">
      <c r="A24" s="5" t="str">
        <f>HYPERLINK("#'Input - Solid waste'!A1", "Solid waste")</f>
        <v>Solid waste</v>
      </c>
      <c r="D24" s="15" t="str">
        <v>Diammonium phosphate (DAP)</v>
      </c>
      <c r="E24" s="15">
        <f>INDEX(Table_MN_j_f,3,4)</f>
        <v>0</v>
      </c>
      <c r="F24" s="15">
        <f>(E24 * $I$14 * $I$15)</f>
        <v>0</v>
      </c>
    </row>
    <row r="25" spans="1:9" ht="20.100000000000001" customHeight="1" x14ac:dyDescent="0.2">
      <c r="A25" s="5" t="str">
        <f>HYPERLINK("#'Input - Manure sent off-site'!A1", "Manure sent off-site")</f>
        <v>Manure sent off-site</v>
      </c>
      <c r="D25" s="15" t="str">
        <v>Urea</v>
      </c>
      <c r="E25" s="15">
        <f>INDEX(Table_MN_j_f,4,4)</f>
        <v>115999.99400000001</v>
      </c>
      <c r="F25" s="15">
        <f>(E25 * $I$14 * $I$15)</f>
        <v>27839.99856</v>
      </c>
    </row>
    <row r="26" spans="1:9" ht="20.100000000000001" customHeight="1" x14ac:dyDescent="0.2">
      <c r="A26" s="5" t="str">
        <f>HYPERLINK("#'Input - Refrigerants'!A1", "Refrigerants")</f>
        <v>Refrigerants</v>
      </c>
      <c r="D26" s="15" t="str">
        <v>Sulphate of ammonia (SOA)</v>
      </c>
      <c r="E26" s="15">
        <f>INDEX(Table_MN_j_f,5,4)</f>
        <v>0</v>
      </c>
      <c r="F26" s="15">
        <f>(E26 * $I$14 * $I$15)</f>
        <v>0</v>
      </c>
    </row>
    <row r="27" spans="1:9" ht="20.100000000000001" customHeight="1" x14ac:dyDescent="0.2">
      <c r="A27" s="5" t="str">
        <f>HYPERLINK("#'Input - Data quality'!A1", "Data quality")</f>
        <v>Data quality</v>
      </c>
      <c r="D27" s="15" t="str">
        <v>Urea-ammonium nitrate (UAN)</v>
      </c>
      <c r="E27" s="15">
        <f>INDEX(Table_MN_j_f,6,4)</f>
        <v>0</v>
      </c>
      <c r="F27" s="15">
        <f>(E27 * $I$14 * $I$15)</f>
        <v>0</v>
      </c>
    </row>
    <row r="28" spans="1:9" ht="20.100000000000001" customHeight="1" x14ac:dyDescent="0.2">
      <c r="D28" s="15" t="str">
        <v>Ammonium nitrate (AN)</v>
      </c>
      <c r="E28" s="15">
        <f>INDEX(Table_MN_j_f,7,4)</f>
        <v>0</v>
      </c>
      <c r="F28" s="15">
        <f>(E28 * $I$14 * $I$15)</f>
        <v>0</v>
      </c>
    </row>
    <row r="29" spans="1:9" ht="20.100000000000001" customHeight="1" x14ac:dyDescent="0.2">
      <c r="D29" s="15" t="str">
        <v>Calcium ammonium nitrate (CAN)</v>
      </c>
      <c r="E29" s="15">
        <f>INDEX(Table_MN_j_f,8,4)</f>
        <v>0</v>
      </c>
      <c r="F29" s="15">
        <f>(E29 * $I$14 * $I$15)</f>
        <v>0</v>
      </c>
    </row>
    <row r="30" spans="1:9" ht="20.100000000000001" customHeight="1" x14ac:dyDescent="0.2">
      <c r="A30" s="6" t="s">
        <v>2</v>
      </c>
      <c r="D30" s="15" t="str">
        <v>Nitrogen - Ammoniacal</v>
      </c>
      <c r="E30" s="15">
        <f>INDEX(Table_MN_j_f,9,4)</f>
        <v>12400</v>
      </c>
      <c r="F30" s="15">
        <f>(E30 * $I$14 * $I$15)</f>
        <v>2976</v>
      </c>
    </row>
    <row r="31" spans="1:9" ht="20.100000000000001" customHeight="1" x14ac:dyDescent="0.2">
      <c r="A31" s="5" t="str">
        <f>HYPERLINK("#'3.3.1.1-2 Enteric Methane'!A1", "3.3.1.1-2 Enteric methane")</f>
        <v>3.3.1.1-2 Enteric methane</v>
      </c>
      <c r="D31" s="15" t="str">
        <v>Nitrogen - Nitrate</v>
      </c>
      <c r="E31" s="15">
        <f>INDEX(Table_MN_j_f,10,4)</f>
        <v>5500</v>
      </c>
      <c r="F31" s="15">
        <f>(E31 * $I$14 * $I$15)</f>
        <v>1320</v>
      </c>
    </row>
    <row r="32" spans="1:9" ht="20.100000000000001" customHeight="1" x14ac:dyDescent="0.2">
      <c r="A32" s="5" t="str">
        <f>HYPERLINK("#'4.3.1.1-2 Methane'!A1", "4.3.1.1-2 Manure methane")</f>
        <v>4.3.1.1-2 Manure methane</v>
      </c>
      <c r="D32" s="15" t="str">
        <v>Nitrogen - Generic</v>
      </c>
      <c r="E32" s="15">
        <f>INDEX(Table_MN_j_f,11,4)</f>
        <v>0</v>
      </c>
      <c r="F32" s="15">
        <f>(E32 * $I$14 * $I$15)</f>
        <v>0</v>
      </c>
    </row>
    <row r="33" spans="1:11" ht="20.100000000000001" customHeight="1" x14ac:dyDescent="0.2">
      <c r="A33" s="5" t="str">
        <f>HYPERLINK("#'4.3.1.3-4 Direct N20'!A1", "4.3.1.3-4 Direct N20")</f>
        <v>4.3.1.3-4 Direct N20</v>
      </c>
      <c r="D33" s="15" t="str">
        <v>Phosphorus - Generic</v>
      </c>
      <c r="E33" s="15">
        <f>INDEX(Table_MN_j_f,12,4)</f>
        <v>0</v>
      </c>
      <c r="F33" s="15">
        <f>(E33 * $I$14 * $I$15)</f>
        <v>0</v>
      </c>
    </row>
    <row r="34" spans="1:11" ht="20.100000000000001" customHeight="1" x14ac:dyDescent="0.2">
      <c r="A34" s="5" t="str">
        <f>HYPERLINK("#'4.3.1.5 Atmos deposition'!A1", "4.3.1.5 Atmos deposition")</f>
        <v>4.3.1.5 Atmos deposition</v>
      </c>
      <c r="D34" s="15" t="str">
        <v>Potassium - Generic</v>
      </c>
      <c r="E34" s="15">
        <f>INDEX(Table_MN_j_f,13,4)</f>
        <v>0</v>
      </c>
      <c r="F34" s="15">
        <f>(E34 * $I$14 * $I$15)</f>
        <v>0</v>
      </c>
    </row>
    <row r="35" spans="1:11" ht="20.100000000000001" customHeight="1" x14ac:dyDescent="0.2">
      <c r="A35" s="5" t="str">
        <f>HYPERLINK("#'4.3.1.6-7 Leaching and runoff'!A1", "4.3.1.6-7 Leaching &amp; runoff")</f>
        <v>4.3.1.6-7 Leaching &amp; runoff</v>
      </c>
      <c r="D35" s="15" t="str">
        <v>Sulfur - Generic</v>
      </c>
      <c r="E35" s="15">
        <f>INDEX(Table_MN_j_f,14,4)</f>
        <v>0</v>
      </c>
      <c r="F35" s="15">
        <f>(E35 * $I$14 * $I$15)</f>
        <v>0</v>
      </c>
    </row>
    <row r="36" spans="1:11" ht="20.100000000000001" customHeight="1" x14ac:dyDescent="0.2">
      <c r="A36" s="5" t="str">
        <f>HYPERLINK("#'4.3.1.8 Manure applied to soils'!A1", "4.3.1.8 Manure applied to soils")</f>
        <v>4.3.1.8 Manure applied to soils</v>
      </c>
      <c r="D36" s="15" t="str">
        <v>Zinc - Generic</v>
      </c>
      <c r="E36" s="15">
        <f>INDEX(Table_MN_j_f,15,4)</f>
        <v>0</v>
      </c>
      <c r="F36" s="15">
        <f>(E36 * $I$14 * $I$15)</f>
        <v>0</v>
      </c>
    </row>
    <row r="37" spans="1:11" ht="20.100000000000001" customHeight="1" x14ac:dyDescent="0.2">
      <c r="A37" s="5" t="str">
        <f>HYPERLINK("#'4.3.1.9 Soil direct N2O'!A1", "4.3.1.9 Soil direct N2O")</f>
        <v>4.3.1.9 Soil direct N2O</v>
      </c>
      <c r="D37" s="15" t="str">
        <v>Muriate of potash (MOP)</v>
      </c>
      <c r="E37" s="15">
        <f>INDEX(Table_MN_j_f,16,4)</f>
        <v>0</v>
      </c>
      <c r="F37" s="15">
        <f>(E37 * $I$14 * $I$15)</f>
        <v>0</v>
      </c>
    </row>
    <row r="38" spans="1:11" ht="20.100000000000001" customHeight="1" x14ac:dyDescent="0.2">
      <c r="A38" s="5" t="str">
        <f>HYPERLINK("#'4.3.1.10-11 Soil Atmos Dep'!A1", "4.3.1.10-11 Soil Atmos Deposition")</f>
        <v>4.3.1.10-11 Soil Atmos Deposition</v>
      </c>
      <c r="D38" s="15" t="str">
        <v>Double superphosphate</v>
      </c>
      <c r="E38" s="15">
        <f>INDEX(Table_MN_j_f,17,4)</f>
        <v>0</v>
      </c>
      <c r="F38" s="15">
        <f>(E38 * $I$14 * $I$15)</f>
        <v>0</v>
      </c>
    </row>
    <row r="39" spans="1:11" ht="20.100000000000001" customHeight="1" x14ac:dyDescent="0.2">
      <c r="A39" s="5" t="str">
        <f>HYPERLINK("#'4.3.1.12-13 Soil leach runoff'!A1", "4.3.1.12-13 Soil leach &amp; runoff")</f>
        <v>4.3.1.12-13 Soil leach &amp; runoff</v>
      </c>
      <c r="D39" s="15" t="str">
        <v>Single superphosphate (SSP)</v>
      </c>
      <c r="E39" s="15">
        <f>INDEX(Table_MN_j_f,18,4)</f>
        <v>0</v>
      </c>
      <c r="F39" s="15">
        <f>(E39 * $I$14 * $I$15)</f>
        <v>0</v>
      </c>
    </row>
    <row r="40" spans="1:11" ht="20.100000000000001" customHeight="1" x14ac:dyDescent="0.2">
      <c r="A40" s="5" t="str">
        <f>HYPERLINK("#'5.1.1.1-2 Inorganic fert N2O'!A1", "5.1.1.1-2 Inorganic fert N2O")</f>
        <v>5.1.1.1-2 Inorganic fert N2O</v>
      </c>
      <c r="D40" s="15" t="str">
        <v>Ammonia</v>
      </c>
      <c r="E40" s="15">
        <f>INDEX(Table_MN_j_f,19,4)</f>
        <v>41175</v>
      </c>
      <c r="F40" s="15">
        <f>(E40 * $I$14 * $I$15)</f>
        <v>9882</v>
      </c>
    </row>
    <row r="41" spans="1:11" ht="20.100000000000001" customHeight="1" x14ac:dyDescent="0.2">
      <c r="A41" s="5" t="str">
        <f>HYPERLINK("#'5.1.1.3-4 Inorganic fert CO2'!A1", "5.1.1.3-4 Inorganic fert CO2")</f>
        <v>5.1.1.3-4 Inorganic fert CO2</v>
      </c>
      <c r="D41" s="15" t="str">
        <v>Calcium nitrate</v>
      </c>
      <c r="E41" s="15">
        <f>INDEX(Table_MN_j_f,20,4)</f>
        <v>7750</v>
      </c>
      <c r="F41" s="15">
        <f>(E41 * $I$14 * $I$15)</f>
        <v>1860</v>
      </c>
    </row>
    <row r="42" spans="1:11" ht="20.100000000000001" customHeight="1" x14ac:dyDescent="0.2">
      <c r="A42" s="5" t="str">
        <f>HYPERLINK("#'5.2.1.1-2 Organic Fert N2O'!A1", "5.2.1.1-2 Organic fert N2O")</f>
        <v>5.2.1.1-2 Organic fert N2O</v>
      </c>
    </row>
    <row r="43" spans="1:11" ht="20.100000000000001" customHeight="1" x14ac:dyDescent="0.2">
      <c r="A43" s="5" t="str">
        <f>HYPERLINK("#'5.3.1.1-2 Lime CO2'!A1", "5.3.1.1-2 Lime CO2")</f>
        <v>5.3.1.1-2 Lime CO2</v>
      </c>
      <c r="D43" s="92" t="s">
        <v>819</v>
      </c>
      <c r="E43" s="88">
        <f>SUM(F23:F41)</f>
        <v>43877.99856</v>
      </c>
      <c r="F43" s="93" t="str">
        <f>$E$11</f>
        <v>kg N</v>
      </c>
    </row>
    <row r="44" spans="1:11" ht="20.100000000000001" customHeight="1" x14ac:dyDescent="0.2">
      <c r="A44" s="5" t="str">
        <f>HYPERLINK("#'5.4.1.1-4 Atmos deposition'!A1", "5.4.1.1-4 Atmos. deposition")</f>
        <v>5.4.1.1-4 Atmos. deposition</v>
      </c>
    </row>
    <row r="45" spans="1:11" ht="20.100000000000001" customHeight="1" x14ac:dyDescent="0.2">
      <c r="A45" s="119" t="str">
        <f>HYPERLINK("#'5.5.1.1-2 Leaching and runoff'!A1", "5.5.1.1-2 Leaching &amp; runoff")</f>
        <v>5.5.1.1-2 Leaching &amp; runoff</v>
      </c>
      <c r="C45" s="190"/>
      <c r="D45" s="190"/>
      <c r="E45" s="190"/>
      <c r="F45" s="190"/>
      <c r="G45" s="190"/>
      <c r="H45" s="190"/>
      <c r="I45" s="190"/>
      <c r="J45" s="190"/>
      <c r="K45" s="190"/>
    </row>
    <row r="46" spans="1:11" ht="20.100000000000001" customHeight="1" x14ac:dyDescent="0.2">
      <c r="A46" s="5" t="str">
        <f>HYPERLINK("#'6.2.1.1-2 Pasture residue N2O'!A1", "6.2.1.1-2 Pasture residue N2O")</f>
        <v>6.2.1.1-2 Pasture residue N2O</v>
      </c>
    </row>
    <row r="47" spans="1:11" ht="20.100000000000001" customHeight="1" x14ac:dyDescent="0.2">
      <c r="A47" s="5" t="str">
        <f>HYPERLINK("#'6.3.1.1-2 Leach runoff pasture'!A1", "6.3.1.1-2 Leach &amp; runoff (pasture)")</f>
        <v>6.3.1.1-2 Leach &amp; runoff (pasture)</v>
      </c>
      <c r="D47" s="2" t="s">
        <v>1856</v>
      </c>
    </row>
    <row r="48" spans="1:11" ht="20.100000000000001" customHeight="1" x14ac:dyDescent="0.2">
      <c r="A48" s="5" t="str">
        <f>HYPERLINK("#'8.1.1.1-2 Transport fuel'!A1", "8.1.1.1-2 Transport fuel")</f>
        <v>8.1.1.1-2 Transport fuel</v>
      </c>
      <c r="D48" s="17" t="s">
        <v>1857</v>
      </c>
    </row>
    <row r="49" spans="1:9" ht="20.100000000000001" customHeight="1" x14ac:dyDescent="0.2">
      <c r="A49" s="5" t="str">
        <f>HYPERLINK("#'8.2.1.1-2 Stationary fuel'!A1", "8.2.1.1-2 Stationary fuel")</f>
        <v>8.2.1.1-2 Stationary fuel</v>
      </c>
      <c r="D49" s="118"/>
      <c r="E49" s="118"/>
    </row>
    <row r="50" spans="1:9" ht="20.100000000000001" customHeight="1" x14ac:dyDescent="0.2">
      <c r="A50" s="5" t="str">
        <f>HYPERLINK("#'9.1.1.1-2 Refrigerant use'!A1", "9.1.1.1-2 Refrigerant use")</f>
        <v>9.1.1.1-2 Refrigerant use</v>
      </c>
    </row>
    <row r="51" spans="1:9" ht="20.100000000000001" customHeight="1" x14ac:dyDescent="0.2">
      <c r="A51" s="5" t="str">
        <f>HYPERLINK("#'10.1.1-2 Solid waste treatment'!A1", "10.1.1.1-2 Solid waste")</f>
        <v>10.1.1.1-2 Solid waste</v>
      </c>
    </row>
    <row r="52" spans="1:9" ht="20.100000000000001" customHeight="1" x14ac:dyDescent="0.2">
      <c r="A52" s="5" t="str">
        <f>HYPERLINK("#'14.1.1-2 Purchased electricity'!A1", "14.1.1-2 Purchased electricity")</f>
        <v>14.1.1-2 Purchased electricity</v>
      </c>
      <c r="D52" s="76" t="s">
        <v>378</v>
      </c>
      <c r="E52" s="1" t="s">
        <v>1858</v>
      </c>
    </row>
    <row r="53" spans="1:9" ht="20.100000000000001" customHeight="1" x14ac:dyDescent="0.2">
      <c r="A53" s="5" t="str">
        <f>HYPERLINK("#'15 Scope 3'!A1", "15 Scope 3")</f>
        <v>15 Scope 3</v>
      </c>
      <c r="D53" s="76" t="s">
        <v>118</v>
      </c>
      <c r="E53" s="9" t="s">
        <v>1301</v>
      </c>
    </row>
    <row r="54" spans="1:9" ht="20.100000000000001" customHeight="1" x14ac:dyDescent="0.2">
      <c r="A54" s="5" t="str">
        <f>HYPERLINK("#'Calcs - Manure sent off-site'!A1", "Calcs - Manure sent off-site")</f>
        <v>Calcs - Manure sent off-site</v>
      </c>
    </row>
    <row r="55" spans="1:9" ht="20.100000000000001" customHeight="1" x14ac:dyDescent="0.2">
      <c r="D55" s="120" t="s">
        <v>1798</v>
      </c>
      <c r="E55" s="125" t="s">
        <v>1859</v>
      </c>
      <c r="F55" s="126"/>
      <c r="G55" s="120" t="s">
        <v>1301</v>
      </c>
      <c r="H55" s="128" t="s">
        <v>1808</v>
      </c>
      <c r="I55" s="127" t="str" cm="1">
        <f t="array" aca="1" ref="I55" ca="1">HYPERLINK(Common_InputFunctions.Utility_SourceHyperlink(D62), D62)</f>
        <v>Table_M_leach_organic_j</v>
      </c>
    </row>
    <row r="56" spans="1:9" ht="20.100000000000001" customHeight="1" x14ac:dyDescent="0.2">
      <c r="D56" s="120" t="s">
        <v>1855</v>
      </c>
      <c r="E56" s="125" t="s">
        <v>1734</v>
      </c>
      <c r="F56" s="126"/>
      <c r="G56" s="120" t="s">
        <v>383</v>
      </c>
      <c r="H56" s="128" t="s">
        <v>1501</v>
      </c>
      <c r="I56" s="120">
        <f>Common_InputFunctions.CommonCropping_GetFracWET(I58,I60,Table_SourceData_FracWET[Is in leaching zone],Table_SourceData_FracWET[FracWET],Table_SourceData_FracWETIrrigation[Irrigation type i],Table_SourceData_FracWETIrrigation[FracWET])</f>
        <v>1</v>
      </c>
    </row>
    <row r="57" spans="1:9" ht="20.100000000000001" customHeight="1" x14ac:dyDescent="0.2">
      <c r="A57" s="82" t="s">
        <v>1</v>
      </c>
      <c r="D57" s="120" t="s">
        <v>1735</v>
      </c>
      <c r="E57" s="125" t="s">
        <v>1690</v>
      </c>
      <c r="F57" s="126"/>
      <c r="G57" s="120" t="s">
        <v>383</v>
      </c>
      <c r="H57" s="128" t="s">
        <v>1501</v>
      </c>
      <c r="I57" s="120">
        <f>Fertiliser_FracLEACH_Data</f>
        <v>0.24</v>
      </c>
    </row>
    <row r="58" spans="1:9" ht="20.100000000000001" customHeight="1" x14ac:dyDescent="0.2">
      <c r="A58" s="5" t="str">
        <f>HYPERLINK("#'Constants - Dairy'!A1", "Constants - Dairy")</f>
        <v>Constants - Dairy</v>
      </c>
      <c r="D58" s="120" t="s">
        <v>1691</v>
      </c>
      <c r="E58" s="125" t="s">
        <v>1692</v>
      </c>
      <c r="F58" s="126"/>
      <c r="G58" s="120"/>
      <c r="H58" s="121" t="s">
        <v>1469</v>
      </c>
      <c r="I58" s="120" t="str">
        <f>X_Cell_Site_LeachingZone</f>
        <v>NO - Not in leaching zone</v>
      </c>
    </row>
    <row r="59" spans="1:9" ht="20.100000000000001" customHeight="1" x14ac:dyDescent="0.2">
      <c r="A59" s="5" t="str">
        <f>HYPERLINK("#'Constants - Ag Residue'!A1", "Constants - Ag residue")</f>
        <v>Constants - Ag residue</v>
      </c>
      <c r="D59" s="120" t="s">
        <v>1675</v>
      </c>
      <c r="E59" s="125" t="s">
        <v>1676</v>
      </c>
      <c r="F59" s="126"/>
      <c r="G59" s="120"/>
      <c r="H59" s="121" t="s">
        <v>1469</v>
      </c>
      <c r="I59" s="120" t="str">
        <f>X_Cell_Fertiliser_ProductionSystem</f>
        <v>Pasture</v>
      </c>
    </row>
    <row r="60" spans="1:9" ht="20.100000000000001" customHeight="1" x14ac:dyDescent="0.2">
      <c r="A60" s="5" t="str">
        <f>HYPERLINK("#'Constants - Common Livestock'!A1", "Constants - Common Livestock")</f>
        <v>Constants - Common Livestock</v>
      </c>
      <c r="D60" s="120" t="s">
        <v>1677</v>
      </c>
      <c r="E60" s="125" t="s">
        <v>1678</v>
      </c>
      <c r="F60" s="126"/>
      <c r="G60" s="120"/>
      <c r="H60" s="121" t="s">
        <v>1469</v>
      </c>
      <c r="I60" s="120" t="str">
        <f>X_Cell_Fertiliser_IrrigationMethod</f>
        <v>Surface irrigation</v>
      </c>
    </row>
    <row r="61" spans="1:9" ht="20.100000000000001" customHeight="1" x14ac:dyDescent="0.2">
      <c r="A61" s="5" t="str">
        <f>HYPERLINK("#'Constants - Electricity'!A1", "Constants - Electricity")</f>
        <v>Constants - Electricity</v>
      </c>
    </row>
    <row r="62" spans="1:9" ht="20.100000000000001" customHeight="1" x14ac:dyDescent="0.2">
      <c r="A62" s="5" t="str">
        <f>HYPERLINK("#'Constants - Fertiliser'!A1", "Constants - Fertiliser")</f>
        <v>Constants - Fertiliser</v>
      </c>
      <c r="D62" s="122" t="s">
        <v>820</v>
      </c>
    </row>
    <row r="63" spans="1:9" ht="20.100000000000001" customHeight="1" x14ac:dyDescent="0.2">
      <c r="A63" s="5" t="str">
        <f>HYPERLINK("#'Constants - Fuel'!A1", "Constants - Fuel")</f>
        <v>Constants - Fuel</v>
      </c>
      <c r="D63" s="123" t="s">
        <v>821</v>
      </c>
    </row>
    <row r="64" spans="1:9" ht="20.100000000000001" customHeight="1" x14ac:dyDescent="0.2">
      <c r="A64" s="5" t="str">
        <f>HYPERLINK("#'Constants - Scope 3'!A1", "Constants - Scope 3")</f>
        <v>Constants - Scope 3</v>
      </c>
      <c r="D64" s="81" t="s">
        <v>782</v>
      </c>
      <c r="E64" s="191" t="s">
        <v>786</v>
      </c>
      <c r="F64" s="124" t="s">
        <v>822</v>
      </c>
    </row>
    <row r="65" spans="1:11" ht="20.100000000000001" customHeight="1" x14ac:dyDescent="0.2">
      <c r="A65" s="5" t="str">
        <f>HYPERLINK("#'Constants - Common'!A1", "Constants - Common")</f>
        <v>Constants - Common</v>
      </c>
      <c r="D65" s="15" t="str">
        <f>INDEX(Table_MNSoil_j_f,2,1)</f>
        <v>Manure - Other</v>
      </c>
      <c r="E65" s="15">
        <f>INDEX(Table_MNSoil_j_f,2,6)</f>
        <v>3000</v>
      </c>
      <c r="F65" s="15">
        <f>(E65 * $I$56 * $I$57)</f>
        <v>720</v>
      </c>
    </row>
    <row r="66" spans="1:11" ht="20.100000000000001" customHeight="1" x14ac:dyDescent="0.2">
      <c r="A66" s="5" t="str">
        <f>HYPERLINK("#'Constants - Refrigerants'!A1", "Constants - Refrigerants")</f>
        <v>Constants - Refrigerants</v>
      </c>
      <c r="D66" s="15" t="str">
        <f>INDEX(Table_MNSoil_j_f,3,1)</f>
        <v>Manure - Poultry</v>
      </c>
      <c r="E66" s="15">
        <f>INDEX(Table_MNSoil_j_f,3,6)</f>
        <v>2500</v>
      </c>
      <c r="F66" s="15">
        <f>(E66 * $I$56 * $I$57)</f>
        <v>600</v>
      </c>
    </row>
    <row r="67" spans="1:11" ht="20.100000000000001" customHeight="1" x14ac:dyDescent="0.2">
      <c r="A67" s="5" t="str">
        <f>HYPERLINK("#'Constants - Solid Waste'!A1", "Constants - Solid Waste")</f>
        <v>Constants - Solid Waste</v>
      </c>
      <c r="D67" s="15" t="str">
        <f>INDEX(Table_MNSoil_j_f,4,1)</f>
        <v>Other organic fertiliser</v>
      </c>
      <c r="E67" s="15">
        <f>INDEX(Table_MNSoil_j_f,4,6)</f>
        <v>1600</v>
      </c>
      <c r="F67" s="15">
        <f>(E67 * $I$56 * $I$57)</f>
        <v>384</v>
      </c>
    </row>
    <row r="68" spans="1:11" ht="20.100000000000001" customHeight="1" x14ac:dyDescent="0.2">
      <c r="A68" s="5" t="str">
        <f>HYPERLINK("#'Acknowledgements'!A1", "Acknowledgements")</f>
        <v>Acknowledgements</v>
      </c>
      <c r="D68" s="15">
        <f>'5.2.1.1-2 Organic Fert N2O'!D23</f>
        <v>0</v>
      </c>
      <c r="E68" s="15">
        <f>'5.2.1.1-2 Organic Fert N2O'!I23</f>
        <v>0</v>
      </c>
      <c r="F68" s="15">
        <f>(E68 * $I$56 * $I$57)</f>
        <v>0</v>
      </c>
    </row>
    <row r="69" spans="1:11" ht="20.100000000000001" customHeight="1" x14ac:dyDescent="0.2">
      <c r="D69" s="15">
        <f>'5.2.1.1-2 Organic Fert N2O'!D24</f>
        <v>0</v>
      </c>
      <c r="E69" s="15">
        <f>'5.2.1.1-2 Organic Fert N2O'!I24</f>
        <v>0</v>
      </c>
      <c r="F69" s="15">
        <f>(E69 * $I$56 * $I$57)</f>
        <v>0</v>
      </c>
    </row>
    <row r="70" spans="1:11" ht="20.100000000000001" customHeight="1" x14ac:dyDescent="0.2">
      <c r="D70" s="15">
        <f>'5.2.1.1-2 Organic Fert N2O'!D25</f>
        <v>0</v>
      </c>
      <c r="E70" s="15">
        <f>'5.2.1.1-2 Organic Fert N2O'!I25</f>
        <v>0</v>
      </c>
      <c r="F70" s="15">
        <f>(E70 * $I$56 * $I$57)</f>
        <v>0</v>
      </c>
    </row>
    <row r="71" spans="1:11" ht="20.100000000000001" customHeight="1" x14ac:dyDescent="0.2">
      <c r="D71" s="15">
        <f>'5.2.1.1-2 Organic Fert N2O'!D26</f>
        <v>0</v>
      </c>
      <c r="E71" s="15">
        <f>'5.2.1.1-2 Organic Fert N2O'!I26</f>
        <v>0</v>
      </c>
      <c r="F71" s="15">
        <f>(E71 * $I$56 * $I$57)</f>
        <v>0</v>
      </c>
    </row>
    <row r="72" spans="1:11" ht="20.100000000000001" customHeight="1" x14ac:dyDescent="0.2">
      <c r="D72" s="15">
        <f>'5.2.1.1-2 Organic Fert N2O'!D27</f>
        <v>0</v>
      </c>
      <c r="E72" s="15">
        <f>'5.2.1.1-2 Organic Fert N2O'!I27</f>
        <v>0</v>
      </c>
      <c r="F72" s="15">
        <f>(E72 * $I$56 * $I$57)</f>
        <v>0</v>
      </c>
    </row>
    <row r="73" spans="1:11" ht="20.100000000000001" customHeight="1" x14ac:dyDescent="0.2">
      <c r="D73" s="15">
        <f>'5.2.1.1-2 Organic Fert N2O'!D28</f>
        <v>0</v>
      </c>
      <c r="E73" s="15">
        <f>'5.2.1.1-2 Organic Fert N2O'!I28</f>
        <v>0</v>
      </c>
      <c r="F73" s="15">
        <f>(E73 * $I$56 * $I$57)</f>
        <v>0</v>
      </c>
    </row>
    <row r="74" spans="1:11" ht="20.100000000000001" customHeight="1" x14ac:dyDescent="0.2">
      <c r="D74" s="15">
        <f>'5.2.1.1-2 Organic Fert N2O'!D29</f>
        <v>0</v>
      </c>
      <c r="E74" s="15">
        <f>'5.2.1.1-2 Organic Fert N2O'!I29</f>
        <v>0</v>
      </c>
      <c r="F74" s="15">
        <f>(E74 * $I$56 * $I$57)</f>
        <v>0</v>
      </c>
    </row>
    <row r="75" spans="1:11" ht="20.100000000000001" customHeight="1" x14ac:dyDescent="0.2">
      <c r="D75" s="15">
        <f>'5.2.1.1-2 Organic Fert N2O'!D30</f>
        <v>0</v>
      </c>
      <c r="E75" s="15">
        <f>'5.2.1.1-2 Organic Fert N2O'!I30</f>
        <v>0</v>
      </c>
      <c r="F75" s="15">
        <f>(E75 * $I$56 * $I$57)</f>
        <v>0</v>
      </c>
    </row>
    <row r="77" spans="1:11" ht="20.100000000000001" customHeight="1" x14ac:dyDescent="0.2">
      <c r="D77" s="92" t="s">
        <v>823</v>
      </c>
      <c r="E77" s="88">
        <f>SUM(F65:F75)</f>
        <v>1704</v>
      </c>
      <c r="F77" s="93" t="str">
        <f>$E$53</f>
        <v>kg N</v>
      </c>
    </row>
    <row r="79" spans="1:11" ht="20.100000000000001" customHeight="1" x14ac:dyDescent="0.2">
      <c r="A79" s="129" t="str">
        <f>HYPERLINK("#A1", "▲ Back to top")</f>
        <v>▲ Back to top</v>
      </c>
      <c r="C79" s="190"/>
      <c r="D79" s="190"/>
      <c r="E79" s="190"/>
      <c r="F79" s="190"/>
      <c r="G79" s="190"/>
      <c r="H79" s="190"/>
      <c r="I79" s="190"/>
      <c r="J79" s="190"/>
      <c r="K79" s="190"/>
    </row>
    <row r="81" spans="4:10" ht="20.100000000000001" customHeight="1" x14ac:dyDescent="0.2">
      <c r="D81" s="2" t="s">
        <v>1860</v>
      </c>
    </row>
    <row r="82" spans="4:10" ht="20.100000000000001" customHeight="1" x14ac:dyDescent="0.2">
      <c r="D82" s="17" t="s">
        <v>1861</v>
      </c>
    </row>
    <row r="83" spans="4:10" ht="20.100000000000001" customHeight="1" x14ac:dyDescent="0.2">
      <c r="D83" s="118"/>
      <c r="E83" s="118"/>
    </row>
    <row r="86" spans="4:10" ht="20.100000000000001" customHeight="1" x14ac:dyDescent="0.2">
      <c r="D86" s="76" t="s">
        <v>378</v>
      </c>
      <c r="E86" s="1" t="s">
        <v>1862</v>
      </c>
    </row>
    <row r="87" spans="4:10" ht="20.100000000000001" customHeight="1" x14ac:dyDescent="0.2">
      <c r="D87" s="76" t="s">
        <v>118</v>
      </c>
      <c r="E87" s="9" t="s">
        <v>11</v>
      </c>
    </row>
    <row r="89" spans="4:10" ht="20.100000000000001" customHeight="1" x14ac:dyDescent="0.2">
      <c r="D89" s="120" t="s">
        <v>1853</v>
      </c>
      <c r="E89" s="125" t="s">
        <v>1863</v>
      </c>
      <c r="F89" s="133"/>
      <c r="G89" s="126"/>
      <c r="H89" s="120" t="s">
        <v>1301</v>
      </c>
      <c r="I89" s="128" t="s">
        <v>1866</v>
      </c>
      <c r="J89" s="120">
        <f>$E$43</f>
        <v>43877.99856</v>
      </c>
    </row>
    <row r="90" spans="4:10" ht="20.100000000000001" customHeight="1" x14ac:dyDescent="0.2">
      <c r="D90" s="120" t="s">
        <v>1858</v>
      </c>
      <c r="E90" s="125" t="s">
        <v>1864</v>
      </c>
      <c r="F90" s="133"/>
      <c r="G90" s="126"/>
      <c r="H90" s="120" t="s">
        <v>1301</v>
      </c>
      <c r="I90" s="128" t="s">
        <v>1867</v>
      </c>
      <c r="J90" s="120">
        <f>$E$77</f>
        <v>1704</v>
      </c>
    </row>
    <row r="91" spans="4:10" ht="20.100000000000001" customHeight="1" x14ac:dyDescent="0.2">
      <c r="D91" s="120" t="s">
        <v>1698</v>
      </c>
      <c r="E91" s="125" t="s">
        <v>1865</v>
      </c>
      <c r="F91" s="133"/>
      <c r="G91" s="126"/>
      <c r="H91" s="120" t="s">
        <v>1663</v>
      </c>
      <c r="I91" s="128" t="s">
        <v>1501</v>
      </c>
      <c r="J91" s="120">
        <f>Fertiliser_EFLeach_Data</f>
        <v>1.0999999999999999E-2</v>
      </c>
    </row>
    <row r="92" spans="4:10" ht="20.100000000000001" customHeight="1" x14ac:dyDescent="0.2">
      <c r="D92" s="120" t="s">
        <v>1660</v>
      </c>
      <c r="E92" s="125" t="s">
        <v>1763</v>
      </c>
      <c r="F92" s="133"/>
      <c r="G92" s="126"/>
      <c r="H92" s="120"/>
      <c r="I92" s="128" t="s">
        <v>1501</v>
      </c>
      <c r="J92" s="132">
        <f>Common_InputFunctions.Utility_LookupValueInTableNumber("N2O",Table_GasToMolecularConversionFactor[Gas],Table_GasToMolecularConversionFactor[Conversion factor combined])</f>
        <v>1.5714285714285714</v>
      </c>
    </row>
    <row r="94" spans="4:10" ht="20.100000000000001" customHeight="1" x14ac:dyDescent="0.2">
      <c r="D94" s="87" t="s">
        <v>824</v>
      </c>
      <c r="E94" s="90">
        <f>((J89 + J90) * J91 * J92 * 10 ^ -3)</f>
        <v>0.78791740368000007</v>
      </c>
      <c r="F94" s="89" t="str">
        <f>$E$87</f>
        <v>t N2O</v>
      </c>
    </row>
    <row r="96" spans="4:10" ht="20.100000000000001" customHeight="1" x14ac:dyDescent="0.2">
      <c r="D96" s="132" t="str" cm="1">
        <f t="array" ref="D96:E97">Common_Equations.Common_ConvertN2OToCO2e_Arguments()</f>
        <v>EN2O</v>
      </c>
      <c r="E96" s="135" t="str">
        <v>Nitrous oxide emissions (t N2O)</v>
      </c>
      <c r="F96" s="136"/>
      <c r="G96" s="15">
        <f>VEERG_5_5_1_1__1_FertiliserLeachingAndRunoffN2OEmissions_result_Method1</f>
        <v>0.78791740368000007</v>
      </c>
    </row>
    <row r="97" spans="4:7" ht="20.100000000000001" customHeight="1" x14ac:dyDescent="0.2">
      <c r="D97" s="132" t="str">
        <v>GWPN2O</v>
      </c>
      <c r="E97" s="135" t="str">
        <v>Global warming potential for nitrous oxide (t CO2-e / t N2O)</v>
      </c>
      <c r="F97" s="136"/>
      <c r="G97" s="15">
        <f>Common_InputFunctions.Utility_LookupValueInTableNumber("N2O",Table_GWPData[Gas],Table_GWPData[CO2-e factor])</f>
        <v>265</v>
      </c>
    </row>
    <row r="99" spans="4:7" ht="20.100000000000001" customHeight="1" x14ac:dyDescent="0.2">
      <c r="D99" s="88" t="s">
        <v>527</v>
      </c>
      <c r="E99" s="88" cm="1">
        <f t="array" ref="E99">Common_Equations.Common_ConvertN2OToCO2e(G96,G97)</f>
        <v>208.79811197520002</v>
      </c>
      <c r="F99" s="93" t="str" cm="1">
        <f t="array" ref="F99">Common_Equations.Common_ConvertN2OToCO2e_Unit()</f>
        <v>t CO2e</v>
      </c>
    </row>
  </sheetData>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1043C-80DE-4813-8263-9D149D07E7F6}">
  <sheetPr>
    <tabColor rgb="FF008000"/>
  </sheetPr>
  <dimension ref="A1:U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1139</v>
      </c>
    </row>
    <row r="2" spans="1:21" s="3" customFormat="1" ht="20.100000000000001" customHeight="1" x14ac:dyDescent="0.2">
      <c r="A2"/>
    </row>
    <row r="3" spans="1:21" ht="20.100000000000001" customHeight="1" x14ac:dyDescent="0.2">
      <c r="A3" s="5" t="str">
        <f>HYPERLINK("#'Home'!A1", "Home")</f>
        <v>Home</v>
      </c>
      <c r="C3" s="22"/>
      <c r="D3" s="22" t="s">
        <v>129</v>
      </c>
      <c r="E3" s="22"/>
      <c r="F3" s="22"/>
      <c r="G3" s="22"/>
      <c r="H3" s="22"/>
      <c r="I3" s="22"/>
      <c r="J3" s="22"/>
      <c r="K3" s="22"/>
      <c r="M3" s="22"/>
      <c r="N3" s="22" t="s">
        <v>130</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1868</v>
      </c>
    </row>
    <row r="6" spans="1:21" ht="20.100000000000001" customHeight="1" x14ac:dyDescent="0.2">
      <c r="A6" s="5" t="str">
        <f>HYPERLINK("#'Results'!A1", "Results")</f>
        <v>Results</v>
      </c>
      <c r="D6" s="17" t="s">
        <v>1869</v>
      </c>
    </row>
    <row r="7" spans="1:21" ht="20.100000000000001" customHeight="1" x14ac:dyDescent="0.2">
      <c r="D7" s="118"/>
      <c r="E7" s="118"/>
    </row>
    <row r="9" spans="1:21" ht="20.100000000000001" customHeight="1" x14ac:dyDescent="0.2">
      <c r="A9" s="7" t="s">
        <v>0</v>
      </c>
    </row>
    <row r="10" spans="1:21" ht="20.100000000000001" customHeight="1" x14ac:dyDescent="0.2">
      <c r="A10" s="5" t="str">
        <f>HYPERLINK("#'Input - Enterprise'!A1", "Enterprise")</f>
        <v>Enterprise</v>
      </c>
      <c r="D10" s="24" t="s">
        <v>378</v>
      </c>
      <c r="E10" s="1" t="s">
        <v>1870</v>
      </c>
    </row>
    <row r="11" spans="1:21" ht="20.100000000000001" customHeight="1" x14ac:dyDescent="0.2">
      <c r="A11" s="5" t="str">
        <f>HYPERLINK("#'Input - Site'!A1", "Site")</f>
        <v>Site</v>
      </c>
      <c r="D11" s="24" t="s">
        <v>118</v>
      </c>
      <c r="E11" s="9" t="s">
        <v>1301</v>
      </c>
    </row>
    <row r="12" spans="1:21" ht="20.100000000000001" customHeight="1" x14ac:dyDescent="0.2">
      <c r="A12" s="5" t="str">
        <f>HYPERLINK("#'Input - Dairy'!A1", "Dairy")</f>
        <v>Dairy</v>
      </c>
    </row>
    <row r="13" spans="1:21" ht="20.100000000000001" customHeight="1" x14ac:dyDescent="0.2">
      <c r="A13" s="5" t="str">
        <f>HYPERLINK("#'Input - Livestock sales'!A1", "Livestock sales")</f>
        <v>Livestock sales</v>
      </c>
      <c r="D13" s="120" t="s">
        <v>1871</v>
      </c>
      <c r="E13" s="125" t="s">
        <v>1872</v>
      </c>
      <c r="F13" s="133"/>
      <c r="G13" s="126"/>
      <c r="H13" s="120" t="s">
        <v>1884</v>
      </c>
      <c r="I13" s="121" t="s">
        <v>1469</v>
      </c>
      <c r="J13" s="120">
        <f>X_Cell_Pasture_AreaRemovedOrRenewed</f>
        <v>500</v>
      </c>
      <c r="N13" s="120" t="s">
        <v>1871</v>
      </c>
      <c r="O13" s="125" t="s">
        <v>1872</v>
      </c>
      <c r="P13" s="133"/>
      <c r="Q13" s="126"/>
      <c r="R13" s="120" t="s">
        <v>1884</v>
      </c>
      <c r="S13" s="121" t="s">
        <v>1469</v>
      </c>
      <c r="T13" s="120"/>
    </row>
    <row r="14" spans="1:21" ht="20.100000000000001" customHeight="1" x14ac:dyDescent="0.2">
      <c r="A14" s="5" t="str">
        <f>HYPERLINK("#'Input - Dairy cattle purchases'!A1", "Dairy cattle purchases")</f>
        <v>Dairy cattle purchases</v>
      </c>
      <c r="D14" s="120" t="s">
        <v>1873</v>
      </c>
      <c r="E14" s="125" t="s">
        <v>1874</v>
      </c>
      <c r="F14" s="133"/>
      <c r="G14" s="126"/>
      <c r="H14" s="120" t="s">
        <v>1885</v>
      </c>
      <c r="I14" s="128" t="s">
        <v>1501</v>
      </c>
      <c r="J14" s="120" cm="1">
        <f t="array" ref="J14">Common_InputFunctions.Utility_LookupValueInTableNumber($J$19,Table_SourceData_PastureAttributes[Pasture type],Table_SourceData_PastureAttributes[Average Yield (t DM ha) Yp])</f>
        <v>8.34</v>
      </c>
      <c r="N14" s="120" t="s">
        <v>1873</v>
      </c>
      <c r="O14" s="125" t="s">
        <v>1874</v>
      </c>
      <c r="P14" s="133"/>
      <c r="Q14" s="126"/>
      <c r="R14" s="120" t="s">
        <v>1885</v>
      </c>
      <c r="S14" s="121" t="s">
        <v>1469</v>
      </c>
      <c r="T14" s="120">
        <f>X_Cell_Pasture_YieldPerHectare</f>
        <v>8.34</v>
      </c>
    </row>
    <row r="15" spans="1:21" ht="20.100000000000001" customHeight="1" x14ac:dyDescent="0.2">
      <c r="A15" s="5" t="str">
        <f>HYPERLINK("#'Input - Pasture'!A1", "Pasture")</f>
        <v>Pasture</v>
      </c>
      <c r="D15" s="120" t="s">
        <v>1875</v>
      </c>
      <c r="E15" s="125" t="s">
        <v>1876</v>
      </c>
      <c r="F15" s="133"/>
      <c r="G15" s="126"/>
      <c r="H15" s="120" t="s">
        <v>1886</v>
      </c>
      <c r="I15" s="128" t="s">
        <v>1501</v>
      </c>
      <c r="J15" s="120" cm="1">
        <f t="array" ref="J15">Common_InputFunctions.Utility_LookupValueInTableNumber($J$19,Table_SourceData_PastureAttributes[Pasture type],Table_SourceData_PastureAttributes[N content Above-ground NCAGp])</f>
        <v>2.5000000000000001E-2</v>
      </c>
      <c r="N15" s="120" t="s">
        <v>1875</v>
      </c>
      <c r="O15" s="125" t="s">
        <v>1876</v>
      </c>
      <c r="P15" s="133"/>
      <c r="Q15" s="126"/>
      <c r="R15" s="120" t="s">
        <v>1886</v>
      </c>
      <c r="S15" s="128" t="s">
        <v>1501</v>
      </c>
      <c r="T15" s="120"/>
    </row>
    <row r="16" spans="1:21" ht="20.100000000000001" customHeight="1" x14ac:dyDescent="0.2">
      <c r="A16" s="5" t="str">
        <f>HYPERLINK("#'Input - Fert Prod System'!A1", "Fert Prod System")</f>
        <v>Fert Prod System</v>
      </c>
      <c r="D16" s="120" t="s">
        <v>1877</v>
      </c>
      <c r="E16" s="125" t="s">
        <v>1878</v>
      </c>
      <c r="F16" s="133"/>
      <c r="G16" s="126"/>
      <c r="H16" s="120"/>
      <c r="I16" s="128" t="s">
        <v>1501</v>
      </c>
      <c r="J16" s="120" cm="1">
        <f t="array" ref="J16">Common_InputFunctions.Utility_LookupValueInTableNumber($J$19,Table_SourceData_PastureAttributes[Pasture type],Table_SourceData_PastureAttributes[Below-ground: above-ground residue ratio RBGp])</f>
        <v>0.8</v>
      </c>
      <c r="N16" s="120" t="s">
        <v>1877</v>
      </c>
      <c r="O16" s="125" t="s">
        <v>1878</v>
      </c>
      <c r="P16" s="133"/>
      <c r="Q16" s="126"/>
      <c r="R16" s="120"/>
      <c r="S16" s="128" t="s">
        <v>1501</v>
      </c>
      <c r="T16" s="120"/>
    </row>
    <row r="17" spans="1:21" ht="20.100000000000001" customHeight="1" x14ac:dyDescent="0.2">
      <c r="A17" s="5" t="str">
        <f>HYPERLINK("#'Input - Fertiliser'!A1", "Fertiliser")</f>
        <v>Fertiliser</v>
      </c>
      <c r="D17" s="120" t="s">
        <v>1879</v>
      </c>
      <c r="E17" s="125" t="s">
        <v>1880</v>
      </c>
      <c r="F17" s="133"/>
      <c r="G17" s="126"/>
      <c r="H17" s="120" t="s">
        <v>1886</v>
      </c>
      <c r="I17" s="128" t="s">
        <v>1501</v>
      </c>
      <c r="J17" s="120" cm="1">
        <f t="array" ref="J17">Common_InputFunctions.Utility_LookupValueInTableNumber($J$19,Table_SourceData_PastureAttributes[Pasture type],Table_SourceData_PastureAttributes[N content Below-ground NCBGp])</f>
        <v>1.6E-2</v>
      </c>
      <c r="N17" s="120" t="s">
        <v>1879</v>
      </c>
      <c r="O17" s="125" t="s">
        <v>1880</v>
      </c>
      <c r="P17" s="133"/>
      <c r="Q17" s="126"/>
      <c r="R17" s="120" t="s">
        <v>1886</v>
      </c>
      <c r="S17" s="128" t="s">
        <v>1501</v>
      </c>
      <c r="T17" s="120"/>
    </row>
    <row r="18" spans="1:21" ht="20.100000000000001" customHeight="1" x14ac:dyDescent="0.2">
      <c r="A18" s="5" t="str">
        <f>HYPERLINK("#'Input - Fuel'!A1", "Fuel")</f>
        <v>Fuel</v>
      </c>
      <c r="D18" s="120" t="s">
        <v>1881</v>
      </c>
      <c r="E18" s="125" t="s">
        <v>1882</v>
      </c>
      <c r="F18" s="133"/>
      <c r="G18" s="126"/>
      <c r="H18" s="120" t="s">
        <v>383</v>
      </c>
      <c r="I18" s="128" t="s">
        <v>1501</v>
      </c>
      <c r="J18" s="120" cm="1">
        <f t="array" ref="J18">Common_InputFunctions.Utility_LookupValueInTableNumber($J$19,Table_SourceData_PastureAttributes[Pasture type],Table_SourceData_PastureAttributes[Fraction of pasture yield that is removed FFODp])</f>
        <v>0.8</v>
      </c>
      <c r="N18" s="120" t="s">
        <v>1881</v>
      </c>
      <c r="O18" s="125" t="s">
        <v>1882</v>
      </c>
      <c r="P18" s="133"/>
      <c r="Q18" s="126"/>
      <c r="R18" s="120" t="s">
        <v>383</v>
      </c>
      <c r="S18" s="128" t="s">
        <v>1501</v>
      </c>
      <c r="T18" s="120"/>
    </row>
    <row r="19" spans="1:21" ht="20.100000000000001" customHeight="1" x14ac:dyDescent="0.2">
      <c r="A19" s="5" t="str">
        <f>HYPERLINK("#'Input - Electricity'!A1", "Electricity")</f>
        <v>Electricity</v>
      </c>
      <c r="D19" s="120" t="s">
        <v>1883</v>
      </c>
      <c r="E19" s="125" t="s">
        <v>1125</v>
      </c>
      <c r="F19" s="133"/>
      <c r="G19" s="126"/>
      <c r="H19" s="120"/>
      <c r="I19" s="121" t="s">
        <v>1469</v>
      </c>
      <c r="J19" s="120" t="str">
        <f>X_Cell_Pasture_PastureType</f>
        <v>Grass clover mixture</v>
      </c>
      <c r="N19" s="120" t="s">
        <v>1883</v>
      </c>
      <c r="O19" s="125" t="s">
        <v>1125</v>
      </c>
      <c r="P19" s="133"/>
      <c r="Q19" s="126"/>
      <c r="R19" s="120"/>
      <c r="S19" s="121" t="s">
        <v>1469</v>
      </c>
      <c r="T19" s="120"/>
    </row>
    <row r="20" spans="1:21" ht="20.100000000000001" customHeight="1" x14ac:dyDescent="0.2">
      <c r="A20" s="5" t="str">
        <f>HYPERLINK("#'Input - Common farm inputs'!A1", "Common farm inputs")</f>
        <v>Common farm inputs</v>
      </c>
    </row>
    <row r="21" spans="1:21" ht="20.100000000000001" customHeight="1" x14ac:dyDescent="0.2">
      <c r="A21" s="5" t="str">
        <f>HYPERLINK("#'Input - Crop pasture farm input'!A1", "Crop pasture farm input")</f>
        <v>Crop pasture farm input</v>
      </c>
      <c r="D21" s="92" t="s">
        <v>1140</v>
      </c>
      <c r="E21" s="88">
        <f>((J13 * (J14 * 10 ^ (-3)) * (1 - J18) * J15) + (J13 * (J14 * 10 ^ (-3)) * J16 * J17))</f>
        <v>7.4226E-2</v>
      </c>
      <c r="F21" s="93" t="s">
        <v>1301</v>
      </c>
      <c r="N21" s="92" t="s">
        <v>1140</v>
      </c>
      <c r="O21" s="88">
        <f>((J13 * (T14 * 10 ^ (-3)) * (1 - J18) * J15) + (J13 * (T14 * 10 ^ (-3)) * J16 * J17))</f>
        <v>7.4226E-2</v>
      </c>
      <c r="P21" s="93" t="s">
        <v>1301</v>
      </c>
    </row>
    <row r="22" spans="1:21" ht="20.100000000000001" customHeight="1" x14ac:dyDescent="0.2">
      <c r="A22" s="5" t="str">
        <f>HYPERLINK("#'Input - Livestock farm Inputs'!A1", "Livestock farm Inputs")</f>
        <v>Livestock farm Inputs</v>
      </c>
    </row>
    <row r="23" spans="1:21" ht="20.100000000000001" customHeight="1" x14ac:dyDescent="0.2">
      <c r="A23" s="5" t="str">
        <f>HYPERLINK("#'Input - Freight'!A1", "Freight")</f>
        <v>Freight</v>
      </c>
    </row>
    <row r="24" spans="1:21" ht="20.100000000000001" customHeight="1" x14ac:dyDescent="0.2">
      <c r="A24" s="5" t="str">
        <f>HYPERLINK("#'Input - Solid waste'!A1", "Solid waste")</f>
        <v>Solid waste</v>
      </c>
      <c r="C24" s="88"/>
      <c r="D24" s="88"/>
      <c r="E24" s="88"/>
      <c r="F24" s="88"/>
      <c r="G24" s="88"/>
      <c r="H24" s="88"/>
      <c r="I24" s="88"/>
      <c r="J24" s="88"/>
      <c r="K24" s="88"/>
      <c r="M24" s="88"/>
      <c r="N24" s="88"/>
      <c r="O24" s="88"/>
      <c r="P24" s="88"/>
      <c r="Q24" s="88"/>
      <c r="R24" s="88"/>
      <c r="S24" s="88"/>
      <c r="T24" s="88"/>
      <c r="U24" s="88"/>
    </row>
    <row r="25" spans="1:21" ht="20.100000000000001" customHeight="1" x14ac:dyDescent="0.2">
      <c r="A25" s="5" t="str">
        <f>HYPERLINK("#'Input - Manure sent off-site'!A1", "Manure sent off-site")</f>
        <v>Manure sent off-site</v>
      </c>
      <c r="D25" s="2" t="s">
        <v>1887</v>
      </c>
      <c r="N25" s="2" t="s">
        <v>1887</v>
      </c>
    </row>
    <row r="26" spans="1:21" ht="20.100000000000001" customHeight="1" x14ac:dyDescent="0.2">
      <c r="A26" s="5" t="str">
        <f>HYPERLINK("#'Input - Refrigerants'!A1", "Refrigerants")</f>
        <v>Refrigerants</v>
      </c>
      <c r="D26" s="17" t="s">
        <v>1888</v>
      </c>
      <c r="N26" s="17" t="s">
        <v>1888</v>
      </c>
    </row>
    <row r="27" spans="1:21" ht="20.100000000000001" customHeight="1" x14ac:dyDescent="0.2">
      <c r="A27" s="5" t="str">
        <f>HYPERLINK("#'Input - Data quality'!A1", "Data quality")</f>
        <v>Data quality</v>
      </c>
      <c r="D27" s="118"/>
      <c r="E27" s="118"/>
      <c r="N27" s="118"/>
      <c r="O27" s="118"/>
    </row>
    <row r="30" spans="1:21" ht="20.100000000000001" customHeight="1" x14ac:dyDescent="0.2">
      <c r="A30" s="6" t="s">
        <v>2</v>
      </c>
      <c r="D30" s="24" t="s">
        <v>378</v>
      </c>
      <c r="E30" s="1" t="s">
        <v>1889</v>
      </c>
      <c r="N30" s="24" t="s">
        <v>378</v>
      </c>
      <c r="O30" s="1" t="s">
        <v>1889</v>
      </c>
    </row>
    <row r="31" spans="1:21" ht="20.100000000000001" customHeight="1" x14ac:dyDescent="0.2">
      <c r="A31" s="5" t="str">
        <f>HYPERLINK("#'3.3.1.1-2 Enteric Methane'!A1", "3.3.1.1-2 Enteric methane")</f>
        <v>3.3.1.1-2 Enteric methane</v>
      </c>
      <c r="D31" s="24" t="s">
        <v>118</v>
      </c>
      <c r="E31" s="9" t="s">
        <v>11</v>
      </c>
      <c r="N31" s="24" t="s">
        <v>118</v>
      </c>
      <c r="O31" s="9" t="s">
        <v>11</v>
      </c>
    </row>
    <row r="32" spans="1:21" ht="20.100000000000001" customHeight="1" x14ac:dyDescent="0.2">
      <c r="A32" s="5" t="str">
        <f>HYPERLINK("#'4.3.1.1-2 Methane'!A1", "4.3.1.1-2 Manure methane")</f>
        <v>4.3.1.1-2 Manure methane</v>
      </c>
    </row>
    <row r="33" spans="1:20" ht="20.100000000000001" customHeight="1" x14ac:dyDescent="0.2">
      <c r="A33" s="5" t="str">
        <f>HYPERLINK("#'4.3.1.3-4 Direct N20'!A1", "4.3.1.3-4 Direct N20")</f>
        <v>4.3.1.3-4 Direct N20</v>
      </c>
      <c r="D33" s="120" t="s">
        <v>1890</v>
      </c>
      <c r="E33" s="125" t="s">
        <v>1891</v>
      </c>
      <c r="F33" s="133"/>
      <c r="G33" s="126"/>
      <c r="H33" s="120" t="s">
        <v>1301</v>
      </c>
      <c r="I33" s="128" t="s">
        <v>1894</v>
      </c>
      <c r="J33" s="120">
        <f>$E$21</f>
        <v>7.4226E-2</v>
      </c>
      <c r="N33" s="120" t="s">
        <v>1890</v>
      </c>
      <c r="O33" s="125" t="s">
        <v>1891</v>
      </c>
      <c r="P33" s="133"/>
      <c r="Q33" s="126"/>
      <c r="R33" s="120" t="s">
        <v>1301</v>
      </c>
      <c r="S33" s="128" t="s">
        <v>1894</v>
      </c>
      <c r="T33" s="120">
        <f>$O$21</f>
        <v>7.4226E-2</v>
      </c>
    </row>
    <row r="34" spans="1:20" ht="20.100000000000001" customHeight="1" x14ac:dyDescent="0.2">
      <c r="A34" s="5" t="str">
        <f>HYPERLINK("#'4.3.1.5 Atmos deposition'!A1", "4.3.1.5 Atmos deposition")</f>
        <v>4.3.1.5 Atmos deposition</v>
      </c>
      <c r="D34" s="120" t="s">
        <v>1892</v>
      </c>
      <c r="E34" s="125" t="s">
        <v>1893</v>
      </c>
      <c r="F34" s="133"/>
      <c r="G34" s="126"/>
      <c r="H34" s="120" t="s">
        <v>1663</v>
      </c>
      <c r="I34" s="128" t="s">
        <v>1501</v>
      </c>
      <c r="J34" s="120" cm="1">
        <f t="array" ref="J34">Common_InputFunctions.Utility_LookupValueInTableNumber(J37,Table_SourceData_N2OEFOrganicFert[Climate zone type i],Table_SourceData_N2OEFOrganicFert[EF i N2O])</f>
        <v>5.0000000000000001E-3</v>
      </c>
      <c r="N34" s="120" t="s">
        <v>1892</v>
      </c>
      <c r="O34" s="125" t="s">
        <v>1893</v>
      </c>
      <c r="P34" s="133"/>
      <c r="Q34" s="126"/>
      <c r="R34" s="120" t="s">
        <v>1663</v>
      </c>
      <c r="S34" s="128" t="s">
        <v>1501</v>
      </c>
      <c r="T34" s="120"/>
    </row>
    <row r="35" spans="1:20" ht="20.100000000000001" customHeight="1" x14ac:dyDescent="0.2">
      <c r="A35" s="5" t="str">
        <f>HYPERLINK("#'4.3.1.6-7 Leaching and runoff'!A1", "4.3.1.6-7 Leaching &amp; runoff")</f>
        <v>4.3.1.6-7 Leaching &amp; runoff</v>
      </c>
      <c r="D35" s="120" t="s">
        <v>1660</v>
      </c>
      <c r="E35" s="125" t="s">
        <v>1763</v>
      </c>
      <c r="F35" s="133"/>
      <c r="G35" s="126"/>
      <c r="H35" s="120" t="s">
        <v>1895</v>
      </c>
      <c r="I35" s="128" t="s">
        <v>1501</v>
      </c>
      <c r="J35" s="120">
        <f>Common_InputFunctions.Utility_LookupValueInTableNumber("N2O",Table_GasToMolecularConversionFactor[Gas],Table_GasToMolecularConversionFactor[Conversion factor combined])</f>
        <v>1.5714285714285714</v>
      </c>
      <c r="N35" s="120" t="s">
        <v>1660</v>
      </c>
      <c r="O35" s="125" t="s">
        <v>1763</v>
      </c>
      <c r="P35" s="133"/>
      <c r="Q35" s="126"/>
      <c r="R35" s="120" t="s">
        <v>1895</v>
      </c>
      <c r="S35" s="128" t="s">
        <v>1501</v>
      </c>
      <c r="T35" s="120"/>
    </row>
    <row r="36" spans="1:20" ht="20.100000000000001" customHeight="1" x14ac:dyDescent="0.2">
      <c r="A36" s="5" t="str">
        <f>HYPERLINK("#'4.3.1.8 Manure applied to soils'!A1", "4.3.1.8 Manure applied to soils")</f>
        <v>4.3.1.8 Manure applied to soils</v>
      </c>
      <c r="D36" s="120" t="s">
        <v>1883</v>
      </c>
      <c r="E36" s="125" t="s">
        <v>1125</v>
      </c>
      <c r="F36" s="133"/>
      <c r="G36" s="126"/>
      <c r="H36" s="120"/>
      <c r="I36" s="121" t="s">
        <v>1469</v>
      </c>
      <c r="J36" s="120" t="str">
        <f>X_Cell_Pasture_PastureType</f>
        <v>Grass clover mixture</v>
      </c>
      <c r="N36" s="120" t="s">
        <v>1883</v>
      </c>
      <c r="O36" s="125" t="s">
        <v>1125</v>
      </c>
      <c r="P36" s="133"/>
      <c r="Q36" s="126"/>
      <c r="R36" s="120"/>
      <c r="S36" s="121" t="s">
        <v>1469</v>
      </c>
      <c r="T36" s="120"/>
    </row>
    <row r="37" spans="1:20" ht="20.100000000000001" customHeight="1" x14ac:dyDescent="0.2">
      <c r="A37" s="5" t="str">
        <f>HYPERLINK("#'4.3.1.9 Soil direct N2O'!A1", "4.3.1.9 Soil direct N2O")</f>
        <v>4.3.1.9 Soil direct N2O</v>
      </c>
      <c r="D37" s="120" t="s">
        <v>1577</v>
      </c>
      <c r="E37" s="125" t="s">
        <v>114</v>
      </c>
      <c r="F37" s="133"/>
      <c r="G37" s="126"/>
      <c r="H37" s="120"/>
      <c r="I37" s="121" t="s">
        <v>1469</v>
      </c>
      <c r="J37" s="120" t="str">
        <f>X_Cell_Site_WetOrDryClimateZone</f>
        <v>Dry climate zone</v>
      </c>
      <c r="N37" s="120" t="s">
        <v>1577</v>
      </c>
      <c r="O37" s="125" t="s">
        <v>114</v>
      </c>
      <c r="P37" s="133"/>
      <c r="Q37" s="126"/>
      <c r="R37" s="120"/>
      <c r="S37" s="121" t="s">
        <v>1469</v>
      </c>
      <c r="T37" s="120"/>
    </row>
    <row r="38" spans="1:20" ht="20.100000000000001" customHeight="1" x14ac:dyDescent="0.2">
      <c r="A38" s="5" t="str">
        <f>HYPERLINK("#'4.3.1.10-11 Soil Atmos Dep'!A1", "4.3.1.10-11 Soil Atmos Deposition")</f>
        <v>4.3.1.10-11 Soil Atmos Deposition</v>
      </c>
    </row>
    <row r="39" spans="1:20" ht="20.100000000000001" customHeight="1" x14ac:dyDescent="0.2">
      <c r="A39" s="5" t="str">
        <f>HYPERLINK("#'4.3.1.12-13 Soil leach runoff'!A1", "4.3.1.12-13 Soil leach &amp; runoff")</f>
        <v>4.3.1.12-13 Soil leach &amp; runoff</v>
      </c>
    </row>
    <row r="40" spans="1:20" ht="20.100000000000001" customHeight="1" x14ac:dyDescent="0.2">
      <c r="A40" s="5" t="str">
        <f>HYPERLINK("#'5.1.1.1-2 Inorganic fert N2O'!A1", "5.1.1.1-2 Inorganic fert N2O")</f>
        <v>5.1.1.1-2 Inorganic fert N2O</v>
      </c>
      <c r="D40" s="87" t="s">
        <v>761</v>
      </c>
      <c r="E40" s="90">
        <f>((J33 * J34) * J35 * 10 ^ (-3))</f>
        <v>5.8320428571428569E-7</v>
      </c>
      <c r="F40" s="89" t="s">
        <v>11</v>
      </c>
      <c r="N40" s="87" t="s">
        <v>761</v>
      </c>
      <c r="O40" s="90">
        <f>((T33 * J34) * J35 * 10 ^ (-3))</f>
        <v>5.8320428571428569E-7</v>
      </c>
      <c r="P40" s="89" t="s">
        <v>11</v>
      </c>
    </row>
    <row r="41" spans="1:20" ht="20.100000000000001" customHeight="1" x14ac:dyDescent="0.2">
      <c r="A41" s="5" t="str">
        <f>HYPERLINK("#'5.1.1.3-4 Inorganic fert CO2'!A1", "5.1.1.3-4 Inorganic fert CO2")</f>
        <v>5.1.1.3-4 Inorganic fert CO2</v>
      </c>
    </row>
    <row r="42" spans="1:20" ht="20.100000000000001" customHeight="1" x14ac:dyDescent="0.2">
      <c r="A42" s="5" t="str">
        <f>HYPERLINK("#'5.2.1.1-2 Organic Fert N2O'!A1", "5.2.1.1-2 Organic fert N2O")</f>
        <v>5.2.1.1-2 Organic fert N2O</v>
      </c>
      <c r="D42" s="132" t="str" cm="1">
        <f t="array" ref="D42:E43">Common_Equations.Common_ConvertN2OToCO2e_Arguments()</f>
        <v>EN2O</v>
      </c>
      <c r="E42" s="135" t="str">
        <v>Nitrous oxide emissions (t N2O)</v>
      </c>
      <c r="F42" s="138"/>
      <c r="G42" s="132">
        <f>VEERG_6_2_1_1__1__NitrousOxideEmissionsFromPastureResidues_Result_Method1</f>
        <v>5.8320428571428569E-7</v>
      </c>
      <c r="N42" s="132" t="str" cm="1">
        <f t="array" ref="N42:O43">Common_Equations.Common_ConvertN2OToCO2e_Arguments()</f>
        <v>EN2O</v>
      </c>
      <c r="O42" s="135" t="str">
        <v>Nitrous oxide emissions (t N2O)</v>
      </c>
      <c r="P42" s="138"/>
      <c r="Q42" s="132">
        <f>VEERG_6_2_1_1__1__NitrousOxideEmissionsFromPastureResidues_Result_Method2</f>
        <v>5.8320428571428569E-7</v>
      </c>
    </row>
    <row r="43" spans="1:20" ht="20.100000000000001" customHeight="1" x14ac:dyDescent="0.2">
      <c r="A43" s="5" t="str">
        <f>HYPERLINK("#'5.3.1.1-2 Lime CO2'!A1", "5.3.1.1-2 Lime CO2")</f>
        <v>5.3.1.1-2 Lime CO2</v>
      </c>
      <c r="D43" s="132" t="str">
        <v>GWPN2O</v>
      </c>
      <c r="E43" s="135" t="str">
        <v>Global warming potential for nitrous oxide (t CO2-e / t N2O)</v>
      </c>
      <c r="F43" s="138"/>
      <c r="G43" s="15">
        <f>Common_InputFunctions.Utility_LookupValueInTableNumber("N2O",Table_GWPData[Gas],Table_GWPData[CO2-e factor])</f>
        <v>265</v>
      </c>
      <c r="N43" s="132" t="str">
        <v>GWPN2O</v>
      </c>
      <c r="O43" s="135" t="str">
        <v>Global warming potential for nitrous oxide (t CO2-e / t N2O)</v>
      </c>
      <c r="P43" s="138"/>
      <c r="Q43" s="15">
        <f>Common_InputFunctions.Utility_LookupValueInTableNumber("N2O",Table_GWPData[Gas],Table_GWPData[CO2-e factor])</f>
        <v>265</v>
      </c>
    </row>
    <row r="44" spans="1:20" ht="20.100000000000001" customHeight="1" x14ac:dyDescent="0.2">
      <c r="A44" s="5" t="str">
        <f>HYPERLINK("#'5.4.1.1-4 Atmos deposition'!A1", "5.4.1.1-4 Atmos. deposition")</f>
        <v>5.4.1.1-4 Atmos. deposition</v>
      </c>
    </row>
    <row r="45" spans="1:20" ht="20.100000000000001" customHeight="1" x14ac:dyDescent="0.2">
      <c r="A45" s="5" t="str">
        <f>HYPERLINK("#'5.5.1.1-2 Leaching and runoff'!A1", "5.5.1.1-2 Leaching &amp; runoff")</f>
        <v>5.5.1.1-2 Leaching &amp; runoff</v>
      </c>
      <c r="D45" s="1" t="s">
        <v>1141</v>
      </c>
      <c r="E45" s="1" cm="1">
        <f t="array" ref="E45">Common_Equations.Common_ConvertN2OToCO2e(G42,G43)</f>
        <v>1.545491357142857E-4</v>
      </c>
      <c r="F45" s="9" t="str" cm="1">
        <f t="array" ref="F45">Common_Equations.Common_ConvertN2OToCO2e_Unit()</f>
        <v>t CO2e</v>
      </c>
      <c r="N45" s="1" t="s">
        <v>1141</v>
      </c>
      <c r="O45" s="1" cm="1">
        <f t="array" ref="O45">Common_Equations.Common_ConvertN2OToCO2e(Q42,Q43)</f>
        <v>1.545491357142857E-4</v>
      </c>
      <c r="P45" s="9" t="str" cm="1">
        <f t="array" ref="P45">Common_Equations.Common_ConvertN2OToCO2e_Unit()</f>
        <v>t CO2e</v>
      </c>
    </row>
    <row r="46" spans="1:20" ht="20.100000000000001" customHeight="1" x14ac:dyDescent="0.2">
      <c r="A46" s="119" t="str">
        <f>HYPERLINK("#'6.2.1.1-2 Pasture residue N2O'!A1", "6.2.1.1-2 Pasture residue N2O")</f>
        <v>6.2.1.1-2 Pasture residue N2O</v>
      </c>
    </row>
    <row r="47" spans="1:20" ht="20.100000000000001" customHeight="1" x14ac:dyDescent="0.2">
      <c r="A47" s="5" t="str">
        <f>HYPERLINK("#'6.3.1.1-2 Leach runoff pasture'!A1", "6.3.1.1-2 Leach &amp; runoff (pasture)")</f>
        <v>6.3.1.1-2 Leach &amp; runoff (pasture)</v>
      </c>
    </row>
    <row r="48" spans="1:20"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3E642-1A7C-4AC7-8750-B5EC34AD80B3}">
  <sheetPr>
    <tabColor rgb="FF008000"/>
  </sheetPr>
  <dimension ref="A1:T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1142</v>
      </c>
    </row>
    <row r="2" spans="1:20" s="3" customFormat="1" ht="20.100000000000001" customHeight="1" x14ac:dyDescent="0.2">
      <c r="A2"/>
    </row>
    <row r="3" spans="1:20" ht="20.100000000000001" customHeight="1" x14ac:dyDescent="0.2">
      <c r="A3" s="5" t="str">
        <f>HYPERLINK("#'Home'!A1", "Home")</f>
        <v>Home</v>
      </c>
      <c r="C3" s="22"/>
      <c r="D3" s="22" t="s">
        <v>129</v>
      </c>
      <c r="E3" s="22"/>
      <c r="F3" s="22"/>
      <c r="G3" s="22"/>
      <c r="H3" s="22"/>
      <c r="I3" s="22"/>
      <c r="J3" s="22"/>
      <c r="K3" s="22"/>
      <c r="M3" s="22"/>
      <c r="N3" s="22" t="s">
        <v>130</v>
      </c>
      <c r="O3" s="22"/>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C5" s="8"/>
      <c r="D5" s="2" t="s">
        <v>1896</v>
      </c>
      <c r="E5" s="8"/>
      <c r="F5" s="8"/>
      <c r="G5" s="8"/>
      <c r="H5" s="8"/>
      <c r="I5" s="8"/>
      <c r="J5" s="8"/>
      <c r="K5" s="8"/>
    </row>
    <row r="6" spans="1:20" ht="20.100000000000001" customHeight="1" x14ac:dyDescent="0.2">
      <c r="A6" s="5" t="str">
        <f>HYPERLINK("#'Results'!A1", "Results")</f>
        <v>Results</v>
      </c>
      <c r="C6" s="8"/>
      <c r="D6" s="17" t="s">
        <v>1897</v>
      </c>
      <c r="E6" s="8"/>
      <c r="F6" s="8"/>
      <c r="G6" s="8"/>
      <c r="H6" s="8"/>
      <c r="I6" s="8"/>
      <c r="J6" s="8"/>
      <c r="K6" s="8"/>
    </row>
    <row r="7" spans="1:20" ht="20.100000000000001" customHeight="1" x14ac:dyDescent="0.2">
      <c r="C7" s="8"/>
      <c r="D7" s="118"/>
      <c r="E7" s="118"/>
      <c r="F7" s="118"/>
      <c r="G7" s="8"/>
      <c r="H7" s="8"/>
      <c r="I7" s="8"/>
      <c r="J7" s="8"/>
      <c r="K7" s="8"/>
    </row>
    <row r="8" spans="1:20" ht="20.100000000000001" customHeight="1" x14ac:dyDescent="0.2">
      <c r="C8" s="8"/>
      <c r="F8" s="8"/>
      <c r="G8" s="8"/>
      <c r="H8" s="8"/>
      <c r="I8" s="8"/>
      <c r="J8" s="8"/>
      <c r="K8" s="8"/>
    </row>
    <row r="9" spans="1:20" ht="20.100000000000001" customHeight="1" x14ac:dyDescent="0.2">
      <c r="A9" s="7" t="s">
        <v>0</v>
      </c>
      <c r="C9" s="8"/>
      <c r="D9" s="8"/>
      <c r="E9" s="8"/>
      <c r="F9" s="8"/>
      <c r="G9" s="8"/>
      <c r="H9" s="8"/>
      <c r="I9" s="8"/>
      <c r="J9" s="8"/>
      <c r="K9" s="8"/>
    </row>
    <row r="10" spans="1:20" ht="20.100000000000001" customHeight="1" x14ac:dyDescent="0.2">
      <c r="A10" s="5" t="str">
        <f>HYPERLINK("#'Input - Enterprise'!A1", "Enterprise")</f>
        <v>Enterprise</v>
      </c>
      <c r="C10" s="8"/>
      <c r="D10" s="59" t="s">
        <v>378</v>
      </c>
      <c r="E10" s="8" t="s">
        <v>1151</v>
      </c>
      <c r="F10" s="8"/>
      <c r="G10" s="17"/>
      <c r="H10" s="8"/>
      <c r="I10" s="8"/>
      <c r="J10" s="8"/>
      <c r="K10" s="8"/>
    </row>
    <row r="11" spans="1:20" ht="20.100000000000001" customHeight="1" x14ac:dyDescent="0.2">
      <c r="A11" s="5" t="str">
        <f>HYPERLINK("#'Input - Site'!A1", "Site")</f>
        <v>Site</v>
      </c>
      <c r="C11" s="8"/>
      <c r="D11" s="59" t="s">
        <v>118</v>
      </c>
      <c r="E11" s="9" t="s">
        <v>1301</v>
      </c>
      <c r="F11" s="8"/>
      <c r="G11" s="8"/>
      <c r="H11" s="8"/>
      <c r="I11" s="8"/>
      <c r="J11" s="8"/>
      <c r="K11" s="8"/>
    </row>
    <row r="12" spans="1:20" ht="20.100000000000001" customHeight="1" x14ac:dyDescent="0.2">
      <c r="A12" s="5" t="str">
        <f>HYPERLINK("#'Input - Dairy'!A1", "Dairy")</f>
        <v>Dairy</v>
      </c>
      <c r="C12" s="8"/>
      <c r="D12" s="8"/>
      <c r="E12" s="8"/>
      <c r="F12" s="8"/>
      <c r="G12" s="8"/>
      <c r="H12" s="8"/>
      <c r="I12" s="8"/>
      <c r="J12" s="8"/>
      <c r="K12" s="8"/>
    </row>
    <row r="13" spans="1:20" ht="20.100000000000001" customHeight="1" x14ac:dyDescent="0.2">
      <c r="A13" s="5" t="str">
        <f>HYPERLINK("#'Input - Livestock sales'!A1", "Livestock sales")</f>
        <v>Livestock sales</v>
      </c>
      <c r="C13" s="8"/>
      <c r="D13" s="120" t="s">
        <v>1148</v>
      </c>
      <c r="E13" s="125" t="s">
        <v>1898</v>
      </c>
      <c r="F13" s="133"/>
      <c r="G13" s="126"/>
      <c r="H13" s="120" t="s">
        <v>1301</v>
      </c>
      <c r="I13" s="128" t="s">
        <v>1903</v>
      </c>
      <c r="J13" s="127" t="str" cm="1">
        <f t="array" aca="1" ref="J13" ca="1">HYPERLINK(Common_InputFunctions.Utility_SourceHyperlink($D$21), $D$21)</f>
        <v>M1_Table_M_leach_cp</v>
      </c>
      <c r="K13" s="8"/>
    </row>
    <row r="14" spans="1:20" ht="20.100000000000001" customHeight="1" x14ac:dyDescent="0.2">
      <c r="A14" s="5" t="str">
        <f>HYPERLINK("#'Input - Dairy cattle purchases'!A1", "Dairy cattle purchases")</f>
        <v>Dairy cattle purchases</v>
      </c>
      <c r="C14" s="8"/>
      <c r="D14" s="120" t="s">
        <v>1150</v>
      </c>
      <c r="E14" s="125" t="s">
        <v>1688</v>
      </c>
      <c r="F14" s="133"/>
      <c r="G14" s="126"/>
      <c r="H14" s="120" t="s">
        <v>383</v>
      </c>
      <c r="I14" s="128" t="s">
        <v>1501</v>
      </c>
      <c r="J14" s="127" t="str" cm="1">
        <f t="array" aca="1" ref="J14" ca="1">HYPERLINK(Common_InputFunctions.Utility_SourceHyperlink($D$21), $D$21)</f>
        <v>M1_Table_M_leach_cp</v>
      </c>
      <c r="K14" s="8"/>
    </row>
    <row r="15" spans="1:20" ht="20.100000000000001" customHeight="1" x14ac:dyDescent="0.2">
      <c r="A15" s="5" t="str">
        <f>HYPERLINK("#'Input - Pasture'!A1", "Pasture")</f>
        <v>Pasture</v>
      </c>
      <c r="C15" s="8"/>
      <c r="D15" s="120" t="s">
        <v>1735</v>
      </c>
      <c r="E15" s="125" t="s">
        <v>1690</v>
      </c>
      <c r="F15" s="133"/>
      <c r="G15" s="126"/>
      <c r="H15" s="120" t="s">
        <v>383</v>
      </c>
      <c r="I15" s="128" t="s">
        <v>1501</v>
      </c>
      <c r="J15" s="120">
        <f>'Constants - Common'!$E$164</f>
        <v>0.24</v>
      </c>
      <c r="K15" s="8"/>
    </row>
    <row r="16" spans="1:20" ht="20.100000000000001" customHeight="1" x14ac:dyDescent="0.2">
      <c r="A16" s="5" t="str">
        <f>HYPERLINK("#'Input - Fert Prod System'!A1", "Fert Prod System")</f>
        <v>Fert Prod System</v>
      </c>
      <c r="C16" s="8"/>
      <c r="D16" s="120" t="s">
        <v>1691</v>
      </c>
      <c r="E16" s="125" t="s">
        <v>1899</v>
      </c>
      <c r="F16" s="133"/>
      <c r="G16" s="126"/>
      <c r="H16" s="120"/>
      <c r="I16" s="121" t="s">
        <v>1469</v>
      </c>
      <c r="J16" s="127" t="str" cm="1">
        <f t="array" aca="1" ref="J16" ca="1">HYPERLINK(Common_InputFunctions.Utility_SourceHyperlink($D$21), $D$21)</f>
        <v>M1_Table_M_leach_cp</v>
      </c>
      <c r="K16" s="8"/>
    </row>
    <row r="17" spans="1:20" ht="20.100000000000001" customHeight="1" x14ac:dyDescent="0.2">
      <c r="A17" s="5" t="str">
        <f>HYPERLINK("#'Input - Fertiliser'!A1", "Fertiliser")</f>
        <v>Fertiliser</v>
      </c>
      <c r="C17" s="8"/>
      <c r="D17" s="120" t="s">
        <v>1776</v>
      </c>
      <c r="E17" s="125" t="s">
        <v>1900</v>
      </c>
      <c r="F17" s="133"/>
      <c r="G17" s="126"/>
      <c r="H17" s="120"/>
      <c r="I17" s="121" t="s">
        <v>1469</v>
      </c>
      <c r="J17" s="120" t="s">
        <v>277</v>
      </c>
      <c r="K17" s="8"/>
    </row>
    <row r="18" spans="1:20" ht="20.100000000000001" customHeight="1" x14ac:dyDescent="0.2">
      <c r="A18" s="5" t="str">
        <f>HYPERLINK("#'Input - Fuel'!A1", "Fuel")</f>
        <v>Fuel</v>
      </c>
      <c r="C18" s="8"/>
      <c r="D18" s="120" t="s">
        <v>1883</v>
      </c>
      <c r="E18" s="125" t="s">
        <v>1901</v>
      </c>
      <c r="F18" s="133"/>
      <c r="G18" s="126"/>
      <c r="H18" s="120"/>
      <c r="I18" s="121" t="s">
        <v>1469</v>
      </c>
      <c r="J18" s="120" t="str">
        <f>X_Cell_Pasture_PastureType</f>
        <v>Grass clover mixture</v>
      </c>
      <c r="K18" s="8"/>
    </row>
    <row r="19" spans="1:20" ht="20.100000000000001" customHeight="1" x14ac:dyDescent="0.2">
      <c r="A19" s="5" t="str">
        <f>HYPERLINK("#'Input - Electricity'!A1", "Electricity")</f>
        <v>Electricity</v>
      </c>
      <c r="C19" s="8"/>
      <c r="D19" s="120" t="s">
        <v>1677</v>
      </c>
      <c r="E19" s="125" t="s">
        <v>1902</v>
      </c>
      <c r="F19" s="133"/>
      <c r="G19" s="126"/>
      <c r="H19" s="120"/>
      <c r="I19" s="121" t="s">
        <v>1469</v>
      </c>
      <c r="J19" s="127" t="str" cm="1">
        <f t="array" aca="1" ref="J19" ca="1">HYPERLINK(Common_InputFunctions.Utility_SourceHyperlink($D$21), $D$21)</f>
        <v>M1_Table_M_leach_cp</v>
      </c>
      <c r="K19" s="8"/>
    </row>
    <row r="20" spans="1:20" ht="20.100000000000001" customHeight="1" x14ac:dyDescent="0.2">
      <c r="A20" s="5" t="str">
        <f>HYPERLINK("#'Input - Common farm inputs'!A1", "Common farm inputs")</f>
        <v>Common farm inputs</v>
      </c>
      <c r="C20" s="8"/>
      <c r="D20" s="8"/>
      <c r="E20" s="8"/>
      <c r="F20" s="8"/>
      <c r="G20" s="8"/>
      <c r="H20" s="8"/>
      <c r="I20" s="8"/>
      <c r="J20" s="8"/>
      <c r="K20" s="8"/>
    </row>
    <row r="21" spans="1:20" ht="20.100000000000001" customHeight="1" x14ac:dyDescent="0.2">
      <c r="A21" s="5" t="str">
        <f>HYPERLINK("#'Input - Crop pasture farm input'!A1", "Crop pasture farm input")</f>
        <v>Crop pasture farm input</v>
      </c>
      <c r="C21" s="8"/>
      <c r="D21" s="122" t="s">
        <v>1143</v>
      </c>
      <c r="E21" s="8"/>
      <c r="F21" s="8"/>
      <c r="G21" s="8"/>
      <c r="H21" s="8"/>
      <c r="I21" s="8"/>
      <c r="J21" s="8"/>
      <c r="K21" s="8"/>
      <c r="N21" s="122" t="s">
        <v>1144</v>
      </c>
      <c r="O21" s="8"/>
      <c r="P21" s="8"/>
      <c r="Q21" s="8"/>
      <c r="R21" s="8"/>
      <c r="S21" s="8"/>
    </row>
    <row r="22" spans="1:20" ht="20.100000000000001" customHeight="1" x14ac:dyDescent="0.2">
      <c r="A22" s="5" t="str">
        <f>HYPERLINK("#'Input - Livestock farm Inputs'!A1", "Livestock farm Inputs")</f>
        <v>Livestock farm Inputs</v>
      </c>
      <c r="C22" s="8"/>
      <c r="D22" s="123" t="s">
        <v>1145</v>
      </c>
      <c r="E22" s="8"/>
      <c r="F22" s="8"/>
      <c r="G22" s="8"/>
      <c r="H22" s="8"/>
      <c r="I22" s="8"/>
      <c r="J22" s="8"/>
      <c r="K22" s="8"/>
      <c r="N22" s="123" t="s">
        <v>1146</v>
      </c>
      <c r="O22" s="8"/>
      <c r="P22" s="8"/>
      <c r="Q22" s="8"/>
      <c r="R22" s="8"/>
      <c r="S22" s="8"/>
    </row>
    <row r="23" spans="1:20" ht="20.100000000000001" customHeight="1" x14ac:dyDescent="0.2">
      <c r="A23" s="5" t="str">
        <f>HYPERLINK("#'Input - Freight'!A1", "Freight")</f>
        <v>Freight</v>
      </c>
      <c r="C23" s="8"/>
      <c r="D23" s="81" t="s">
        <v>1147</v>
      </c>
      <c r="E23" s="124" t="s">
        <v>1148</v>
      </c>
      <c r="F23" s="81" t="s">
        <v>1149</v>
      </c>
      <c r="G23" s="81" t="s">
        <v>103</v>
      </c>
      <c r="H23" s="124" t="s">
        <v>1150</v>
      </c>
      <c r="I23" s="124" t="s">
        <v>1151</v>
      </c>
      <c r="J23" s="8"/>
      <c r="K23" s="8"/>
      <c r="N23" s="81" t="s">
        <v>1147</v>
      </c>
      <c r="O23" s="124" t="s">
        <v>1148</v>
      </c>
      <c r="P23" s="81" t="s">
        <v>1149</v>
      </c>
      <c r="Q23" s="81" t="s">
        <v>103</v>
      </c>
      <c r="R23" s="124" t="s">
        <v>1150</v>
      </c>
      <c r="S23" s="124" t="s">
        <v>1151</v>
      </c>
    </row>
    <row r="24" spans="1:20" ht="20.100000000000001" customHeight="1" x14ac:dyDescent="0.2">
      <c r="A24" s="5" t="str">
        <f>HYPERLINK("#'Input - Solid waste'!A1", "Solid waste")</f>
        <v>Solid waste</v>
      </c>
      <c r="D24" s="15" t="s">
        <v>834</v>
      </c>
      <c r="E24" s="15" t="s">
        <v>277</v>
      </c>
      <c r="F24" s="15" t="s">
        <v>277</v>
      </c>
      <c r="G24" s="15" t="s">
        <v>277</v>
      </c>
      <c r="H24" s="15" t="s">
        <v>277</v>
      </c>
      <c r="I24" s="15" t="s">
        <v>277</v>
      </c>
      <c r="N24" s="15"/>
      <c r="O24" s="15" t="s">
        <v>277</v>
      </c>
      <c r="P24" s="15"/>
      <c r="Q24" s="15"/>
      <c r="R24" s="15"/>
      <c r="S24" s="15" t="s">
        <v>277</v>
      </c>
    </row>
    <row r="25" spans="1:20" ht="20.100000000000001" customHeight="1" x14ac:dyDescent="0.2">
      <c r="A25" s="5" t="str">
        <f>HYPERLINK("#'Input - Manure sent off-site'!A1", "Manure sent off-site")</f>
        <v>Manure sent off-site</v>
      </c>
      <c r="D25" s="15" t="s">
        <v>162</v>
      </c>
      <c r="E25" s="15">
        <f>'6.2.1.1-2 Pasture residue N2O'!$E$21</f>
        <v>7.4226E-2</v>
      </c>
      <c r="F25" s="15" t="str">
        <f>X_Cell_Pasture_IrrigationMethod</f>
        <v>Surface irrigation</v>
      </c>
      <c r="G25" s="15" t="str">
        <f>X_Cell_Site_LeachingZone</f>
        <v>NO - Not in leaching zone</v>
      </c>
      <c r="H25" s="15">
        <f>CommonCropping_InputFunctions.CommonCropping_GetFracWET(G25,F25,Table_SourceData_FracWET[Is in leaching zone],Table_SourceData_FracWET[FracWET], Table_SourceData_FracWETIrrigation[Irrigation type i],Table_SourceData_FracWETIrrigation[FracWET])</f>
        <v>1</v>
      </c>
      <c r="I25" s="15">
        <f>(E25 * H25 * $J$15)</f>
        <v>1.7814239999999999E-2</v>
      </c>
      <c r="N25" s="15"/>
      <c r="O25" s="15">
        <f>'6.2.1.1-2 Pasture residue N2O'!$O$21</f>
        <v>7.4226E-2</v>
      </c>
      <c r="P25" s="15"/>
      <c r="Q25" s="15"/>
      <c r="R25" s="15"/>
      <c r="S25" s="15">
        <f>(O25 * H25 * $J$15)</f>
        <v>1.7814239999999999E-2</v>
      </c>
    </row>
    <row r="26" spans="1:20" ht="20.100000000000001" customHeight="1" x14ac:dyDescent="0.2">
      <c r="A26" s="5" t="str">
        <f>HYPERLINK("#'Input - Refrigerants'!A1", "Refrigerants")</f>
        <v>Refrigerants</v>
      </c>
    </row>
    <row r="27" spans="1:20" ht="20.100000000000001" customHeight="1" x14ac:dyDescent="0.2">
      <c r="A27" s="5" t="str">
        <f>HYPERLINK("#'Input - Data quality'!A1", "Data quality")</f>
        <v>Data quality</v>
      </c>
      <c r="C27" s="252"/>
      <c r="D27" s="252"/>
      <c r="E27" s="252"/>
      <c r="F27" s="252"/>
      <c r="G27" s="252"/>
      <c r="H27" s="252"/>
      <c r="I27" s="252"/>
      <c r="J27" s="252"/>
      <c r="K27" s="252"/>
      <c r="M27" s="252"/>
      <c r="N27" s="252"/>
      <c r="O27" s="252"/>
      <c r="P27" s="252"/>
      <c r="Q27" s="252"/>
      <c r="R27" s="252"/>
      <c r="S27" s="252"/>
      <c r="T27" s="252"/>
    </row>
    <row r="28" spans="1:20" ht="20.100000000000001" customHeight="1" x14ac:dyDescent="0.2">
      <c r="C28" s="8"/>
      <c r="D28" s="2" t="s">
        <v>1904</v>
      </c>
      <c r="E28" s="8"/>
      <c r="F28" s="253"/>
      <c r="G28" s="8"/>
      <c r="H28" s="8"/>
      <c r="I28" s="8"/>
      <c r="J28" s="8"/>
      <c r="K28" s="8"/>
    </row>
    <row r="29" spans="1:20" ht="20.100000000000001" customHeight="1" x14ac:dyDescent="0.2">
      <c r="C29" s="8"/>
      <c r="D29" s="17" t="s">
        <v>1905</v>
      </c>
      <c r="E29" s="8"/>
      <c r="F29" s="8"/>
      <c r="G29" s="8"/>
      <c r="H29" s="8"/>
      <c r="I29" s="8"/>
      <c r="J29" s="8"/>
      <c r="K29" s="8"/>
    </row>
    <row r="30" spans="1:20" ht="20.100000000000001" customHeight="1" x14ac:dyDescent="0.2">
      <c r="A30" s="6" t="s">
        <v>2</v>
      </c>
      <c r="C30" s="8"/>
      <c r="D30" s="118"/>
      <c r="E30" s="118"/>
      <c r="F30" s="8"/>
      <c r="G30" s="8"/>
      <c r="H30" s="8"/>
      <c r="I30" s="8"/>
      <c r="J30" s="8"/>
      <c r="K30" s="8"/>
    </row>
    <row r="31" spans="1:20" ht="20.100000000000001" customHeight="1" x14ac:dyDescent="0.2">
      <c r="A31" s="5" t="str">
        <f>HYPERLINK("#'3.3.1.1-2 Enteric Methane'!A1", "3.3.1.1-2 Enteric methane")</f>
        <v>3.3.1.1-2 Enteric methane</v>
      </c>
      <c r="C31" s="8"/>
      <c r="D31" s="8"/>
      <c r="E31" s="8"/>
      <c r="F31" s="8"/>
      <c r="G31" s="8"/>
      <c r="H31" s="8"/>
      <c r="I31" s="8"/>
      <c r="J31" s="8"/>
      <c r="K31" s="8"/>
    </row>
    <row r="32" spans="1:20" ht="20.100000000000001" customHeight="1" x14ac:dyDescent="0.2">
      <c r="A32" s="5" t="str">
        <f>HYPERLINK("#'4.3.1.1-2 Methane'!A1", "4.3.1.1-2 Manure methane")</f>
        <v>4.3.1.1-2 Manure methane</v>
      </c>
      <c r="C32" s="8"/>
      <c r="D32" s="8"/>
      <c r="E32" s="8"/>
      <c r="F32" s="17"/>
      <c r="G32" s="8"/>
      <c r="H32" s="8"/>
      <c r="I32" s="8"/>
      <c r="J32" s="8"/>
      <c r="K32" s="8"/>
    </row>
    <row r="33" spans="1:17" ht="20.100000000000001" customHeight="1" x14ac:dyDescent="0.2">
      <c r="A33" s="5" t="str">
        <f>HYPERLINK("#'4.3.1.3-4 Direct N20'!A1", "4.3.1.3-4 Direct N20")</f>
        <v>4.3.1.3-4 Direct N20</v>
      </c>
      <c r="C33" s="8"/>
      <c r="D33" s="59" t="s">
        <v>378</v>
      </c>
      <c r="E33" s="8" t="s">
        <v>1889</v>
      </c>
      <c r="F33" s="8"/>
      <c r="G33" s="8"/>
      <c r="H33" s="8"/>
      <c r="I33" s="8"/>
      <c r="J33" s="8"/>
      <c r="K33" s="8"/>
    </row>
    <row r="34" spans="1:17" ht="20.100000000000001" customHeight="1" x14ac:dyDescent="0.2">
      <c r="A34" s="5" t="str">
        <f>HYPERLINK("#'4.3.1.5 Atmos deposition'!A1", "4.3.1.5 Atmos deposition")</f>
        <v>4.3.1.5 Atmos deposition</v>
      </c>
      <c r="C34" s="8"/>
      <c r="D34" s="59" t="s">
        <v>118</v>
      </c>
      <c r="E34" s="9" t="s">
        <v>11</v>
      </c>
      <c r="F34" s="8"/>
      <c r="G34" s="8"/>
      <c r="H34" s="8"/>
      <c r="I34" s="8"/>
      <c r="J34" s="8"/>
      <c r="K34" s="8"/>
    </row>
    <row r="35" spans="1:17" ht="20.100000000000001" customHeight="1" x14ac:dyDescent="0.2">
      <c r="A35" s="5" t="str">
        <f>HYPERLINK("#'4.3.1.6-7 Leaching and runoff'!A1", "4.3.1.6-7 Leaching &amp; runoff")</f>
        <v>4.3.1.6-7 Leaching &amp; runoff</v>
      </c>
      <c r="C35" s="8"/>
      <c r="D35" s="8"/>
      <c r="E35" s="8"/>
      <c r="F35" s="8"/>
      <c r="G35" s="8"/>
      <c r="H35" s="8"/>
      <c r="I35" s="8"/>
      <c r="J35" s="8"/>
      <c r="K35" s="8"/>
    </row>
    <row r="36" spans="1:17" ht="20.100000000000001" customHeight="1" x14ac:dyDescent="0.2">
      <c r="A36" s="5" t="str">
        <f>HYPERLINK("#'4.3.1.8 Manure applied to soils'!A1", "4.3.1.8 Manure applied to soils")</f>
        <v>4.3.1.8 Manure applied to soils</v>
      </c>
      <c r="C36" s="8"/>
      <c r="D36" s="120" t="s">
        <v>1151</v>
      </c>
      <c r="E36" s="125" t="s">
        <v>1906</v>
      </c>
      <c r="F36" s="133"/>
      <c r="G36" s="126"/>
      <c r="H36" s="120" t="s">
        <v>1301</v>
      </c>
      <c r="I36" s="128" t="s">
        <v>1908</v>
      </c>
      <c r="J36" s="120" t="str" cm="1">
        <f t="array" aca="1" ref="J36" ca="1">HYPERLINK(Common_InputFunctions.Utility_SourceHyperlink($D$21), $D$21)</f>
        <v>M1_Table_M_leach_cp</v>
      </c>
      <c r="K36" s="8"/>
    </row>
    <row r="37" spans="1:17" ht="20.100000000000001" customHeight="1" x14ac:dyDescent="0.2">
      <c r="A37" s="5" t="str">
        <f>HYPERLINK("#'4.3.1.9 Soil direct N2O'!A1", "4.3.1.9 Soil direct N2O")</f>
        <v>4.3.1.9 Soil direct N2O</v>
      </c>
      <c r="C37" s="8"/>
      <c r="D37" s="120" t="s">
        <v>1698</v>
      </c>
      <c r="E37" s="125" t="s">
        <v>1907</v>
      </c>
      <c r="F37" s="133"/>
      <c r="G37" s="126"/>
      <c r="H37" s="120" t="s">
        <v>1663</v>
      </c>
      <c r="I37" s="128" t="s">
        <v>1501</v>
      </c>
      <c r="J37" s="120">
        <f>'Constants - Common'!$E$170</f>
        <v>1.0999999999999999E-2</v>
      </c>
      <c r="K37" s="8"/>
    </row>
    <row r="38" spans="1:17" ht="20.100000000000001" customHeight="1" x14ac:dyDescent="0.2">
      <c r="A38" s="5" t="str">
        <f>HYPERLINK("#'4.3.1.10-11 Soil Atmos Dep'!A1", "4.3.1.10-11 Soil Atmos Deposition")</f>
        <v>4.3.1.10-11 Soil Atmos Deposition</v>
      </c>
      <c r="C38" s="8"/>
      <c r="D38" s="120" t="s">
        <v>1660</v>
      </c>
      <c r="E38" s="125" t="s">
        <v>1763</v>
      </c>
      <c r="F38" s="133"/>
      <c r="G38" s="126"/>
      <c r="H38" s="120" t="s">
        <v>1895</v>
      </c>
      <c r="I38" s="128" t="s">
        <v>1501</v>
      </c>
      <c r="J38" s="120">
        <f>Common_InputFunctions.Utility_LookupValueInTableNumber("N2O",Table_GasToMolecularConversionFactor[Gas],Table_GasToMolecularConversionFactor[Conversion factor combined])</f>
        <v>1.5714285714285714</v>
      </c>
      <c r="K38" s="8"/>
    </row>
    <row r="39" spans="1:17" ht="20.100000000000001" customHeight="1" x14ac:dyDescent="0.2">
      <c r="A39" s="5" t="str">
        <f>HYPERLINK("#'4.3.1.12-13 Soil leach runoff'!A1", "4.3.1.12-13 Soil leach &amp; runoff")</f>
        <v>4.3.1.12-13 Soil leach &amp; runoff</v>
      </c>
      <c r="C39" s="8"/>
      <c r="D39" s="120" t="s">
        <v>1776</v>
      </c>
      <c r="E39" s="125" t="s">
        <v>1900</v>
      </c>
      <c r="F39" s="133"/>
      <c r="G39" s="126"/>
      <c r="H39" s="120"/>
      <c r="I39" s="121" t="s">
        <v>1469</v>
      </c>
      <c r="J39" s="120" t="s">
        <v>277</v>
      </c>
      <c r="K39" s="8"/>
    </row>
    <row r="40" spans="1:17" ht="20.100000000000001" customHeight="1" x14ac:dyDescent="0.2">
      <c r="A40" s="5" t="str">
        <f>HYPERLINK("#'5.1.1.1-2 Inorganic fert N2O'!A1", "5.1.1.1-2 Inorganic fert N2O")</f>
        <v>5.1.1.1-2 Inorganic fert N2O</v>
      </c>
      <c r="C40" s="8"/>
      <c r="D40" s="120" t="s">
        <v>1883</v>
      </c>
      <c r="E40" s="125" t="s">
        <v>1901</v>
      </c>
      <c r="F40" s="133"/>
      <c r="G40" s="126"/>
      <c r="H40" s="120"/>
      <c r="I40" s="121" t="s">
        <v>1469</v>
      </c>
      <c r="J40" s="120" t="str">
        <f>X_Cell_Pasture_PastureType</f>
        <v>Grass clover mixture</v>
      </c>
      <c r="K40" s="8"/>
    </row>
    <row r="41" spans="1:17" ht="20.100000000000001" customHeight="1" x14ac:dyDescent="0.2">
      <c r="A41" s="5" t="str">
        <f>HYPERLINK("#'5.1.1.3-4 Inorganic fert CO2'!A1", "5.1.1.3-4 Inorganic fert CO2")</f>
        <v>5.1.1.3-4 Inorganic fert CO2</v>
      </c>
      <c r="C41" s="8"/>
      <c r="D41" s="8"/>
      <c r="E41" s="8"/>
      <c r="F41" s="8"/>
      <c r="G41" s="8"/>
      <c r="H41" s="8"/>
      <c r="I41" s="8"/>
      <c r="J41" s="8"/>
      <c r="K41" s="8"/>
    </row>
    <row r="42" spans="1:17" ht="20.100000000000001" customHeight="1" x14ac:dyDescent="0.2">
      <c r="A42" s="5" t="str">
        <f>HYPERLINK("#'5.2.1.1-2 Organic Fert N2O'!A1", "5.2.1.1-2 Organic fert N2O")</f>
        <v>5.2.1.1-2 Organic fert N2O</v>
      </c>
      <c r="C42" s="8"/>
      <c r="D42" s="122" t="s">
        <v>756</v>
      </c>
      <c r="E42" s="8"/>
      <c r="F42" s="8"/>
      <c r="G42" s="8"/>
      <c r="H42" s="8"/>
      <c r="I42" s="8"/>
      <c r="J42" s="8"/>
      <c r="K42" s="8"/>
      <c r="N42" s="122" t="s">
        <v>756</v>
      </c>
      <c r="O42" s="8"/>
      <c r="P42" s="8"/>
      <c r="Q42" s="8"/>
    </row>
    <row r="43" spans="1:17" ht="20.100000000000001" customHeight="1" x14ac:dyDescent="0.2">
      <c r="A43" s="5" t="str">
        <f>HYPERLINK("#'5.3.1.1-2 Lime CO2'!A1", "5.3.1.1-2 Lime CO2")</f>
        <v>5.3.1.1-2 Lime CO2</v>
      </c>
      <c r="C43" s="8"/>
      <c r="D43" s="123" t="s">
        <v>1152</v>
      </c>
      <c r="E43" s="8"/>
      <c r="F43" s="8"/>
      <c r="G43" s="8"/>
      <c r="H43" s="8"/>
      <c r="I43" s="8"/>
      <c r="J43" s="8"/>
      <c r="K43" s="8"/>
      <c r="N43" s="123" t="s">
        <v>1152</v>
      </c>
      <c r="O43" s="8"/>
      <c r="P43" s="8"/>
      <c r="Q43" s="8"/>
    </row>
    <row r="44" spans="1:17" ht="20.100000000000001" customHeight="1" x14ac:dyDescent="0.2">
      <c r="A44" s="5" t="str">
        <f>HYPERLINK("#'5.4.1.1-4 Atmos deposition'!A1", "5.4.1.1-4 Atmos. deposition")</f>
        <v>5.4.1.1-4 Atmos. deposition</v>
      </c>
      <c r="C44" s="8"/>
      <c r="D44" s="124" t="s">
        <v>1151</v>
      </c>
      <c r="E44" s="124" t="s">
        <v>1153</v>
      </c>
      <c r="F44" s="8"/>
      <c r="G44" s="8"/>
      <c r="H44" s="8"/>
      <c r="I44" s="8"/>
      <c r="J44" s="8"/>
      <c r="K44" s="8"/>
      <c r="N44" s="124" t="s">
        <v>1151</v>
      </c>
      <c r="O44" s="124" t="s">
        <v>1153</v>
      </c>
      <c r="P44" s="8"/>
      <c r="Q44" s="8"/>
    </row>
    <row r="45" spans="1:17" ht="20.100000000000001" customHeight="1" x14ac:dyDescent="0.2">
      <c r="A45" s="5" t="str">
        <f>HYPERLINK("#'5.5.1.1-2 Leaching and runoff'!A1", "5.5.1.1-2 Leaching &amp; runoff")</f>
        <v>5.5.1.1-2 Leaching &amp; runoff</v>
      </c>
      <c r="C45" s="8"/>
      <c r="D45" s="15" t="str">
        <f>I24</f>
        <v>N/A</v>
      </c>
      <c r="E45" s="15" t="s">
        <v>277</v>
      </c>
      <c r="F45" s="8"/>
      <c r="G45" s="8"/>
      <c r="H45" s="8"/>
      <c r="I45" s="8"/>
      <c r="J45" s="8"/>
      <c r="K45" s="8"/>
      <c r="N45" s="15" t="str">
        <f>S24</f>
        <v>N/A</v>
      </c>
      <c r="O45" s="15" t="s">
        <v>277</v>
      </c>
      <c r="P45" s="8"/>
      <c r="Q45" s="8"/>
    </row>
    <row r="46" spans="1:17" ht="20.100000000000001" customHeight="1" x14ac:dyDescent="0.2">
      <c r="A46" s="5" t="str">
        <f>HYPERLINK("#'6.2.1.1-2 Pasture residue N2O'!A1", "6.2.1.1-2 Pasture residue N2O")</f>
        <v>6.2.1.1-2 Pasture residue N2O</v>
      </c>
      <c r="C46" s="8"/>
      <c r="D46" s="15">
        <f>I25</f>
        <v>1.7814239999999999E-2</v>
      </c>
      <c r="E46" s="15">
        <f>((D46 * $J$37) * $J$38 * 10 ^ (-3))</f>
        <v>3.0793186285714277E-7</v>
      </c>
      <c r="F46" s="8"/>
      <c r="G46" s="8"/>
      <c r="H46" s="8"/>
      <c r="I46" s="8"/>
      <c r="J46" s="8"/>
      <c r="K46" s="8"/>
      <c r="N46" s="15">
        <f>S25</f>
        <v>1.7814239999999999E-2</v>
      </c>
      <c r="O46" s="15">
        <f>((N46 * $J$37) * $J$38 * 10 ^ (-3))</f>
        <v>3.0793186285714277E-7</v>
      </c>
      <c r="P46" s="8"/>
      <c r="Q46" s="8"/>
    </row>
    <row r="47" spans="1:17" ht="20.100000000000001" customHeight="1" x14ac:dyDescent="0.2">
      <c r="A47" s="119" t="str">
        <f>HYPERLINK("#'6.3.1.1-2 Leach runoff pasture'!A1", "6.3.1.1-2 Leach &amp; runoff (pasture)")</f>
        <v>6.3.1.1-2 Leach &amp; runoff (pasture)</v>
      </c>
      <c r="C47" s="8"/>
      <c r="F47" s="8"/>
      <c r="G47" s="8"/>
      <c r="H47" s="8"/>
      <c r="I47" s="8"/>
      <c r="J47" s="8"/>
      <c r="K47" s="8"/>
      <c r="P47" s="8"/>
      <c r="Q47" s="8"/>
    </row>
    <row r="48" spans="1:17" ht="20.100000000000001" customHeight="1" x14ac:dyDescent="0.35">
      <c r="A48" s="5" t="str">
        <f>HYPERLINK("#'8.1.1.1-2 Transport fuel'!A1", "8.1.1.1-2 Transport fuel")</f>
        <v>8.1.1.1-2 Transport fuel</v>
      </c>
      <c r="C48" s="8"/>
      <c r="D48" s="254" t="s">
        <v>1154</v>
      </c>
      <c r="E48" s="255">
        <f>SUM(E45:E46)</f>
        <v>3.0793186285714277E-7</v>
      </c>
      <c r="F48" s="89" t="str">
        <f>$E$34</f>
        <v>t N2O</v>
      </c>
      <c r="G48" s="8"/>
      <c r="H48" s="8"/>
      <c r="I48" s="8"/>
      <c r="J48" s="8"/>
      <c r="K48" s="8"/>
      <c r="N48" s="254" t="s">
        <v>1154</v>
      </c>
      <c r="O48" s="255">
        <f>SUM(O45:O46)</f>
        <v>3.0793186285714277E-7</v>
      </c>
      <c r="P48" s="89" t="str">
        <f>$E$34</f>
        <v>t N2O</v>
      </c>
      <c r="Q48" s="8"/>
    </row>
    <row r="49" spans="1:17" ht="20.100000000000001" customHeight="1" x14ac:dyDescent="0.2">
      <c r="A49" s="5" t="str">
        <f>HYPERLINK("#'8.2.1.1-2 Stationary fuel'!A1", "8.2.1.1-2 Stationary fuel")</f>
        <v>8.2.1.1-2 Stationary fuel</v>
      </c>
      <c r="D49" s="8"/>
      <c r="E49" s="8"/>
      <c r="F49" s="8"/>
      <c r="G49" s="8"/>
      <c r="N49" s="8"/>
      <c r="O49" s="8"/>
      <c r="P49" s="8"/>
      <c r="Q49" s="8"/>
    </row>
    <row r="50" spans="1:17" ht="20.100000000000001" customHeight="1" x14ac:dyDescent="0.2">
      <c r="A50" s="5" t="str">
        <f>HYPERLINK("#'9.1.1.1-2 Refrigerant use'!A1", "9.1.1.1-2 Refrigerant use")</f>
        <v>9.1.1.1-2 Refrigerant use</v>
      </c>
      <c r="D50" s="132" t="str" cm="1">
        <f t="array" ref="D50:E51">Common_Equations.Common_ConvertN2OToCO2e_Arguments()</f>
        <v>EN2O</v>
      </c>
      <c r="E50" s="135" t="str">
        <v>Nitrous oxide emissions (t N2O)</v>
      </c>
      <c r="F50" s="136"/>
      <c r="G50" s="15">
        <f>VEERG_6_3_1_1__1__LeachingAndRunoffEmissionsCropAndPastureResidue_PastureOnly_Result_Method1</f>
        <v>3.0793186285714277E-7</v>
      </c>
      <c r="N50" s="132" t="str" cm="1">
        <f t="array" ref="N50:O51">Common_Equations.Common_ConvertN2OToCO2e_Arguments()</f>
        <v>EN2O</v>
      </c>
      <c r="O50" s="135" t="str">
        <v>Nitrous oxide emissions (t N2O)</v>
      </c>
      <c r="P50" s="136"/>
      <c r="Q50" s="15">
        <f>VEERG_6_3_1_1__1__LeachingAndRunoffEmissionsCropAndPastureResidue_PastureOnly_Result_Method2</f>
        <v>3.0793186285714277E-7</v>
      </c>
    </row>
    <row r="51" spans="1:17" ht="20.100000000000001" customHeight="1" x14ac:dyDescent="0.2">
      <c r="A51" s="5" t="str">
        <f>HYPERLINK("#'10.1.1-2 Solid waste treatment'!A1", "10.1.1.1-2 Solid waste")</f>
        <v>10.1.1.1-2 Solid waste</v>
      </c>
      <c r="D51" s="132" t="str">
        <v>GWPN2O</v>
      </c>
      <c r="E51" s="135" t="str">
        <v>Global warming potential for nitrous oxide (t CO2-e / t N2O)</v>
      </c>
      <c r="F51" s="136"/>
      <c r="G51" s="15">
        <f>Common_InputFunctions.Utility_LookupValueInTableNumber("N2O",Table_GWPData[Gas],Table_GWPData[CO2-e factor])</f>
        <v>265</v>
      </c>
      <c r="H51" s="8"/>
      <c r="I51" s="8"/>
      <c r="N51" s="132" t="str">
        <v>GWPN2O</v>
      </c>
      <c r="O51" s="135" t="str">
        <v>Global warming potential for nitrous oxide (t CO2-e / t N2O)</v>
      </c>
      <c r="P51" s="136"/>
      <c r="Q51" s="15">
        <f>Common_InputFunctions.Utility_LookupValueInTableNumber("N2O",Table_GWPData[Gas],Table_GWPData[CO2-e factor])</f>
        <v>265</v>
      </c>
    </row>
    <row r="52" spans="1:17" ht="20.100000000000001" customHeight="1" x14ac:dyDescent="0.2">
      <c r="A52" s="5" t="str">
        <f>HYPERLINK("#'14.1.1-2 Purchased electricity'!A1", "14.1.1-2 Purchased electricity")</f>
        <v>14.1.1-2 Purchased electricity</v>
      </c>
      <c r="H52" s="8"/>
      <c r="I52" s="8"/>
    </row>
    <row r="53" spans="1:17" ht="20.100000000000001" customHeight="1" x14ac:dyDescent="0.2">
      <c r="A53" s="5" t="str">
        <f>HYPERLINK("#'15 Scope 3'!A1", "15 Scope 3")</f>
        <v>15 Scope 3</v>
      </c>
      <c r="D53" s="88" t="s">
        <v>527</v>
      </c>
      <c r="E53" s="88" cm="1">
        <f t="array" ref="E53">Common_Equations.Common_ConvertN2OToCO2e(G50,G51)</f>
        <v>8.1601943657142831E-5</v>
      </c>
      <c r="F53" s="93" t="str" cm="1">
        <f t="array" ref="F53">Common_Equations.Common_ConvertN2OToCO2e_Unit()</f>
        <v>t CO2e</v>
      </c>
      <c r="I53" s="8"/>
      <c r="N53" s="88" t="s">
        <v>527</v>
      </c>
      <c r="O53" s="88" cm="1">
        <f t="array" ref="O53">Common_Equations.Common_ConvertN2OToCO2e(Q50,Q51)</f>
        <v>8.1601943657142831E-5</v>
      </c>
      <c r="P53" s="93" t="str" cm="1">
        <f t="array" ref="P53">Common_Equations.Common_ConvertN2OToCO2e_Unit()</f>
        <v>t CO2e</v>
      </c>
    </row>
    <row r="54" spans="1:17" ht="20.100000000000001" customHeight="1" x14ac:dyDescent="0.2">
      <c r="A54" s="5" t="str">
        <f>HYPERLINK("#'Calcs - Manure sent off-site'!A1", "Calcs - Manure sent off-site")</f>
        <v>Calcs - Manure sent off-site</v>
      </c>
      <c r="I54" s="8"/>
    </row>
    <row r="57" spans="1:17" ht="20.100000000000001" customHeight="1" x14ac:dyDescent="0.2">
      <c r="A57" s="82" t="s">
        <v>1</v>
      </c>
    </row>
    <row r="58" spans="1:17" ht="20.100000000000001" customHeight="1" x14ac:dyDescent="0.2">
      <c r="A58" s="5" t="str">
        <f>HYPERLINK("#'Constants - Dairy'!A1", "Constants - Dairy")</f>
        <v>Constants - Dairy</v>
      </c>
    </row>
    <row r="59" spans="1:17" ht="20.100000000000001" customHeight="1" x14ac:dyDescent="0.2">
      <c r="A59" s="5" t="str">
        <f>HYPERLINK("#'Constants - Ag Residue'!A1", "Constants - Ag residue")</f>
        <v>Constants - Ag residue</v>
      </c>
    </row>
    <row r="60" spans="1:17" ht="20.100000000000001" customHeight="1" x14ac:dyDescent="0.2">
      <c r="A60" s="5" t="str">
        <f>HYPERLINK("#'Constants - Common Livestock'!A1", "Constants - Common Livestock")</f>
        <v>Constants - Common Livestock</v>
      </c>
      <c r="H60" s="8"/>
      <c r="I60" s="8"/>
    </row>
    <row r="61" spans="1:17" ht="20.100000000000001" customHeight="1" x14ac:dyDescent="0.2">
      <c r="A61" s="5" t="str">
        <f>HYPERLINK("#'Constants - Electricity'!A1", "Constants - Electricity")</f>
        <v>Constants - Electricity</v>
      </c>
      <c r="H61" s="8"/>
      <c r="I61" s="8"/>
    </row>
    <row r="62" spans="1:17" ht="20.100000000000001" customHeight="1" x14ac:dyDescent="0.2">
      <c r="A62" s="5" t="str">
        <f>HYPERLINK("#'Constants - Fertiliser'!A1", "Constants - Fertiliser")</f>
        <v>Constants - Fertiliser</v>
      </c>
    </row>
    <row r="63" spans="1:17" ht="20.100000000000001" customHeight="1" x14ac:dyDescent="0.2">
      <c r="A63" s="5" t="str">
        <f>HYPERLINK("#'Constants - Fuel'!A1", "Constants - Fuel")</f>
        <v>Constants - Fuel</v>
      </c>
    </row>
    <row r="64" spans="1:17"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8DB05-9D16-44AE-BEF5-D3301E77115D}">
  <sheetPr>
    <tabColor rgb="FF008000"/>
  </sheetPr>
  <dimension ref="A1:R342"/>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0" customFormat="1" ht="30" customHeight="1" x14ac:dyDescent="0.35">
      <c r="A1" s="10" t="e" vm="1">
        <v>#VALUE!</v>
      </c>
      <c r="C1" s="20" t="s">
        <v>923</v>
      </c>
    </row>
    <row r="2" spans="1:18" s="3" customFormat="1" ht="20.100000000000001" customHeight="1" x14ac:dyDescent="0.2">
      <c r="A2"/>
    </row>
    <row r="3" spans="1:18" ht="20.100000000000001" customHeight="1" x14ac:dyDescent="0.2">
      <c r="A3" s="5" t="str">
        <f>HYPERLINK("#'Home'!A1", "Home")</f>
        <v>Home</v>
      </c>
      <c r="C3" s="22"/>
      <c r="D3" s="22" t="s">
        <v>129</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1909</v>
      </c>
      <c r="K5" s="2" t="s">
        <v>1911</v>
      </c>
      <c r="O5" s="184"/>
      <c r="P5" s="184"/>
      <c r="Q5" s="184"/>
    </row>
    <row r="6" spans="1:18" ht="20.100000000000001" customHeight="1" x14ac:dyDescent="0.2">
      <c r="A6" s="5" t="str">
        <f>HYPERLINK("#'Results'!A1", "Results")</f>
        <v>Results</v>
      </c>
      <c r="D6" s="17" t="s">
        <v>1910</v>
      </c>
      <c r="K6" s="17" t="s">
        <v>1912</v>
      </c>
      <c r="O6" s="184"/>
      <c r="P6" s="184"/>
      <c r="Q6" s="184"/>
    </row>
    <row r="7" spans="1:18" ht="20.100000000000001" customHeight="1" x14ac:dyDescent="0.2">
      <c r="D7" s="118"/>
      <c r="E7" s="118"/>
      <c r="K7" s="118"/>
      <c r="L7" s="118"/>
      <c r="O7" s="184"/>
      <c r="P7" s="184"/>
      <c r="Q7" s="184"/>
    </row>
    <row r="8" spans="1:18" ht="20.100000000000001" customHeight="1" x14ac:dyDescent="0.2">
      <c r="E8" s="118"/>
      <c r="L8" s="118"/>
      <c r="O8" s="184"/>
      <c r="P8" s="184"/>
      <c r="Q8" s="184"/>
    </row>
    <row r="9" spans="1:18" ht="20.100000000000001" customHeight="1" x14ac:dyDescent="0.2">
      <c r="A9" s="7" t="s">
        <v>0</v>
      </c>
      <c r="G9" s="17"/>
      <c r="O9" s="184"/>
      <c r="P9" s="184"/>
      <c r="Q9" s="184"/>
    </row>
    <row r="10" spans="1:18" ht="20.100000000000001" customHeight="1" x14ac:dyDescent="0.2">
      <c r="A10" s="5" t="str">
        <f>HYPERLINK("#'Input - Enterprise'!A1", "Enterprise")</f>
        <v>Enterprise</v>
      </c>
      <c r="O10" s="184"/>
      <c r="P10" s="184"/>
      <c r="Q10" s="184"/>
    </row>
    <row r="11" spans="1:18" ht="20.100000000000001" customHeight="1" x14ac:dyDescent="0.2">
      <c r="A11" s="5" t="str">
        <f>HYPERLINK("#'Input - Site'!A1", "Site")</f>
        <v>Site</v>
      </c>
      <c r="D11" s="76" t="s">
        <v>378</v>
      </c>
      <c r="E11" s="1" t="s">
        <v>1913</v>
      </c>
      <c r="K11" s="76" t="s">
        <v>378</v>
      </c>
      <c r="L11" s="1" t="s">
        <v>1914</v>
      </c>
      <c r="O11" s="184"/>
      <c r="P11" s="184"/>
      <c r="Q11" s="184"/>
    </row>
    <row r="12" spans="1:18" ht="20.100000000000001" customHeight="1" x14ac:dyDescent="0.2">
      <c r="A12" s="5" t="str">
        <f>HYPERLINK("#'Input - Dairy'!A1", "Dairy")</f>
        <v>Dairy</v>
      </c>
      <c r="D12" s="76" t="s">
        <v>118</v>
      </c>
      <c r="E12" s="9" t="s">
        <v>264</v>
      </c>
      <c r="K12" s="76" t="s">
        <v>118</v>
      </c>
      <c r="L12" s="9" t="s">
        <v>6</v>
      </c>
    </row>
    <row r="13" spans="1:18" ht="20.100000000000001" customHeight="1" x14ac:dyDescent="0.2">
      <c r="A13" s="5" t="str">
        <f>HYPERLINK("#'Input - Livestock sales'!A1", "Livestock sales")</f>
        <v>Livestock sales</v>
      </c>
    </row>
    <row r="14" spans="1:18" ht="20.100000000000001" customHeight="1" x14ac:dyDescent="0.2">
      <c r="A14" s="5" t="str">
        <f>HYPERLINK("#'Input - Dairy cattle purchases'!A1", "Dairy cattle purchases")</f>
        <v>Dairy cattle purchases</v>
      </c>
      <c r="D14" s="120" t="s">
        <v>1915</v>
      </c>
      <c r="E14" s="125" t="s">
        <v>1916</v>
      </c>
      <c r="F14" s="126"/>
      <c r="G14" s="120" t="s">
        <v>1926</v>
      </c>
      <c r="H14" s="121" t="s">
        <v>1469</v>
      </c>
      <c r="I14" s="127" t="str" cm="1">
        <f t="array" aca="1" ref="I14" ca="1">HYPERLINK(Common_InputFunctions.Utility_SourceHyperlink($D$22), $D$22)</f>
        <v>Table_E_g</v>
      </c>
      <c r="K14" s="120" t="s">
        <v>1929</v>
      </c>
      <c r="L14" s="120" t="s">
        <v>1930</v>
      </c>
      <c r="M14" s="120"/>
      <c r="N14" s="120" t="s">
        <v>978</v>
      </c>
      <c r="O14" s="121" t="s">
        <v>1469</v>
      </c>
      <c r="P14" s="127" t="str" cm="1">
        <f t="array" aca="1" ref="P14" ca="1">HYPERLINK(Common_InputFunctions.Utility_SourceHyperlink($D$22), $D$22)</f>
        <v>Table_E_g</v>
      </c>
      <c r="Q14" s="184"/>
    </row>
    <row r="15" spans="1:18" ht="20.100000000000001" customHeight="1" x14ac:dyDescent="0.2">
      <c r="A15" s="5" t="str">
        <f>HYPERLINK("#'Input - Pasture'!A1", "Pasture")</f>
        <v>Pasture</v>
      </c>
      <c r="D15" s="120" t="s">
        <v>1917</v>
      </c>
      <c r="E15" s="125" t="s">
        <v>1918</v>
      </c>
      <c r="F15" s="126"/>
      <c r="G15" s="120" t="s">
        <v>1927</v>
      </c>
      <c r="H15" s="128" t="s">
        <v>1501</v>
      </c>
      <c r="I15" s="127" t="str" cm="1">
        <f t="array" aca="1" ref="I15" ca="1">HYPERLINK(Common_InputFunctions.Utility_SourceHyperlink($D$22), $D$22)</f>
        <v>Table_E_g</v>
      </c>
      <c r="K15" s="120" t="s">
        <v>1917</v>
      </c>
      <c r="L15" s="120" t="s">
        <v>1931</v>
      </c>
      <c r="M15" s="120"/>
      <c r="N15" s="120" t="s">
        <v>1934</v>
      </c>
      <c r="O15" s="128" t="s">
        <v>1501</v>
      </c>
      <c r="P15" s="127" t="str" cm="1">
        <f t="array" aca="1" ref="P15" ca="1">HYPERLINK(Common_InputFunctions.Utility_SourceHyperlink($D$22), $D$22)</f>
        <v>Table_E_g</v>
      </c>
      <c r="Q15" s="184"/>
    </row>
    <row r="16" spans="1:18" ht="20.100000000000001" customHeight="1" x14ac:dyDescent="0.2">
      <c r="A16" s="5" t="str">
        <f>HYPERLINK("#'Input - Fert Prod System'!A1", "Fert Prod System")</f>
        <v>Fert Prod System</v>
      </c>
      <c r="D16" s="120" t="s">
        <v>1919</v>
      </c>
      <c r="E16" s="125" t="s">
        <v>1920</v>
      </c>
      <c r="F16" s="126"/>
      <c r="G16" s="120" t="s">
        <v>1928</v>
      </c>
      <c r="H16" s="128" t="s">
        <v>1501</v>
      </c>
      <c r="I16" s="127" t="str" cm="1">
        <f t="array" aca="1" ref="I16" ca="1">HYPERLINK(Common_InputFunctions.Utility_SourceHyperlink($D$22), $D$22)</f>
        <v>Table_E_g</v>
      </c>
      <c r="K16" s="120" t="s">
        <v>1932</v>
      </c>
      <c r="L16" s="120" t="s">
        <v>1933</v>
      </c>
      <c r="M16" s="120"/>
      <c r="N16" s="120" t="s">
        <v>1935</v>
      </c>
      <c r="O16" s="128" t="s">
        <v>1501</v>
      </c>
      <c r="P16" s="127" t="str" cm="1">
        <f t="array" aca="1" ref="P16" ca="1">HYPERLINK(Common_InputFunctions.Utility_SourceHyperlink($D$22), $D$22)</f>
        <v>Table_E_g</v>
      </c>
      <c r="Q16" s="184"/>
    </row>
    <row r="17" spans="1:17" ht="20.100000000000001" customHeight="1" x14ac:dyDescent="0.2">
      <c r="A17" s="5" t="str">
        <f>HYPERLINK("#'Input - Fertiliser'!A1", "Fertiliser")</f>
        <v>Fertiliser</v>
      </c>
      <c r="D17" s="120" t="s">
        <v>1921</v>
      </c>
      <c r="E17" s="125" t="s">
        <v>976</v>
      </c>
      <c r="F17" s="126"/>
      <c r="G17" s="120"/>
      <c r="H17" s="128" t="s">
        <v>1501</v>
      </c>
      <c r="I17" s="127"/>
      <c r="J17" s="184"/>
      <c r="P17" s="184"/>
      <c r="Q17" s="184"/>
    </row>
    <row r="18" spans="1:17" ht="20.100000000000001" customHeight="1" x14ac:dyDescent="0.2">
      <c r="A18" s="5" t="str">
        <f>HYPERLINK("#'Input - Fuel'!A1", "Fuel")</f>
        <v>Fuel</v>
      </c>
      <c r="D18" s="120" t="s">
        <v>1922</v>
      </c>
      <c r="E18" s="125" t="s">
        <v>1923</v>
      </c>
      <c r="F18" s="126"/>
      <c r="G18" s="120"/>
      <c r="H18" s="128" t="s">
        <v>1501</v>
      </c>
      <c r="I18" s="127"/>
      <c r="J18" s="184"/>
      <c r="L18" s="184"/>
      <c r="M18" s="184"/>
      <c r="N18" s="184"/>
      <c r="O18" s="184"/>
      <c r="P18" s="184"/>
      <c r="Q18" s="184"/>
    </row>
    <row r="19" spans="1:17" ht="20.100000000000001" customHeight="1" x14ac:dyDescent="0.2">
      <c r="A19" s="5" t="str">
        <f>HYPERLINK("#'Input - Electricity'!A1", "Electricity")</f>
        <v>Electricity</v>
      </c>
      <c r="D19" s="120" t="s">
        <v>1924</v>
      </c>
      <c r="E19" s="125" t="s">
        <v>1925</v>
      </c>
      <c r="F19" s="126"/>
      <c r="G19" s="120"/>
      <c r="H19" s="128" t="s">
        <v>1501</v>
      </c>
      <c r="I19" s="127"/>
      <c r="J19" s="184"/>
      <c r="L19" s="184"/>
      <c r="M19" s="184"/>
      <c r="N19" s="184"/>
      <c r="O19" s="184"/>
      <c r="P19" s="184"/>
      <c r="Q19" s="184"/>
    </row>
    <row r="20" spans="1:17" ht="20.100000000000001" customHeight="1" x14ac:dyDescent="0.2">
      <c r="A20" s="5" t="str">
        <f>HYPERLINK("#'Input - Common farm inputs'!A1", "Common farm inputs")</f>
        <v>Common farm inputs</v>
      </c>
      <c r="D20" s="120">
        <v>1</v>
      </c>
      <c r="E20" s="125" t="s">
        <v>239</v>
      </c>
      <c r="F20" s="126"/>
      <c r="G20" s="120"/>
      <c r="H20" s="128" t="s">
        <v>1501</v>
      </c>
      <c r="I20" s="127"/>
      <c r="J20" s="184"/>
      <c r="L20" s="184"/>
      <c r="M20" s="184"/>
      <c r="N20" s="184"/>
      <c r="O20" s="184"/>
      <c r="P20" s="184"/>
      <c r="Q20" s="184"/>
    </row>
    <row r="21" spans="1:17" ht="20.100000000000001" customHeight="1" x14ac:dyDescent="0.2">
      <c r="A21" s="5" t="str">
        <f>HYPERLINK("#'Input - Crop pasture farm input'!A1", "Crop pasture farm input")</f>
        <v>Crop pasture farm input</v>
      </c>
      <c r="O21" s="184"/>
      <c r="P21" s="184"/>
      <c r="Q21" s="184"/>
    </row>
    <row r="22" spans="1:17" ht="20.100000000000001" customHeight="1" x14ac:dyDescent="0.2">
      <c r="A22" s="5" t="str">
        <f>HYPERLINK("#'Input - Livestock farm Inputs'!A1", "Livestock farm Inputs")</f>
        <v>Livestock farm Inputs</v>
      </c>
      <c r="D22" s="122" t="s">
        <v>924</v>
      </c>
    </row>
    <row r="23" spans="1:17" ht="20.100000000000001" customHeight="1" x14ac:dyDescent="0.2">
      <c r="A23" s="5" t="str">
        <f>HYPERLINK("#'Input - Freight'!A1", "Freight")</f>
        <v>Freight</v>
      </c>
      <c r="D23" s="123" t="s">
        <v>925</v>
      </c>
    </row>
    <row r="24" spans="1:17" ht="20.100000000000001" customHeight="1" x14ac:dyDescent="0.2">
      <c r="A24" s="5" t="str">
        <f>HYPERLINK("#'Input - Solid waste'!A1", "Solid waste")</f>
        <v>Solid waste</v>
      </c>
      <c r="D24" s="124" t="s">
        <v>926</v>
      </c>
      <c r="E24" s="124" t="s">
        <v>927</v>
      </c>
      <c r="F24" s="124" t="s">
        <v>928</v>
      </c>
      <c r="G24" s="124" t="s">
        <v>929</v>
      </c>
      <c r="H24" s="124" t="s">
        <v>930</v>
      </c>
      <c r="I24" s="124" t="s">
        <v>931</v>
      </c>
      <c r="J24" s="124" t="s">
        <v>932</v>
      </c>
      <c r="K24" s="124" t="s">
        <v>933</v>
      </c>
      <c r="L24" s="81" t="s">
        <v>934</v>
      </c>
      <c r="M24" s="124" t="s">
        <v>935</v>
      </c>
      <c r="N24" s="124" t="s">
        <v>936</v>
      </c>
      <c r="O24" s="124" t="s">
        <v>937</v>
      </c>
      <c r="P24" s="124" t="s">
        <v>938</v>
      </c>
      <c r="Q24" s="124" t="s">
        <v>939</v>
      </c>
    </row>
    <row r="25" spans="1:17" ht="20.100000000000001" customHeight="1" x14ac:dyDescent="0.2">
      <c r="A25" s="5" t="str">
        <f>HYPERLINK("#'Input - Manure sent off-site'!A1", "Manure sent off-site")</f>
        <v>Manure sent off-site</v>
      </c>
      <c r="D25" s="24" t="str">
        <f>Table_FuelTypesPerUse[[#Headers],[Cars and light commercial vehicles]]</f>
        <v>Cars and light commercial vehicles</v>
      </c>
      <c r="E25" s="207" t="str">
        <f>'Constants - Fuel'!$E$10</f>
        <v>Gasoline</v>
      </c>
      <c r="F25" s="207"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87" cm="1">
        <f t="array" ref="L25">Fuel_InputFunctions.Fuel_TotalConsumption(Table_Input_Fuel[Amount consumed], Table_Input_Fuel[Fuel use (select)], D25, Table_Input_Fuel[Fuel type (select)],F25)</f>
        <v>0</v>
      </c>
      <c r="M25" s="187" t="str" cm="1">
        <f t="array" ref="M25">Common_InputFunctions.Utility_LookupValueInTable(F25,Table_FuelTypes_Units[Fuel type],Table_FuelTypes_Units[Unit])</f>
        <v>kL</v>
      </c>
      <c r="N25" s="208">
        <f>((($L25 * $G25 * $H25) * 10 ^ -3))</f>
        <v>0</v>
      </c>
      <c r="O25" s="208">
        <f>((($L25 * $G25 * $I25) * 10 ^ -3))</f>
        <v>0</v>
      </c>
      <c r="P25" s="208">
        <f>((($L25 * $G25 * $J25) * 10 ^ -3))</f>
        <v>0</v>
      </c>
      <c r="Q25" s="208">
        <f>((L25 * G25 * K25) * 10 ^ -3)</f>
        <v>0</v>
      </c>
    </row>
    <row r="26" spans="1:17" ht="20.100000000000001" customHeight="1" x14ac:dyDescent="0.2">
      <c r="A26" s="5" t="str">
        <f>HYPERLINK("#'Input - Refrigerants'!A1", "Refrigerants")</f>
        <v>Refrigerants</v>
      </c>
      <c r="D26" s="209" t="str">
        <f t="shared" ref="D26:D32" si="0">$D$25</f>
        <v>Cars and light commercial vehicles</v>
      </c>
      <c r="E26" s="207" t="str">
        <f>'Constants - Fuel'!$E$11</f>
        <v>Diesel oil</v>
      </c>
      <c r="F26" s="207"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87" cm="1">
        <f t="array" ref="L26">Fuel_InputFunctions.Fuel_TotalConsumption(Table_Input_Fuel[Amount consumed], Table_Input_Fuel[Fuel use (select)], D26, Table_Input_Fuel[Fuel type (select)],F26)</f>
        <v>10</v>
      </c>
      <c r="M26" s="187" t="str" cm="1">
        <f t="array" ref="M26">Common_InputFunctions.Utility_LookupValueInTable(F26,Table_FuelTypes_Units[Fuel type],Table_FuelTypes_Units[Unit])</f>
        <v>kL</v>
      </c>
      <c r="N26" s="208">
        <f>((($L26 * $G26 * $H26) * 10 ^ -3))</f>
        <v>26.981400000000001</v>
      </c>
      <c r="O26" s="208">
        <f>((($L26 * $G26 * $I26) * 10 ^ -3))</f>
        <v>3.8600000000000001E-3</v>
      </c>
      <c r="P26" s="208">
        <f>((($L26 * $G26 * $J26) * 10 ^ -3))</f>
        <v>0.193</v>
      </c>
      <c r="Q26" s="208">
        <f>((L26 * G26 * K26) * 10 ^ -3)</f>
        <v>6.6778000000000004</v>
      </c>
    </row>
    <row r="27" spans="1:17" ht="20.100000000000001" customHeight="1" x14ac:dyDescent="0.2">
      <c r="A27" s="5" t="str">
        <f>HYPERLINK("#'Input - Data quality'!A1", "Data quality")</f>
        <v>Data quality</v>
      </c>
      <c r="D27" s="209" t="str">
        <f t="shared" si="0"/>
        <v>Cars and light commercial vehicles</v>
      </c>
      <c r="E27" s="207" t="str">
        <f>'Constants - Fuel'!$E$12</f>
        <v>Liquefied petroleum gas (LPG)</v>
      </c>
      <c r="F27" s="207"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87" cm="1">
        <f t="array" ref="L27">Fuel_InputFunctions.Fuel_TotalConsumption(Table_Input_Fuel[Amount consumed], Table_Input_Fuel[Fuel use (select)], D27, Table_Input_Fuel[Fuel type (select)],F27)</f>
        <v>0</v>
      </c>
      <c r="M27" s="187" t="str" cm="1">
        <f t="array" ref="M27">Common_InputFunctions.Utility_LookupValueInTable(F27,Table_FuelTypes_Units[Fuel type],Table_FuelTypes_Units[Unit])</f>
        <v>kL</v>
      </c>
      <c r="N27" s="208">
        <f>((($L27 * $G27 * $H27) * 10 ^ -3))</f>
        <v>0</v>
      </c>
      <c r="O27" s="208">
        <f>((($L27 * $G27 * $I27) * 10 ^ -3))</f>
        <v>0</v>
      </c>
      <c r="P27" s="208">
        <f>((($L27 * $G27 * $J27) * 10 ^ -3))</f>
        <v>0</v>
      </c>
      <c r="Q27" s="208">
        <f>((L27 * G27 * K27) * 10 ^ -3)</f>
        <v>0</v>
      </c>
    </row>
    <row r="28" spans="1:17" ht="20.100000000000001" customHeight="1" x14ac:dyDescent="0.2">
      <c r="D28" s="209" t="str">
        <f t="shared" si="0"/>
        <v>Cars and light commercial vehicles</v>
      </c>
      <c r="E28" s="207" t="str">
        <f>'Constants - Fuel'!$E$13</f>
        <v>Fuel oil</v>
      </c>
      <c r="F28" s="207"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87" cm="1">
        <f t="array" ref="L28">Fuel_InputFunctions.Fuel_TotalConsumption(Table_Input_Fuel[Amount consumed], Table_Input_Fuel[Fuel use (select)], D28, Table_Input_Fuel[Fuel type (select)],F28)</f>
        <v>0</v>
      </c>
      <c r="M28" s="187" t="str" cm="1">
        <f t="array" ref="M28">Common_InputFunctions.Utility_LookupValueInTable(F28,Table_FuelTypes_Units[Fuel type],Table_FuelTypes_Units[Unit])</f>
        <v>kL</v>
      </c>
      <c r="N28" s="208">
        <f>((($L28 * $G28 * $H28) * 10 ^ -3))</f>
        <v>0</v>
      </c>
      <c r="O28" s="208">
        <f>((($L28 * $G28 * $I28) * 10 ^ -3))</f>
        <v>0</v>
      </c>
      <c r="P28" s="208">
        <f>((($L28 * $G28 * $J28) * 10 ^ -3))</f>
        <v>0</v>
      </c>
      <c r="Q28" s="208">
        <f>((L28 * G28 * K28) * 10 ^ -3)</f>
        <v>0</v>
      </c>
    </row>
    <row r="29" spans="1:17" ht="20.100000000000001" customHeight="1" x14ac:dyDescent="0.2">
      <c r="D29" s="209" t="str">
        <f t="shared" si="0"/>
        <v>Cars and light commercial vehicles</v>
      </c>
      <c r="E29" s="207" t="str">
        <f>'Constants - Fuel'!$E$14</f>
        <v>Ethanol</v>
      </c>
      <c r="F29" s="207"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87" cm="1">
        <f t="array" ref="L29">Fuel_InputFunctions.Fuel_TotalConsumption(Table_Input_Fuel[Amount consumed], Table_Input_Fuel[Fuel use (select)], D29, Table_Input_Fuel[Fuel type (select)],F29)</f>
        <v>0</v>
      </c>
      <c r="M29" s="187" t="str" cm="1">
        <f t="array" ref="M29">Common_InputFunctions.Utility_LookupValueInTable(F29,Table_FuelTypes_Units[Fuel type],Table_FuelTypes_Units[Unit])</f>
        <v>kL</v>
      </c>
      <c r="N29" s="208">
        <f>((($L29 * $G29 * $H29) * 10 ^ -3))</f>
        <v>0</v>
      </c>
      <c r="O29" s="208">
        <f>((($L29 * $G29 * $I29) * 10 ^ -3))</f>
        <v>0</v>
      </c>
      <c r="P29" s="208">
        <f>((($L29 * $G29 * $J29) * 10 ^ -3))</f>
        <v>0</v>
      </c>
      <c r="Q29" s="208">
        <f>((L29 * G29 * (IF(ISNUMBER(K29),K29,0))) * 10 ^ -3)</f>
        <v>0</v>
      </c>
    </row>
    <row r="30" spans="1:17" ht="20.100000000000001" customHeight="1" x14ac:dyDescent="0.2">
      <c r="A30" s="6" t="s">
        <v>2</v>
      </c>
      <c r="D30" s="209" t="str">
        <f t="shared" si="0"/>
        <v>Cars and light commercial vehicles</v>
      </c>
      <c r="E30" s="207" t="str">
        <f>'Constants - Fuel'!$E$15</f>
        <v>Biodiesel</v>
      </c>
      <c r="F30" s="207"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87" cm="1">
        <f t="array" ref="L30">Fuel_InputFunctions.Fuel_TotalConsumption(Table_Input_Fuel[Amount consumed], Table_Input_Fuel[Fuel use (select)], D30, Table_Input_Fuel[Fuel type (select)],F30)</f>
        <v>0</v>
      </c>
      <c r="M30" s="187" t="str" cm="1">
        <f t="array" ref="M30">Common_InputFunctions.Utility_LookupValueInTable(F30,Table_FuelTypes_Units[Fuel type],Table_FuelTypes_Units[Unit])</f>
        <v>kL</v>
      </c>
      <c r="N30" s="208">
        <f>((($L30 * $G30 * $H30) * 10 ^ -3))</f>
        <v>0</v>
      </c>
      <c r="O30" s="208">
        <f>((($L30 * $G30 * $I30) * 10 ^ -3))</f>
        <v>0</v>
      </c>
      <c r="P30" s="208">
        <f>((($L30 * $G30 * $J30) * 10 ^ -3))</f>
        <v>0</v>
      </c>
      <c r="Q30" s="208">
        <f>((L30 * G30 * (IF(ISNUMBER(K30),K30,0))) * 10 ^ -3)</f>
        <v>0</v>
      </c>
    </row>
    <row r="31" spans="1:17" ht="20.100000000000001" customHeight="1" x14ac:dyDescent="0.2">
      <c r="A31" s="5" t="str">
        <f>HYPERLINK("#'3.3.1.1-2 Enteric Methane'!A1", "3.3.1.1-2 Enteric methane")</f>
        <v>3.3.1.1-2 Enteric methane</v>
      </c>
      <c r="D31" s="209" t="str">
        <f t="shared" si="0"/>
        <v>Cars and light commercial vehicles</v>
      </c>
      <c r="E31" s="207" t="str">
        <f>'Constants - Fuel'!$E$16</f>
        <v>Renewable diesel</v>
      </c>
      <c r="F31" s="207"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8">
        <f>((($L31 * $G31 * $H31) * 10 ^ -3))</f>
        <v>0</v>
      </c>
      <c r="O31" s="208">
        <f>((($L31 * $G31 * $I31) * 10 ^ -3))</f>
        <v>0</v>
      </c>
      <c r="P31" s="208">
        <f>((($L31 * $G31 * $J31) * 10 ^ -3))</f>
        <v>0</v>
      </c>
      <c r="Q31" s="208">
        <f>((L31 * G31 * (IF(ISNUMBER(K31),K31,0))) * 10 ^ -3)</f>
        <v>0</v>
      </c>
    </row>
    <row r="32" spans="1:17" ht="20.100000000000001" customHeight="1" x14ac:dyDescent="0.2">
      <c r="A32" s="5" t="str">
        <f>HYPERLINK("#'4.3.1.1-2 Methane'!A1", "4.3.1.1-2 Manure methane")</f>
        <v>4.3.1.1-2 Manure methane</v>
      </c>
      <c r="D32" s="209" t="str">
        <f t="shared" si="0"/>
        <v>Cars and light commercial vehicles</v>
      </c>
      <c r="E32" s="207" t="str">
        <f>'Constants - Fuel'!$E$17</f>
        <v>Other biofuels</v>
      </c>
      <c r="F32" s="207"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205" t="str" cm="1">
        <f t="array" ref="K32">IFERROR(_xlfn.XLOOKUP(1, (Table_Fuel_EFs_Transport[Fuel combusted]=$E32)*(Table_Fuel_EFs_Transport[Transport type]=$D$25), Table_Fuel_EFs_Transport[Scope 3 Emission Factor (kg CO2 - e / GJ)]), 0)</f>
        <v>NE</v>
      </c>
      <c r="L32" s="210" cm="1">
        <f t="array" ref="L32">Fuel_InputFunctions.Fuel_TotalConsumption(Table_Input_Fuel[Amount consumed], Table_Input_Fuel[Fuel use (select)], D32, Table_Input_Fuel[Fuel type (select)],F32)</f>
        <v>0</v>
      </c>
      <c r="M32" s="187" t="str" cm="1">
        <f t="array" ref="M32">Common_InputFunctions.Utility_LookupValueInTable(F32,Table_FuelTypes_Units[Fuel type],Table_FuelTypes_Units[Unit])</f>
        <v>kL</v>
      </c>
      <c r="N32" s="211">
        <f>((($L32 * $G32 * $H32) * 10 ^ -3))</f>
        <v>0</v>
      </c>
      <c r="O32" s="211">
        <f>((($L32 * $G32 * $I32) * 10 ^ -3))</f>
        <v>0</v>
      </c>
      <c r="P32" s="211">
        <f>((($L32 * $G32 * $J32) * 10 ^ -3))</f>
        <v>0</v>
      </c>
      <c r="Q32" s="208">
        <f>((L32 * G32 * (IF(ISNUMBER(K32),K32,0))) * 10 ^ -3)</f>
        <v>0</v>
      </c>
    </row>
    <row r="33" spans="1:17" ht="20.100000000000001" customHeight="1" x14ac:dyDescent="0.2">
      <c r="A33" s="5" t="str">
        <f>HYPERLINK("#'4.3.1.3-4 Direct N20'!A1", "4.3.1.3-4 Direct N20")</f>
        <v>4.3.1.3-4 Direct N20</v>
      </c>
      <c r="D33" s="212" t="str">
        <f>Table_FuelTypesPerUse[[#Headers],[Off-road Agriculture and forestry equipment]]</f>
        <v>Off-road Agriculture and forestry equipment</v>
      </c>
      <c r="E33" s="213" t="str">
        <f>'Constants - Fuel'!$E$11</f>
        <v>Diesel oil</v>
      </c>
      <c r="F33" s="213" t="str">
        <f>'Constants - Fuel'!H131</f>
        <v>Diesel</v>
      </c>
      <c r="G33" s="214" cm="1">
        <f t="array" ref="G33">IFERROR(_xlfn.XLOOKUP(1, (Table_Fuel_EFs_Transport[Fuel combusted]=$E33)*(Table_Fuel_EFs_Transport[Transport type]=$D$33), Table_Fuel_EFs_Transport[Energy Content Factor (GJ per unit of fuel)]), 0)</f>
        <v>38.6</v>
      </c>
      <c r="H33" s="214" cm="1">
        <f t="array" ref="H33">IFERROR(_xlfn.XLOOKUP(1, (Table_Fuel_EFs_Transport[Fuel combusted]=$E33)*(Table_Fuel_EFs_Transport[Transport type]=$D$33), Table_Fuel_EFs_Transport[Scope 1 Emission Factor (kg CO2 - e / GJ) CO2]), 0)</f>
        <v>69.900000000000006</v>
      </c>
      <c r="I33" s="214" cm="1">
        <f t="array" ref="I33">IFERROR(_xlfn.XLOOKUP(1, (Table_Fuel_EFs_Transport[Fuel combusted]=$E33)*(Table_Fuel_EFs_Transport[Transport type]=$D$33), Table_Fuel_EFs_Transport[Scope 1 Emission Factor (kg CO2 - e / GJ) CH4]), 0)</f>
        <v>0.3</v>
      </c>
      <c r="J33" s="214" cm="1">
        <f t="array" ref="J33">IFERROR(_xlfn.XLOOKUP(1, (Table_Fuel_EFs_Transport[Fuel combusted]=$E33)*(Table_Fuel_EFs_Transport[Transport type]=$D$33), Table_Fuel_EFs_Transport[Scope 1 Emission Factor (kg CO2 - e / GJ) N2O]), 0)</f>
        <v>0.5</v>
      </c>
      <c r="K33" s="215" cm="1">
        <f t="array" ref="K33">IFERROR(_xlfn.XLOOKUP(1, (Table_Fuel_EFs_Transport[Fuel combusted]=$E33)*(Table_Fuel_EFs_Transport[Transport type]=$D$25), Table_Fuel_EFs_Transport[Scope 3 Emission Factor (kg CO2 - e / GJ)]), 0)</f>
        <v>17.3</v>
      </c>
      <c r="L33" s="216" cm="1">
        <f t="array" ref="L33">Fuel_InputFunctions.Fuel_TotalConsumption(Table_Input_Fuel[Amount consumed], Table_Input_Fuel[Fuel use (select)], D33, Table_Input_Fuel[Fuel type (select)],F33)</f>
        <v>10</v>
      </c>
      <c r="M33" s="217" t="str" cm="1">
        <f t="array" ref="M33">Common_InputFunctions.Utility_LookupValueInTable(F33,Table_FuelTypes_Units[Fuel type],Table_FuelTypes_Units[Unit])</f>
        <v>kL</v>
      </c>
      <c r="N33" s="218">
        <f>((($L33 * $G33 * $H33) * 10 ^ -3))</f>
        <v>26.981400000000001</v>
      </c>
      <c r="O33" s="218">
        <f>((($L33 * $G33 * $I33) * 10 ^ -3))</f>
        <v>0.1158</v>
      </c>
      <c r="P33" s="218">
        <f>((($L33 * $G33 * $J33) * 10 ^ -3))</f>
        <v>0.193</v>
      </c>
      <c r="Q33" s="219">
        <f>((L33 * G33 * K33) * 10 ^ -3)</f>
        <v>6.6778000000000004</v>
      </c>
    </row>
    <row r="34" spans="1:17" ht="20.100000000000001" customHeight="1" x14ac:dyDescent="0.2">
      <c r="A34" s="5" t="str">
        <f>HYPERLINK("#'4.3.1.5 Atmos deposition'!A1", "4.3.1.5 Atmos deposition")</f>
        <v>4.3.1.5 Atmos deposition</v>
      </c>
      <c r="D34" s="212" t="str">
        <f>Table_FuelTypesPerUse[[#Headers],[Aviation]]</f>
        <v>Aviation</v>
      </c>
      <c r="E34" s="213" t="str">
        <f>'Constants - Fuel'!$E$28</f>
        <v>Gasoline for use as fuel in an aircraft</v>
      </c>
      <c r="F34" s="213" t="str">
        <f>'Constants - Fuel'!$F$131</f>
        <v>Avgas</v>
      </c>
      <c r="G34" s="220" cm="1">
        <f t="array" ref="G34">IFERROR(_xlfn.XLOOKUP(1, (Table_Fuel_EFs_Transport[Fuel combusted]=$E34)*(Table_Fuel_EFs_Transport[Transport type]=$D$34), Table_Fuel_EFs_Transport[Energy Content Factor (GJ per unit of fuel)]), 0)</f>
        <v>33.1</v>
      </c>
      <c r="H34" s="220" cm="1">
        <f t="array" ref="H34">IFERROR(_xlfn.XLOOKUP(1, (Table_Fuel_EFs_Transport[Fuel combusted]=$E34)*(Table_Fuel_EFs_Transport[Transport type]=$D$34), Table_Fuel_EFs_Transport[Scope 1 Emission Factor (kg CO2 - e / GJ) CO2]), 0)</f>
        <v>67</v>
      </c>
      <c r="I34" s="220" cm="1">
        <f t="array" ref="I34">IFERROR(_xlfn.XLOOKUP(1, (Table_Fuel_EFs_Transport[Fuel combusted]=$E34)*(Table_Fuel_EFs_Transport[Transport type]=$D$34), Table_Fuel_EFs_Transport[Scope 1 Emission Factor (kg CO2 - e / GJ) CH4]), 0)</f>
        <v>0.06</v>
      </c>
      <c r="J34" s="220" cm="1">
        <f t="array" ref="J34">IFERROR(_xlfn.XLOOKUP(1, (Table_Fuel_EFs_Transport[Fuel combusted]=$E34)*(Table_Fuel_EFs_Transport[Transport type]=$D$34), Table_Fuel_EFs_Transport[Scope 1 Emission Factor (kg CO2 - e / GJ) N2O]), 0)</f>
        <v>0.6</v>
      </c>
      <c r="K34" s="220" cm="1">
        <f t="array" ref="K34">IFERROR(_xlfn.XLOOKUP(1, (Table_Fuel_EFs_Transport[Fuel combusted]=$E34)*(Table_Fuel_EFs_Transport[Transport type]=$D$25), Table_Fuel_EFs_Transport[Scope 3 Emission Factor (kg CO2 - e / GJ)]), 0)</f>
        <v>0</v>
      </c>
      <c r="L34" s="217" cm="1">
        <f t="array" ref="L34">Fuel_InputFunctions.Fuel_TotalConsumption(Table_Input_Fuel[Amount consumed], Table_Input_Fuel[Fuel use (select)], D34, Table_Input_Fuel[Fuel type (select)],F34)</f>
        <v>0</v>
      </c>
      <c r="M34" s="217" t="str" cm="1">
        <f t="array" ref="M34">Common_InputFunctions.Utility_LookupValueInTable(F34,Table_FuelTypes_Units[Fuel type],Table_FuelTypes_Units[Unit])</f>
        <v>kL</v>
      </c>
      <c r="N34" s="218">
        <f>((($L34 * $G34 * $H34) * 10 ^ -3))</f>
        <v>0</v>
      </c>
      <c r="O34" s="218">
        <f>((($L34 * $G34 * $I34) * 10 ^ -3))</f>
        <v>0</v>
      </c>
      <c r="P34" s="218">
        <f>((($L34 * $G34 * $J34) * 10 ^ -3))</f>
        <v>0</v>
      </c>
      <c r="Q34" s="218">
        <f>((L34 * G34 * K34) * 10 ^ -3)</f>
        <v>0</v>
      </c>
    </row>
    <row r="35" spans="1:17" ht="20.100000000000001" customHeight="1" x14ac:dyDescent="0.2">
      <c r="A35" s="5" t="str">
        <f>HYPERLINK("#'4.3.1.6-7 Leaching and runoff'!A1", "4.3.1.6-7 Leaching &amp; runoff")</f>
        <v>4.3.1.6-7 Leaching &amp; runoff</v>
      </c>
      <c r="D35" s="209" t="str">
        <f>$D$34</f>
        <v>Aviation</v>
      </c>
      <c r="E35" s="207" t="str">
        <f>'Constants - Fuel'!$E$29</f>
        <v>Kerosene for use as fuel in an aircraft</v>
      </c>
      <c r="F35" s="207"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87" cm="1">
        <f t="array" ref="L35">Fuel_InputFunctions.Fuel_TotalConsumption(Table_Input_Fuel[Amount consumed], Table_Input_Fuel[Fuel use (select)], D35, Table_Input_Fuel[Fuel type (select)],F35)</f>
        <v>0</v>
      </c>
      <c r="M35" s="187" t="str" cm="1">
        <f t="array" ref="M35">Common_InputFunctions.Utility_LookupValueInTable(F35,Table_FuelTypes_Units[Fuel type],Table_FuelTypes_Units[Unit])</f>
        <v>kL</v>
      </c>
      <c r="N35" s="208">
        <f>((($L35 * $G35 * $H35) * 10 ^ -3))</f>
        <v>0</v>
      </c>
      <c r="O35" s="208">
        <f>((($L35 * $G35 * $I35) * 10 ^ -3))</f>
        <v>0</v>
      </c>
      <c r="P35" s="208">
        <f>((($L35 * $G35 * $J35) * 10 ^ -3))</f>
        <v>0</v>
      </c>
      <c r="Q35" s="208">
        <f>((L35 * G35 * K35) * 10 ^ -3)</f>
        <v>0</v>
      </c>
    </row>
    <row r="36" spans="1:17" ht="20.100000000000001" customHeight="1" x14ac:dyDescent="0.2">
      <c r="A36" s="5" t="str">
        <f>HYPERLINK("#'4.3.1.8 Manure applied to soils'!A1", "4.3.1.8 Manure applied to soils")</f>
        <v>4.3.1.8 Manure applied to soils</v>
      </c>
      <c r="D36" s="209" t="str">
        <f>$D$34</f>
        <v>Aviation</v>
      </c>
      <c r="E36" s="207" t="str">
        <f>'Constants - Fuel'!$E$30</f>
        <v>Renewable aviation kerosene</v>
      </c>
      <c r="F36" s="207" t="str">
        <f>'Constants - Fuel'!$F$133</f>
        <v>Renewable aviation kerosene</v>
      </c>
      <c r="G36" s="205" cm="1">
        <f t="array" ref="G36">IFERROR(_xlfn.XLOOKUP(1, (Table_Fuel_EFs_Transport[Fuel combusted]=$E36)*(Table_Fuel_EFs_Transport[Transport type]=$D$34), Table_Fuel_EFs_Transport[Energy Content Factor (GJ per unit of fuel)]), 0)</f>
        <v>36.799999999999997</v>
      </c>
      <c r="H36" s="205" cm="1">
        <f t="array" ref="H36">IFERROR(_xlfn.XLOOKUP(1, (Table_Fuel_EFs_Transport[Fuel combusted]=$E36)*(Table_Fuel_EFs_Transport[Transport type]=$D$34), Table_Fuel_EFs_Transport[Scope 1 Emission Factor (kg CO2 - e / GJ) CO2]), 0)</f>
        <v>0</v>
      </c>
      <c r="I36" s="205" cm="1">
        <f t="array" ref="I36">IFERROR(_xlfn.XLOOKUP(1, (Table_Fuel_EFs_Transport[Fuel combusted]=$E36)*(Table_Fuel_EFs_Transport[Transport type]=$D$34), Table_Fuel_EFs_Transport[Scope 1 Emission Factor (kg CO2 - e / GJ) CH4]), 0)</f>
        <v>0.01</v>
      </c>
      <c r="J36" s="205" cm="1">
        <f t="array" ref="J36">IFERROR(_xlfn.XLOOKUP(1, (Table_Fuel_EFs_Transport[Fuel combusted]=$E36)*(Table_Fuel_EFs_Transport[Transport type]=$D$34), Table_Fuel_EFs_Transport[Scope 1 Emission Factor (kg CO2 - e / GJ) N2O]), 0)</f>
        <v>0.6</v>
      </c>
      <c r="K36" s="205" cm="1">
        <f t="array" ref="K36">IFERROR(_xlfn.XLOOKUP(1, (Table_Fuel_EFs_Transport[Fuel combusted]=$E36)*(Table_Fuel_EFs_Transport[Transport type]=$D$25), Table_Fuel_EFs_Transport[Scope 3 Emission Factor (kg CO2 - e / GJ)]), 0)</f>
        <v>0</v>
      </c>
      <c r="L36" s="210" cm="1">
        <f t="array" ref="L36">Fuel_InputFunctions.Fuel_TotalConsumption(Table_Input_Fuel[Amount consumed], Table_Input_Fuel[Fuel use (select)], D36, Table_Input_Fuel[Fuel type (select)],F36)</f>
        <v>0</v>
      </c>
      <c r="M36" s="187" t="str" cm="1">
        <f t="array" ref="M36">Common_InputFunctions.Utility_LookupValueInTable(F36,Table_FuelTypes_Units[Fuel type],Table_FuelTypes_Units[Unit])</f>
        <v>kL</v>
      </c>
      <c r="N36" s="208">
        <f>((($L36 * $G36 * $H36) * 10 ^ -3))</f>
        <v>0</v>
      </c>
      <c r="O36" s="208">
        <f>((($L36 * $G36 * $I36) * 10 ^ -3))</f>
        <v>0</v>
      </c>
      <c r="P36" s="208">
        <f>((($L36 * $G36 * $J36) * 10 ^ -3))</f>
        <v>0</v>
      </c>
      <c r="Q36" s="211">
        <f>((L36 * G36 * K36) * 10 ^ -3)</f>
        <v>0</v>
      </c>
    </row>
    <row r="37" spans="1:17" ht="20.100000000000001" customHeight="1" x14ac:dyDescent="0.2">
      <c r="A37" s="5" t="str">
        <f>HYPERLINK("#'4.3.1.9 Soil direct N2O'!A1", "4.3.1.9 Soil direct N2O")</f>
        <v>4.3.1.9 Soil direct N2O</v>
      </c>
      <c r="D37" s="212" t="str">
        <f>Table_FuelTypesPerUse[[#Headers],[Vessels]]</f>
        <v>Vessels</v>
      </c>
      <c r="E37" s="213" t="str">
        <f>'Constants - Fuel'!$E$10</f>
        <v>Gasoline</v>
      </c>
      <c r="F37" s="213" t="str">
        <f>'Constants - Fuel'!$I$131</f>
        <v>Petrol</v>
      </c>
      <c r="G37" s="220" cm="1">
        <f t="array" ref="G37">IFERROR(_xlfn.XLOOKUP(1, (Table_Fuel_EFs_Transport[Fuel combusted]=$E37)*(Table_Fuel_EFs_Transport[Transport type]=$D$37), Table_Fuel_EFs_Transport[Energy Content Factor (GJ per unit of fuel)]), 0)</f>
        <v>34.200000000000003</v>
      </c>
      <c r="H37" s="220" cm="1">
        <f t="array" ref="H37">IFERROR(_xlfn.XLOOKUP(1, (Table_Fuel_EFs_Transport[Fuel combusted]=$E37)*(Table_Fuel_EFs_Transport[Transport type]=$D$37), Table_Fuel_EFs_Transport[Scope 1 Emission Factor (kg CO2 - e / GJ) CO2]), 0)</f>
        <v>67.400000000000006</v>
      </c>
      <c r="I37" s="220" cm="1">
        <f t="array" ref="I37">IFERROR(_xlfn.XLOOKUP(1, (Table_Fuel_EFs_Transport[Fuel combusted]=$E37)*(Table_Fuel_EFs_Transport[Transport type]=$D$37), Table_Fuel_EFs_Transport[Scope 1 Emission Factor (kg CO2 - e / GJ) CH4]), 0)</f>
        <v>10.1</v>
      </c>
      <c r="J37" s="220" cm="1">
        <f t="array" ref="J37">IFERROR(_xlfn.XLOOKUP(1, (Table_Fuel_EFs_Transport[Fuel combusted]=$E37)*(Table_Fuel_EFs_Transport[Transport type]=$D$37), Table_Fuel_EFs_Transport[Scope 1 Emission Factor (kg CO2 - e / GJ) N2O]), 0)</f>
        <v>0.3</v>
      </c>
      <c r="K37" s="220" cm="1">
        <f t="array" ref="K37">IFERROR(_xlfn.XLOOKUP(1, (Table_Fuel_EFs_Transport[Fuel combusted]=$E37)*(Table_Fuel_EFs_Transport[Transport type]=$D$25), Table_Fuel_EFs_Transport[Scope 3 Emission Factor (kg CO2 - e / GJ)]), 0)</f>
        <v>17.2</v>
      </c>
      <c r="L37" s="217" cm="1">
        <f t="array" ref="L37">Fuel_InputFunctions.Fuel_TotalConsumption(Table_Input_Fuel[Amount consumed], Table_Input_Fuel[Fuel use (select)], D37, Table_Input_Fuel[Fuel type (select)],F37)</f>
        <v>0</v>
      </c>
      <c r="M37" s="221" t="str" cm="1">
        <f t="array" ref="M37">Common_InputFunctions.Utility_LookupValueInTable(F37,Table_FuelTypes_Units[Fuel type],Table_FuelTypes_Units[Unit])</f>
        <v>kL</v>
      </c>
      <c r="N37" s="218">
        <f>((($L37 * $G37 * $H37) * 10 ^ -3))</f>
        <v>0</v>
      </c>
      <c r="O37" s="218">
        <f>((($L37 * $G37 * $I37) * 10 ^ -3))</f>
        <v>0</v>
      </c>
      <c r="P37" s="218">
        <f>((($L37 * $G37 * $J37) * 10 ^ -3))</f>
        <v>0</v>
      </c>
      <c r="Q37" s="218">
        <f>((L37 * G37 * K37) * 10 ^ -3)</f>
        <v>0</v>
      </c>
    </row>
    <row r="38" spans="1:17" ht="20.100000000000001" customHeight="1" x14ac:dyDescent="0.2">
      <c r="A38" s="5" t="str">
        <f>HYPERLINK("#'4.3.1.10-11 Soil Atmos Dep'!A1", "4.3.1.10-11 Soil Atmos Deposition")</f>
        <v>4.3.1.10-11 Soil Atmos Deposition</v>
      </c>
      <c r="D38" s="209" t="str">
        <f>$D$37</f>
        <v>Vessels</v>
      </c>
      <c r="E38" s="207" t="str">
        <f>'Constants - Fuel'!$E$11</f>
        <v>Diesel oil</v>
      </c>
      <c r="F38" s="207"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87" cm="1">
        <f t="array" ref="L38">Fuel_InputFunctions.Fuel_TotalConsumption(Table_Input_Fuel[Amount consumed], Table_Input_Fuel[Fuel use (select)], D38, Table_Input_Fuel[Fuel type (select)],F38)</f>
        <v>0</v>
      </c>
      <c r="M38" s="187" t="str" cm="1">
        <f t="array" ref="M38">Common_InputFunctions.Utility_LookupValueInTable(F38,Table_FuelTypes_Units[Fuel type],Table_FuelTypes_Units[Unit])</f>
        <v>kL</v>
      </c>
      <c r="N38" s="208">
        <f>((($L38 * $G38 * $H38) * 10 ^ -3))</f>
        <v>0</v>
      </c>
      <c r="O38" s="208">
        <f>((($L38 * $G38 * $I38) * 10 ^ -3))</f>
        <v>0</v>
      </c>
      <c r="P38" s="208">
        <f>((($L38 * $G38 * $J38) * 10 ^ -3))</f>
        <v>0</v>
      </c>
      <c r="Q38" s="208">
        <f>((L38 * G38 * K38) * 10 ^ -3)</f>
        <v>0</v>
      </c>
    </row>
    <row r="39" spans="1:17" ht="20.100000000000001" customHeight="1" x14ac:dyDescent="0.2">
      <c r="A39" s="5" t="str">
        <f>HYPERLINK("#'4.3.1.12-13 Soil leach runoff'!A1", "4.3.1.12-13 Soil leach &amp; runoff")</f>
        <v>4.3.1.12-13 Soil leach &amp; runoff</v>
      </c>
      <c r="D39" s="209" t="str">
        <f>$D$37</f>
        <v>Vessels</v>
      </c>
      <c r="E39" s="207" t="str">
        <f>'Constants - Fuel'!E33</f>
        <v>Fuel Oil</v>
      </c>
      <c r="F39" s="207"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87" cm="1">
        <f t="array" ref="L39">Fuel_InputFunctions.Fuel_TotalConsumption(Table_Input_Fuel[Amount consumed], Table_Input_Fuel[Fuel use (select)], D39, Table_Input_Fuel[Fuel type (select)],F39)</f>
        <v>10</v>
      </c>
      <c r="M39" s="187" t="str" cm="1">
        <f t="array" ref="M39">Common_InputFunctions.Utility_LookupValueInTable(F39,Table_FuelTypes_Units[Fuel type],Table_FuelTypes_Units[Unit])</f>
        <v>kL</v>
      </c>
      <c r="N39" s="208">
        <f>((($L39 * $G39 * $H39) * 10 ^ -3))</f>
        <v>29.219199999999997</v>
      </c>
      <c r="O39" s="208">
        <f>((($L39 * $G39 * $I39) * 10 ^ -3))</f>
        <v>7.9400000000000012E-2</v>
      </c>
      <c r="P39" s="208">
        <f>((($L39 * $G39 * $J39) * 10 ^ -3))</f>
        <v>0.19850000000000001</v>
      </c>
      <c r="Q39" s="208">
        <f>((L39 * G39 * K39) * 10 ^ -3)</f>
        <v>7.1459999999999999</v>
      </c>
    </row>
    <row r="40" spans="1:17" ht="20.100000000000001" customHeight="1" x14ac:dyDescent="0.2">
      <c r="A40" s="5" t="str">
        <f>HYPERLINK("#'5.1.1.1-2 Inorganic fert N2O'!A1", "5.1.1.1-2 Inorganic fert N2O")</f>
        <v>5.1.1.1-2 Inorganic fert N2O</v>
      </c>
      <c r="H40" s="184"/>
      <c r="I40" s="184"/>
      <c r="J40" s="184"/>
      <c r="L40" s="184"/>
      <c r="M40" s="184"/>
      <c r="N40" s="184"/>
      <c r="O40" s="184"/>
      <c r="P40" s="184"/>
      <c r="Q40" s="184"/>
    </row>
    <row r="41" spans="1:17" ht="20.100000000000001" customHeight="1" x14ac:dyDescent="0.2">
      <c r="A41" s="5" t="str">
        <f>HYPERLINK("#'5.1.1.3-4 Inorganic fert CO2'!A1", "5.1.1.3-4 Inorganic fert CO2")</f>
        <v>5.1.1.3-4 Inorganic fert CO2</v>
      </c>
      <c r="H41" s="184"/>
      <c r="I41" s="184"/>
      <c r="J41" s="184"/>
      <c r="L41" s="184"/>
      <c r="M41" s="184"/>
      <c r="N41" s="184"/>
      <c r="O41" s="184"/>
      <c r="P41" s="184"/>
      <c r="Q41" s="184"/>
    </row>
    <row r="42" spans="1:17" ht="20.100000000000001" customHeight="1" x14ac:dyDescent="0.2">
      <c r="A42" s="5" t="str">
        <f>HYPERLINK("#'5.2.1.1-2 Organic Fert N2O'!A1", "5.2.1.1-2 Organic fert N2O")</f>
        <v>5.2.1.1-2 Organic fert N2O</v>
      </c>
      <c r="D42" s="222" t="str">
        <f>"Total scope 1 - " &amp; D25</f>
        <v>Total scope 1 - Cars and light commercial vehicles</v>
      </c>
      <c r="E42" s="223"/>
      <c r="F42" s="224"/>
    </row>
    <row r="43" spans="1:17" ht="20.100000000000001" customHeight="1" x14ac:dyDescent="0.2">
      <c r="A43" s="5" t="str">
        <f>HYPERLINK("#'5.3.1.1-2 Lime CO2'!A1", "5.3.1.1-2 Lime CO2")</f>
        <v>5.3.1.1-2 Lime CO2</v>
      </c>
      <c r="D43" s="24" t="s">
        <v>940</v>
      </c>
      <c r="E43" s="225">
        <f>SUM(N25:N32)+N("Partial sum")</f>
        <v>26.981400000000001</v>
      </c>
      <c r="F43" s="16" t="str">
        <f>$E$12</f>
        <v>t CO2-e</v>
      </c>
    </row>
    <row r="44" spans="1:17" ht="20.100000000000001" customHeight="1" x14ac:dyDescent="0.2">
      <c r="A44" s="5" t="str">
        <f>HYPERLINK("#'5.4.1.1-4 Atmos deposition'!A1", "5.4.1.1-4 Atmos. deposition")</f>
        <v>5.4.1.1-4 Atmos. deposition</v>
      </c>
      <c r="D44" s="24" t="s">
        <v>941</v>
      </c>
      <c r="E44" s="225">
        <f>SUM(O25:O32)+N("Partial sum")</f>
        <v>3.8600000000000001E-3</v>
      </c>
      <c r="F44" s="16" t="str">
        <f t="shared" ref="F44:F46" si="1">$E$12</f>
        <v>t CO2-e</v>
      </c>
    </row>
    <row r="45" spans="1:17" ht="20.100000000000001" customHeight="1" x14ac:dyDescent="0.2">
      <c r="A45" s="5" t="str">
        <f>HYPERLINK("#'5.5.1.1-2 Leaching and runoff'!A1", "5.5.1.1-2 Leaching &amp; runoff")</f>
        <v>5.5.1.1-2 Leaching &amp; runoff</v>
      </c>
      <c r="D45" s="24" t="s">
        <v>942</v>
      </c>
      <c r="E45" s="225">
        <f>SUM(P25:P32)+N("Partial sum")</f>
        <v>0.193</v>
      </c>
      <c r="F45" s="16" t="str">
        <f t="shared" si="1"/>
        <v>t CO2-e</v>
      </c>
    </row>
    <row r="46" spans="1:17" ht="20.100000000000001" customHeight="1" x14ac:dyDescent="0.2">
      <c r="A46" s="5" t="str">
        <f>HYPERLINK("#'6.2.1.1-2 Pasture residue N2O'!A1", "6.2.1.1-2 Pasture residue N2O")</f>
        <v>6.2.1.1-2 Pasture residue N2O</v>
      </c>
      <c r="D46" s="24" t="s">
        <v>244</v>
      </c>
      <c r="E46" s="225">
        <f>SUM(Q25:Q32)+N("Partial sum")</f>
        <v>6.6778000000000004</v>
      </c>
      <c r="F46" s="16" t="str">
        <f t="shared" si="1"/>
        <v>t CO2-e</v>
      </c>
    </row>
    <row r="47" spans="1:17" ht="20.100000000000001" customHeight="1" x14ac:dyDescent="0.2">
      <c r="A47" s="5" t="str">
        <f>HYPERLINK("#'6.3.1.1-2 Leach runoff pasture'!A1", "6.3.1.1-2 Leach &amp; runoff (pasture)")</f>
        <v>6.3.1.1-2 Leach &amp; runoff (pasture)</v>
      </c>
      <c r="D47" s="184"/>
      <c r="E47" s="184"/>
      <c r="F47" s="184"/>
    </row>
    <row r="48" spans="1:17" ht="20.100000000000001" customHeight="1" x14ac:dyDescent="0.2">
      <c r="A48" s="119" t="str">
        <f>HYPERLINK("#'8.1.1.1-2 Transport fuel'!A1", "8.1.1.1-2 Transport fuel")</f>
        <v>8.1.1.1-2 Transport fuel</v>
      </c>
      <c r="D48" s="222" t="str">
        <f>"Total scope 1 - " &amp; D33</f>
        <v>Total scope 1 - Off-road Agriculture and forestry equipment</v>
      </c>
      <c r="E48" s="226"/>
      <c r="F48" s="224"/>
      <c r="H48" s="184"/>
      <c r="I48" s="184"/>
      <c r="J48" s="184"/>
      <c r="L48" s="184"/>
      <c r="M48" s="184"/>
      <c r="N48" s="184"/>
      <c r="O48" s="184"/>
      <c r="P48" s="184"/>
      <c r="Q48" s="184"/>
    </row>
    <row r="49" spans="1:17" ht="20.100000000000001" customHeight="1" x14ac:dyDescent="0.2">
      <c r="A49" s="5" t="str">
        <f>HYPERLINK("#'8.2.1.1-2 Stationary fuel'!A1", "8.2.1.1-2 Stationary fuel")</f>
        <v>8.2.1.1-2 Stationary fuel</v>
      </c>
      <c r="D49" s="24" t="s">
        <v>940</v>
      </c>
      <c r="E49" s="225">
        <f>SUM(N33:N33)+N("Partial sum")</f>
        <v>26.981400000000001</v>
      </c>
      <c r="F49" s="16" t="str">
        <f t="shared" ref="F49:F52" si="2">$E$12</f>
        <v>t CO2-e</v>
      </c>
      <c r="H49" s="184"/>
      <c r="I49" s="184"/>
      <c r="J49" s="184"/>
      <c r="L49" s="184"/>
      <c r="M49" s="184"/>
      <c r="N49" s="184"/>
      <c r="O49" s="184"/>
      <c r="P49" s="184"/>
      <c r="Q49" s="184"/>
    </row>
    <row r="50" spans="1:17" ht="20.100000000000001" customHeight="1" x14ac:dyDescent="0.2">
      <c r="A50" s="5" t="str">
        <f>HYPERLINK("#'9.1.1.1-2 Refrigerant use'!A1", "9.1.1.1-2 Refrigerant use")</f>
        <v>9.1.1.1-2 Refrigerant use</v>
      </c>
      <c r="D50" s="24" t="s">
        <v>941</v>
      </c>
      <c r="E50" s="225">
        <f>SUM(O33:O33)+N("Partial sum")</f>
        <v>0.1158</v>
      </c>
      <c r="F50" s="16" t="str">
        <f t="shared" si="2"/>
        <v>t CO2-e</v>
      </c>
      <c r="H50" s="184"/>
      <c r="I50" s="184"/>
      <c r="J50" s="184"/>
      <c r="L50" s="184"/>
      <c r="M50" s="184"/>
      <c r="N50" s="184"/>
      <c r="O50" s="184"/>
      <c r="P50" s="184"/>
      <c r="Q50" s="184"/>
    </row>
    <row r="51" spans="1:17" ht="20.100000000000001" customHeight="1" x14ac:dyDescent="0.2">
      <c r="A51" s="5" t="str">
        <f>HYPERLINK("#'10.1.1-2 Solid waste treatment'!A1", "10.1.1.1-2 Solid waste")</f>
        <v>10.1.1.1-2 Solid waste</v>
      </c>
      <c r="D51" s="24" t="s">
        <v>942</v>
      </c>
      <c r="E51" s="225">
        <f>SUM(P33:P33)+N("Partial sum")</f>
        <v>0.193</v>
      </c>
      <c r="F51" s="16" t="str">
        <f t="shared" si="2"/>
        <v>t CO2-e</v>
      </c>
      <c r="H51" s="184"/>
      <c r="I51" s="184"/>
      <c r="J51" s="184"/>
      <c r="L51" s="184"/>
      <c r="M51" s="184"/>
      <c r="N51" s="184"/>
      <c r="O51" s="184"/>
      <c r="P51" s="184"/>
      <c r="Q51" s="184"/>
    </row>
    <row r="52" spans="1:17" ht="20.100000000000001" customHeight="1" x14ac:dyDescent="0.2">
      <c r="A52" s="5" t="str">
        <f>HYPERLINK("#'14.1.1-2 Purchased electricity'!A1", "14.1.1-2 Purchased electricity")</f>
        <v>14.1.1-2 Purchased electricity</v>
      </c>
      <c r="D52" s="24" t="s">
        <v>244</v>
      </c>
      <c r="E52" s="225">
        <f>SUM(Q33)+N("Partial sum")</f>
        <v>6.6778000000000004</v>
      </c>
      <c r="F52" s="16" t="str">
        <f t="shared" si="2"/>
        <v>t CO2-e</v>
      </c>
      <c r="H52" s="184"/>
      <c r="I52" s="184"/>
      <c r="J52" s="184"/>
      <c r="L52" s="184"/>
      <c r="M52" s="184"/>
      <c r="N52" s="184"/>
      <c r="O52" s="184"/>
      <c r="P52" s="184"/>
      <c r="Q52" s="184"/>
    </row>
    <row r="53" spans="1:17" ht="20.100000000000001" customHeight="1" x14ac:dyDescent="0.2">
      <c r="A53" s="5" t="str">
        <f>HYPERLINK("#'15 Scope 3'!A1", "15 Scope 3")</f>
        <v>15 Scope 3</v>
      </c>
      <c r="D53" s="184"/>
      <c r="E53" s="227"/>
      <c r="F53" s="184"/>
      <c r="G53" s="184"/>
      <c r="H53" s="184"/>
      <c r="I53" s="184"/>
      <c r="J53" s="184"/>
      <c r="L53" s="184"/>
      <c r="M53" s="184"/>
      <c r="N53" s="184"/>
      <c r="O53" s="184"/>
      <c r="P53" s="184"/>
      <c r="Q53" s="184"/>
    </row>
    <row r="54" spans="1:17" ht="20.100000000000001" customHeight="1" x14ac:dyDescent="0.2">
      <c r="A54" s="5" t="str">
        <f>HYPERLINK("#'Calcs - Manure sent off-site'!A1", "Calcs - Manure sent off-site")</f>
        <v>Calcs - Manure sent off-site</v>
      </c>
      <c r="D54" s="222" t="str">
        <f>"Total scope 1 - " &amp; D34</f>
        <v>Total scope 1 - Aviation</v>
      </c>
      <c r="E54" s="226"/>
      <c r="F54" s="224"/>
      <c r="G54" s="184"/>
      <c r="H54" s="184"/>
      <c r="I54" s="184"/>
      <c r="J54" s="184"/>
      <c r="L54" s="184"/>
      <c r="M54" s="184"/>
      <c r="N54" s="184"/>
      <c r="O54" s="184"/>
      <c r="P54" s="184"/>
      <c r="Q54" s="184"/>
    </row>
    <row r="55" spans="1:17" ht="20.100000000000001" customHeight="1" x14ac:dyDescent="0.2">
      <c r="D55" s="24" t="s">
        <v>940</v>
      </c>
      <c r="E55" s="225">
        <f>SUM(N34:N36)+N("Partial sum")</f>
        <v>0</v>
      </c>
      <c r="F55" s="16" t="str">
        <f t="shared" ref="F55:F58" si="3">$E$12</f>
        <v>t CO2-e</v>
      </c>
      <c r="G55" s="184"/>
      <c r="H55" s="184"/>
      <c r="I55" s="184"/>
      <c r="J55" s="184"/>
      <c r="L55" s="184"/>
      <c r="M55" s="184"/>
      <c r="N55" s="184"/>
      <c r="O55" s="184"/>
      <c r="P55" s="184"/>
      <c r="Q55" s="184"/>
    </row>
    <row r="56" spans="1:17" ht="20.100000000000001" customHeight="1" x14ac:dyDescent="0.2">
      <c r="D56" s="24" t="s">
        <v>941</v>
      </c>
      <c r="E56" s="225">
        <f>SUM(O34:O36)+N("Partial sum")</f>
        <v>0</v>
      </c>
      <c r="F56" s="16" t="str">
        <f t="shared" si="3"/>
        <v>t CO2-e</v>
      </c>
      <c r="G56" s="184"/>
      <c r="H56" s="184"/>
      <c r="I56" s="184"/>
      <c r="J56" s="184"/>
      <c r="L56" s="184"/>
      <c r="M56" s="184"/>
      <c r="N56" s="184"/>
      <c r="O56" s="184"/>
      <c r="P56" s="184"/>
      <c r="Q56" s="184"/>
    </row>
    <row r="57" spans="1:17" ht="20.100000000000001" customHeight="1" x14ac:dyDescent="0.2">
      <c r="A57" s="82" t="s">
        <v>1</v>
      </c>
      <c r="D57" s="24" t="s">
        <v>942</v>
      </c>
      <c r="E57" s="225">
        <f>SUM(P34:P36)+N("Partial sum")</f>
        <v>0</v>
      </c>
      <c r="F57" s="16" t="str">
        <f t="shared" si="3"/>
        <v>t CO2-e</v>
      </c>
      <c r="G57" s="184"/>
      <c r="H57" s="184"/>
      <c r="I57" s="184"/>
      <c r="J57" s="184"/>
      <c r="L57" s="184"/>
      <c r="M57" s="184"/>
      <c r="N57" s="184"/>
      <c r="O57" s="184"/>
      <c r="P57" s="184"/>
      <c r="Q57" s="184"/>
    </row>
    <row r="58" spans="1:17" ht="20.100000000000001" customHeight="1" x14ac:dyDescent="0.2">
      <c r="A58" s="5" t="str">
        <f>HYPERLINK("#'Constants - Dairy'!A1", "Constants - Dairy")</f>
        <v>Constants - Dairy</v>
      </c>
      <c r="D58" s="24" t="s">
        <v>244</v>
      </c>
      <c r="E58" s="225">
        <f>SUM(Q34:Q36)+N("Partial sum")</f>
        <v>0</v>
      </c>
      <c r="F58" s="16" t="str">
        <f t="shared" si="3"/>
        <v>t CO2-e</v>
      </c>
      <c r="G58" s="184"/>
      <c r="H58" s="184"/>
      <c r="I58" s="184"/>
      <c r="J58" s="184"/>
      <c r="L58" s="184"/>
      <c r="M58" s="184"/>
      <c r="N58" s="184"/>
      <c r="O58" s="184"/>
      <c r="P58" s="184"/>
      <c r="Q58" s="184"/>
    </row>
    <row r="59" spans="1:17" ht="20.100000000000001" customHeight="1" x14ac:dyDescent="0.2">
      <c r="A59" s="5" t="str">
        <f>HYPERLINK("#'Constants - Ag Residue'!A1", "Constants - Ag residue")</f>
        <v>Constants - Ag residue</v>
      </c>
      <c r="D59" s="184"/>
      <c r="E59" s="227"/>
      <c r="F59" s="184"/>
      <c r="G59" s="184"/>
      <c r="H59" s="184"/>
      <c r="I59" s="184"/>
      <c r="J59" s="184"/>
      <c r="L59" s="184"/>
      <c r="M59" s="184"/>
      <c r="N59" s="184"/>
      <c r="O59" s="184"/>
      <c r="P59" s="184"/>
      <c r="Q59" s="184"/>
    </row>
    <row r="60" spans="1:17" ht="20.100000000000001" customHeight="1" x14ac:dyDescent="0.2">
      <c r="A60" s="5" t="str">
        <f>HYPERLINK("#'Constants - Common Livestock'!A1", "Constants - Common Livestock")</f>
        <v>Constants - Common Livestock</v>
      </c>
      <c r="D60" s="222" t="str">
        <f>"Total scope 1 - " &amp; D37</f>
        <v>Total scope 1 - Vessels</v>
      </c>
      <c r="E60" s="226"/>
      <c r="F60" s="224"/>
      <c r="G60" s="184"/>
      <c r="H60" s="184"/>
      <c r="I60" s="184"/>
      <c r="J60" s="184"/>
      <c r="L60" s="184"/>
      <c r="M60" s="184"/>
      <c r="N60" s="184"/>
      <c r="O60" s="184"/>
      <c r="P60" s="184"/>
      <c r="Q60" s="184"/>
    </row>
    <row r="61" spans="1:17" ht="20.100000000000001" customHeight="1" x14ac:dyDescent="0.2">
      <c r="A61" s="5" t="str">
        <f>HYPERLINK("#'Constants - Electricity'!A1", "Constants - Electricity")</f>
        <v>Constants - Electricity</v>
      </c>
      <c r="D61" s="24" t="s">
        <v>940</v>
      </c>
      <c r="E61" s="225">
        <f>SUM(N37:N39)+N("Partial sum")</f>
        <v>29.219199999999997</v>
      </c>
      <c r="F61" s="16" t="str">
        <f t="shared" ref="F61:F64" si="4">$E$12</f>
        <v>t CO2-e</v>
      </c>
      <c r="G61" s="184"/>
      <c r="H61" s="184"/>
      <c r="I61" s="184"/>
      <c r="J61" s="184"/>
      <c r="L61" s="184"/>
      <c r="M61" s="184"/>
      <c r="N61" s="184"/>
      <c r="O61" s="184"/>
      <c r="P61" s="184"/>
      <c r="Q61" s="184"/>
    </row>
    <row r="62" spans="1:17" ht="20.100000000000001" customHeight="1" x14ac:dyDescent="0.2">
      <c r="A62" s="5" t="str">
        <f>HYPERLINK("#'Constants - Fertiliser'!A1", "Constants - Fertiliser")</f>
        <v>Constants - Fertiliser</v>
      </c>
      <c r="D62" s="24" t="s">
        <v>941</v>
      </c>
      <c r="E62" s="225">
        <f>SUM(O37:O39)+N("Partial sum")</f>
        <v>7.9400000000000012E-2</v>
      </c>
      <c r="F62" s="16" t="str">
        <f t="shared" si="4"/>
        <v>t CO2-e</v>
      </c>
      <c r="G62" s="184"/>
      <c r="H62" s="184"/>
      <c r="I62" s="184"/>
      <c r="J62" s="184"/>
      <c r="L62" s="184"/>
      <c r="M62" s="184"/>
      <c r="N62" s="184"/>
      <c r="O62" s="184"/>
      <c r="P62" s="184"/>
      <c r="Q62" s="184"/>
    </row>
    <row r="63" spans="1:17" ht="20.100000000000001" customHeight="1" x14ac:dyDescent="0.2">
      <c r="A63" s="5" t="str">
        <f>HYPERLINK("#'Constants - Fuel'!A1", "Constants - Fuel")</f>
        <v>Constants - Fuel</v>
      </c>
      <c r="D63" s="24" t="s">
        <v>942</v>
      </c>
      <c r="E63" s="225">
        <f>SUM(P37:P39)+N("Partial sum")</f>
        <v>0.19850000000000001</v>
      </c>
      <c r="F63" s="16" t="str">
        <f t="shared" si="4"/>
        <v>t CO2-e</v>
      </c>
      <c r="G63" s="184"/>
      <c r="H63" s="184"/>
      <c r="I63" s="184"/>
      <c r="J63" s="184"/>
      <c r="L63" s="184"/>
      <c r="M63" s="184"/>
      <c r="N63" s="184"/>
      <c r="O63" s="184"/>
      <c r="P63" s="184"/>
      <c r="Q63" s="184"/>
    </row>
    <row r="64" spans="1:17" ht="20.100000000000001" customHeight="1" x14ac:dyDescent="0.2">
      <c r="A64" s="5" t="str">
        <f>HYPERLINK("#'Constants - Scope 3'!A1", "Constants - Scope 3")</f>
        <v>Constants - Scope 3</v>
      </c>
      <c r="D64" s="24" t="s">
        <v>244</v>
      </c>
      <c r="E64" s="225">
        <f>SUM(Q37:Q39)+N("Partial sum")</f>
        <v>7.1459999999999999</v>
      </c>
      <c r="F64" s="16" t="str">
        <f t="shared" si="4"/>
        <v>t CO2-e</v>
      </c>
      <c r="G64" s="184"/>
      <c r="H64" s="184"/>
      <c r="I64" s="184"/>
      <c r="J64" s="184"/>
      <c r="L64" s="184"/>
      <c r="M64" s="184"/>
      <c r="N64" s="184"/>
      <c r="O64" s="184"/>
      <c r="P64" s="184"/>
      <c r="Q64" s="184"/>
    </row>
    <row r="65" spans="1:17" ht="20.100000000000001" customHeight="1" x14ac:dyDescent="0.2">
      <c r="A65" s="5" t="str">
        <f>HYPERLINK("#'Constants - Common'!A1", "Constants - Common")</f>
        <v>Constants - Common</v>
      </c>
      <c r="G65" s="184"/>
      <c r="H65" s="184"/>
      <c r="I65" s="184"/>
      <c r="J65" s="184"/>
      <c r="L65" s="184"/>
      <c r="M65" s="184"/>
      <c r="N65" s="184"/>
      <c r="O65" s="184"/>
      <c r="P65" s="184"/>
      <c r="Q65" s="184"/>
    </row>
    <row r="66" spans="1:17" ht="20.100000000000001" customHeight="1" x14ac:dyDescent="0.2">
      <c r="A66" s="5" t="str">
        <f>HYPERLINK("#'Constants - Refrigerants'!A1", "Constants - Refrigerants")</f>
        <v>Constants - Refrigerants</v>
      </c>
      <c r="D66" s="222" t="s">
        <v>943</v>
      </c>
      <c r="E66" s="228"/>
      <c r="F66" s="224"/>
      <c r="G66" s="184"/>
      <c r="H66" s="184"/>
      <c r="I66" s="184"/>
      <c r="J66" s="184"/>
      <c r="L66" s="184"/>
      <c r="M66" s="184"/>
      <c r="N66" s="184"/>
      <c r="O66" s="184"/>
      <c r="P66" s="184"/>
      <c r="Q66" s="184"/>
    </row>
    <row r="67" spans="1:17" ht="20.100000000000001" customHeight="1" x14ac:dyDescent="0.2">
      <c r="A67" s="5" t="str">
        <f>HYPERLINK("#'Constants - Solid Waste'!A1", "Constants - Solid Waste")</f>
        <v>Constants - Solid Waste</v>
      </c>
      <c r="D67" s="24" t="s">
        <v>940</v>
      </c>
      <c r="E67" s="225">
        <f>E43+E49+E55+E61</f>
        <v>83.182000000000002</v>
      </c>
      <c r="F67" s="16" t="str">
        <f t="shared" ref="F67:F70" si="5">$E$12</f>
        <v>t CO2-e</v>
      </c>
      <c r="G67" s="184"/>
    </row>
    <row r="68" spans="1:17" ht="20.100000000000001" customHeight="1" x14ac:dyDescent="0.2">
      <c r="A68" s="5" t="str">
        <f>HYPERLINK("#'Acknowledgements'!A1", "Acknowledgements")</f>
        <v>Acknowledgements</v>
      </c>
      <c r="D68" s="24" t="s">
        <v>941</v>
      </c>
      <c r="E68" s="225">
        <f t="shared" ref="E68:E70" si="6">E44+E50+E56+E62</f>
        <v>0.19906000000000001</v>
      </c>
      <c r="F68" s="16" t="str">
        <f t="shared" si="5"/>
        <v>t CO2-e</v>
      </c>
      <c r="G68" s="184"/>
    </row>
    <row r="69" spans="1:17" ht="20.100000000000001" customHeight="1" x14ac:dyDescent="0.2">
      <c r="D69" s="24" t="s">
        <v>942</v>
      </c>
      <c r="E69" s="225">
        <f t="shared" si="6"/>
        <v>0.58450000000000002</v>
      </c>
      <c r="F69" s="16" t="str">
        <f t="shared" si="5"/>
        <v>t CO2-e</v>
      </c>
      <c r="G69" s="184"/>
    </row>
    <row r="70" spans="1:17" ht="20.100000000000001" customHeight="1" x14ac:dyDescent="0.2">
      <c r="D70" s="24" t="s">
        <v>244</v>
      </c>
      <c r="E70" s="225">
        <f t="shared" si="6"/>
        <v>20.5016</v>
      </c>
      <c r="F70" s="16" t="str">
        <f t="shared" si="5"/>
        <v>t CO2-e</v>
      </c>
      <c r="G70" s="184"/>
    </row>
    <row r="71" spans="1:17" ht="20.100000000000001" customHeight="1" x14ac:dyDescent="0.2">
      <c r="G71" s="184"/>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77E43156-AA55-4525-873D-40896C6D3D7A}"/>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7514B-75EB-425C-8460-CB4F5CC1D933}">
  <sheetPr>
    <tabColor rgb="FF008000"/>
  </sheetPr>
  <dimension ref="A1:R71"/>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0" customFormat="1" ht="30" customHeight="1" x14ac:dyDescent="0.35">
      <c r="A1" s="10" t="e" vm="1">
        <v>#VALUE!</v>
      </c>
      <c r="C1" s="20" t="s">
        <v>944</v>
      </c>
    </row>
    <row r="2" spans="1:18" s="3" customFormat="1" ht="20.100000000000001" customHeight="1" x14ac:dyDescent="0.2">
      <c r="A2"/>
    </row>
    <row r="3" spans="1:18" ht="20.100000000000001" customHeight="1" x14ac:dyDescent="0.2">
      <c r="A3" s="5" t="str">
        <f>HYPERLINK("#'Home'!A1", "Home")</f>
        <v>Home</v>
      </c>
      <c r="C3" s="22"/>
      <c r="D3" s="22" t="s">
        <v>129</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1936</v>
      </c>
      <c r="K5" s="2" t="s">
        <v>1938</v>
      </c>
      <c r="O5" s="184"/>
      <c r="P5" s="184"/>
      <c r="Q5" s="184"/>
      <c r="R5" s="184"/>
    </row>
    <row r="6" spans="1:18" ht="20.100000000000001" customHeight="1" x14ac:dyDescent="0.2">
      <c r="A6" s="5" t="str">
        <f>HYPERLINK("#'Results'!A1", "Results")</f>
        <v>Results</v>
      </c>
      <c r="D6" s="17" t="s">
        <v>1937</v>
      </c>
      <c r="K6" s="17" t="s">
        <v>1939</v>
      </c>
      <c r="O6" s="184"/>
      <c r="P6" s="184"/>
      <c r="Q6" s="184"/>
      <c r="R6" s="184"/>
    </row>
    <row r="7" spans="1:18" ht="20.100000000000001" customHeight="1" x14ac:dyDescent="0.2">
      <c r="D7" s="118"/>
      <c r="E7" s="118"/>
      <c r="K7" s="25" t="s">
        <v>1940</v>
      </c>
      <c r="O7" s="184"/>
      <c r="P7" s="184"/>
      <c r="Q7" s="184"/>
      <c r="R7" s="184"/>
    </row>
    <row r="8" spans="1:18" ht="20.100000000000001" customHeight="1" x14ac:dyDescent="0.2">
      <c r="K8" s="118"/>
      <c r="L8" s="118"/>
      <c r="O8" s="184"/>
      <c r="P8" s="184"/>
      <c r="Q8" s="184"/>
      <c r="R8" s="184"/>
    </row>
    <row r="9" spans="1:18" ht="20.100000000000001" customHeight="1" x14ac:dyDescent="0.2">
      <c r="A9" s="7" t="s">
        <v>0</v>
      </c>
      <c r="G9" s="17"/>
      <c r="O9" s="184"/>
      <c r="P9" s="184"/>
      <c r="Q9" s="184"/>
      <c r="R9" s="184"/>
    </row>
    <row r="10" spans="1:18" ht="20.100000000000001" customHeight="1" x14ac:dyDescent="0.2">
      <c r="A10" s="5" t="str">
        <f>HYPERLINK("#'Input - Enterprise'!A1", "Enterprise")</f>
        <v>Enterprise</v>
      </c>
      <c r="O10" s="184"/>
      <c r="P10" s="184"/>
      <c r="Q10" s="184"/>
      <c r="R10" s="184"/>
    </row>
    <row r="11" spans="1:18" ht="20.100000000000001" customHeight="1" x14ac:dyDescent="0.2">
      <c r="A11" s="5" t="str">
        <f>HYPERLINK("#'Input - Site'!A1", "Site")</f>
        <v>Site</v>
      </c>
      <c r="D11" s="76" t="s">
        <v>378</v>
      </c>
      <c r="E11" s="1" t="s">
        <v>1913</v>
      </c>
      <c r="K11" s="76" t="s">
        <v>378</v>
      </c>
      <c r="L11" s="1" t="s">
        <v>1941</v>
      </c>
      <c r="O11" s="184"/>
      <c r="P11" s="184"/>
      <c r="Q11" s="184"/>
      <c r="R11" s="184"/>
    </row>
    <row r="12" spans="1:18" ht="20.100000000000001" customHeight="1" x14ac:dyDescent="0.2">
      <c r="A12" s="5" t="str">
        <f>HYPERLINK("#'Input - Dairy'!A1", "Dairy")</f>
        <v>Dairy</v>
      </c>
      <c r="D12" s="76" t="s">
        <v>118</v>
      </c>
      <c r="E12" s="9" t="s">
        <v>264</v>
      </c>
      <c r="K12" s="76" t="s">
        <v>118</v>
      </c>
      <c r="L12" s="9" t="s">
        <v>6</v>
      </c>
    </row>
    <row r="13" spans="1:18" ht="20.100000000000001" customHeight="1" x14ac:dyDescent="0.2">
      <c r="A13" s="5" t="str">
        <f>HYPERLINK("#'Input - Livestock sales'!A1", "Livestock sales")</f>
        <v>Livestock sales</v>
      </c>
    </row>
    <row r="14" spans="1:18" ht="20.100000000000001" customHeight="1" x14ac:dyDescent="0.2">
      <c r="A14" s="5" t="str">
        <f>HYPERLINK("#'Input - Dairy cattle purchases'!A1", "Dairy cattle purchases")</f>
        <v>Dairy cattle purchases</v>
      </c>
      <c r="D14" s="120" t="s">
        <v>1942</v>
      </c>
      <c r="E14" s="125" t="s">
        <v>1943</v>
      </c>
      <c r="F14" s="126"/>
      <c r="G14" s="120" t="s">
        <v>1926</v>
      </c>
      <c r="H14" s="121" t="s">
        <v>1469</v>
      </c>
      <c r="I14" s="127" t="str" cm="1">
        <f t="array" aca="1" ref="I14" ca="1">HYPERLINK(Common_InputFunctions.Utility_SourceHyperlink($D$22), $D$22)</f>
        <v>Table_E_g</v>
      </c>
      <c r="K14" s="120" t="s">
        <v>1942</v>
      </c>
      <c r="L14" s="120" t="s">
        <v>1950</v>
      </c>
      <c r="M14" s="120"/>
      <c r="N14" s="120" t="s">
        <v>978</v>
      </c>
      <c r="O14" s="121" t="s">
        <v>1469</v>
      </c>
      <c r="P14" s="127" t="str" cm="1">
        <f t="array" aca="1" ref="P14" ca="1">HYPERLINK(Common_InputFunctions.Utility_SourceHyperlink($D$22), $D$22)</f>
        <v>Table_E_g</v>
      </c>
      <c r="Q14" s="184"/>
    </row>
    <row r="15" spans="1:18" ht="20.100000000000001" customHeight="1" x14ac:dyDescent="0.2">
      <c r="A15" s="5" t="str">
        <f>HYPERLINK("#'Input - Pasture'!A1", "Pasture")</f>
        <v>Pasture</v>
      </c>
      <c r="D15" s="120" t="s">
        <v>1944</v>
      </c>
      <c r="E15" s="125" t="s">
        <v>1945</v>
      </c>
      <c r="F15" s="126"/>
      <c r="G15" s="120" t="s">
        <v>1927</v>
      </c>
      <c r="H15" s="128" t="s">
        <v>1501</v>
      </c>
      <c r="I15" s="127" t="str" cm="1">
        <f t="array" aca="1" ref="I15" ca="1">HYPERLINK(Common_InputFunctions.Utility_SourceHyperlink($D$22), $D$22)</f>
        <v>Table_E_g</v>
      </c>
      <c r="K15" s="120" t="s">
        <v>1944</v>
      </c>
      <c r="L15" s="120" t="s">
        <v>1951</v>
      </c>
      <c r="M15" s="120"/>
      <c r="N15" s="120" t="s">
        <v>1956</v>
      </c>
      <c r="O15" s="128" t="s">
        <v>1501</v>
      </c>
      <c r="P15" s="127" t="str" cm="1">
        <f t="array" aca="1" ref="P15" ca="1">HYPERLINK(Common_InputFunctions.Utility_SourceHyperlink($D$22), $D$22)</f>
        <v>Table_E_g</v>
      </c>
      <c r="Q15" s="184"/>
    </row>
    <row r="16" spans="1:18" ht="20.100000000000001" customHeight="1" x14ac:dyDescent="0.2">
      <c r="A16" s="5" t="str">
        <f>HYPERLINK("#'Input - Fert Prod System'!A1", "Fert Prod System")</f>
        <v>Fert Prod System</v>
      </c>
      <c r="D16" s="120" t="s">
        <v>1946</v>
      </c>
      <c r="E16" s="125" t="s">
        <v>1947</v>
      </c>
      <c r="F16" s="126"/>
      <c r="G16" s="120" t="s">
        <v>1928</v>
      </c>
      <c r="H16" s="128" t="s">
        <v>1501</v>
      </c>
      <c r="I16" s="127" t="str" cm="1">
        <f t="array" aca="1" ref="I16" ca="1">HYPERLINK(Common_InputFunctions.Utility_SourceHyperlink($D$22), $D$22)</f>
        <v>Table_E_g</v>
      </c>
      <c r="K16" s="120" t="s">
        <v>1952</v>
      </c>
      <c r="L16" s="120" t="s">
        <v>1953</v>
      </c>
      <c r="M16" s="120"/>
      <c r="N16" s="120" t="s">
        <v>1935</v>
      </c>
      <c r="O16" s="128" t="s">
        <v>1501</v>
      </c>
      <c r="P16" s="127" t="str" cm="1">
        <f t="array" aca="1" ref="P16" ca="1">HYPERLINK(Common_InputFunctions.Utility_SourceHyperlink($D$22), $D$22)</f>
        <v>Table_E_g</v>
      </c>
      <c r="Q16" s="184"/>
    </row>
    <row r="17" spans="1:17" ht="20.100000000000001" customHeight="1" x14ac:dyDescent="0.2">
      <c r="A17" s="5" t="str">
        <f>HYPERLINK("#'Input - Fertiliser'!A1", "Fertiliser")</f>
        <v>Fertiliser</v>
      </c>
      <c r="D17" s="120" t="s">
        <v>1921</v>
      </c>
      <c r="E17" s="125" t="s">
        <v>976</v>
      </c>
      <c r="F17" s="126"/>
      <c r="G17" s="120"/>
      <c r="H17" s="128" t="s">
        <v>1501</v>
      </c>
      <c r="I17" s="127"/>
      <c r="J17" s="184"/>
      <c r="K17" s="120" t="s">
        <v>1577</v>
      </c>
      <c r="L17" s="125" t="s">
        <v>1578</v>
      </c>
      <c r="M17" s="126"/>
      <c r="N17" s="120"/>
      <c r="O17" s="121" t="s">
        <v>1469</v>
      </c>
      <c r="P17" s="120" t="str">
        <f>X_Cell_Site_State</f>
        <v>Western Australia</v>
      </c>
      <c r="Q17" s="184"/>
    </row>
    <row r="18" spans="1:17" ht="20.100000000000001" customHeight="1" x14ac:dyDescent="0.2">
      <c r="A18" s="5" t="str">
        <f>HYPERLINK("#'Input - Fuel'!A1", "Fuel")</f>
        <v>Fuel</v>
      </c>
      <c r="D18" s="120" t="s">
        <v>1948</v>
      </c>
      <c r="E18" s="125" t="s">
        <v>1949</v>
      </c>
      <c r="F18" s="126"/>
      <c r="G18" s="120"/>
      <c r="H18" s="128" t="s">
        <v>1501</v>
      </c>
      <c r="I18" s="127"/>
      <c r="J18" s="184"/>
      <c r="K18" s="120" t="s">
        <v>1954</v>
      </c>
      <c r="L18" s="125" t="s">
        <v>1955</v>
      </c>
      <c r="M18" s="126"/>
      <c r="N18" s="120"/>
      <c r="O18" s="121" t="s">
        <v>1469</v>
      </c>
      <c r="P18" s="120" t="str">
        <f>X_Cell_Fuel_IsMetroLocation</f>
        <v>Metro</v>
      </c>
      <c r="Q18" s="184"/>
    </row>
    <row r="19" spans="1:17" ht="20.100000000000001" customHeight="1" x14ac:dyDescent="0.2">
      <c r="A19" s="5" t="str">
        <f>HYPERLINK("#'Input - Electricity'!A1", "Electricity")</f>
        <v>Electricity</v>
      </c>
      <c r="D19" s="120" t="s">
        <v>1924</v>
      </c>
      <c r="E19" s="125" t="s">
        <v>1925</v>
      </c>
      <c r="F19" s="126"/>
      <c r="G19" s="120"/>
      <c r="H19" s="128" t="s">
        <v>1501</v>
      </c>
      <c r="I19" s="127"/>
      <c r="J19" s="184"/>
      <c r="L19" s="184"/>
      <c r="N19" s="184"/>
      <c r="O19" s="184"/>
      <c r="P19" s="184"/>
      <c r="Q19" s="184"/>
    </row>
    <row r="20" spans="1:17" ht="20.100000000000001" customHeight="1" x14ac:dyDescent="0.2">
      <c r="A20" s="5" t="str">
        <f>HYPERLINK("#'Input - Common farm inputs'!A1", "Common farm inputs")</f>
        <v>Common farm inputs</v>
      </c>
      <c r="D20" s="120">
        <v>1</v>
      </c>
      <c r="E20" s="125" t="s">
        <v>239</v>
      </c>
      <c r="F20" s="126"/>
      <c r="G20" s="120"/>
      <c r="H20" s="128" t="s">
        <v>1501</v>
      </c>
      <c r="I20" s="127"/>
      <c r="J20" s="184"/>
      <c r="L20" s="184"/>
      <c r="N20" s="184"/>
      <c r="O20" s="184"/>
      <c r="P20" s="184"/>
      <c r="Q20" s="184"/>
    </row>
    <row r="21" spans="1:17" ht="20.100000000000001" customHeight="1" x14ac:dyDescent="0.2">
      <c r="A21" s="5" t="str">
        <f>HYPERLINK("#'Input - Crop pasture farm input'!A1", "Crop pasture farm input")</f>
        <v>Crop pasture farm input</v>
      </c>
      <c r="O21" s="184"/>
      <c r="P21" s="184"/>
      <c r="Q21" s="184"/>
    </row>
    <row r="22" spans="1:17" ht="20.100000000000001" customHeight="1" x14ac:dyDescent="0.2">
      <c r="A22" s="5" t="str">
        <f>HYPERLINK("#'Input - Livestock farm Inputs'!A1", "Livestock farm Inputs")</f>
        <v>Livestock farm Inputs</v>
      </c>
      <c r="D22" s="122" t="s">
        <v>924</v>
      </c>
    </row>
    <row r="23" spans="1:17" ht="20.100000000000001" customHeight="1" x14ac:dyDescent="0.2">
      <c r="A23" s="5" t="str">
        <f>HYPERLINK("#'Input - Freight'!A1", "Freight")</f>
        <v>Freight</v>
      </c>
      <c r="D23" s="123" t="s">
        <v>945</v>
      </c>
    </row>
    <row r="24" spans="1:17" ht="20.100000000000001" customHeight="1" x14ac:dyDescent="0.2">
      <c r="A24" s="5" t="str">
        <f>HYPERLINK("#'Input - Solid waste'!A1", "Solid waste")</f>
        <v>Solid waste</v>
      </c>
      <c r="D24" s="124" t="s">
        <v>926</v>
      </c>
      <c r="E24" s="124" t="s">
        <v>927</v>
      </c>
      <c r="F24" s="124" t="s">
        <v>928</v>
      </c>
      <c r="G24" s="124" t="s">
        <v>946</v>
      </c>
      <c r="H24" s="124" t="s">
        <v>947</v>
      </c>
      <c r="I24" s="124" t="s">
        <v>948</v>
      </c>
      <c r="J24" s="124" t="s">
        <v>949</v>
      </c>
      <c r="K24" s="124" t="s">
        <v>950</v>
      </c>
      <c r="L24" s="81" t="s">
        <v>951</v>
      </c>
      <c r="M24" s="124" t="s">
        <v>935</v>
      </c>
      <c r="N24" s="124" t="s">
        <v>936</v>
      </c>
      <c r="O24" s="124" t="s">
        <v>937</v>
      </c>
      <c r="P24" s="124" t="s">
        <v>938</v>
      </c>
      <c r="Q24" s="124" t="s">
        <v>952</v>
      </c>
    </row>
    <row r="25" spans="1:17" ht="20.100000000000001" customHeight="1" x14ac:dyDescent="0.2">
      <c r="A25" s="5" t="str">
        <f>HYPERLINK("#'Input - Manure sent off-site'!A1", "Manure sent off-site")</f>
        <v>Manure sent off-site</v>
      </c>
      <c r="D25" s="24" t="str">
        <f>Table_FuelTypesPerUse[[#Headers],[Generators]]</f>
        <v>Generators</v>
      </c>
      <c r="E25" s="207" t="str">
        <f>'Constants - Fuel'!$D$58</f>
        <v>Automotive gasoline / petrol (other than for use as fuel in an aircraft)</v>
      </c>
      <c r="F25" s="207"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87" cm="1">
        <f t="array" ref="L25">Fuel_InputFunctions.Fuel_TotalConsumption(Table_Input_Fuel[Amount consumed], Table_Input_Fuel[Fuel use (select)], D25, Table_Input_Fuel[Fuel type (select)],F25)</f>
        <v>0</v>
      </c>
      <c r="M25" s="187" t="str" cm="1">
        <f t="array" ref="M25">Common_InputFunctions.Utility_LookupValueInTable(F25,Table_FuelTypes_Units[Fuel type],Table_FuelTypes_Units[Unit])</f>
        <v>kL</v>
      </c>
      <c r="N25" s="229">
        <f>((($L25 * $G25 * H25) * 10 ^ -3))</f>
        <v>0</v>
      </c>
      <c r="O25" s="229">
        <f>((($L25 * $G25 * I25) * 10 ^ -3))</f>
        <v>0</v>
      </c>
      <c r="P25" s="229">
        <f>((($L25 * $G25 * J25) * 10 ^ -3))</f>
        <v>0</v>
      </c>
      <c r="Q25" s="229">
        <f>((($L25 * $G25 * ((IF(ISNUMBER(K25), K25, 0)))) * 10 ^ -3))</f>
        <v>0</v>
      </c>
    </row>
    <row r="26" spans="1:17" ht="20.100000000000001" customHeight="1" x14ac:dyDescent="0.2">
      <c r="A26" s="5" t="str">
        <f>HYPERLINK("#'Input - Refrigerants'!A1", "Refrigerants")</f>
        <v>Refrigerants</v>
      </c>
      <c r="D26" s="209" t="str">
        <f t="shared" ref="D26:D31" si="0">$D$25</f>
        <v>Generators</v>
      </c>
      <c r="E26" s="207" t="str">
        <f>'Constants - Fuel'!$D$63</f>
        <v>Diesel oil</v>
      </c>
      <c r="F26" s="207"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87" cm="1">
        <f t="array" ref="L26">Fuel_InputFunctions.Fuel_TotalConsumption(Table_Input_Fuel[Amount consumed], Table_Input_Fuel[Fuel use (select)], D26, Table_Input_Fuel[Fuel type (select)],F26)</f>
        <v>0</v>
      </c>
      <c r="M26" s="187" t="str" cm="1">
        <f t="array" ref="M26">Common_InputFunctions.Utility_LookupValueInTable(F26,Table_FuelTypes_Units[Fuel type],Table_FuelTypes_Units[Unit])</f>
        <v>kL</v>
      </c>
      <c r="N26" s="229">
        <f>((($L26 * $G26 * H26) * 10 ^ -3))</f>
        <v>0</v>
      </c>
      <c r="O26" s="229">
        <f>((($L26 * $G26 * I26) * 10 ^ -3))</f>
        <v>0</v>
      </c>
      <c r="P26" s="229">
        <f>((($L26 * $G26 * J26) * 10 ^ -3))</f>
        <v>0</v>
      </c>
      <c r="Q26" s="229">
        <f>((($L26 * $G26 * ((IF(ISNUMBER(K26), K26, 0)))) * 10 ^ -3))</f>
        <v>0</v>
      </c>
    </row>
    <row r="27" spans="1:17" ht="20.100000000000001" customHeight="1" x14ac:dyDescent="0.2">
      <c r="A27" s="5" t="str">
        <f>HYPERLINK("#'Input - Data quality'!A1", "Data quality")</f>
        <v>Data quality</v>
      </c>
      <c r="D27" s="209" t="str">
        <f t="shared" si="0"/>
        <v>Generators</v>
      </c>
      <c r="E27" s="207" t="str">
        <f>'Constants - Fuel'!$D$67</f>
        <v>Liquefied petroleum gas (LPG)</v>
      </c>
      <c r="F27" s="207"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87" cm="1">
        <f t="array" ref="L27">Fuel_InputFunctions.Fuel_TotalConsumption(Table_Input_Fuel[Amount consumed], Table_Input_Fuel[Fuel use (select)], D27, Table_Input_Fuel[Fuel type (select)],F27)</f>
        <v>0</v>
      </c>
      <c r="M27" s="187" t="str" cm="1">
        <f t="array" ref="M27">Common_InputFunctions.Utility_LookupValueInTable(F27,Table_FuelTypes_Units[Fuel type],Table_FuelTypes_Units[Unit])</f>
        <v>kL</v>
      </c>
      <c r="N27" s="229">
        <f>((($L27 * $G27 * H27) * 10 ^ -3))</f>
        <v>0</v>
      </c>
      <c r="O27" s="229">
        <f>((($L27 * $G27 * I27) * 10 ^ -3))</f>
        <v>0</v>
      </c>
      <c r="P27" s="229">
        <f>((($L27 * $G27 * J27) * 10 ^ -3))</f>
        <v>0</v>
      </c>
      <c r="Q27" s="229">
        <f>((($L27 * $G27 * ((IF(ISNUMBER(K27), K27, 0)))) * 10 ^ -3))</f>
        <v>0</v>
      </c>
    </row>
    <row r="28" spans="1:17" ht="20.100000000000001" customHeight="1" x14ac:dyDescent="0.2">
      <c r="D28" s="209" t="str">
        <f t="shared" si="0"/>
        <v>Generators</v>
      </c>
      <c r="E28" s="207" t="str">
        <f>'Constants - Fuel'!$D$73</f>
        <v>Biodiesel</v>
      </c>
      <c r="F28" s="207"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87" cm="1">
        <f t="array" ref="L28">Fuel_InputFunctions.Fuel_TotalConsumption(Table_Input_Fuel[Amount consumed], Table_Input_Fuel[Fuel use (select)], D28, Table_Input_Fuel[Fuel type (select)],F28)</f>
        <v>0</v>
      </c>
      <c r="M28" s="187" t="str" cm="1">
        <f t="array" ref="M28">Common_InputFunctions.Utility_LookupValueInTable(F28,Table_FuelTypes_Units[Fuel type],Table_FuelTypes_Units[Unit])</f>
        <v>kL</v>
      </c>
      <c r="N28" s="229">
        <f>((($L28 * $G28 * H28) * 10 ^ -3))</f>
        <v>0</v>
      </c>
      <c r="O28" s="229">
        <f>((($L28 * $G28 * I28) * 10 ^ -3))</f>
        <v>0</v>
      </c>
      <c r="P28" s="229">
        <f>((($L28 * $G28 * J28) * 10 ^ -3))</f>
        <v>0</v>
      </c>
      <c r="Q28" s="229">
        <f>((($L28 * $G28 * ((IF(ISNUMBER(K28), K28, 0)))) * 10 ^ -3))</f>
        <v>0</v>
      </c>
    </row>
    <row r="29" spans="1:17" ht="20.100000000000001" customHeight="1" x14ac:dyDescent="0.2">
      <c r="D29" s="209" t="str">
        <f t="shared" si="0"/>
        <v>Generators</v>
      </c>
      <c r="E29" s="207" t="str">
        <f>'Constants - Fuel'!$D$74</f>
        <v>Ethanol for use as a fuel in an internal combustion engine</v>
      </c>
      <c r="F29" s="207"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87" cm="1">
        <f t="array" ref="L29">Fuel_InputFunctions.Fuel_TotalConsumption(Table_Input_Fuel[Amount consumed], Table_Input_Fuel[Fuel use (select)], D29, Table_Input_Fuel[Fuel type (select)],F29)</f>
        <v>0</v>
      </c>
      <c r="M29" s="187" t="str" cm="1">
        <f t="array" ref="M29">Common_InputFunctions.Utility_LookupValueInTable(F29,Table_FuelTypes_Units[Fuel type],Table_FuelTypes_Units[Unit])</f>
        <v>kL</v>
      </c>
      <c r="N29" s="229">
        <f>((($L29 * $G29 * H29) * 10 ^ -3))</f>
        <v>0</v>
      </c>
      <c r="O29" s="229">
        <f>((($L29 * $G29 * I29) * 10 ^ -3))</f>
        <v>0</v>
      </c>
      <c r="P29" s="229">
        <f>((($L29 * $G29 * J29) * 10 ^ -3))</f>
        <v>0</v>
      </c>
      <c r="Q29" s="229">
        <f>((($L29 * $G29 * ((IF(ISNUMBER(K29), K29, 0)))) * 10 ^ -3))</f>
        <v>0</v>
      </c>
    </row>
    <row r="30" spans="1:17" ht="20.100000000000001" customHeight="1" x14ac:dyDescent="0.2">
      <c r="A30" s="6" t="s">
        <v>2</v>
      </c>
      <c r="D30" s="209" t="str">
        <f t="shared" si="0"/>
        <v>Generators</v>
      </c>
      <c r="E30" s="207" t="str">
        <f>'Constants - Fuel'!$D$75</f>
        <v>Biofuels other than those mentioned in the items above and below</v>
      </c>
      <c r="F30" s="207"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87" cm="1">
        <f t="array" ref="L30">Fuel_InputFunctions.Fuel_TotalConsumption(Table_Input_Fuel[Amount consumed], Table_Input_Fuel[Fuel use (select)], D30, Table_Input_Fuel[Fuel type (select)],F30)</f>
        <v>0</v>
      </c>
      <c r="M30" s="187" t="str" cm="1">
        <f t="array" ref="M30">Common_InputFunctions.Utility_LookupValueInTable(F30,Table_FuelTypes_Units[Fuel type],Table_FuelTypes_Units[Unit])</f>
        <v>kL</v>
      </c>
      <c r="N30" s="229">
        <f>((($L30 * $G30 * H30) * 10 ^ -3))</f>
        <v>0</v>
      </c>
      <c r="O30" s="229">
        <f>((($L30 * $G30 * I30) * 10 ^ -3))</f>
        <v>0</v>
      </c>
      <c r="P30" s="229">
        <f>((($L30 * $G30 * J30) * 10 ^ -3))</f>
        <v>0</v>
      </c>
      <c r="Q30" s="229">
        <f>((($L30 * $G30 * ((IF(ISNUMBER(K30), K30, 0)))) * 10 ^ -3))</f>
        <v>0</v>
      </c>
    </row>
    <row r="31" spans="1:17" ht="20.100000000000001" customHeight="1" x14ac:dyDescent="0.2">
      <c r="A31" s="5" t="str">
        <f>HYPERLINK("#'3.3.1.1-2 Enteric Methane'!A1", "3.3.1.1-2 Enteric methane")</f>
        <v>3.3.1.1-2 Enteric methane</v>
      </c>
      <c r="D31" s="209" t="str">
        <f t="shared" si="0"/>
        <v>Generators</v>
      </c>
      <c r="E31" s="207" t="str">
        <f>'Constants - Fuel'!$D$77</f>
        <v>Renewable diesel</v>
      </c>
      <c r="F31" s="207" t="str">
        <f>'Constants - Fuel'!D137</f>
        <v>Renewable diesel</v>
      </c>
      <c r="G31" s="205">
        <f>IFERROR(_xlfn.XLOOKUP($E31, Table_Fuel_EFs_StationaryLiquid[Fuel combusted], Table_Fuel_EFs_StationaryLiquid[Energy Content Factor (GJ per unit of fuel)]),0)</f>
        <v>38.6</v>
      </c>
      <c r="H31" s="205">
        <f>IFERROR(_xlfn.XLOOKUP($E31, Table_Fuel_EFs_StationaryLiquid[Fuel combusted], Table_Fuel_EFs_StationaryLiquid[Scope 1 Emission Factor (kg CO2 - e / GJ) CO2]),0)</f>
        <v>0</v>
      </c>
      <c r="I31" s="205">
        <f>IFERROR(_xlfn.XLOOKUP($E31, Table_Fuel_EFs_StationaryLiquid[Fuel combusted], Table_Fuel_EFs_StationaryLiquid[Scope 1 Emission Factor (kg CO2 - e / GJ) CH4]),0)</f>
        <v>0.1</v>
      </c>
      <c r="J31" s="205">
        <f>IFERROR(_xlfn.XLOOKUP($E31, Table_Fuel_EFs_StationaryLiquid[Fuel combusted], Table_Fuel_EFs_StationaryLiquid[Scope 1 Emission Factor (kg CO2 - e / GJ) N2O]),0)</f>
        <v>0.2</v>
      </c>
      <c r="K31" s="205" t="str">
        <f>IFERROR(_xlfn.XLOOKUP($E31, Table_Fuel_EFs_StationaryLiquid[Fuel combusted], Table_Fuel_EFs_StationaryLiquid[Scope 3 Emission Factor (kg CO2 - e / GJ)]),0)</f>
        <v>NE</v>
      </c>
      <c r="L31" s="210" cm="1">
        <f t="array" ref="L31">Fuel_InputFunctions.Fuel_TotalConsumption(Table_Input_Fuel[Amount consumed], Table_Input_Fuel[Fuel use (select)], D31, Table_Input_Fuel[Fuel type (select)],F31)</f>
        <v>0</v>
      </c>
      <c r="M31" s="210" t="str" cm="1">
        <f t="array" ref="M31">Common_InputFunctions.Utility_LookupValueInTable(F31,Table_FuelTypes_Units[Fuel type],Table_FuelTypes_Units[Unit])</f>
        <v>kL</v>
      </c>
      <c r="N31" s="230">
        <f>((($L31 * $G31 * H31) * 10 ^ -3))</f>
        <v>0</v>
      </c>
      <c r="O31" s="230">
        <f>((($L31 * $G31 * I31) * 10 ^ -3))</f>
        <v>0</v>
      </c>
      <c r="P31" s="230">
        <f>((($L31 * $G31 * J31) * 10 ^ -3))</f>
        <v>0</v>
      </c>
      <c r="Q31" s="230">
        <f>((($L31 * $G31 * ((IF(ISNUMBER(K31), K31, 0)))) * 10 ^ -3))</f>
        <v>0</v>
      </c>
    </row>
    <row r="32" spans="1:17" ht="20.100000000000001" customHeight="1" x14ac:dyDescent="0.2">
      <c r="A32" s="5" t="str">
        <f>HYPERLINK("#'4.3.1.1-2 Methane'!A1", "4.3.1.1-2 Manure methane")</f>
        <v>4.3.1.1-2 Manure methane</v>
      </c>
      <c r="D32" s="212" t="str">
        <f>Table_FuelTypesPerUse[[#Headers],[Power standalone machinery or heating]]</f>
        <v>Power standalone machinery or heating</v>
      </c>
      <c r="E32" s="213" t="str">
        <f>'Constants - Fuel'!$D$58</f>
        <v>Automotive gasoline / petrol (other than for use as fuel in an aircraft)</v>
      </c>
      <c r="F32" s="213" t="str">
        <f>'Constants - Fuel'!E131</f>
        <v>Petrol</v>
      </c>
      <c r="G32" s="220">
        <f>IFERROR(_xlfn.XLOOKUP($E32, Table_Fuel_EFs_StationaryLiquid[Fuel combusted], Table_Fuel_EFs_StationaryLiquid[Energy Content Factor (GJ per unit of fuel)]),0)</f>
        <v>34.200000000000003</v>
      </c>
      <c r="H32" s="220">
        <f>IFERROR(_xlfn.XLOOKUP($E32, Table_Fuel_EFs_StationaryLiquid[Fuel combusted], Table_Fuel_EFs_StationaryLiquid[Scope 1 Emission Factor (kg CO2 - e / GJ) CO2]),0)</f>
        <v>67.400000000000006</v>
      </c>
      <c r="I32" s="220">
        <f>IFERROR(_xlfn.XLOOKUP($E32, Table_Fuel_EFs_StationaryLiquid[Fuel combusted], Table_Fuel_EFs_StationaryLiquid[Scope 1 Emission Factor (kg CO2 - e / GJ) CH4]),0)</f>
        <v>0.2</v>
      </c>
      <c r="J32" s="220">
        <f>IFERROR(_xlfn.XLOOKUP($E32, Table_Fuel_EFs_StationaryLiquid[Fuel combusted], Table_Fuel_EFs_StationaryLiquid[Scope 1 Emission Factor (kg CO2 - e / GJ) N2O]),0)</f>
        <v>0.2</v>
      </c>
      <c r="K32" s="220">
        <f>IFERROR(_xlfn.XLOOKUP($E32, Table_Fuel_EFs_StationaryLiquid[Fuel combusted], Table_Fuel_EFs_StationaryLiquid[Scope 3 Emission Factor (kg CO2 - e / GJ)]),0)</f>
        <v>17.2</v>
      </c>
      <c r="L32" s="216" cm="1">
        <f t="array" ref="L32">Fuel_InputFunctions.Fuel_TotalConsumption(Table_Input_Fuel[Amount consumed], Table_Input_Fuel[Fuel use (select)], D32, Table_Input_Fuel[Fuel type (select)],F32)</f>
        <v>10</v>
      </c>
      <c r="M32" s="217" t="str" cm="1">
        <f t="array" ref="M32">Common_InputFunctions.Utility_LookupValueInTable(F32,Table_FuelTypes_Units[Fuel type],Table_FuelTypes_Units[Unit])</f>
        <v>kL</v>
      </c>
      <c r="N32" s="231">
        <f>((($L32 * $G32 * H32) * 10 ^ -3))</f>
        <v>23.050800000000002</v>
      </c>
      <c r="O32" s="231">
        <f>((($L32 * $G32 * I32) * 10 ^ -3))</f>
        <v>6.8400000000000002E-2</v>
      </c>
      <c r="P32" s="231">
        <f>((($L32 * $G32 * J32) * 10 ^ -3))</f>
        <v>6.8400000000000002E-2</v>
      </c>
      <c r="Q32" s="231">
        <f>((($L32 * $G32 * ((IF(ISNUMBER(K32), K32, 0)))) * 10 ^ -3))</f>
        <v>5.8823999999999996</v>
      </c>
    </row>
    <row r="33" spans="1:17" ht="20.100000000000001" customHeight="1" x14ac:dyDescent="0.2">
      <c r="A33" s="5" t="str">
        <f>HYPERLINK("#'4.3.1.3-4 Direct N20'!A1", "4.3.1.3-4 Direct N20")</f>
        <v>4.3.1.3-4 Direct N20</v>
      </c>
      <c r="D33" s="209" t="str">
        <f t="shared" ref="D33:D40" si="1">$D$32</f>
        <v>Power standalone machinery or heating</v>
      </c>
      <c r="E33" s="207" t="str">
        <f>'Constants - Fuel'!$D$63</f>
        <v>Diesel oil</v>
      </c>
      <c r="F33" s="207"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29">
        <f>((($L33 * $G33 * H33) * 10 ^ -3))</f>
        <v>0</v>
      </c>
      <c r="O33" s="229">
        <f>((($L33 * $G33 * I33) * 10 ^ -3))</f>
        <v>0</v>
      </c>
      <c r="P33" s="229">
        <f>((($L33 * $G33 * J33) * 10 ^ -3))</f>
        <v>0</v>
      </c>
      <c r="Q33" s="229">
        <f>((($L33 * $G33 * ((IF(ISNUMBER(K33), K33, 0)))) * 10 ^ -3))</f>
        <v>0</v>
      </c>
    </row>
    <row r="34" spans="1:17" ht="20.100000000000001" customHeight="1" x14ac:dyDescent="0.2">
      <c r="A34" s="5" t="str">
        <f>HYPERLINK("#'4.3.1.5 Atmos deposition'!A1", "4.3.1.5 Atmos deposition")</f>
        <v>4.3.1.5 Atmos deposition</v>
      </c>
      <c r="D34" s="209" t="str">
        <f t="shared" si="1"/>
        <v>Power standalone machinery or heating</v>
      </c>
      <c r="E34" s="207" t="str">
        <f>'Constants - Fuel'!$D$67</f>
        <v>Liquefied petroleum gas (LPG)</v>
      </c>
      <c r="F34" s="207"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29">
        <f>((($L34 * $G34 * H34) * 10 ^ -3))</f>
        <v>0</v>
      </c>
      <c r="O34" s="229">
        <f>((($L34 * $G34 * I34) * 10 ^ -3))</f>
        <v>0</v>
      </c>
      <c r="P34" s="229">
        <f>((($L34 * $G34 * J34) * 10 ^ -3))</f>
        <v>0</v>
      </c>
      <c r="Q34" s="229">
        <f>((($L34 * $G34 * ((IF(ISNUMBER(K34), K34, 0)))) * 10 ^ -3))</f>
        <v>0</v>
      </c>
    </row>
    <row r="35" spans="1:17" ht="20.100000000000001" customHeight="1" x14ac:dyDescent="0.2">
      <c r="A35" s="5" t="str">
        <f>HYPERLINK("#'4.3.1.6-7 Leaching and runoff'!A1", "4.3.1.6-7 Leaching &amp; runoff")</f>
        <v>4.3.1.6-7 Leaching &amp; runoff</v>
      </c>
      <c r="D35" s="209" t="str">
        <f t="shared" si="1"/>
        <v>Power standalone machinery or heating</v>
      </c>
      <c r="E35" s="207" t="str">
        <f>'Constants - Fuel'!$D$73</f>
        <v>Biodiesel</v>
      </c>
      <c r="F35" s="207"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29">
        <f>((($L35 * $G35 * H35) * 10 ^ -3))</f>
        <v>0</v>
      </c>
      <c r="O35" s="229">
        <f>((($L35 * $G35 * I35) * 10 ^ -3))</f>
        <v>0</v>
      </c>
      <c r="P35" s="229">
        <f>((($L35 * $G35 * J35) * 10 ^ -3))</f>
        <v>0</v>
      </c>
      <c r="Q35" s="229">
        <f>((($L35 * $G35 * ((IF(ISNUMBER(K35), K35, 0)))) * 10 ^ -3))</f>
        <v>0</v>
      </c>
    </row>
    <row r="36" spans="1:17" ht="20.100000000000001" customHeight="1" x14ac:dyDescent="0.2">
      <c r="A36" s="5" t="str">
        <f>HYPERLINK("#'4.3.1.8 Manure applied to soils'!A1", "4.3.1.8 Manure applied to soils")</f>
        <v>4.3.1.8 Manure applied to soils</v>
      </c>
      <c r="D36" s="209" t="str">
        <f t="shared" si="1"/>
        <v>Power standalone machinery or heating</v>
      </c>
      <c r="E36" s="207" t="str">
        <f>'Constants - Fuel'!$D$74</f>
        <v>Ethanol for use as a fuel in an internal combustion engine</v>
      </c>
      <c r="F36" s="207"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29">
        <f>((($L36 * $G36 * H36) * 10 ^ -3))</f>
        <v>0</v>
      </c>
      <c r="O36" s="229">
        <f>((($L36 * $G36 * I36) * 10 ^ -3))</f>
        <v>0</v>
      </c>
      <c r="P36" s="229">
        <f>((($L36 * $G36 * J36) * 10 ^ -3))</f>
        <v>0</v>
      </c>
      <c r="Q36" s="229">
        <f>((($L36 * $G36 * ((IF(ISNUMBER(K36), K36, 0)))) * 10 ^ -3))</f>
        <v>0</v>
      </c>
    </row>
    <row r="37" spans="1:17" ht="20.100000000000001" customHeight="1" x14ac:dyDescent="0.2">
      <c r="A37" s="5" t="str">
        <f>HYPERLINK("#'4.3.1.9 Soil direct N2O'!A1", "4.3.1.9 Soil direct N2O")</f>
        <v>4.3.1.9 Soil direct N2O</v>
      </c>
      <c r="D37" s="209" t="str">
        <f t="shared" si="1"/>
        <v>Power standalone machinery or heating</v>
      </c>
      <c r="E37" s="207" t="str">
        <f>'Constants - Fuel'!$D$75</f>
        <v>Biofuels other than those mentioned in the items above and below</v>
      </c>
      <c r="F37" s="207"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29">
        <f>((($L37 * $G37 * H37) * 10 ^ -3))</f>
        <v>0</v>
      </c>
      <c r="O37" s="229">
        <f>((($L37 * $G37 * I37) * 10 ^ -3))</f>
        <v>0</v>
      </c>
      <c r="P37" s="229">
        <f>((($L37 * $G37 * J37) * 10 ^ -3))</f>
        <v>0</v>
      </c>
      <c r="Q37" s="229">
        <f>((($L37 * $G37 * ((IF(ISNUMBER(K37), K37, 0)))) * 10 ^ -3))</f>
        <v>0</v>
      </c>
    </row>
    <row r="38" spans="1:17" ht="20.100000000000001" customHeight="1" x14ac:dyDescent="0.2">
      <c r="A38" s="5" t="str">
        <f>HYPERLINK("#'4.3.1.10-11 Soil Atmos Dep'!A1", "4.3.1.10-11 Soil Atmos Deposition")</f>
        <v>4.3.1.10-11 Soil Atmos Deposition</v>
      </c>
      <c r="D38" s="209" t="str">
        <f t="shared" si="1"/>
        <v>Power standalone machinery or heating</v>
      </c>
      <c r="E38" s="207" t="str">
        <f>'Constants - Fuel'!$D$77</f>
        <v>Renewable diesel</v>
      </c>
      <c r="F38" s="207"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29">
        <f>((($L38 * $G38 * H38) * 10 ^ -3))</f>
        <v>0</v>
      </c>
      <c r="O38" s="229">
        <f>((($L38 * $G38 * I38) * 10 ^ -3))</f>
        <v>0</v>
      </c>
      <c r="P38" s="229">
        <f>((($L38 * $G38 * J38) * 10 ^ -3))</f>
        <v>0</v>
      </c>
      <c r="Q38" s="229">
        <f>((($L38 * $G38 * ((IF(ISNUMBER(K38), K38, 0)))) * 10 ^ -3))</f>
        <v>0</v>
      </c>
    </row>
    <row r="39" spans="1:17" ht="20.100000000000001" customHeight="1" x14ac:dyDescent="0.2">
      <c r="A39" s="5" t="str">
        <f>HYPERLINK("#'4.3.1.12-13 Soil leach runoff'!A1", "4.3.1.12-13 Soil leach &amp; runoff")</f>
        <v>4.3.1.12-13 Soil leach &amp; runoff</v>
      </c>
      <c r="D39" s="209" t="str">
        <f t="shared" si="1"/>
        <v>Power standalone machinery or heating</v>
      </c>
      <c r="E39" s="207" t="str">
        <f>'Constants - Fuel'!$D$103</f>
        <v>Natural gas distributed in a pipeline - Gigajoules</v>
      </c>
      <c r="F39" s="207"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87" cm="1">
        <f t="array" ref="L39">Fuel_InputFunctions.Fuel_TotalConsumption(Table_Input_Fuel[Amount consumed], Table_Input_Fuel[Fuel use (select)], D39, Table_Input_Fuel[Fuel type (select)],F39)</f>
        <v>0</v>
      </c>
      <c r="M39" s="187" t="str" cm="1">
        <f t="array" ref="M39">Common_InputFunctions.Utility_LookupValueInTable(F39,Table_FuelTypes_Units[Fuel type],Table_FuelTypes_Units[Unit])</f>
        <v>GJ</v>
      </c>
      <c r="N39" s="229">
        <f>((($L39 * $G39 * H39) * 10 ^ -3))</f>
        <v>0</v>
      </c>
      <c r="O39" s="229">
        <f>((($L39 * $G39 * I39) * 10 ^ -3))</f>
        <v>0</v>
      </c>
      <c r="P39" s="229">
        <f>((($L39 * $G39 * J39) * 10 ^ -3))</f>
        <v>0</v>
      </c>
      <c r="Q39" s="229">
        <f>((($L39 * $G39 * ((IF(ISNUMBER(K39), K39, 0)))) * 10 ^ -3))</f>
        <v>0</v>
      </c>
    </row>
    <row r="40" spans="1:17" ht="20.100000000000001" customHeight="1" x14ac:dyDescent="0.2">
      <c r="A40" s="5" t="str">
        <f>HYPERLINK("#'5.1.1.1-2 Inorganic fert N2O'!A1", "5.1.1.1-2 Inorganic fert N2O")</f>
        <v>5.1.1.1-2 Inorganic fert N2O</v>
      </c>
      <c r="D40" s="209" t="str">
        <f t="shared" si="1"/>
        <v>Power standalone machinery or heating</v>
      </c>
      <c r="E40" s="207" t="str">
        <f>'Constants - Fuel'!$D$104</f>
        <v>Town gas - Gigajoules</v>
      </c>
      <c r="F40" s="207"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87" cm="1">
        <f t="array" ref="L40">Fuel_InputFunctions.Fuel_TotalConsumption(Table_Input_Fuel[Amount consumed], Table_Input_Fuel[Fuel use (select)], D40, Table_Input_Fuel[Fuel type (select)],F40)</f>
        <v>100</v>
      </c>
      <c r="M40" s="187" t="str" cm="1">
        <f t="array" ref="M40">Common_InputFunctions.Utility_LookupValueInTable(F40,Table_FuelTypes_Units[Fuel type],Table_FuelTypes_Units[Unit])</f>
        <v>GJ</v>
      </c>
      <c r="N40" s="229">
        <f>((($L40 * $G40 * H40) * 10 ^ -3))</f>
        <v>6.0200000000000005</v>
      </c>
      <c r="O40" s="229">
        <f>((($L40 * $G40 * I40) * 10 ^ -3))</f>
        <v>4.0000000000000001E-3</v>
      </c>
      <c r="P40" s="229">
        <f>((($L40 * $G40 * J40) * 10 ^ -3))</f>
        <v>3.0000000000000001E-3</v>
      </c>
      <c r="Q40" s="229">
        <f>((($L40 * $G40 * ((IF(ISNUMBER(K40), K40, 0)))) * 10 ^ -3))</f>
        <v>0.41</v>
      </c>
    </row>
    <row r="41" spans="1:17" ht="20.100000000000001" customHeight="1" x14ac:dyDescent="0.2">
      <c r="A41" s="5" t="str">
        <f>HYPERLINK("#'5.1.1.3-4 Inorganic fert CO2'!A1", "5.1.1.3-4 Inorganic fert CO2")</f>
        <v>5.1.1.3-4 Inorganic fert CO2</v>
      </c>
    </row>
    <row r="42" spans="1:17" ht="20.100000000000001" customHeight="1" x14ac:dyDescent="0.2">
      <c r="A42" s="5" t="str">
        <f>HYPERLINK("#'5.2.1.1-2 Organic Fert N2O'!A1", "5.2.1.1-2 Organic fert N2O")</f>
        <v>5.2.1.1-2 Organic fert N2O</v>
      </c>
      <c r="D42" s="222" t="str">
        <f>"Total scope 1 - " &amp; D25</f>
        <v>Total scope 1 - Generators</v>
      </c>
      <c r="E42" s="223"/>
      <c r="F42" s="224"/>
    </row>
    <row r="43" spans="1:17" ht="20.100000000000001" customHeight="1" x14ac:dyDescent="0.2">
      <c r="A43" s="5" t="str">
        <f>HYPERLINK("#'5.3.1.1-2 Lime CO2'!A1", "5.3.1.1-2 Lime CO2")</f>
        <v>5.3.1.1-2 Lime CO2</v>
      </c>
      <c r="D43" s="24" t="s">
        <v>940</v>
      </c>
      <c r="E43" s="225">
        <f>SUM(N25:N31)+N("Partial sum")</f>
        <v>0</v>
      </c>
      <c r="F43" s="16" t="str">
        <f>$E$12</f>
        <v>t CO2-e</v>
      </c>
    </row>
    <row r="44" spans="1:17" ht="20.100000000000001" customHeight="1" x14ac:dyDescent="0.2">
      <c r="A44" s="5" t="str">
        <f>HYPERLINK("#'5.4.1.1-4 Atmos deposition'!A1", "5.4.1.1-4 Atmos. deposition")</f>
        <v>5.4.1.1-4 Atmos. deposition</v>
      </c>
      <c r="D44" s="24" t="s">
        <v>941</v>
      </c>
      <c r="E44" s="225">
        <f>SUM(O25:O31)+N("Partial sum")</f>
        <v>0</v>
      </c>
      <c r="F44" s="16" t="str">
        <f t="shared" ref="F44:F46" si="2">$E$12</f>
        <v>t CO2-e</v>
      </c>
    </row>
    <row r="45" spans="1:17" ht="20.100000000000001" customHeight="1" x14ac:dyDescent="0.2">
      <c r="A45" s="5" t="str">
        <f>HYPERLINK("#'5.5.1.1-2 Leaching and runoff'!A1", "5.5.1.1-2 Leaching &amp; runoff")</f>
        <v>5.5.1.1-2 Leaching &amp; runoff</v>
      </c>
      <c r="D45" s="24" t="s">
        <v>942</v>
      </c>
      <c r="E45" s="225">
        <f>SUM(P25:P31)+N("Partial sum")</f>
        <v>0</v>
      </c>
      <c r="F45" s="16" t="str">
        <f t="shared" si="2"/>
        <v>t CO2-e</v>
      </c>
    </row>
    <row r="46" spans="1:17" ht="20.100000000000001" customHeight="1" x14ac:dyDescent="0.2">
      <c r="A46" s="5" t="str">
        <f>HYPERLINK("#'6.2.1.1-2 Pasture residue N2O'!A1", "6.2.1.1-2 Pasture residue N2O")</f>
        <v>6.2.1.1-2 Pasture residue N2O</v>
      </c>
      <c r="D46" s="24" t="s">
        <v>244</v>
      </c>
      <c r="E46" s="225">
        <f>SUM(Q25:Q31)+N("Partial sum")</f>
        <v>0</v>
      </c>
      <c r="F46" s="16" t="str">
        <f t="shared" si="2"/>
        <v>t CO2-e</v>
      </c>
    </row>
    <row r="47" spans="1:17" ht="20.100000000000001" customHeight="1" x14ac:dyDescent="0.2">
      <c r="A47" s="5" t="str">
        <f>HYPERLINK("#'6.3.1.1-2 Leach runoff pasture'!A1", "6.3.1.1-2 Leach &amp; runoff (pasture)")</f>
        <v>6.3.1.1-2 Leach &amp; runoff (pasture)</v>
      </c>
      <c r="H47" s="184"/>
      <c r="I47" s="184"/>
      <c r="J47" s="184"/>
      <c r="L47" s="184"/>
      <c r="N47" s="184"/>
      <c r="O47" s="184"/>
      <c r="P47" s="184"/>
      <c r="Q47" s="184"/>
    </row>
    <row r="48" spans="1:17" ht="20.100000000000001" customHeight="1" x14ac:dyDescent="0.2">
      <c r="A48" s="5" t="str">
        <f>HYPERLINK("#'8.1.1.1-2 Transport fuel'!A1", "8.1.1.1-2 Transport fuel")</f>
        <v>8.1.1.1-2 Transport fuel</v>
      </c>
      <c r="D48" s="222" t="str">
        <f>"Total scope 1 - " &amp; D32</f>
        <v>Total scope 1 - Power standalone machinery or heating</v>
      </c>
      <c r="E48" s="226"/>
      <c r="F48" s="224"/>
      <c r="H48" s="184"/>
      <c r="I48" s="184"/>
      <c r="J48" s="184"/>
      <c r="L48" s="184"/>
      <c r="N48" s="184"/>
      <c r="O48" s="184"/>
      <c r="P48" s="184"/>
      <c r="Q48" s="184"/>
    </row>
    <row r="49" spans="1:17" ht="20.100000000000001" customHeight="1" x14ac:dyDescent="0.2">
      <c r="A49" s="119" t="str">
        <f>HYPERLINK("#'8.2.1.1-2 Stationary fuel'!A1", "8.2.1.1-2 Stationary fuel")</f>
        <v>8.2.1.1-2 Stationary fuel</v>
      </c>
      <c r="D49" s="24" t="s">
        <v>940</v>
      </c>
      <c r="E49" s="225">
        <f>SUM(N32:N40)+N("Partial sum")</f>
        <v>29.070800000000002</v>
      </c>
      <c r="F49" s="16" t="str">
        <f t="shared" ref="F49:F52" si="3">$E$12</f>
        <v>t CO2-e</v>
      </c>
      <c r="H49" s="184"/>
      <c r="I49" s="184"/>
      <c r="J49" s="184"/>
      <c r="L49" s="184"/>
      <c r="N49" s="184"/>
      <c r="O49" s="184"/>
      <c r="P49" s="184"/>
      <c r="Q49" s="184"/>
    </row>
    <row r="50" spans="1:17" ht="20.100000000000001" customHeight="1" x14ac:dyDescent="0.2">
      <c r="A50" s="5" t="str">
        <f>HYPERLINK("#'9.1.1.1-2 Refrigerant use'!A1", "9.1.1.1-2 Refrigerant use")</f>
        <v>9.1.1.1-2 Refrigerant use</v>
      </c>
      <c r="D50" s="24" t="s">
        <v>941</v>
      </c>
      <c r="E50" s="225">
        <f>SUM(O32:O40)+N("Partial sum")</f>
        <v>7.2400000000000006E-2</v>
      </c>
      <c r="F50" s="16" t="str">
        <f t="shared" si="3"/>
        <v>t CO2-e</v>
      </c>
      <c r="H50" s="184"/>
      <c r="I50" s="184"/>
      <c r="J50" s="184"/>
      <c r="L50" s="184"/>
      <c r="N50" s="184"/>
      <c r="O50" s="184"/>
      <c r="P50" s="184"/>
      <c r="Q50" s="184"/>
    </row>
    <row r="51" spans="1:17" ht="20.100000000000001" customHeight="1" x14ac:dyDescent="0.2">
      <c r="A51" s="5" t="str">
        <f>HYPERLINK("#'10.1.1-2 Solid waste treatment'!A1", "10.1.1.1-2 Solid waste")</f>
        <v>10.1.1.1-2 Solid waste</v>
      </c>
      <c r="D51" s="24" t="s">
        <v>942</v>
      </c>
      <c r="E51" s="225">
        <f>SUM(P32:P40)+N("Partial sum")</f>
        <v>7.1400000000000005E-2</v>
      </c>
      <c r="F51" s="16" t="str">
        <f t="shared" si="3"/>
        <v>t CO2-e</v>
      </c>
      <c r="H51" s="184"/>
      <c r="I51" s="184"/>
      <c r="J51" s="184"/>
      <c r="L51" s="184"/>
      <c r="N51" s="184"/>
      <c r="O51" s="184"/>
      <c r="P51" s="184"/>
      <c r="Q51" s="184"/>
    </row>
    <row r="52" spans="1:17" ht="20.100000000000001" customHeight="1" x14ac:dyDescent="0.2">
      <c r="A52" s="5" t="str">
        <f>HYPERLINK("#'14.1.1-2 Purchased electricity'!A1", "14.1.1-2 Purchased electricity")</f>
        <v>14.1.1-2 Purchased electricity</v>
      </c>
      <c r="D52" s="24" t="s">
        <v>244</v>
      </c>
      <c r="E52" s="225">
        <f>SUM(Q32:Q40)+N("Partial sum")</f>
        <v>6.2923999999999998</v>
      </c>
      <c r="F52" s="16" t="str">
        <f t="shared" si="3"/>
        <v>t CO2-e</v>
      </c>
      <c r="G52" s="184"/>
      <c r="H52" s="184"/>
      <c r="I52" s="184"/>
      <c r="J52" s="184"/>
      <c r="L52" s="184"/>
      <c r="N52" s="184"/>
      <c r="O52" s="184"/>
      <c r="P52" s="184"/>
      <c r="Q52" s="184"/>
    </row>
    <row r="53" spans="1:17" ht="20.100000000000001" customHeight="1" x14ac:dyDescent="0.2">
      <c r="A53" s="5" t="str">
        <f>HYPERLINK("#'15 Scope 3'!A1", "15 Scope 3")</f>
        <v>15 Scope 3</v>
      </c>
      <c r="G53" s="184"/>
      <c r="H53" s="184"/>
      <c r="I53" s="184"/>
      <c r="J53" s="184"/>
      <c r="L53" s="184"/>
      <c r="N53" s="184"/>
      <c r="O53" s="184"/>
      <c r="P53" s="184"/>
      <c r="Q53" s="184"/>
    </row>
    <row r="54" spans="1:17" ht="20.100000000000001" customHeight="1" x14ac:dyDescent="0.2">
      <c r="A54" s="5" t="str">
        <f>HYPERLINK("#'Calcs - Manure sent off-site'!A1", "Calcs - Manure sent off-site")</f>
        <v>Calcs - Manure sent off-site</v>
      </c>
      <c r="D54" s="222" t="s">
        <v>953</v>
      </c>
      <c r="E54" s="226"/>
      <c r="F54" s="224"/>
      <c r="G54" s="184"/>
      <c r="H54" s="184"/>
      <c r="I54" s="184"/>
      <c r="J54" s="184"/>
      <c r="L54" s="184"/>
      <c r="N54" s="184"/>
      <c r="O54" s="184"/>
      <c r="P54" s="184"/>
      <c r="Q54" s="184"/>
    </row>
    <row r="55" spans="1:17" ht="20.100000000000001" customHeight="1" x14ac:dyDescent="0.2">
      <c r="D55" s="24" t="s">
        <v>940</v>
      </c>
      <c r="E55" s="225">
        <f>E43+E49</f>
        <v>29.070800000000002</v>
      </c>
      <c r="F55" s="16" t="str">
        <f t="shared" ref="F55:F58" si="4">$E$12</f>
        <v>t CO2-e</v>
      </c>
      <c r="G55" s="184"/>
      <c r="H55" s="184"/>
      <c r="I55" s="184"/>
      <c r="J55" s="184"/>
      <c r="L55" s="184"/>
      <c r="N55" s="184"/>
      <c r="O55" s="184"/>
      <c r="P55" s="184"/>
      <c r="Q55" s="184"/>
    </row>
    <row r="56" spans="1:17" ht="20.100000000000001" customHeight="1" x14ac:dyDescent="0.2">
      <c r="D56" s="24" t="s">
        <v>941</v>
      </c>
      <c r="E56" s="225">
        <f>E44+E50</f>
        <v>7.2400000000000006E-2</v>
      </c>
      <c r="F56" s="16" t="str">
        <f t="shared" si="4"/>
        <v>t CO2-e</v>
      </c>
      <c r="H56" s="184"/>
    </row>
    <row r="57" spans="1:17" ht="20.100000000000001" customHeight="1" x14ac:dyDescent="0.2">
      <c r="A57" s="82" t="s">
        <v>1</v>
      </c>
      <c r="D57" s="24" t="s">
        <v>942</v>
      </c>
      <c r="E57" s="225">
        <f>E45+E51</f>
        <v>7.1400000000000005E-2</v>
      </c>
      <c r="F57" s="16" t="str">
        <f t="shared" si="4"/>
        <v>t CO2-e</v>
      </c>
      <c r="G57" s="184"/>
      <c r="H57" s="184"/>
      <c r="I57" s="184"/>
      <c r="J57" s="184"/>
      <c r="L57" s="184"/>
      <c r="N57" s="184"/>
      <c r="O57" s="184"/>
      <c r="P57" s="184"/>
      <c r="Q57" s="184"/>
    </row>
    <row r="58" spans="1:17" ht="20.100000000000001" customHeight="1" x14ac:dyDescent="0.2">
      <c r="A58" s="5" t="str">
        <f>HYPERLINK("#'Constants - Dairy'!A1", "Constants - Dairy")</f>
        <v>Constants - Dairy</v>
      </c>
      <c r="D58" s="24" t="s">
        <v>244</v>
      </c>
      <c r="E58" s="225">
        <f>E46+E52</f>
        <v>6.2923999999999998</v>
      </c>
      <c r="F58" s="16" t="str">
        <f t="shared" si="4"/>
        <v>t CO2-e</v>
      </c>
      <c r="G58" s="184"/>
      <c r="H58" s="184"/>
      <c r="I58" s="184"/>
      <c r="J58" s="184"/>
      <c r="L58" s="184"/>
      <c r="N58" s="184"/>
      <c r="O58" s="184"/>
      <c r="P58" s="184"/>
      <c r="Q58" s="184"/>
    </row>
    <row r="59" spans="1:17" ht="20.100000000000001" customHeight="1" x14ac:dyDescent="0.2">
      <c r="A59" s="5" t="str">
        <f>HYPERLINK("#'Constants - Ag Residue'!A1", "Constants - Ag residue")</f>
        <v>Constants - Ag residue</v>
      </c>
      <c r="G59" s="184"/>
      <c r="H59" s="184"/>
      <c r="I59" s="184"/>
      <c r="J59" s="184"/>
      <c r="L59" s="184"/>
      <c r="N59" s="184"/>
      <c r="O59" s="184"/>
      <c r="P59" s="184"/>
      <c r="Q59" s="184"/>
    </row>
    <row r="60" spans="1:17" ht="20.100000000000001" customHeight="1" x14ac:dyDescent="0.2">
      <c r="A60" s="5" t="str">
        <f>HYPERLINK("#'Constants - Common Livestock'!A1", "Constants - Common Livestock")</f>
        <v>Constants - Common Livestock</v>
      </c>
      <c r="G60" s="184"/>
      <c r="H60" s="184"/>
      <c r="I60" s="184"/>
      <c r="J60" s="184"/>
      <c r="L60" s="184"/>
      <c r="N60" s="184"/>
      <c r="O60" s="184"/>
      <c r="P60" s="184"/>
      <c r="Q60" s="184"/>
    </row>
    <row r="61" spans="1:17" ht="20.100000000000001" customHeight="1" x14ac:dyDescent="0.2">
      <c r="A61" s="5" t="str">
        <f>HYPERLINK("#'Constants - Electricity'!A1", "Constants - Electricity")</f>
        <v>Constants - Electricity</v>
      </c>
      <c r="G61" s="184"/>
      <c r="H61" s="184"/>
      <c r="I61" s="184"/>
      <c r="J61" s="184"/>
      <c r="L61" s="184"/>
      <c r="N61" s="184"/>
      <c r="O61" s="184"/>
      <c r="P61" s="184"/>
      <c r="Q61" s="184"/>
    </row>
    <row r="62" spans="1:17" ht="20.100000000000001" customHeight="1" x14ac:dyDescent="0.2">
      <c r="A62" s="5" t="str">
        <f>HYPERLINK("#'Constants - Fertiliser'!A1", "Constants - Fertiliser")</f>
        <v>Constants - Fertiliser</v>
      </c>
      <c r="G62" s="184"/>
      <c r="H62" s="184"/>
      <c r="I62" s="184"/>
      <c r="J62" s="184"/>
      <c r="L62" s="184"/>
      <c r="N62" s="184"/>
      <c r="O62" s="184"/>
      <c r="P62" s="184"/>
      <c r="Q62" s="184"/>
    </row>
    <row r="63" spans="1:17" ht="20.100000000000001" customHeight="1" x14ac:dyDescent="0.2">
      <c r="A63" s="5" t="str">
        <f>HYPERLINK("#'Constants - Fuel'!A1", "Constants - Fuel")</f>
        <v>Constants - Fuel</v>
      </c>
      <c r="G63" s="184"/>
      <c r="H63" s="184"/>
      <c r="I63" s="184"/>
      <c r="J63" s="184"/>
      <c r="L63" s="184"/>
      <c r="N63" s="184"/>
      <c r="O63" s="184"/>
      <c r="P63" s="184"/>
      <c r="Q63" s="184"/>
    </row>
    <row r="64" spans="1:17" ht="20.100000000000001" customHeight="1" x14ac:dyDescent="0.2">
      <c r="A64" s="5" t="str">
        <f>HYPERLINK("#'Constants - Scope 3'!A1", "Constants - Scope 3")</f>
        <v>Constants - Scope 3</v>
      </c>
      <c r="G64" s="184"/>
      <c r="H64" s="184"/>
      <c r="I64" s="184"/>
      <c r="J64" s="184"/>
      <c r="L64" s="184"/>
      <c r="N64" s="184"/>
      <c r="O64" s="184"/>
      <c r="P64" s="184"/>
      <c r="Q64" s="184"/>
    </row>
    <row r="65" spans="1:17" ht="20.100000000000001" customHeight="1" x14ac:dyDescent="0.2">
      <c r="A65" s="5" t="str">
        <f>HYPERLINK("#'Constants - Common'!A1", "Constants - Common")</f>
        <v>Constants - Common</v>
      </c>
      <c r="G65" s="184"/>
      <c r="H65" s="184"/>
      <c r="I65" s="184"/>
      <c r="J65" s="184"/>
      <c r="L65" s="184"/>
      <c r="N65" s="184"/>
      <c r="O65" s="184"/>
      <c r="P65" s="184"/>
      <c r="Q65" s="184"/>
    </row>
    <row r="66" spans="1:17" ht="20.100000000000001" customHeight="1" x14ac:dyDescent="0.2">
      <c r="A66" s="5" t="str">
        <f>HYPERLINK("#'Constants - Refrigerants'!A1", "Constants - Refrigerants")</f>
        <v>Constants - Refrigerants</v>
      </c>
      <c r="G66" s="184"/>
      <c r="H66" s="184"/>
      <c r="I66" s="184"/>
      <c r="J66" s="184"/>
      <c r="L66" s="184"/>
      <c r="N66" s="184"/>
      <c r="O66" s="184"/>
      <c r="P66" s="184"/>
      <c r="Q66" s="184"/>
    </row>
    <row r="67" spans="1:17" ht="20.100000000000001" customHeight="1" x14ac:dyDescent="0.2">
      <c r="A67" s="5" t="str">
        <f>HYPERLINK("#'Constants - Solid Waste'!A1", "Constants - Solid Waste")</f>
        <v>Constants - Solid Waste</v>
      </c>
      <c r="G67" s="184"/>
    </row>
    <row r="68" spans="1:17" ht="20.100000000000001" customHeight="1" x14ac:dyDescent="0.2">
      <c r="A68" s="5" t="str">
        <f>HYPERLINK("#'Acknowledgements'!A1", "Acknowledgements")</f>
        <v>Acknowledgements</v>
      </c>
      <c r="G68" s="184"/>
    </row>
    <row r="69" spans="1:17" ht="20.100000000000001" customHeight="1" x14ac:dyDescent="0.2">
      <c r="G69" s="184"/>
    </row>
    <row r="70" spans="1:17" ht="20.100000000000001" customHeight="1" x14ac:dyDescent="0.2">
      <c r="G70" s="184"/>
    </row>
    <row r="71" spans="1:17" ht="20.100000000000001" customHeight="1" x14ac:dyDescent="0.2">
      <c r="G71" s="184"/>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FC2EC-0C3E-4D03-B727-1DA48FE8F326}">
  <sheetPr>
    <tabColor rgb="FF008000"/>
  </sheetPr>
  <dimension ref="A1:M342"/>
  <sheetViews>
    <sheetView showGridLines="0" zoomScaleNormal="100" workbookViewId="0">
      <pane xSplit="1" topLeftCell="B1" activePane="topRight" state="frozenSplit"/>
      <selection pane="topRight" activeCell="A139" sqref="A13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2" width="30.7109375" style="1" customWidth="1"/>
    <col min="13" max="13" width="4.7109375" style="1" customWidth="1"/>
  </cols>
  <sheetData>
    <row r="1" spans="1:13" s="20" customFormat="1" ht="30" customHeight="1" x14ac:dyDescent="0.35">
      <c r="A1" s="10" t="e" vm="1">
        <v>#VALUE!</v>
      </c>
      <c r="C1" s="20" t="s">
        <v>1017</v>
      </c>
    </row>
    <row r="2" spans="1:13" s="3" customFormat="1" ht="20.100000000000001" customHeight="1" x14ac:dyDescent="0.2">
      <c r="A2"/>
    </row>
    <row r="3" spans="1:13" ht="20.100000000000001" customHeight="1" x14ac:dyDescent="0.2">
      <c r="A3" s="5" t="str">
        <f>HYPERLINK("#'Home'!A1", "Home")</f>
        <v>Home</v>
      </c>
      <c r="C3" s="22"/>
      <c r="D3" s="22" t="s">
        <v>129</v>
      </c>
      <c r="E3" s="22"/>
      <c r="F3" s="22"/>
      <c r="G3" s="22"/>
      <c r="H3" s="22"/>
      <c r="I3" s="22"/>
      <c r="J3" s="22"/>
      <c r="K3" s="22"/>
      <c r="L3" s="22"/>
      <c r="M3" s="22"/>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2" t="s">
        <v>1957</v>
      </c>
    </row>
    <row r="6" spans="1:13" ht="20.100000000000001" customHeight="1" x14ac:dyDescent="0.2">
      <c r="A6" s="5" t="str">
        <f>HYPERLINK("#'Results'!A1", "Results")</f>
        <v>Results</v>
      </c>
      <c r="D6" s="17" t="s">
        <v>1958</v>
      </c>
      <c r="E6" s="245"/>
      <c r="F6" s="245"/>
      <c r="G6" s="245"/>
      <c r="H6" s="245"/>
      <c r="I6" s="245"/>
      <c r="J6" s="245"/>
      <c r="K6" s="245"/>
      <c r="L6" s="245"/>
    </row>
    <row r="7" spans="1:13" ht="20.100000000000001" customHeight="1" x14ac:dyDescent="0.2">
      <c r="D7" s="25" t="s">
        <v>1959</v>
      </c>
      <c r="F7" s="245"/>
      <c r="G7" s="245"/>
      <c r="H7" s="245"/>
      <c r="I7" s="245"/>
      <c r="J7" s="245"/>
      <c r="K7" s="245"/>
      <c r="L7" s="245"/>
    </row>
    <row r="8" spans="1:13" ht="20.100000000000001" customHeight="1" x14ac:dyDescent="0.2">
      <c r="D8" s="118"/>
      <c r="E8" s="118"/>
      <c r="F8" s="245"/>
      <c r="G8" s="245"/>
      <c r="H8" s="245"/>
      <c r="I8" s="245"/>
      <c r="J8" s="245"/>
      <c r="K8" s="245"/>
      <c r="L8" s="245"/>
    </row>
    <row r="9" spans="1:13" ht="20.100000000000001" customHeight="1" x14ac:dyDescent="0.2">
      <c r="A9" s="7" t="s">
        <v>0</v>
      </c>
      <c r="G9" s="245"/>
      <c r="H9" s="245"/>
      <c r="I9" s="245"/>
      <c r="J9" s="245"/>
      <c r="K9" s="245"/>
      <c r="L9" s="245"/>
    </row>
    <row r="10" spans="1:13" ht="20.100000000000001" customHeight="1" x14ac:dyDescent="0.2">
      <c r="A10" s="5" t="str">
        <f>HYPERLINK("#'Input - Enterprise'!A1", "Enterprise")</f>
        <v>Enterprise</v>
      </c>
      <c r="G10" s="245"/>
      <c r="H10" s="245"/>
      <c r="I10" s="245"/>
      <c r="J10" s="245"/>
      <c r="K10" s="245"/>
      <c r="L10" s="245"/>
    </row>
    <row r="11" spans="1:13" ht="20.100000000000001" customHeight="1" x14ac:dyDescent="0.2">
      <c r="A11" s="5" t="str">
        <f>HYPERLINK("#'Input - Site'!A1", "Site")</f>
        <v>Site</v>
      </c>
      <c r="D11" s="24" t="s">
        <v>378</v>
      </c>
      <c r="E11" s="1" t="s">
        <v>1960</v>
      </c>
      <c r="G11" s="245"/>
      <c r="H11" s="245"/>
      <c r="I11" s="245"/>
      <c r="J11" s="245"/>
      <c r="K11" s="245"/>
      <c r="L11" s="245"/>
    </row>
    <row r="12" spans="1:13" ht="20.100000000000001" customHeight="1" x14ac:dyDescent="0.2">
      <c r="A12" s="5" t="str">
        <f>HYPERLINK("#'Input - Dairy'!A1", "Dairy")</f>
        <v>Dairy</v>
      </c>
      <c r="D12" s="24" t="s">
        <v>118</v>
      </c>
      <c r="E12" s="9" t="s">
        <v>1961</v>
      </c>
      <c r="F12" s="245"/>
      <c r="G12" s="245"/>
      <c r="H12" s="245"/>
      <c r="I12" s="245"/>
      <c r="J12" s="245"/>
      <c r="K12" s="245"/>
      <c r="L12" s="245"/>
    </row>
    <row r="13" spans="1:13" ht="20.100000000000001" customHeight="1" x14ac:dyDescent="0.2">
      <c r="A13" s="5" t="str">
        <f>HYPERLINK("#'Input - Livestock sales'!A1", "Livestock sales")</f>
        <v>Livestock sales</v>
      </c>
      <c r="D13" s="245"/>
      <c r="E13" s="245"/>
      <c r="F13" s="245"/>
      <c r="G13" s="245"/>
      <c r="H13" s="245"/>
      <c r="I13" s="245"/>
      <c r="J13" s="245"/>
      <c r="K13" s="245"/>
      <c r="L13" s="245"/>
    </row>
    <row r="14" spans="1:13" ht="20.100000000000001" customHeight="1" x14ac:dyDescent="0.2">
      <c r="A14" s="5" t="str">
        <f>HYPERLINK("#'Input - Dairy cattle purchases'!A1", "Dairy cattle purchases")</f>
        <v>Dairy cattle purchases</v>
      </c>
      <c r="D14" s="120" t="s">
        <v>1962</v>
      </c>
      <c r="E14" s="125" t="s">
        <v>1963</v>
      </c>
      <c r="F14" s="126"/>
      <c r="G14" s="120" t="s">
        <v>738</v>
      </c>
      <c r="H14" s="121" t="s">
        <v>1469</v>
      </c>
      <c r="I14" s="245"/>
      <c r="J14" s="245"/>
      <c r="K14" s="245"/>
      <c r="L14" s="245"/>
    </row>
    <row r="15" spans="1:13" ht="20.100000000000001" customHeight="1" x14ac:dyDescent="0.2">
      <c r="A15" s="5" t="str">
        <f>HYPERLINK("#'Input - Pasture'!A1", "Pasture")</f>
        <v>Pasture</v>
      </c>
      <c r="D15" s="120" t="s">
        <v>1964</v>
      </c>
      <c r="E15" s="125" t="s">
        <v>1965</v>
      </c>
      <c r="F15" s="126"/>
      <c r="G15" s="120" t="s">
        <v>361</v>
      </c>
      <c r="H15" s="128" t="s">
        <v>1501</v>
      </c>
      <c r="I15" s="245"/>
      <c r="J15" s="245"/>
      <c r="K15" s="245"/>
      <c r="L15" s="245"/>
    </row>
    <row r="16" spans="1:13" ht="20.100000000000001" customHeight="1" x14ac:dyDescent="0.2">
      <c r="A16" s="5" t="str">
        <f>HYPERLINK("#'Input - Fert Prod System'!A1", "Fert Prod System")</f>
        <v>Fert Prod System</v>
      </c>
      <c r="D16" s="120" t="s">
        <v>1966</v>
      </c>
      <c r="E16" s="125" t="s">
        <v>1967</v>
      </c>
      <c r="F16" s="126"/>
      <c r="G16" s="120"/>
      <c r="H16" s="121" t="s">
        <v>1469</v>
      </c>
      <c r="I16" s="245"/>
      <c r="J16" s="245"/>
      <c r="K16" s="245"/>
      <c r="L16" s="245"/>
    </row>
    <row r="17" spans="1:12" ht="20.100000000000001" customHeight="1" x14ac:dyDescent="0.2">
      <c r="A17" s="5" t="str">
        <f>HYPERLINK("#'Input - Fertiliser'!A1", "Fertiliser")</f>
        <v>Fertiliser</v>
      </c>
      <c r="D17" s="120" t="s">
        <v>1968</v>
      </c>
      <c r="E17" s="125" t="s">
        <v>1969</v>
      </c>
      <c r="F17" s="126"/>
      <c r="G17" s="120"/>
      <c r="H17" s="121" t="s">
        <v>1469</v>
      </c>
      <c r="I17" s="245"/>
      <c r="J17" s="245"/>
      <c r="K17" s="245"/>
      <c r="L17" s="245"/>
    </row>
    <row r="18" spans="1:12" ht="20.100000000000001" customHeight="1" x14ac:dyDescent="0.2">
      <c r="A18" s="5" t="str">
        <f>HYPERLINK("#'Input - Fuel'!A1", "Fuel")</f>
        <v>Fuel</v>
      </c>
      <c r="G18" s="245"/>
      <c r="H18" s="245"/>
      <c r="I18" s="245"/>
      <c r="J18" s="245"/>
      <c r="K18" s="245"/>
      <c r="L18" s="245"/>
    </row>
    <row r="19" spans="1:12" ht="20.100000000000001" customHeight="1" x14ac:dyDescent="0.2">
      <c r="A19" s="5" t="str">
        <f>HYPERLINK("#'Input - Electricity'!A1", "Electricity")</f>
        <v>Electricity</v>
      </c>
      <c r="D19" s="245" t="s">
        <v>1018</v>
      </c>
      <c r="E19" s="245"/>
      <c r="F19" s="245"/>
      <c r="G19" s="245"/>
      <c r="H19" s="245"/>
      <c r="I19" s="245"/>
      <c r="J19" s="245"/>
      <c r="K19" s="245"/>
      <c r="L19" s="245"/>
    </row>
    <row r="20" spans="1:12" ht="20.100000000000001" customHeight="1" x14ac:dyDescent="0.2">
      <c r="A20" s="5" t="str">
        <f>HYPERLINK("#'Input - Common farm inputs'!A1", "Common farm inputs")</f>
        <v>Common farm inputs</v>
      </c>
      <c r="D20" s="123" t="s">
        <v>1019</v>
      </c>
    </row>
    <row r="21" spans="1:12" ht="20.100000000000001" customHeight="1" x14ac:dyDescent="0.2">
      <c r="A21" s="5" t="str">
        <f>HYPERLINK("#'Input - Crop pasture farm input'!A1", "Crop pasture farm input")</f>
        <v>Crop pasture farm input</v>
      </c>
      <c r="D21" s="124" t="s">
        <v>999</v>
      </c>
      <c r="E21" s="81" t="s">
        <v>1020</v>
      </c>
      <c r="F21" s="81" t="s">
        <v>1021</v>
      </c>
      <c r="G21" s="81" t="s">
        <v>1002</v>
      </c>
      <c r="H21" s="81" t="s">
        <v>1003</v>
      </c>
      <c r="I21" s="124" t="s">
        <v>1022</v>
      </c>
      <c r="J21" s="124" t="s">
        <v>1023</v>
      </c>
      <c r="K21" s="124" t="s">
        <v>1024</v>
      </c>
      <c r="L21" s="124" t="s">
        <v>1025</v>
      </c>
    </row>
    <row r="22" spans="1:12" ht="20.100000000000001" customHeight="1" x14ac:dyDescent="0.2">
      <c r="A22" s="5" t="str">
        <f>HYPERLINK("#'Input - Livestock farm Inputs'!A1", "Livestock farm Inputs")</f>
        <v>Livestock farm Inputs</v>
      </c>
      <c r="D22" s="15" t="str" cm="1">
        <f t="array" ref="D22:D31">IFERROR(INDEX(Table_Input_Refrigerant[Refrigeration unit name], _xlfn.SEQUENCE(10)),"")</f>
        <v>Cool room</v>
      </c>
      <c r="E22" s="15" t="str" cm="1">
        <f t="array" ref="E22:E31">IFERROR(INDEX(Table_Input_Refrigerant[Appliance type (select)], _xlfn.SEQUENCE(10)),"")</f>
        <v>Domestic refrigerators</v>
      </c>
      <c r="F22" s="15" t="str" cm="1">
        <f t="array" ref="F22:F31">IFERROR(INDEX(Table_Input_Refrigerant[Refrigerant used (select)], _xlfn.SEQUENCE(10)),"")</f>
        <v>R-402A</v>
      </c>
      <c r="G22" s="15" cm="1">
        <f t="array" ref="G22:G31">IFERROR(INDEX(Table_Input_Refrigerant[Unit refrigerant gas capacity (kg)], _xlfn.SEQUENCE(10)),0)</f>
        <v>10</v>
      </c>
      <c r="H22" s="15" cm="1">
        <f t="array" ref="H22:H31">IFERROR(INDEX(Table_Input_Refrigerant[Number of units in use], _xlfn.SEQUENCE(10)),0)</f>
        <v>5</v>
      </c>
      <c r="I22" s="15">
        <f t="shared" ref="I22:I31" si="0">G22*H22</f>
        <v>50</v>
      </c>
      <c r="J22" s="15" cm="1">
        <f t="array" ref="J22">Common_InputFunctions.Utility_LookupValueInTableNumber(E22,Table_Refrigerants_LeakageRates[Product],Table_Refrigerants_LeakageRates[Annual leakage rate (%)])</f>
        <v>1.7</v>
      </c>
      <c r="K22" s="15">
        <f>((G22 * (J22 / 100)) * 10 ^ -3)</f>
        <v>1.7000000000000001E-4</v>
      </c>
      <c r="L22" s="246">
        <f t="shared" ref="L22:L31" si="1">K22*H22</f>
        <v>8.5000000000000006E-4</v>
      </c>
    </row>
    <row r="23" spans="1:12" ht="20.100000000000001" customHeight="1" x14ac:dyDescent="0.2">
      <c r="A23" s="5" t="str">
        <f>HYPERLINK("#'Input - Freight'!A1", "Freight")</f>
        <v>Freight</v>
      </c>
      <c r="D23" s="15" t="str">
        <v>Office air con units</v>
      </c>
      <c r="E23" s="15" t="str">
        <v>Domestic A/C split</v>
      </c>
      <c r="F23" s="15" t="str">
        <v>R-422B</v>
      </c>
      <c r="G23" s="15">
        <v>10</v>
      </c>
      <c r="H23" s="15">
        <v>5</v>
      </c>
      <c r="I23" s="15">
        <f t="shared" si="0"/>
        <v>50</v>
      </c>
      <c r="J23" s="15" cm="1">
        <f t="array" ref="J23">Common_InputFunctions.Utility_LookupValueInTableNumber(E23,Table_Refrigerants_LeakageRates[Product],Table_Refrigerants_LeakageRates[Annual leakage rate (%)])</f>
        <v>3.5</v>
      </c>
      <c r="K23" s="15">
        <f>((G23 * (J23 / 100)) * 10 ^ -3)</f>
        <v>3.5000000000000005E-4</v>
      </c>
      <c r="L23" s="246">
        <f t="shared" si="1"/>
        <v>1.7500000000000003E-3</v>
      </c>
    </row>
    <row r="24" spans="1:12" ht="20.100000000000001" customHeight="1" x14ac:dyDescent="0.2">
      <c r="A24" s="5" t="str">
        <f>HYPERLINK("#'Input - Solid waste'!A1", "Solid waste")</f>
        <v>Solid waste</v>
      </c>
      <c r="D24" s="15" t="str">
        <v>Car AC</v>
      </c>
      <c r="E24" s="15" t="str">
        <v>Light vehicle A/C</v>
      </c>
      <c r="F24" s="15" t="str">
        <v>R-400 60/40</v>
      </c>
      <c r="G24" s="15">
        <v>10</v>
      </c>
      <c r="H24" s="15">
        <v>13</v>
      </c>
      <c r="I24" s="15">
        <f t="shared" si="0"/>
        <v>130</v>
      </c>
      <c r="J24" s="15" cm="1">
        <f t="array" ref="J24">Common_InputFunctions.Utility_LookupValueInTableNumber(E24,Table_Refrigerants_LeakageRates[Product],Table_Refrigerants_LeakageRates[Annual leakage rate (%)])</f>
        <v>6.7</v>
      </c>
      <c r="K24" s="15">
        <f>((G24 * (J24 / 100)) * 10 ^ -3)</f>
        <v>6.7000000000000002E-4</v>
      </c>
      <c r="L24" s="246">
        <f t="shared" si="1"/>
        <v>8.7100000000000007E-3</v>
      </c>
    </row>
    <row r="25" spans="1:12" ht="20.100000000000001" customHeight="1" x14ac:dyDescent="0.2">
      <c r="A25" s="5" t="str">
        <f>HYPERLINK("#'Input - Manure sent off-site'!A1", "Manure sent off-site")</f>
        <v>Manure sent off-site</v>
      </c>
      <c r="D25" s="15" t="str">
        <v>Storage AC</v>
      </c>
      <c r="E25" s="15" t="str">
        <v>Domestic A/C split</v>
      </c>
      <c r="F25" s="15" t="str">
        <v>R-400 60/40</v>
      </c>
      <c r="G25" s="15">
        <v>10</v>
      </c>
      <c r="H25" s="15">
        <v>10</v>
      </c>
      <c r="I25" s="15">
        <f t="shared" si="0"/>
        <v>100</v>
      </c>
      <c r="J25" s="15" cm="1">
        <f t="array" ref="J25">Common_InputFunctions.Utility_LookupValueInTableNumber(E25,Table_Refrigerants_LeakageRates[Product],Table_Refrigerants_LeakageRates[Annual leakage rate (%)])</f>
        <v>3.5</v>
      </c>
      <c r="K25" s="15">
        <f>((G25 * (J25 / 100)) * 10 ^ -3)</f>
        <v>3.5000000000000005E-4</v>
      </c>
      <c r="L25" s="246">
        <f t="shared" si="1"/>
        <v>3.5000000000000005E-3</v>
      </c>
    </row>
    <row r="26" spans="1:12" ht="20.100000000000001" customHeight="1" x14ac:dyDescent="0.2">
      <c r="A26" s="5" t="str">
        <f>HYPERLINK("#'Input - Refrigerants'!A1", "Refrigerants")</f>
        <v>Refrigerants</v>
      </c>
      <c r="D26" s="15" t="str">
        <v>Refrigerated trucks</v>
      </c>
      <c r="E26" s="15" t="str">
        <v>Transport refrigeration</v>
      </c>
      <c r="F26" s="15" t="str">
        <v>R-504</v>
      </c>
      <c r="G26" s="15">
        <v>10</v>
      </c>
      <c r="H26" s="15">
        <v>10</v>
      </c>
      <c r="I26" s="15">
        <f t="shared" si="0"/>
        <v>100</v>
      </c>
      <c r="J26" s="15" cm="1">
        <f t="array" ref="J26">Common_InputFunctions.Utility_LookupValueInTableNumber(E26,Table_Refrigerants_LeakageRates[Product],Table_Refrigerants_LeakageRates[Annual leakage rate (%)])</f>
        <v>15.7</v>
      </c>
      <c r="K26" s="15">
        <f>((G26 * (J26 / 100)) * 10 ^ -3)</f>
        <v>1.57E-3</v>
      </c>
      <c r="L26" s="246">
        <f t="shared" si="1"/>
        <v>1.5699999999999999E-2</v>
      </c>
    </row>
    <row r="27" spans="1:12" ht="20.100000000000001" customHeight="1" x14ac:dyDescent="0.2">
      <c r="A27" s="5" t="str">
        <f>HYPERLINK("#'Input - Data quality'!A1", "Data quality")</f>
        <v>Data quality</v>
      </c>
      <c r="D27" s="15">
        <v>0</v>
      </c>
      <c r="E27" s="15">
        <v>0</v>
      </c>
      <c r="F27" s="15">
        <v>0</v>
      </c>
      <c r="G27" s="15">
        <v>0</v>
      </c>
      <c r="H27" s="15">
        <v>0</v>
      </c>
      <c r="I27" s="15">
        <f t="shared" si="0"/>
        <v>0</v>
      </c>
      <c r="J27" s="15" cm="1">
        <f t="array" ref="J27">Common_InputFunctions.Utility_LookupValueInTableNumber(E27,Table_Refrigerants_LeakageRates[Product],Table_Refrigerants_LeakageRates[Annual leakage rate (%)])</f>
        <v>0</v>
      </c>
      <c r="K27" s="15">
        <f>((G27 * (J27 / 100)) * 10 ^ -3)</f>
        <v>0</v>
      </c>
      <c r="L27" s="246">
        <f t="shared" si="1"/>
        <v>0</v>
      </c>
    </row>
    <row r="28" spans="1:12" ht="20.100000000000001" customHeight="1" x14ac:dyDescent="0.2">
      <c r="D28" s="15">
        <v>0</v>
      </c>
      <c r="E28" s="15">
        <v>0</v>
      </c>
      <c r="F28" s="15">
        <v>0</v>
      </c>
      <c r="G28" s="15">
        <v>0</v>
      </c>
      <c r="H28" s="15">
        <v>0</v>
      </c>
      <c r="I28" s="15">
        <f t="shared" si="0"/>
        <v>0</v>
      </c>
      <c r="J28" s="15" cm="1">
        <f t="array" ref="J28">Common_InputFunctions.Utility_LookupValueInTableNumber(E28,Table_Refrigerants_LeakageRates[Product],Table_Refrigerants_LeakageRates[Annual leakage rate (%)])</f>
        <v>0</v>
      </c>
      <c r="K28" s="15">
        <f>((G28 * (J28 / 100)) * 10 ^ -3)</f>
        <v>0</v>
      </c>
      <c r="L28" s="246">
        <f t="shared" si="1"/>
        <v>0</v>
      </c>
    </row>
    <row r="29" spans="1:12" ht="20.100000000000001" customHeight="1" x14ac:dyDescent="0.2">
      <c r="D29" s="15">
        <v>0</v>
      </c>
      <c r="E29" s="15">
        <v>0</v>
      </c>
      <c r="F29" s="15">
        <v>0</v>
      </c>
      <c r="G29" s="15">
        <v>0</v>
      </c>
      <c r="H29" s="15">
        <v>0</v>
      </c>
      <c r="I29" s="15">
        <f t="shared" si="0"/>
        <v>0</v>
      </c>
      <c r="J29" s="15" cm="1">
        <f t="array" ref="J29">Common_InputFunctions.Utility_LookupValueInTableNumber(E29,Table_Refrigerants_LeakageRates[Product],Table_Refrigerants_LeakageRates[Annual leakage rate (%)])</f>
        <v>0</v>
      </c>
      <c r="K29" s="15">
        <f>((G29 * (J29 / 100)) * 10 ^ -3)</f>
        <v>0</v>
      </c>
      <c r="L29" s="246">
        <f t="shared" si="1"/>
        <v>0</v>
      </c>
    </row>
    <row r="30" spans="1:12" ht="20.100000000000001" customHeight="1" x14ac:dyDescent="0.2">
      <c r="A30" s="6" t="s">
        <v>2</v>
      </c>
      <c r="D30" s="15">
        <v>0</v>
      </c>
      <c r="E30" s="15">
        <v>0</v>
      </c>
      <c r="F30" s="15">
        <v>0</v>
      </c>
      <c r="G30" s="15">
        <v>0</v>
      </c>
      <c r="H30" s="15">
        <v>0</v>
      </c>
      <c r="I30" s="15">
        <f t="shared" si="0"/>
        <v>0</v>
      </c>
      <c r="J30" s="15" cm="1">
        <f t="array" ref="J30">Common_InputFunctions.Utility_LookupValueInTableNumber(E30,Table_Refrigerants_LeakageRates[Product],Table_Refrigerants_LeakageRates[Annual leakage rate (%)])</f>
        <v>0</v>
      </c>
      <c r="K30" s="15">
        <f>((G30 * (J30 / 100)) * 10 ^ -3)</f>
        <v>0</v>
      </c>
      <c r="L30" s="246">
        <f t="shared" si="1"/>
        <v>0</v>
      </c>
    </row>
    <row r="31" spans="1:12" ht="20.100000000000001" customHeight="1" x14ac:dyDescent="0.2">
      <c r="A31" s="5" t="str">
        <f>HYPERLINK("#'3.3.1.1-2 Enteric Methane'!A1", "3.3.1.1-2 Enteric methane")</f>
        <v>3.3.1.1-2 Enteric methane</v>
      </c>
      <c r="D31" s="15">
        <v>0</v>
      </c>
      <c r="E31" s="15">
        <v>0</v>
      </c>
      <c r="F31" s="15">
        <v>0</v>
      </c>
      <c r="G31" s="15">
        <v>0</v>
      </c>
      <c r="H31" s="15">
        <v>0</v>
      </c>
      <c r="I31" s="15">
        <f t="shared" si="0"/>
        <v>0</v>
      </c>
      <c r="J31" s="15" cm="1">
        <f t="array" ref="J31">Common_InputFunctions.Utility_LookupValueInTableNumber(E31,Table_Refrigerants_LeakageRates[Product],Table_Refrigerants_LeakageRates[Annual leakage rate (%)])</f>
        <v>0</v>
      </c>
      <c r="K31" s="15">
        <f>((G31 * (J31 / 100)) * 10 ^ -3)</f>
        <v>0</v>
      </c>
      <c r="L31" s="246">
        <f t="shared" si="1"/>
        <v>0</v>
      </c>
    </row>
    <row r="32" spans="1:12" ht="20.100000000000001" customHeight="1" x14ac:dyDescent="0.2">
      <c r="A32" s="5" t="str">
        <f>HYPERLINK("#'4.3.1.1-2 Methane'!A1", "4.3.1.1-2 Manure methane")</f>
        <v>4.3.1.1-2 Manure methane</v>
      </c>
    </row>
    <row r="33" spans="1:13" ht="20.100000000000001" customHeight="1" x14ac:dyDescent="0.2">
      <c r="A33" s="5" t="str">
        <f>HYPERLINK("#'4.3.1.3-4 Direct N20'!A1", "4.3.1.3-4 Direct N20")</f>
        <v>4.3.1.3-4 Direct N20</v>
      </c>
      <c r="D33" s="122" t="s">
        <v>1026</v>
      </c>
    </row>
    <row r="34" spans="1:13" ht="20.100000000000001" customHeight="1" x14ac:dyDescent="0.2">
      <c r="A34" s="5" t="str">
        <f>HYPERLINK("#'4.3.1.5 Atmos deposition'!A1", "4.3.1.5 Atmos deposition")</f>
        <v>4.3.1.5 Atmos deposition</v>
      </c>
      <c r="D34" s="123" t="s">
        <v>1027</v>
      </c>
    </row>
    <row r="35" spans="1:13" ht="20.100000000000001" customHeight="1" x14ac:dyDescent="0.2">
      <c r="A35" s="5" t="str">
        <f>HYPERLINK("#'4.3.1.6-7 Leaching and runoff'!A1", "4.3.1.6-7 Leaching &amp; runoff")</f>
        <v>4.3.1.6-7 Leaching &amp; runoff</v>
      </c>
      <c r="D35" s="124" t="s">
        <v>1021</v>
      </c>
      <c r="E35" s="124" t="s">
        <v>1025</v>
      </c>
    </row>
    <row r="36" spans="1:13" ht="20.100000000000001" customHeight="1" x14ac:dyDescent="0.2">
      <c r="A36" s="5" t="str">
        <f>HYPERLINK("#'4.3.1.8 Manure applied to soils'!A1", "4.3.1.8 Manure applied to soils")</f>
        <v>4.3.1.8 Manure applied to soils</v>
      </c>
      <c r="D36" s="15" t="str" cm="1">
        <f t="array" ref="D36:D39">_xlfn.UNIQUE(_xlfn._xlws.FILTER(F22:F31, (F22:F31&lt;&gt;"") * (F22:F31&lt;&gt;0)))</f>
        <v>R-402A</v>
      </c>
      <c r="E36" s="15">
        <f>SUMIF($F$22:$F$31,VEERG_9_1_1__1_RefrigerantLeaking_Result_Blend1_Name_Method1,$L$22:$L$31)</f>
        <v>8.5000000000000006E-4</v>
      </c>
      <c r="H36" s="245"/>
      <c r="I36" s="245"/>
      <c r="K36" s="245"/>
      <c r="L36" s="245"/>
    </row>
    <row r="37" spans="1:13" ht="20.100000000000001" customHeight="1" x14ac:dyDescent="0.2">
      <c r="A37" s="5" t="str">
        <f>HYPERLINK("#'4.3.1.9 Soil direct N2O'!A1", "4.3.1.9 Soil direct N2O")</f>
        <v>4.3.1.9 Soil direct N2O</v>
      </c>
      <c r="D37" s="15" t="str">
        <v>R-422B</v>
      </c>
      <c r="E37" s="15">
        <f>SUMIF($F$22:$F$31,VEERG_9_1_1__1_RefrigerantLeaking_Result_Blend2_Name_Method1,$L$22:$L$31)</f>
        <v>1.7500000000000003E-3</v>
      </c>
      <c r="H37" s="245"/>
      <c r="I37" s="245"/>
      <c r="K37" s="245"/>
      <c r="L37" s="245"/>
    </row>
    <row r="38" spans="1:13" ht="20.100000000000001" customHeight="1" x14ac:dyDescent="0.2">
      <c r="A38" s="5" t="str">
        <f>HYPERLINK("#'4.3.1.10-11 Soil Atmos Dep'!A1", "4.3.1.10-11 Soil Atmos Deposition")</f>
        <v>4.3.1.10-11 Soil Atmos Deposition</v>
      </c>
      <c r="D38" s="15" t="str">
        <v>R-400 60/40</v>
      </c>
      <c r="E38" s="15">
        <f>SUMIF($F$22:$F$31,VEERG_9_1_1__1_RefrigerantLeaking_Result_Blend3_Name_Method1,$L$22:$L$31)</f>
        <v>1.2210000000000002E-2</v>
      </c>
      <c r="H38" s="245"/>
      <c r="I38" s="245"/>
      <c r="K38" s="245"/>
      <c r="L38" s="245"/>
    </row>
    <row r="39" spans="1:13" ht="20.100000000000001" customHeight="1" x14ac:dyDescent="0.2">
      <c r="A39" s="5" t="str">
        <f>HYPERLINK("#'4.3.1.12-13 Soil leach runoff'!A1", "4.3.1.12-13 Soil leach &amp; runoff")</f>
        <v>4.3.1.12-13 Soil leach &amp; runoff</v>
      </c>
      <c r="D39" s="15" t="str">
        <v>R-504</v>
      </c>
      <c r="E39" s="15">
        <f>SUMIF($F$22:$F$31,VEERG_9_1_1__1_RefrigerantLeaking_Result_Blend4_Name_Method1,$L$22:$L$31)</f>
        <v>1.5699999999999999E-2</v>
      </c>
      <c r="H39" s="245"/>
      <c r="I39" s="245"/>
    </row>
    <row r="40" spans="1:13" ht="20.100000000000001" customHeight="1" x14ac:dyDescent="0.2">
      <c r="A40" s="5" t="str">
        <f>HYPERLINK("#'5.1.1.1-2 Inorganic fert N2O'!A1", "5.1.1.1-2 Inorganic fert N2O")</f>
        <v>5.1.1.1-2 Inorganic fert N2O</v>
      </c>
      <c r="D40" s="15"/>
      <c r="E40" s="15">
        <f>SUMIF($F$22:$F$31,VEERG_9_1_1__1_RefrigerantLeaking_Result_Blend5_Name_Method1,$L$22:$L$31)</f>
        <v>0</v>
      </c>
      <c r="H40" s="245"/>
      <c r="I40" s="245"/>
    </row>
    <row r="41" spans="1:13" ht="20.100000000000001" customHeight="1" x14ac:dyDescent="0.2">
      <c r="A41" s="5" t="str">
        <f>HYPERLINK("#'5.1.1.3-4 Inorganic fert CO2'!A1", "5.1.1.3-4 Inorganic fert CO2")</f>
        <v>5.1.1.3-4 Inorganic fert CO2</v>
      </c>
      <c r="D41" s="15"/>
      <c r="E41" s="15">
        <f>SUMIF($F$22:$F$31,VEERG_9_1_1__1_RefrigerantLeaking_Result_Blend6_Name_Method1,$L$22:$L$31)</f>
        <v>0</v>
      </c>
      <c r="H41" s="245"/>
      <c r="I41" s="245"/>
    </row>
    <row r="42" spans="1:13" ht="20.100000000000001" customHeight="1" x14ac:dyDescent="0.2">
      <c r="A42" s="5" t="str">
        <f>HYPERLINK("#'5.2.1.1-2 Organic Fert N2O'!A1", "5.2.1.1-2 Organic fert N2O")</f>
        <v>5.2.1.1-2 Organic fert N2O</v>
      </c>
      <c r="D42" s="15"/>
      <c r="E42" s="15">
        <f>SUMIF($F$22:$F$31,VEERG_9_1_1__1_RefrigerantLeaking_Result_Blend7_Name_Method1,$L$22:$L$31)</f>
        <v>0</v>
      </c>
      <c r="H42" s="245"/>
      <c r="I42" s="245"/>
    </row>
    <row r="43" spans="1:13" ht="20.100000000000001" customHeight="1" x14ac:dyDescent="0.2">
      <c r="A43" s="5" t="str">
        <f>HYPERLINK("#'5.3.1.1-2 Lime CO2'!A1", "5.3.1.1-2 Lime CO2")</f>
        <v>5.3.1.1-2 Lime CO2</v>
      </c>
      <c r="D43" s="15"/>
      <c r="E43" s="15">
        <f>SUMIF($F$22:$F$31,VEERG_9_1_1__1_RefrigerantLeaking_Result_Blend8_Name_Method1,$L$22:$L$31)</f>
        <v>0</v>
      </c>
      <c r="H43" s="245"/>
      <c r="I43" s="245"/>
    </row>
    <row r="44" spans="1:13" ht="20.100000000000001" customHeight="1" x14ac:dyDescent="0.2">
      <c r="A44" s="5" t="str">
        <f>HYPERLINK("#'5.4.1.1-4 Atmos deposition'!A1", "5.4.1.1-4 Atmos. deposition")</f>
        <v>5.4.1.1-4 Atmos. deposition</v>
      </c>
      <c r="D44" s="15"/>
      <c r="E44" s="15">
        <f>SUMIF($F$22:$F$31,VEERG_9_1_1__1_RefrigerantLeaking_Result_Blend9_Name_Method1,$L$22:$L$31)</f>
        <v>0</v>
      </c>
      <c r="H44" s="245"/>
      <c r="I44" s="245"/>
    </row>
    <row r="45" spans="1:13" ht="20.100000000000001" customHeight="1" x14ac:dyDescent="0.2">
      <c r="A45" s="5" t="str">
        <f>HYPERLINK("#'5.5.1.1-2 Leaching and runoff'!A1", "5.5.1.1-2 Leaching &amp; runoff")</f>
        <v>5.5.1.1-2 Leaching &amp; runoff</v>
      </c>
      <c r="D45" s="15"/>
      <c r="E45" s="15">
        <f>SUMIF($F$22:$F$31,VEERG_9_1_1__1_RefrigerantLeaking_Result_Blend10_Name_Method1,$L$22:$L$31)</f>
        <v>0</v>
      </c>
      <c r="H45" s="245"/>
      <c r="I45" s="245"/>
    </row>
    <row r="46" spans="1:13" ht="20.100000000000001" customHeight="1" x14ac:dyDescent="0.2">
      <c r="A46" s="5" t="str">
        <f>HYPERLINK("#'6.2.1.1-2 Pasture residue N2O'!A1", "6.2.1.1-2 Pasture residue N2O")</f>
        <v>6.2.1.1-2 Pasture residue N2O</v>
      </c>
    </row>
    <row r="47" spans="1:13" ht="20.100000000000001" customHeight="1" x14ac:dyDescent="0.2">
      <c r="A47" s="5" t="str">
        <f>HYPERLINK("#'6.3.1.1-2 Leach runoff pasture'!A1", "6.3.1.1-2 Leach &amp; runoff (pasture)")</f>
        <v>6.3.1.1-2 Leach &amp; runoff (pasture)</v>
      </c>
    </row>
    <row r="48" spans="1:13" ht="20.100000000000001" customHeight="1" x14ac:dyDescent="0.2">
      <c r="A48" s="5" t="str">
        <f>HYPERLINK("#'8.1.1.1-2 Transport fuel'!A1", "8.1.1.1-2 Transport fuel")</f>
        <v>8.1.1.1-2 Transport fuel</v>
      </c>
      <c r="C48" s="88"/>
      <c r="D48" s="88"/>
      <c r="E48" s="88"/>
      <c r="F48" s="88"/>
      <c r="G48" s="88"/>
      <c r="H48" s="88"/>
      <c r="I48" s="88"/>
      <c r="J48" s="88"/>
      <c r="K48" s="88"/>
      <c r="L48" s="88"/>
      <c r="M48" s="88"/>
    </row>
    <row r="49" spans="1:9" ht="20.100000000000001" customHeight="1" x14ac:dyDescent="0.2">
      <c r="A49" s="5" t="str">
        <f>HYPERLINK("#'8.2.1.1-2 Stationary fuel'!A1", "8.2.1.1-2 Stationary fuel")</f>
        <v>8.2.1.1-2 Stationary fuel</v>
      </c>
      <c r="D49" s="2" t="s">
        <v>1970</v>
      </c>
    </row>
    <row r="50" spans="1:9" ht="20.100000000000001" customHeight="1" x14ac:dyDescent="0.2">
      <c r="A50" s="119" t="str">
        <f>HYPERLINK("#'9.1.1.1-2 Refrigerant use'!A1", "9.1.1.1-2 Refrigerant use")</f>
        <v>9.1.1.1-2 Refrigerant use</v>
      </c>
      <c r="D50" s="118"/>
      <c r="E50" s="118"/>
    </row>
    <row r="51" spans="1:9" ht="20.100000000000001" customHeight="1" x14ac:dyDescent="0.2">
      <c r="A51" s="5" t="str">
        <f>HYPERLINK("#'10.1.1-2 Solid waste treatment'!A1", "10.1.1.1-2 Solid waste")</f>
        <v>10.1.1.1-2 Solid waste</v>
      </c>
    </row>
    <row r="52" spans="1:9" ht="20.100000000000001" customHeight="1" x14ac:dyDescent="0.2">
      <c r="A52" s="5" t="str">
        <f>HYPERLINK("#'14.1.1-2 Purchased electricity'!A1", "14.1.1-2 Purchased electricity")</f>
        <v>14.1.1-2 Purchased electricity</v>
      </c>
    </row>
    <row r="53" spans="1:9" ht="20.100000000000001" customHeight="1" x14ac:dyDescent="0.2">
      <c r="A53" s="5" t="str">
        <f>HYPERLINK("#'15 Scope 3'!A1", "15 Scope 3")</f>
        <v>15 Scope 3</v>
      </c>
      <c r="D53" s="24" t="s">
        <v>378</v>
      </c>
      <c r="E53" s="1" t="s">
        <v>1971</v>
      </c>
    </row>
    <row r="54" spans="1:9" ht="20.100000000000001" customHeight="1" x14ac:dyDescent="0.2">
      <c r="A54" s="5" t="str">
        <f>HYPERLINK("#'Calcs - Manure sent off-site'!A1", "Calcs - Manure sent off-site")</f>
        <v>Calcs - Manure sent off-site</v>
      </c>
      <c r="D54" s="24" t="s">
        <v>118</v>
      </c>
      <c r="E54" s="9" t="s">
        <v>264</v>
      </c>
    </row>
    <row r="56" spans="1:9" ht="20.100000000000001" customHeight="1" x14ac:dyDescent="0.2">
      <c r="D56" s="120" t="s">
        <v>1960</v>
      </c>
      <c r="E56" s="125" t="s">
        <v>1972</v>
      </c>
      <c r="F56" s="126"/>
      <c r="G56" s="120" t="s">
        <v>1961</v>
      </c>
      <c r="H56" s="128" t="s">
        <v>1975</v>
      </c>
      <c r="I56" s="127" t="str" cm="1">
        <f t="array" aca="1" ref="I56" ca="1">HYPERLINK(Common_InputFunctions.Utility_SourceHyperlink($D$33), $D$33)</f>
        <v>Table_E_R</v>
      </c>
    </row>
    <row r="57" spans="1:9" ht="20.100000000000001" customHeight="1" x14ac:dyDescent="0.2">
      <c r="A57" s="82" t="s">
        <v>1</v>
      </c>
      <c r="D57" s="120" t="s">
        <v>1973</v>
      </c>
      <c r="E57" s="125" t="s">
        <v>1974</v>
      </c>
      <c r="F57" s="126"/>
      <c r="G57" s="120" t="s">
        <v>1976</v>
      </c>
      <c r="H57" s="128" t="s">
        <v>1501</v>
      </c>
      <c r="I57" s="127" t="str" cm="1">
        <f t="array" aca="1" ref="I57" ca="1">HYPERLINK(Common_InputFunctions.Utility_SourceHyperlink($D$59), $D$59)</f>
        <v>Table_E_CO2e</v>
      </c>
    </row>
    <row r="58" spans="1:9" ht="20.100000000000001" customHeight="1" x14ac:dyDescent="0.2">
      <c r="A58" s="5" t="str">
        <f>HYPERLINK("#'Constants - Dairy'!A1", "Constants - Dairy")</f>
        <v>Constants - Dairy</v>
      </c>
    </row>
    <row r="59" spans="1:9" ht="20.100000000000001" customHeight="1" x14ac:dyDescent="0.2">
      <c r="A59" s="5" t="str">
        <f>HYPERLINK("#'Constants - Ag Residue'!A1", "Constants - Ag residue")</f>
        <v>Constants - Ag residue</v>
      </c>
      <c r="D59" s="122" t="s">
        <v>1028</v>
      </c>
    </row>
    <row r="60" spans="1:9" ht="20.100000000000001" customHeight="1" x14ac:dyDescent="0.2">
      <c r="A60" s="5" t="str">
        <f>HYPERLINK("#'Constants - Common Livestock'!A1", "Constants - Common Livestock")</f>
        <v>Constants - Common Livestock</v>
      </c>
      <c r="D60" s="123" t="s">
        <v>1029</v>
      </c>
    </row>
    <row r="61" spans="1:9" ht="20.100000000000001" customHeight="1" x14ac:dyDescent="0.2">
      <c r="A61" s="5" t="str">
        <f>HYPERLINK("#'Constants - Electricity'!A1", "Constants - Electricity")</f>
        <v>Constants - Electricity</v>
      </c>
      <c r="D61" s="124" t="s">
        <v>1021</v>
      </c>
      <c r="E61" s="124" t="s">
        <v>1025</v>
      </c>
      <c r="F61" s="124" t="s">
        <v>1030</v>
      </c>
      <c r="G61" s="124" t="s">
        <v>1031</v>
      </c>
    </row>
    <row r="62" spans="1:9" ht="20.100000000000001" customHeight="1" x14ac:dyDescent="0.2">
      <c r="A62" s="5" t="str">
        <f>HYPERLINK("#'Constants - Fertiliser'!A1", "Constants - Fertiliser")</f>
        <v>Constants - Fertiliser</v>
      </c>
      <c r="D62" s="15" t="str">
        <f>VEERG_9_1_1__1_RefrigerantLeaking_Result_Blend1_Name_Method1</f>
        <v>R-402A</v>
      </c>
      <c r="E62" s="15">
        <f>VEERG_9_1_1__1_RefrigerantLeaking_Result_Blend1_Value_Method1</f>
        <v>8.5000000000000006E-4</v>
      </c>
      <c r="F62" s="15" cm="1">
        <f t="array" ref="F62">Common_InputFunctions.Utility_LookupValueInTableNumber(D62,Table_RefrigerantBlends_Cleaned[Blend],Table_RefrigerantBlends_Cleaned[Blend GWP])</f>
        <v>1395.3440000000001</v>
      </c>
      <c r="G62" s="15">
        <f>(((E62 * 10 ^ 3) * F62) * 10 ^ -3)</f>
        <v>1.1860424000000003</v>
      </c>
    </row>
    <row r="63" spans="1:9" ht="20.100000000000001" customHeight="1" x14ac:dyDescent="0.2">
      <c r="A63" s="5" t="str">
        <f>HYPERLINK("#'Constants - Fuel'!A1", "Constants - Fuel")</f>
        <v>Constants - Fuel</v>
      </c>
      <c r="D63" s="15" t="str">
        <f>VEERG_9_1_1__1_RefrigerantLeaking_Result_Blend2_Name_Method1</f>
        <v>R-422B</v>
      </c>
      <c r="E63" s="15">
        <f>VEERG_9_1_1__1_RefrigerantLeaking_Result_Blend2_Value_Method1</f>
        <v>1.7500000000000003E-3</v>
      </c>
      <c r="F63" s="15" cm="1">
        <f t="array" ref="F63">Common_InputFunctions.Utility_LookupValueInTableNumber(D63,Table_RefrigerantBlends_Cleaned[Blend],Table_RefrigerantBlends_Cleaned[Blend GWP])</f>
        <v>1188.2450000000001</v>
      </c>
      <c r="G63" s="15">
        <f>(((E63 * 10 ^ 3) * F63) * 10 ^ -3)</f>
        <v>2.0794287500000004</v>
      </c>
    </row>
    <row r="64" spans="1:9" ht="20.100000000000001" customHeight="1" x14ac:dyDescent="0.2">
      <c r="A64" s="5" t="str">
        <f>HYPERLINK("#'Constants - Scope 3'!A1", "Constants - Scope 3")</f>
        <v>Constants - Scope 3</v>
      </c>
      <c r="D64" s="15" t="str">
        <f>VEERG_9_1_1__1_RefrigerantLeaking_Result_Blend3_Name_Method1</f>
        <v>R-400 60/40</v>
      </c>
      <c r="E64" s="15">
        <f>VEERG_9_1_1__1_RefrigerantLeaking_Result_Blend3_Value_Method1</f>
        <v>1.2210000000000002E-2</v>
      </c>
      <c r="F64" s="15" cm="1">
        <f t="array" ref="F64">Common_InputFunctions.Utility_LookupValueInTableNumber(D64,Table_RefrigerantBlends_Cleaned[Blend],Table_RefrigerantBlends_Cleaned[Blend GWP])</f>
        <v>5733.6</v>
      </c>
      <c r="G64" s="15">
        <f>(((E64 * 10 ^ 3) * F64) * 10 ^ -3)</f>
        <v>70.007256000000027</v>
      </c>
    </row>
    <row r="65" spans="1:7" ht="20.100000000000001" customHeight="1" x14ac:dyDescent="0.2">
      <c r="A65" s="5" t="str">
        <f>HYPERLINK("#'Constants - Common'!A1", "Constants - Common")</f>
        <v>Constants - Common</v>
      </c>
      <c r="D65" s="15" t="str">
        <f>VEERG_9_1_1__1_RefrigerantLeaking_Result_Blend4_Name_Method1</f>
        <v>R-504</v>
      </c>
      <c r="E65" s="15">
        <f>VEERG_9_1_1__1_RefrigerantLeaking_Result_Blend4_Value_Method1</f>
        <v>1.5699999999999999E-2</v>
      </c>
      <c r="F65" s="15" cm="1">
        <f t="array" ref="F65">Common_InputFunctions.Utility_LookupValueInTableNumber(D65,Table_RefrigerantBlends_Cleaned[Blend],Table_RefrigerantBlends_Cleaned[Blend GWP])</f>
        <v>2215.3284279999998</v>
      </c>
      <c r="G65" s="15">
        <f>(((E65 * 10 ^ 3) * F65) * 10 ^ -3)</f>
        <v>34.780656319599998</v>
      </c>
    </row>
    <row r="66" spans="1:7" ht="20.100000000000001" customHeight="1" x14ac:dyDescent="0.2">
      <c r="A66" s="5" t="str">
        <f>HYPERLINK("#'Constants - Refrigerants'!A1", "Constants - Refrigerants")</f>
        <v>Constants - Refrigerants</v>
      </c>
      <c r="D66" s="15">
        <f>VEERG_9_1_1__1_RefrigerantLeaking_Result_Blend5_Name_Method1</f>
        <v>0</v>
      </c>
      <c r="E66" s="15">
        <f>VEERG_9_1_1__1_RefrigerantLeaking_Result_Blend5_Value_Method1</f>
        <v>0</v>
      </c>
      <c r="F66" s="15" cm="1">
        <f t="array" ref="F66">Common_InputFunctions.Utility_LookupValueInTableNumber(D66,Table_RefrigerantBlends_Cleaned[Blend],Table_RefrigerantBlends_Cleaned[Blend GWP])</f>
        <v>0</v>
      </c>
      <c r="G66" s="15">
        <f>(((E66 * 10 ^ 3) * F66) * 10 ^ -3)</f>
        <v>0</v>
      </c>
    </row>
    <row r="67" spans="1:7" ht="20.100000000000001" customHeight="1" x14ac:dyDescent="0.2">
      <c r="A67" s="5" t="str">
        <f>HYPERLINK("#'Constants - Solid Waste'!A1", "Constants - Solid Waste")</f>
        <v>Constants - Solid Waste</v>
      </c>
      <c r="D67" s="15">
        <f>VEERG_9_1_1__1_RefrigerantLeaking_Result_Blend6_Name_Method1</f>
        <v>0</v>
      </c>
      <c r="E67" s="15">
        <f>VEERG_9_1_1__1_RefrigerantLeaking_Result_Blend6_Value_Method1</f>
        <v>0</v>
      </c>
      <c r="F67" s="15" cm="1">
        <f t="array" ref="F67">Common_InputFunctions.Utility_LookupValueInTableNumber(D67,Table_RefrigerantBlends_Cleaned[Blend],Table_RefrigerantBlends_Cleaned[Blend GWP])</f>
        <v>0</v>
      </c>
      <c r="G67" s="15">
        <f>(((E67 * 10 ^ 3) * F67) * 10 ^ -3)</f>
        <v>0</v>
      </c>
    </row>
    <row r="68" spans="1:7" ht="20.100000000000001" customHeight="1" x14ac:dyDescent="0.2">
      <c r="A68" s="5" t="str">
        <f>HYPERLINK("#'Acknowledgements'!A1", "Acknowledgements")</f>
        <v>Acknowledgements</v>
      </c>
      <c r="D68" s="15">
        <f>VEERG_9_1_1__1_RefrigerantLeaking_Result_Blend7_Name_Method1</f>
        <v>0</v>
      </c>
      <c r="E68" s="15">
        <f>VEERG_9_1_1__1_RefrigerantLeaking_Result_Blend7_Value_Method1</f>
        <v>0</v>
      </c>
      <c r="F68" s="15" cm="1">
        <f t="array" ref="F68">Common_InputFunctions.Utility_LookupValueInTableNumber(D68,Table_RefrigerantBlends_Cleaned[Blend],Table_RefrigerantBlends_Cleaned[Blend GWP])</f>
        <v>0</v>
      </c>
      <c r="G68" s="15">
        <f>(((E68 * 10 ^ 3) * F68) * 10 ^ -3)</f>
        <v>0</v>
      </c>
    </row>
    <row r="69" spans="1:7" ht="20.100000000000001" customHeight="1" x14ac:dyDescent="0.2">
      <c r="D69" s="15">
        <f>VEERG_9_1_1__1_RefrigerantLeaking_Result_Blend8_Name_Method1</f>
        <v>0</v>
      </c>
      <c r="E69" s="15">
        <f>VEERG_9_1_1__1_RefrigerantLeaking_Result_Blend8_Value_Method1</f>
        <v>0</v>
      </c>
      <c r="F69" s="15" cm="1">
        <f t="array" ref="F69">Common_InputFunctions.Utility_LookupValueInTableNumber(D69,Table_RefrigerantBlends_Cleaned[Blend],Table_RefrigerantBlends_Cleaned[Blend GWP])</f>
        <v>0</v>
      </c>
      <c r="G69" s="15">
        <f>(((E69 * 10 ^ 3) * F69) * 10 ^ -3)</f>
        <v>0</v>
      </c>
    </row>
    <row r="70" spans="1:7" ht="20.100000000000001" customHeight="1" x14ac:dyDescent="0.2">
      <c r="D70" s="15">
        <f>VEERG_9_1_1__1_RefrigerantLeaking_Result_Blend9_Name_Method1</f>
        <v>0</v>
      </c>
      <c r="E70" s="15">
        <f>VEERG_9_1_1__1_RefrigerantLeaking_Result_Blend9_Value_Method1</f>
        <v>0</v>
      </c>
      <c r="F70" s="15" cm="1">
        <f t="array" ref="F70">Common_InputFunctions.Utility_LookupValueInTableNumber(D70,Table_RefrigerantBlends_Cleaned[Blend],Table_RefrigerantBlends_Cleaned[Blend GWP])</f>
        <v>0</v>
      </c>
      <c r="G70" s="15">
        <f>(((E70 * 10 ^ 3) * F70) * 10 ^ -3)</f>
        <v>0</v>
      </c>
    </row>
    <row r="71" spans="1:7" ht="20.100000000000001" customHeight="1" x14ac:dyDescent="0.2">
      <c r="D71" s="15">
        <f>VEERG_9_1_1__1_RefrigerantLeaking_Result_Blend10_Name_Method1</f>
        <v>0</v>
      </c>
      <c r="E71" s="15">
        <f>VEERG_9_1_1__1_RefrigerantLeaking_Result_Blend10_Value_Method1</f>
        <v>0</v>
      </c>
      <c r="F71" s="15" cm="1">
        <f t="array" ref="F71">Common_InputFunctions.Utility_LookupValueInTableNumber(D71,Table_RefrigerantBlends_Cleaned[Blend],Table_RefrigerantBlends_Cleaned[Blend GWP])</f>
        <v>0</v>
      </c>
      <c r="G71" s="15">
        <f>(((E71 * 10 ^ 3) * F71) * 10 ^ -3)</f>
        <v>0</v>
      </c>
    </row>
    <row r="73" spans="1:7" ht="20.100000000000001" customHeight="1" x14ac:dyDescent="0.2">
      <c r="D73" s="87" t="s">
        <v>1032</v>
      </c>
      <c r="E73" s="90">
        <f>SUM(G62:G71)</f>
        <v>108.05338346960002</v>
      </c>
      <c r="F73" s="89" t="str">
        <f>E54</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514E69AA-8224-4CEA-ABE4-17603AA8779B}"/>
  </dataValidation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CFBC3-EFBF-4605-885B-F0E47C125263}">
  <sheetPr>
    <tabColor rgb="FF008000"/>
  </sheetPr>
  <dimension ref="A1:L342"/>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0" customFormat="1" ht="30" customHeight="1" x14ac:dyDescent="0.35">
      <c r="A1" s="10" t="e" vm="1">
        <v>#VALUE!</v>
      </c>
      <c r="C1" s="20" t="s">
        <v>315</v>
      </c>
    </row>
    <row r="2" spans="1:12" s="3" customFormat="1" ht="20.100000000000001" customHeight="1" x14ac:dyDescent="0.2">
      <c r="A2"/>
    </row>
    <row r="3" spans="1:12" ht="20.100000000000001" customHeight="1" x14ac:dyDescent="0.2">
      <c r="A3" s="5" t="str">
        <f>HYPERLINK("#'Home'!A1", "Home")</f>
        <v>Home</v>
      </c>
      <c r="C3" s="22"/>
      <c r="D3" s="22" t="s">
        <v>129</v>
      </c>
      <c r="E3" s="22"/>
      <c r="F3" s="22"/>
      <c r="G3" s="22"/>
      <c r="H3" s="22"/>
      <c r="I3" s="22"/>
      <c r="J3" s="22"/>
      <c r="K3" s="22"/>
      <c r="L3" s="22"/>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2" t="s">
        <v>1977</v>
      </c>
    </row>
    <row r="6" spans="1:12" ht="20.100000000000001" customHeight="1" x14ac:dyDescent="0.2">
      <c r="A6" s="5" t="str">
        <f>HYPERLINK("#'Results'!A1", "Results")</f>
        <v>Results</v>
      </c>
      <c r="D6" s="17" t="s">
        <v>1978</v>
      </c>
    </row>
    <row r="7" spans="1:12" ht="20.100000000000001" customHeight="1" x14ac:dyDescent="0.2">
      <c r="D7" s="118"/>
      <c r="E7" s="118"/>
    </row>
    <row r="9" spans="1:12" ht="20.100000000000001" customHeight="1" x14ac:dyDescent="0.2">
      <c r="A9" s="7" t="s">
        <v>0</v>
      </c>
    </row>
    <row r="10" spans="1:12" ht="20.100000000000001" customHeight="1" x14ac:dyDescent="0.2">
      <c r="A10" s="5" t="str">
        <f>HYPERLINK("#'Input - Enterprise'!A1", "Enterprise")</f>
        <v>Enterprise</v>
      </c>
      <c r="D10" s="76" t="s">
        <v>378</v>
      </c>
      <c r="E10" s="1" t="s">
        <v>1979</v>
      </c>
    </row>
    <row r="11" spans="1:12" ht="20.100000000000001" customHeight="1" x14ac:dyDescent="0.2">
      <c r="A11" s="5" t="str">
        <f>HYPERLINK("#'Input - Site'!A1", "Site")</f>
        <v>Site</v>
      </c>
      <c r="D11" s="76" t="s">
        <v>118</v>
      </c>
      <c r="E11" s="9" t="s">
        <v>1980</v>
      </c>
    </row>
    <row r="12" spans="1:12" ht="20.100000000000001" customHeight="1" x14ac:dyDescent="0.2">
      <c r="A12" s="5" t="str">
        <f>HYPERLINK("#'Input - Dairy'!A1", "Dairy")</f>
        <v>Dairy</v>
      </c>
    </row>
    <row r="13" spans="1:12" ht="20.100000000000001" customHeight="1" x14ac:dyDescent="0.2">
      <c r="A13" s="5" t="str">
        <f>HYPERLINK("#'Input - Livestock sales'!A1", "Livestock sales")</f>
        <v>Livestock sales</v>
      </c>
      <c r="D13" s="120" t="s">
        <v>1981</v>
      </c>
      <c r="E13" s="125" t="s">
        <v>1982</v>
      </c>
      <c r="F13" s="126"/>
      <c r="G13" s="120" t="s">
        <v>1988</v>
      </c>
      <c r="H13" s="121" t="s">
        <v>1469</v>
      </c>
      <c r="I13" s="127" t="str" cm="1">
        <f t="array" aca="1" ref="I13" ca="1">HYPERLINK(Common_InputFunctions.Utility_SourceHyperlink($D$18),$D$18)</f>
        <v>Table_V_w_t_onsite</v>
      </c>
      <c r="J13" s="127" t="str" cm="1">
        <f t="array" aca="1" ref="J13" ca="1">HYPERLINK(Common_InputFunctions.Utility_SourceHyperlink($D$56),$D$56)</f>
        <v>Table_V_w_t_offsite</v>
      </c>
    </row>
    <row r="14" spans="1:12" ht="20.100000000000001" customHeight="1" x14ac:dyDescent="0.2">
      <c r="A14" s="5" t="str">
        <f>HYPERLINK("#'Input - Dairy cattle purchases'!A1", "Dairy cattle purchases")</f>
        <v>Dairy cattle purchases</v>
      </c>
      <c r="D14" s="120" t="s">
        <v>1983</v>
      </c>
      <c r="E14" s="125" t="s">
        <v>1984</v>
      </c>
      <c r="F14" s="126"/>
      <c r="G14" s="120" t="s">
        <v>1989</v>
      </c>
      <c r="H14" s="128" t="s">
        <v>1501</v>
      </c>
      <c r="I14" s="127" t="str" cm="1">
        <f t="array" aca="1" ref="I14" ca="1">HYPERLINK(Common_InputFunctions.Utility_SourceHyperlink($D$18),$D$18)</f>
        <v>Table_V_w_t_onsite</v>
      </c>
      <c r="J14" s="127" t="str" cm="1">
        <f t="array" aca="1" ref="J14" ca="1">HYPERLINK(Common_InputFunctions.Utility_SourceHyperlink($D$56),$D$56)</f>
        <v>Table_V_w_t_offsite</v>
      </c>
    </row>
    <row r="15" spans="1:12" ht="20.100000000000001" customHeight="1" x14ac:dyDescent="0.2">
      <c r="A15" s="5" t="str">
        <f>HYPERLINK("#'Input - Pasture'!A1", "Pasture")</f>
        <v>Pasture</v>
      </c>
      <c r="D15" s="120" t="s">
        <v>1985</v>
      </c>
      <c r="E15" s="125" t="s">
        <v>1986</v>
      </c>
      <c r="F15" s="126"/>
      <c r="G15" s="120"/>
      <c r="H15" s="121" t="s">
        <v>1469</v>
      </c>
      <c r="I15" s="127" t="str" cm="1">
        <f t="array" aca="1" ref="I15" ca="1">HYPERLINK(Common_InputFunctions.Utility_SourceHyperlink($D$18),$D$18)</f>
        <v>Table_V_w_t_onsite</v>
      </c>
      <c r="J15" s="127" t="str" cm="1">
        <f t="array" aca="1" ref="J15" ca="1">HYPERLINK(Common_InputFunctions.Utility_SourceHyperlink($D$56),$D$56)</f>
        <v>Table_V_w_t_offsite</v>
      </c>
    </row>
    <row r="16" spans="1:12" ht="20.100000000000001" customHeight="1" x14ac:dyDescent="0.2">
      <c r="A16" s="5" t="str">
        <f>HYPERLINK("#'Input - Fert Prod System'!A1", "Fert Prod System")</f>
        <v>Fert Prod System</v>
      </c>
      <c r="D16" s="120" t="s">
        <v>1980</v>
      </c>
      <c r="E16" s="125" t="s">
        <v>1987</v>
      </c>
      <c r="F16" s="126"/>
      <c r="G16" s="120"/>
      <c r="H16" s="121" t="s">
        <v>1469</v>
      </c>
      <c r="I16" s="127" t="str" cm="1">
        <f t="array" aca="1" ref="I16" ca="1">HYPERLINK(Common_InputFunctions.Utility_SourceHyperlink($D$18),$D$18)</f>
        <v>Table_V_w_t_onsite</v>
      </c>
      <c r="J16" s="127" t="str" cm="1">
        <f t="array" aca="1" ref="J16" ca="1">HYPERLINK(Common_InputFunctions.Utility_SourceHyperlink($D$56),$D$56)</f>
        <v>Table_V_w_t_offsite</v>
      </c>
    </row>
    <row r="17" spans="1:9" ht="20.100000000000001" customHeight="1" x14ac:dyDescent="0.2">
      <c r="A17" s="5" t="str">
        <f>HYPERLINK("#'Input - Fertiliser'!A1", "Fertiliser")</f>
        <v>Fertiliser</v>
      </c>
    </row>
    <row r="18" spans="1:9" ht="20.100000000000001" customHeight="1" x14ac:dyDescent="0.2">
      <c r="A18" s="5" t="str">
        <f>HYPERLINK("#'Input - Fuel'!A1", "Fuel")</f>
        <v>Fuel</v>
      </c>
      <c r="D18" s="122" t="s">
        <v>1094</v>
      </c>
    </row>
    <row r="19" spans="1:9" ht="20.100000000000001" customHeight="1" x14ac:dyDescent="0.2">
      <c r="A19" s="5" t="str">
        <f>HYPERLINK("#'Input - Electricity'!A1", "Electricity")</f>
        <v>Electricity</v>
      </c>
      <c r="D19" s="123" t="s">
        <v>1095</v>
      </c>
    </row>
    <row r="20" spans="1:9" ht="20.100000000000001" customHeight="1" x14ac:dyDescent="0.2">
      <c r="A20" s="5" t="str">
        <f>HYPERLINK("#'Input - Common farm inputs'!A1", "Common farm inputs")</f>
        <v>Common farm inputs</v>
      </c>
      <c r="D20" s="81" t="s">
        <v>1096</v>
      </c>
      <c r="E20" s="81" t="s">
        <v>1097</v>
      </c>
      <c r="F20" s="81"/>
      <c r="G20" s="81" t="s">
        <v>1098</v>
      </c>
      <c r="H20" s="124" t="s">
        <v>1099</v>
      </c>
      <c r="I20" s="124" t="s">
        <v>1100</v>
      </c>
    </row>
    <row r="21" spans="1:9" ht="20.100000000000001" customHeight="1" x14ac:dyDescent="0.2">
      <c r="A21" s="5" t="str">
        <f>HYPERLINK("#'Input - Crop pasture farm input'!A1", "Crop pasture farm input")</f>
        <v>Crop pasture farm input</v>
      </c>
      <c r="D21" s="120" t="str" cm="1">
        <f t="array" ref="D21:D54">Table_SourceData_WasteSolid_WasteTreatmentEFs[Treatment type t]</f>
        <v>Landfill</v>
      </c>
      <c r="E21" s="125" t="str" cm="1">
        <f t="array" ref="E21:E54">Table_SourceData_WasteSolid_WasteTreatmentEFs[Waste type w]</f>
        <v>Food waste (including animal carcasses, spoiled animal feed or crop)</v>
      </c>
      <c r="F21" s="179"/>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f>(G21 * H21)</f>
        <v>25</v>
      </c>
    </row>
    <row r="22" spans="1:9" ht="20.100000000000001" customHeight="1" x14ac:dyDescent="0.2">
      <c r="A22" s="5" t="str">
        <f>HYPERLINK("#'Input - Livestock farm Inputs'!A1", "Livestock farm Inputs")</f>
        <v>Livestock farm Inputs</v>
      </c>
      <c r="D22" s="120" t="str">
        <v>Landfill</v>
      </c>
      <c r="E22" s="125" t="str">
        <v>Paper and cardboard</v>
      </c>
      <c r="F22" s="179"/>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f>(G22 * H22)</f>
        <v>4.5</v>
      </c>
    </row>
    <row r="23" spans="1:9" ht="20.100000000000001" customHeight="1" x14ac:dyDescent="0.2">
      <c r="A23" s="5" t="str">
        <f>HYPERLINK("#'Input - Freight'!A1", "Freight")</f>
        <v>Freight</v>
      </c>
      <c r="D23" s="120" t="str">
        <v>Landfill</v>
      </c>
      <c r="E23" s="125" t="str">
        <v>Green waste (including crop residues or prunings)</v>
      </c>
      <c r="F23" s="179"/>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f>(G23 * H23)</f>
        <v>12</v>
      </c>
    </row>
    <row r="24" spans="1:9" ht="20.100000000000001" customHeight="1" x14ac:dyDescent="0.2">
      <c r="A24" s="5" t="str">
        <f>HYPERLINK("#'Input - Solid waste'!A1", "Solid waste")</f>
        <v>Solid waste</v>
      </c>
      <c r="D24" s="120" t="str">
        <v>Landfill</v>
      </c>
      <c r="E24" s="125" t="str">
        <v>Wood</v>
      </c>
      <c r="F24" s="179"/>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f>(G24 * H24)</f>
        <v>0</v>
      </c>
    </row>
    <row r="25" spans="1:9" ht="20.100000000000001" customHeight="1" x14ac:dyDescent="0.2">
      <c r="A25" s="5" t="str">
        <f>HYPERLINK("#'Input - Manure sent off-site'!A1", "Manure sent off-site")</f>
        <v>Manure sent off-site</v>
      </c>
      <c r="D25" s="120" t="str">
        <v>Landfill</v>
      </c>
      <c r="E25" s="125" t="str">
        <v>Textiles</v>
      </c>
      <c r="F25" s="179"/>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f>(G25 * H25)</f>
        <v>0</v>
      </c>
    </row>
    <row r="26" spans="1:9" ht="20.100000000000001" customHeight="1" x14ac:dyDescent="0.2">
      <c r="A26" s="5" t="str">
        <f>HYPERLINK("#'Input - Refrigerants'!A1", "Refrigerants")</f>
        <v>Refrigerants</v>
      </c>
      <c r="D26" s="120" t="str">
        <v>Landfill</v>
      </c>
      <c r="E26" s="125" t="str">
        <v>Sludge</v>
      </c>
      <c r="F26" s="179"/>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f>(G26 * H26)</f>
        <v>0</v>
      </c>
    </row>
    <row r="27" spans="1:9" ht="20.100000000000001" customHeight="1" x14ac:dyDescent="0.2">
      <c r="A27" s="5" t="str">
        <f>HYPERLINK("#'Input - Data quality'!A1", "Data quality")</f>
        <v>Data quality</v>
      </c>
      <c r="D27" s="120" t="str">
        <v>Landfill</v>
      </c>
      <c r="E27" s="125" t="str">
        <v>Rubber and leather</v>
      </c>
      <c r="F27" s="179"/>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f>(G27 * H27)</f>
        <v>0</v>
      </c>
    </row>
    <row r="28" spans="1:9" ht="20.100000000000001" customHeight="1" x14ac:dyDescent="0.2">
      <c r="D28" s="120" t="str">
        <v>Landfill</v>
      </c>
      <c r="E28" s="125" t="str">
        <v>Inert waste (including concrete, metal, plastic or glass)</v>
      </c>
      <c r="F28" s="179"/>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f>(G28 * H28)</f>
        <v>0</v>
      </c>
    </row>
    <row r="29" spans="1:9" ht="20.100000000000001" customHeight="1" x14ac:dyDescent="0.2">
      <c r="D29" s="120" t="str">
        <v>Landfill</v>
      </c>
      <c r="E29" s="125" t="str">
        <v>Municipal solid waste</v>
      </c>
      <c r="F29" s="179"/>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f>(G29 * H29)</f>
        <v>0</v>
      </c>
    </row>
    <row r="30" spans="1:9" ht="20.100000000000001" customHeight="1" x14ac:dyDescent="0.2">
      <c r="A30" s="6" t="s">
        <v>2</v>
      </c>
      <c r="D30" s="120" t="str">
        <v>Landfill</v>
      </c>
      <c r="E30" s="125" t="str">
        <v>Commercial and industrial waste</v>
      </c>
      <c r="F30" s="179"/>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f>(G30 * H30)</f>
        <v>0</v>
      </c>
    </row>
    <row r="31" spans="1:9" ht="20.100000000000001" customHeight="1" x14ac:dyDescent="0.2">
      <c r="A31" s="5" t="str">
        <f>HYPERLINK("#'3.3.1.1-2 Enteric Methane'!A1", "3.3.1.1-2 Enteric methane")</f>
        <v>3.3.1.1-2 Enteric methane</v>
      </c>
      <c r="D31" s="120" t="str">
        <v>Landfill</v>
      </c>
      <c r="E31" s="125" t="str">
        <v>Construction and demolition waste</v>
      </c>
      <c r="F31" s="179"/>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f>(G31 * H31)</f>
        <v>0</v>
      </c>
    </row>
    <row r="32" spans="1:9" ht="20.100000000000001" customHeight="1" x14ac:dyDescent="0.2">
      <c r="A32" s="5" t="str">
        <f>HYPERLINK("#'4.3.1.1-2 Methane'!A1", "4.3.1.1-2 Manure methane")</f>
        <v>4.3.1.1-2 Manure methane</v>
      </c>
      <c r="D32" s="120" t="str">
        <v>Incineration</v>
      </c>
      <c r="E32" s="125" t="str">
        <v>Food waste, green waste, wood, sludge</v>
      </c>
      <c r="F32" s="179"/>
      <c r="G32" s="15" t="s">
        <v>762</v>
      </c>
      <c r="H32" s="15" t="s">
        <v>762</v>
      </c>
      <c r="I32" s="15" t="s">
        <v>762</v>
      </c>
    </row>
    <row r="33" spans="1:9" ht="20.100000000000001" customHeight="1" x14ac:dyDescent="0.2">
      <c r="A33" s="5" t="str">
        <f>HYPERLINK("#'4.3.1.3-4 Direct N20'!A1", "4.3.1.3-4 Direct N20")</f>
        <v>4.3.1.3-4 Direct N20</v>
      </c>
      <c r="D33" s="120" t="str">
        <v>Incineration</v>
      </c>
      <c r="E33" s="125" t="str">
        <v>Food waste (including animal carcasses, spoiled animal feed or crop)</v>
      </c>
      <c r="F33" s="179"/>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f>(G33 * H33)</f>
        <v>0</v>
      </c>
    </row>
    <row r="34" spans="1:9" ht="20.100000000000001" customHeight="1" x14ac:dyDescent="0.2">
      <c r="A34" s="5" t="str">
        <f>HYPERLINK("#'4.3.1.5 Atmos deposition'!A1", "4.3.1.5 Atmos deposition")</f>
        <v>4.3.1.5 Atmos deposition</v>
      </c>
      <c r="D34" s="120" t="str">
        <v>Incineration</v>
      </c>
      <c r="E34" s="125" t="str">
        <v>Green waste (including crop residues or prunings)</v>
      </c>
      <c r="F34" s="179"/>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f>(G34 * H34)</f>
        <v>24</v>
      </c>
    </row>
    <row r="35" spans="1:9" ht="20.100000000000001" customHeight="1" x14ac:dyDescent="0.2">
      <c r="A35" s="5" t="str">
        <f>HYPERLINK("#'4.3.1.6-7 Leaching and runoff'!A1", "4.3.1.6-7 Leaching &amp; runoff")</f>
        <v>4.3.1.6-7 Leaching &amp; runoff</v>
      </c>
      <c r="D35" s="120" t="str">
        <v>Incineration</v>
      </c>
      <c r="E35" s="125" t="str">
        <v>Wood</v>
      </c>
      <c r="F35" s="179"/>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f>(G35 * H35)</f>
        <v>0</v>
      </c>
    </row>
    <row r="36" spans="1:9" ht="20.100000000000001" customHeight="1" x14ac:dyDescent="0.2">
      <c r="A36" s="5" t="str">
        <f>HYPERLINK("#'4.3.1.8 Manure applied to soils'!A1", "4.3.1.8 Manure applied to soils")</f>
        <v>4.3.1.8 Manure applied to soils</v>
      </c>
      <c r="D36" s="120" t="str">
        <v>Incineration</v>
      </c>
      <c r="E36" s="125" t="str">
        <v>Sludge</v>
      </c>
      <c r="F36" s="179"/>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f>(G36 * H36)</f>
        <v>0</v>
      </c>
    </row>
    <row r="37" spans="1:9" ht="20.100000000000001" customHeight="1" x14ac:dyDescent="0.2">
      <c r="A37" s="5" t="str">
        <f>HYPERLINK("#'4.3.1.9 Soil direct N2O'!A1", "4.3.1.9 Soil direct N2O")</f>
        <v>4.3.1.9 Soil direct N2O</v>
      </c>
      <c r="D37" s="120" t="str">
        <v>Incineration</v>
      </c>
      <c r="E37" s="125" t="str">
        <v>Paper and cardboard</v>
      </c>
      <c r="F37" s="179"/>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f>(G37 * H37)</f>
        <v>4.5</v>
      </c>
    </row>
    <row r="38" spans="1:9" ht="20.100000000000001" customHeight="1" x14ac:dyDescent="0.2">
      <c r="A38" s="5" t="str">
        <f>HYPERLINK("#'4.3.1.10-11 Soil Atmos Dep'!A1", "4.3.1.10-11 Soil Atmos Deposition")</f>
        <v>4.3.1.10-11 Soil Atmos Deposition</v>
      </c>
      <c r="D38" s="120" t="str">
        <v>Incineration</v>
      </c>
      <c r="E38" s="125" t="str">
        <v>Textiles</v>
      </c>
      <c r="F38" s="179"/>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f>(G38 * H38)</f>
        <v>0</v>
      </c>
    </row>
    <row r="39" spans="1:9" ht="20.100000000000001" customHeight="1" x14ac:dyDescent="0.2">
      <c r="A39" s="5" t="str">
        <f>HYPERLINK("#'4.3.1.12-13 Soil leach runoff'!A1", "4.3.1.12-13 Soil leach &amp; runoff")</f>
        <v>4.3.1.12-13 Soil leach &amp; runoff</v>
      </c>
      <c r="D39" s="120" t="str">
        <v>Incineration</v>
      </c>
      <c r="E39" s="125" t="str">
        <v>Rubber and leather</v>
      </c>
      <c r="F39" s="179"/>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f>(G39 * H39)</f>
        <v>0</v>
      </c>
    </row>
    <row r="40" spans="1:9" ht="20.100000000000001" customHeight="1" x14ac:dyDescent="0.2">
      <c r="A40" s="5" t="str">
        <f>HYPERLINK("#'5.1.1.1-2 Inorganic fert N2O'!A1", "5.1.1.1-2 Inorganic fert N2O")</f>
        <v>5.1.1.1-2 Inorganic fert N2O</v>
      </c>
      <c r="D40" s="120" t="str">
        <v>Incineration</v>
      </c>
      <c r="E40" s="120" t="str">
        <v>Inert waste (including concrete, metal, plastic or glass)</v>
      </c>
      <c r="F40" s="120"/>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f>(G40 * H40)</f>
        <v>0</v>
      </c>
    </row>
    <row r="41" spans="1:9" ht="20.100000000000001" customHeight="1" x14ac:dyDescent="0.2">
      <c r="A41" s="5" t="str">
        <f>HYPERLINK("#'5.1.1.3-4 Inorganic fert CO2'!A1", "5.1.1.3-4 Inorganic fert CO2")</f>
        <v>5.1.1.3-4 Inorganic fert CO2</v>
      </c>
      <c r="D41" s="120" t="str">
        <v>Incineration</v>
      </c>
      <c r="E41" s="125" t="str">
        <v>Municipal solid waste</v>
      </c>
      <c r="F41" s="126"/>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f>(G41 * H41)</f>
        <v>0</v>
      </c>
    </row>
    <row r="42" spans="1:9" ht="20.100000000000001" customHeight="1" x14ac:dyDescent="0.2">
      <c r="A42" s="5" t="str">
        <f>HYPERLINK("#'5.2.1.1-2 Organic Fert N2O'!A1", "5.2.1.1-2 Organic fert N2O")</f>
        <v>5.2.1.1-2 Organic fert N2O</v>
      </c>
      <c r="D42" s="120" t="str">
        <v>Incineration</v>
      </c>
      <c r="E42" s="125" t="str">
        <v>Commercial and industrial waste</v>
      </c>
      <c r="F42" s="126"/>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f>(G42 * H42)</f>
        <v>0</v>
      </c>
    </row>
    <row r="43" spans="1:9" ht="20.100000000000001" customHeight="1" x14ac:dyDescent="0.2">
      <c r="A43" s="5" t="str">
        <f>HYPERLINK("#'5.3.1.1-2 Lime CO2'!A1", "5.3.1.1-2 Lime CO2")</f>
        <v>5.3.1.1-2 Lime CO2</v>
      </c>
      <c r="D43" s="120" t="str">
        <v>Composting</v>
      </c>
      <c r="E43" s="125" t="str">
        <v>All organic waste</v>
      </c>
      <c r="F43" s="126"/>
      <c r="G43" s="15" t="s">
        <v>762</v>
      </c>
      <c r="H43" s="15" t="s">
        <v>762</v>
      </c>
      <c r="I43" s="15" t="s">
        <v>762</v>
      </c>
    </row>
    <row r="44" spans="1:9" ht="20.100000000000001" customHeight="1" x14ac:dyDescent="0.2">
      <c r="A44" s="5" t="str">
        <f>HYPERLINK("#'5.4.1.1-4 Atmos deposition'!A1", "5.4.1.1-4 Atmos. deposition")</f>
        <v>5.4.1.1-4 Atmos. deposition</v>
      </c>
      <c r="D44" s="120" t="str">
        <v>Composting</v>
      </c>
      <c r="E44" s="125" t="str">
        <v>Food waste (including animal carcasses, spoiled animal feed or crop)</v>
      </c>
      <c r="F44" s="126"/>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f>(G44 * H44)</f>
        <v>25</v>
      </c>
    </row>
    <row r="45" spans="1:9" ht="20.100000000000001" customHeight="1" x14ac:dyDescent="0.2">
      <c r="A45" s="5" t="str">
        <f>HYPERLINK("#'5.5.1.1-2 Leaching and runoff'!A1", "5.5.1.1-2 Leaching &amp; runoff")</f>
        <v>5.5.1.1-2 Leaching &amp; runoff</v>
      </c>
      <c r="D45" s="120" t="str">
        <v>Composting</v>
      </c>
      <c r="E45" s="125" t="str">
        <v>Green waste (including crop residues or prunings)</v>
      </c>
      <c r="F45" s="126"/>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f>(G45 * H45)</f>
        <v>0</v>
      </c>
    </row>
    <row r="46" spans="1:9" ht="20.100000000000001" customHeight="1" x14ac:dyDescent="0.2">
      <c r="A46" s="5" t="str">
        <f>HYPERLINK("#'6.2.1.1-2 Pasture residue N2O'!A1", "6.2.1.1-2 Pasture residue N2O")</f>
        <v>6.2.1.1-2 Pasture residue N2O</v>
      </c>
      <c r="D46" s="120" t="str">
        <v>Composting</v>
      </c>
      <c r="E46" s="125" t="str">
        <v>Wood</v>
      </c>
      <c r="F46" s="126"/>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f>(G46 * H46)</f>
        <v>0</v>
      </c>
    </row>
    <row r="47" spans="1:9" ht="20.100000000000001" customHeight="1" x14ac:dyDescent="0.2">
      <c r="A47" s="5" t="str">
        <f>HYPERLINK("#'6.3.1.1-2 Leach runoff pasture'!A1", "6.3.1.1-2 Leach &amp; runoff (pasture)")</f>
        <v>6.3.1.1-2 Leach &amp; runoff (pasture)</v>
      </c>
      <c r="D47" s="120" t="str">
        <v>Composting</v>
      </c>
      <c r="E47" s="125" t="str">
        <v>Sludge</v>
      </c>
      <c r="F47" s="126"/>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f>(G47 * H47)</f>
        <v>0</v>
      </c>
    </row>
    <row r="48" spans="1:9" ht="20.100000000000001" customHeight="1" x14ac:dyDescent="0.2">
      <c r="A48" s="5" t="str">
        <f>HYPERLINK("#'8.1.1.1-2 Transport fuel'!A1", "8.1.1.1-2 Transport fuel")</f>
        <v>8.1.1.1-2 Transport fuel</v>
      </c>
      <c r="D48" s="120" t="str">
        <v>Composting</v>
      </c>
      <c r="E48" s="125" t="str">
        <v>Paper and cardboard</v>
      </c>
      <c r="F48" s="126"/>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f>(G48 * H48)</f>
        <v>4.5</v>
      </c>
    </row>
    <row r="49" spans="1:9" ht="20.100000000000001" customHeight="1" x14ac:dyDescent="0.2">
      <c r="A49" s="5" t="str">
        <f>HYPERLINK("#'8.2.1.1-2 Stationary fuel'!A1", "8.2.1.1-2 Stationary fuel")</f>
        <v>8.2.1.1-2 Stationary fuel</v>
      </c>
      <c r="D49" s="120" t="str">
        <v>Anaerobic digestion</v>
      </c>
      <c r="E49" s="125" t="str">
        <v>All organic waste</v>
      </c>
      <c r="F49" s="126"/>
      <c r="G49" s="15" t="s">
        <v>762</v>
      </c>
      <c r="H49" s="15" t="s">
        <v>762</v>
      </c>
      <c r="I49" s="15" t="s">
        <v>762</v>
      </c>
    </row>
    <row r="50" spans="1:9" ht="20.100000000000001" customHeight="1" x14ac:dyDescent="0.2">
      <c r="A50" s="5" t="str">
        <f>HYPERLINK("#'9.1.1.1-2 Refrigerant use'!A1", "9.1.1.1-2 Refrigerant use")</f>
        <v>9.1.1.1-2 Refrigerant use</v>
      </c>
      <c r="D50" s="120" t="str">
        <v>Anaerobic digestion</v>
      </c>
      <c r="E50" s="125" t="str">
        <v>Food waste (including animal carcasses, spoiled animal feed or crop)</v>
      </c>
      <c r="F50" s="126"/>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f>(G50 * H50)</f>
        <v>0</v>
      </c>
    </row>
    <row r="51" spans="1:9" ht="20.100000000000001" customHeight="1" x14ac:dyDescent="0.2">
      <c r="A51" s="119" t="str">
        <f>HYPERLINK("#'10.1.1-2 Solid waste treatment'!A1", "10.1.1.1-2 Solid waste")</f>
        <v>10.1.1.1-2 Solid waste</v>
      </c>
      <c r="D51" s="120" t="str">
        <v>Anaerobic digestion</v>
      </c>
      <c r="E51" s="125" t="str">
        <v>Green waste (including crop residues or prunings)</v>
      </c>
      <c r="F51" s="126"/>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f>(G51 * H51)</f>
        <v>0</v>
      </c>
    </row>
    <row r="52" spans="1:9" ht="20.100000000000001" customHeight="1" x14ac:dyDescent="0.2">
      <c r="A52" s="5" t="str">
        <f>HYPERLINK("#'14.1.1-2 Purchased electricity'!A1", "14.1.1-2 Purchased electricity")</f>
        <v>14.1.1-2 Purchased electricity</v>
      </c>
      <c r="D52" s="120" t="str">
        <v>Anaerobic digestion</v>
      </c>
      <c r="E52" s="125" t="str">
        <v>Wood</v>
      </c>
      <c r="F52" s="126"/>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f>(G52 * H52)</f>
        <v>0</v>
      </c>
    </row>
    <row r="53" spans="1:9" ht="20.100000000000001" customHeight="1" x14ac:dyDescent="0.2">
      <c r="A53" s="5" t="str">
        <f>HYPERLINK("#'15 Scope 3'!A1", "15 Scope 3")</f>
        <v>15 Scope 3</v>
      </c>
      <c r="D53" s="120" t="str">
        <v>Anaerobic digestion</v>
      </c>
      <c r="E53" s="125" t="str">
        <v>Sludge</v>
      </c>
      <c r="F53" s="126"/>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f>(G53 * H53)</f>
        <v>0</v>
      </c>
    </row>
    <row r="54" spans="1:9" ht="20.100000000000001" customHeight="1" x14ac:dyDescent="0.2">
      <c r="A54" s="5" t="str">
        <f>HYPERLINK("#'Calcs - Manure sent off-site'!A1", "Calcs - Manure sent off-site")</f>
        <v>Calcs - Manure sent off-site</v>
      </c>
      <c r="D54" s="120" t="str">
        <v>Anaerobic digestion</v>
      </c>
      <c r="E54" s="125" t="str">
        <v>Paper and cardboard</v>
      </c>
      <c r="F54" s="126"/>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f>(G54 * H54)</f>
        <v>0</v>
      </c>
    </row>
    <row r="56" spans="1:9" ht="20.100000000000001" customHeight="1" x14ac:dyDescent="0.2">
      <c r="D56" s="122" t="s">
        <v>1101</v>
      </c>
    </row>
    <row r="57" spans="1:9" ht="20.100000000000001" customHeight="1" x14ac:dyDescent="0.2">
      <c r="A57" s="82" t="s">
        <v>1</v>
      </c>
      <c r="D57" s="123" t="s">
        <v>1102</v>
      </c>
    </row>
    <row r="58" spans="1:9" ht="20.100000000000001" customHeight="1" x14ac:dyDescent="0.2">
      <c r="A58" s="5" t="str">
        <f>HYPERLINK("#'Constants - Dairy'!A1", "Constants - Dairy")</f>
        <v>Constants - Dairy</v>
      </c>
      <c r="D58" s="81" t="s">
        <v>1096</v>
      </c>
      <c r="E58" s="81" t="s">
        <v>1097</v>
      </c>
      <c r="F58" s="81"/>
      <c r="G58" s="81" t="s">
        <v>1098</v>
      </c>
      <c r="H58" s="124" t="s">
        <v>1099</v>
      </c>
      <c r="I58" s="124" t="s">
        <v>1100</v>
      </c>
    </row>
    <row r="59" spans="1:9" ht="20.100000000000001" customHeight="1" x14ac:dyDescent="0.2">
      <c r="A59" s="5" t="str">
        <f>HYPERLINK("#'Constants - Ag Residue'!A1", "Constants - Ag residue")</f>
        <v>Constants - Ag residue</v>
      </c>
      <c r="D59" s="120" t="str" cm="1">
        <f t="array" ref="D59:D92">Table_SourceData_WasteSolid_WasteTreatmentEFs[Treatment type t]</f>
        <v>Landfill</v>
      </c>
      <c r="E59" s="125" t="str" cm="1">
        <f t="array" ref="E59:E92">Table_SourceData_WasteSolid_WasteTreatmentEFs[Waste type w]</f>
        <v>Food waste (including animal carcasses, spoiled animal feed or crop)</v>
      </c>
      <c r="F59" s="179"/>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f>(G59 * H59)</f>
        <v>25</v>
      </c>
    </row>
    <row r="60" spans="1:9" ht="20.100000000000001" customHeight="1" x14ac:dyDescent="0.2">
      <c r="A60" s="5" t="str">
        <f>HYPERLINK("#'Constants - Common Livestock'!A1", "Constants - Common Livestock")</f>
        <v>Constants - Common Livestock</v>
      </c>
      <c r="D60" s="120" t="str">
        <v>Landfill</v>
      </c>
      <c r="E60" s="125" t="str">
        <v>Paper and cardboard</v>
      </c>
      <c r="F60" s="179"/>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f>(G60 * H60)</f>
        <v>4.5</v>
      </c>
    </row>
    <row r="61" spans="1:9" ht="20.100000000000001" customHeight="1" x14ac:dyDescent="0.2">
      <c r="A61" s="5" t="str">
        <f>HYPERLINK("#'Constants - Electricity'!A1", "Constants - Electricity")</f>
        <v>Constants - Electricity</v>
      </c>
      <c r="D61" s="120" t="str">
        <v>Landfill</v>
      </c>
      <c r="E61" s="125" t="str">
        <v>Green waste (including crop residues or prunings)</v>
      </c>
      <c r="F61" s="179"/>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f>(G61 * H61)</f>
        <v>12</v>
      </c>
    </row>
    <row r="62" spans="1:9" ht="20.100000000000001" customHeight="1" x14ac:dyDescent="0.2">
      <c r="A62" s="5" t="str">
        <f>HYPERLINK("#'Constants - Fertiliser'!A1", "Constants - Fertiliser")</f>
        <v>Constants - Fertiliser</v>
      </c>
      <c r="D62" s="120" t="str">
        <v>Landfill</v>
      </c>
      <c r="E62" s="125" t="str">
        <v>Wood</v>
      </c>
      <c r="F62" s="179"/>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f>(G62 * H62)</f>
        <v>0</v>
      </c>
    </row>
    <row r="63" spans="1:9" ht="20.100000000000001" customHeight="1" x14ac:dyDescent="0.2">
      <c r="A63" s="5" t="str">
        <f>HYPERLINK("#'Constants - Fuel'!A1", "Constants - Fuel")</f>
        <v>Constants - Fuel</v>
      </c>
      <c r="D63" s="120" t="str">
        <v>Landfill</v>
      </c>
      <c r="E63" s="125" t="str">
        <v>Textiles</v>
      </c>
      <c r="F63" s="179"/>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f>(G63 * H63)</f>
        <v>0</v>
      </c>
    </row>
    <row r="64" spans="1:9" ht="20.100000000000001" customHeight="1" x14ac:dyDescent="0.2">
      <c r="A64" s="5" t="str">
        <f>HYPERLINK("#'Constants - Scope 3'!A1", "Constants - Scope 3")</f>
        <v>Constants - Scope 3</v>
      </c>
      <c r="D64" s="120" t="str">
        <v>Landfill</v>
      </c>
      <c r="E64" s="125" t="str">
        <v>Sludge</v>
      </c>
      <c r="F64" s="179"/>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f>(G64 * H64)</f>
        <v>0</v>
      </c>
    </row>
    <row r="65" spans="1:9" ht="20.100000000000001" customHeight="1" x14ac:dyDescent="0.2">
      <c r="A65" s="5" t="str">
        <f>HYPERLINK("#'Constants - Common'!A1", "Constants - Common")</f>
        <v>Constants - Common</v>
      </c>
      <c r="D65" s="120" t="str">
        <v>Landfill</v>
      </c>
      <c r="E65" s="125" t="str">
        <v>Rubber and leather</v>
      </c>
      <c r="F65" s="179"/>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f>(G65 * H65)</f>
        <v>0</v>
      </c>
    </row>
    <row r="66" spans="1:9" ht="20.100000000000001" customHeight="1" x14ac:dyDescent="0.2">
      <c r="A66" s="5" t="str">
        <f>HYPERLINK("#'Constants - Refrigerants'!A1", "Constants - Refrigerants")</f>
        <v>Constants - Refrigerants</v>
      </c>
      <c r="D66" s="120" t="str">
        <v>Landfill</v>
      </c>
      <c r="E66" s="125" t="str">
        <v>Inert waste (including concrete, metal, plastic or glass)</v>
      </c>
      <c r="F66" s="179"/>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f>(G66 * H66)</f>
        <v>0</v>
      </c>
    </row>
    <row r="67" spans="1:9" ht="20.100000000000001" customHeight="1" x14ac:dyDescent="0.2">
      <c r="A67" s="5" t="str">
        <f>HYPERLINK("#'Constants - Solid Waste'!A1", "Constants - Solid Waste")</f>
        <v>Constants - Solid Waste</v>
      </c>
      <c r="D67" s="120" t="str">
        <v>Landfill</v>
      </c>
      <c r="E67" s="125" t="str">
        <v>Municipal solid waste</v>
      </c>
      <c r="F67" s="179"/>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f>(G67 * H67)</f>
        <v>0</v>
      </c>
    </row>
    <row r="68" spans="1:9" ht="20.100000000000001" customHeight="1" x14ac:dyDescent="0.2">
      <c r="A68" s="5" t="str">
        <f>HYPERLINK("#'Acknowledgements'!A1", "Acknowledgements")</f>
        <v>Acknowledgements</v>
      </c>
      <c r="D68" s="120" t="str">
        <v>Landfill</v>
      </c>
      <c r="E68" s="125" t="str">
        <v>Commercial and industrial waste</v>
      </c>
      <c r="F68" s="179"/>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f>(G68 * H68)</f>
        <v>0</v>
      </c>
    </row>
    <row r="69" spans="1:9" ht="20.100000000000001" customHeight="1" x14ac:dyDescent="0.2">
      <c r="D69" s="120" t="str">
        <v>Landfill</v>
      </c>
      <c r="E69" s="125" t="str">
        <v>Construction and demolition waste</v>
      </c>
      <c r="F69" s="179"/>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f>(G69 * H69)</f>
        <v>0</v>
      </c>
    </row>
    <row r="70" spans="1:9" ht="20.100000000000001" customHeight="1" x14ac:dyDescent="0.2">
      <c r="D70" s="120" t="str">
        <v>Incineration</v>
      </c>
      <c r="E70" s="125" t="str">
        <v>Food waste, green waste, wood, sludge</v>
      </c>
      <c r="F70" s="179"/>
      <c r="G70" s="15" t="s">
        <v>762</v>
      </c>
      <c r="H70" s="15" t="s">
        <v>762</v>
      </c>
      <c r="I70" s="15" t="s">
        <v>762</v>
      </c>
    </row>
    <row r="71" spans="1:9" ht="20.100000000000001" customHeight="1" x14ac:dyDescent="0.2">
      <c r="D71" s="120" t="str">
        <v>Incineration</v>
      </c>
      <c r="E71" s="125" t="str">
        <v>Food waste (including animal carcasses, spoiled animal feed or crop)</v>
      </c>
      <c r="F71" s="179"/>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f>(G71 * H71)</f>
        <v>0</v>
      </c>
    </row>
    <row r="72" spans="1:9" ht="20.100000000000001" customHeight="1" x14ac:dyDescent="0.2">
      <c r="D72" s="120" t="str">
        <v>Incineration</v>
      </c>
      <c r="E72" s="125" t="str">
        <v>Green waste (including crop residues or prunings)</v>
      </c>
      <c r="F72" s="179"/>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f>(G72 * H72)</f>
        <v>12</v>
      </c>
    </row>
    <row r="73" spans="1:9" ht="20.100000000000001" customHeight="1" x14ac:dyDescent="0.2">
      <c r="D73" s="120" t="str">
        <v>Incineration</v>
      </c>
      <c r="E73" s="125" t="str">
        <v>Wood</v>
      </c>
      <c r="F73" s="179"/>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f>(G73 * H73)</f>
        <v>0</v>
      </c>
    </row>
    <row r="74" spans="1:9" ht="20.100000000000001" customHeight="1" x14ac:dyDescent="0.2">
      <c r="D74" s="120" t="str">
        <v>Incineration</v>
      </c>
      <c r="E74" s="125" t="str">
        <v>Sludge</v>
      </c>
      <c r="F74" s="179"/>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f>(G74 * H74)</f>
        <v>0</v>
      </c>
    </row>
    <row r="75" spans="1:9" ht="20.100000000000001" customHeight="1" x14ac:dyDescent="0.2">
      <c r="D75" s="120" t="str">
        <v>Incineration</v>
      </c>
      <c r="E75" s="125" t="str">
        <v>Paper and cardboard</v>
      </c>
      <c r="F75" s="179"/>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f>(G75 * H75)</f>
        <v>0</v>
      </c>
    </row>
    <row r="76" spans="1:9" ht="20.100000000000001" customHeight="1" x14ac:dyDescent="0.2">
      <c r="D76" s="120" t="str">
        <v>Incineration</v>
      </c>
      <c r="E76" s="125" t="str">
        <v>Textiles</v>
      </c>
      <c r="F76" s="179"/>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f>(G76 * H76)</f>
        <v>0</v>
      </c>
    </row>
    <row r="77" spans="1:9" ht="20.100000000000001" customHeight="1" x14ac:dyDescent="0.2">
      <c r="D77" s="120" t="str">
        <v>Incineration</v>
      </c>
      <c r="E77" s="125" t="str">
        <v>Rubber and leather</v>
      </c>
      <c r="F77" s="179"/>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f>(G77 * H77)</f>
        <v>0</v>
      </c>
    </row>
    <row r="78" spans="1:9" ht="20.100000000000001" customHeight="1" x14ac:dyDescent="0.2">
      <c r="D78" s="120" t="str">
        <v>Incineration</v>
      </c>
      <c r="E78" s="125" t="str">
        <v>Inert waste (including concrete, metal, plastic or glass)</v>
      </c>
      <c r="F78" s="179"/>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f>(G78 * H78)</f>
        <v>0</v>
      </c>
    </row>
    <row r="79" spans="1:9" ht="20.100000000000001" customHeight="1" x14ac:dyDescent="0.2">
      <c r="A79" s="129" t="str">
        <f>HYPERLINK("#A1", "▲ Back to top")</f>
        <v>▲ Back to top</v>
      </c>
      <c r="D79" s="120" t="str">
        <v>Incineration</v>
      </c>
      <c r="E79" s="125" t="str">
        <v>Municipal solid waste</v>
      </c>
      <c r="F79" s="126"/>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f>(G79 * H79)</f>
        <v>0</v>
      </c>
    </row>
    <row r="80" spans="1:9" ht="20.100000000000001" customHeight="1" x14ac:dyDescent="0.2">
      <c r="D80" s="120" t="str">
        <v>Incineration</v>
      </c>
      <c r="E80" s="125" t="str">
        <v>Commercial and industrial waste</v>
      </c>
      <c r="F80" s="126"/>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f>(G80 * H80)</f>
        <v>0</v>
      </c>
    </row>
    <row r="81" spans="3:12" ht="20.100000000000001" customHeight="1" x14ac:dyDescent="0.2">
      <c r="D81" s="120" t="str">
        <v>Composting</v>
      </c>
      <c r="E81" s="125" t="str">
        <v>All organic waste</v>
      </c>
      <c r="F81" s="126"/>
      <c r="G81" s="15" t="s">
        <v>762</v>
      </c>
      <c r="H81" s="15" t="s">
        <v>762</v>
      </c>
      <c r="I81" s="15" t="s">
        <v>762</v>
      </c>
    </row>
    <row r="82" spans="3:12" ht="20.100000000000001" customHeight="1" x14ac:dyDescent="0.2">
      <c r="D82" s="120" t="str">
        <v>Composting</v>
      </c>
      <c r="E82" s="125" t="str">
        <v>Food waste (including animal carcasses, spoiled animal feed or crop)</v>
      </c>
      <c r="F82" s="126"/>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f>(G82 * H82)</f>
        <v>0</v>
      </c>
    </row>
    <row r="83" spans="3:12" ht="20.100000000000001" customHeight="1" x14ac:dyDescent="0.2">
      <c r="D83" s="120" t="str">
        <v>Composting</v>
      </c>
      <c r="E83" s="125" t="str">
        <v>Green waste (including crop residues or prunings)</v>
      </c>
      <c r="F83" s="126"/>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f>(G83 * H83)</f>
        <v>0</v>
      </c>
    </row>
    <row r="84" spans="3:12" ht="20.100000000000001" customHeight="1" x14ac:dyDescent="0.2">
      <c r="D84" s="120" t="str">
        <v>Composting</v>
      </c>
      <c r="E84" s="125" t="str">
        <v>Wood</v>
      </c>
      <c r="F84" s="126"/>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f>(G84 * H84)</f>
        <v>0</v>
      </c>
    </row>
    <row r="85" spans="3:12" ht="20.100000000000001" customHeight="1" x14ac:dyDescent="0.2">
      <c r="D85" s="120" t="str">
        <v>Composting</v>
      </c>
      <c r="E85" s="125" t="str">
        <v>Sludge</v>
      </c>
      <c r="F85" s="126"/>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f>(G85 * H85)</f>
        <v>0</v>
      </c>
    </row>
    <row r="86" spans="3:12" ht="20.100000000000001" customHeight="1" x14ac:dyDescent="0.2">
      <c r="D86" s="120" t="str">
        <v>Composting</v>
      </c>
      <c r="E86" s="125" t="str">
        <v>Paper and cardboard</v>
      </c>
      <c r="F86" s="126"/>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f>(G86 * H86)</f>
        <v>0</v>
      </c>
    </row>
    <row r="87" spans="3:12" ht="20.100000000000001" customHeight="1" x14ac:dyDescent="0.2">
      <c r="D87" s="120" t="str">
        <v>Anaerobic digestion</v>
      </c>
      <c r="E87" s="125" t="str">
        <v>All organic waste</v>
      </c>
      <c r="F87" s="126"/>
      <c r="G87" s="15" t="s">
        <v>762</v>
      </c>
      <c r="H87" s="15" t="s">
        <v>762</v>
      </c>
      <c r="I87" s="15" t="s">
        <v>762</v>
      </c>
    </row>
    <row r="88" spans="3:12" ht="20.100000000000001" customHeight="1" x14ac:dyDescent="0.2">
      <c r="D88" s="120" t="str">
        <v>Anaerobic digestion</v>
      </c>
      <c r="E88" s="125" t="str">
        <v>Food waste (including animal carcasses, spoiled animal feed or crop)</v>
      </c>
      <c r="F88" s="126"/>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f>(G88 * H88)</f>
        <v>0</v>
      </c>
    </row>
    <row r="89" spans="3:12" ht="20.100000000000001" customHeight="1" x14ac:dyDescent="0.2">
      <c r="D89" s="120" t="str">
        <v>Anaerobic digestion</v>
      </c>
      <c r="E89" s="125" t="str">
        <v>Green waste (including crop residues or prunings)</v>
      </c>
      <c r="F89" s="126"/>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f>(G89 * H89)</f>
        <v>0</v>
      </c>
    </row>
    <row r="90" spans="3:12" ht="20.100000000000001" customHeight="1" x14ac:dyDescent="0.2">
      <c r="D90" s="120" t="str">
        <v>Anaerobic digestion</v>
      </c>
      <c r="E90" s="125" t="str">
        <v>Wood</v>
      </c>
      <c r="F90" s="126"/>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f>(G90 * H90)</f>
        <v>0</v>
      </c>
    </row>
    <row r="91" spans="3:12" ht="20.100000000000001" customHeight="1" x14ac:dyDescent="0.2">
      <c r="D91" s="120" t="str">
        <v>Anaerobic digestion</v>
      </c>
      <c r="E91" s="125" t="str">
        <v>Sludge</v>
      </c>
      <c r="F91" s="126"/>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f>(G91 * H91)</f>
        <v>0</v>
      </c>
    </row>
    <row r="92" spans="3:12" ht="20.100000000000001" customHeight="1" x14ac:dyDescent="0.2">
      <c r="D92" s="120" t="str">
        <v>Anaerobic digestion</v>
      </c>
      <c r="E92" s="125" t="str">
        <v>Paper and cardboard</v>
      </c>
      <c r="F92" s="126"/>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f>(G92 * H92)</f>
        <v>0</v>
      </c>
    </row>
    <row r="95" spans="3:12" ht="20.100000000000001" customHeight="1" x14ac:dyDescent="0.2">
      <c r="C95" s="88"/>
      <c r="D95" s="88"/>
      <c r="E95" s="88"/>
      <c r="F95" s="88"/>
      <c r="G95" s="88"/>
      <c r="H95" s="88"/>
      <c r="I95" s="88"/>
      <c r="J95" s="88"/>
      <c r="K95" s="88"/>
      <c r="L95" s="88"/>
    </row>
    <row r="96" spans="3:12" ht="20.100000000000001" customHeight="1" x14ac:dyDescent="0.2">
      <c r="D96" s="2" t="s">
        <v>1990</v>
      </c>
    </row>
    <row r="97" spans="1:9" ht="20.100000000000001" customHeight="1" x14ac:dyDescent="0.2">
      <c r="D97" s="17" t="s">
        <v>1991</v>
      </c>
    </row>
    <row r="98" spans="1:9" ht="20.100000000000001" customHeight="1" x14ac:dyDescent="0.2">
      <c r="D98" s="25" t="s">
        <v>1992</v>
      </c>
    </row>
    <row r="99" spans="1:9" ht="20.100000000000001" customHeight="1" x14ac:dyDescent="0.2">
      <c r="D99" s="118"/>
      <c r="E99" s="118"/>
    </row>
    <row r="102" spans="1:9" ht="20.100000000000001" customHeight="1" x14ac:dyDescent="0.2">
      <c r="D102" s="76" t="s">
        <v>378</v>
      </c>
      <c r="E102" s="1" t="s">
        <v>1913</v>
      </c>
    </row>
    <row r="103" spans="1:9" ht="20.100000000000001" customHeight="1" x14ac:dyDescent="0.2">
      <c r="D103" s="76" t="s">
        <v>118</v>
      </c>
      <c r="E103" s="9" t="s">
        <v>6</v>
      </c>
    </row>
    <row r="105" spans="1:9" ht="20.100000000000001" customHeight="1" x14ac:dyDescent="0.2">
      <c r="D105" s="120" t="s">
        <v>1979</v>
      </c>
      <c r="E105" s="125" t="s">
        <v>1993</v>
      </c>
      <c r="F105" s="133"/>
      <c r="G105" s="126"/>
      <c r="H105" s="120" t="s">
        <v>1980</v>
      </c>
      <c r="I105" s="128" t="s">
        <v>2001</v>
      </c>
    </row>
    <row r="106" spans="1:9" ht="20.100000000000001" customHeight="1" x14ac:dyDescent="0.2">
      <c r="D106" s="120" t="s">
        <v>1994</v>
      </c>
      <c r="E106" s="125" t="s">
        <v>1995</v>
      </c>
      <c r="F106" s="133"/>
      <c r="G106" s="126"/>
      <c r="H106" s="120" t="s">
        <v>2002</v>
      </c>
      <c r="I106" s="128" t="s">
        <v>1501</v>
      </c>
    </row>
    <row r="107" spans="1:9" ht="20.100000000000001" customHeight="1" x14ac:dyDescent="0.2">
      <c r="D107" s="120" t="s">
        <v>1985</v>
      </c>
      <c r="E107" s="125" t="s">
        <v>1986</v>
      </c>
      <c r="F107" s="133"/>
      <c r="G107" s="126"/>
      <c r="H107" s="120"/>
      <c r="I107" s="121" t="s">
        <v>1469</v>
      </c>
    </row>
    <row r="108" spans="1:9" ht="20.100000000000001" customHeight="1" x14ac:dyDescent="0.2">
      <c r="D108" s="120" t="s">
        <v>1980</v>
      </c>
      <c r="E108" s="125" t="s">
        <v>1987</v>
      </c>
      <c r="F108" s="133"/>
      <c r="G108" s="126"/>
      <c r="H108" s="120"/>
      <c r="I108" s="121" t="s">
        <v>1469</v>
      </c>
    </row>
    <row r="109" spans="1:9" ht="20.100000000000001" customHeight="1" x14ac:dyDescent="0.2">
      <c r="A109" s="129" t="str">
        <f>HYPERLINK("#A1", "▲ Back to top")</f>
        <v>▲ Back to top</v>
      </c>
      <c r="D109" s="120" t="s">
        <v>1924</v>
      </c>
      <c r="E109" s="125" t="s">
        <v>1996</v>
      </c>
      <c r="F109" s="133"/>
      <c r="G109" s="126"/>
      <c r="H109" s="120"/>
      <c r="I109" s="121" t="s">
        <v>1469</v>
      </c>
    </row>
    <row r="110" spans="1:9" ht="20.100000000000001" customHeight="1" x14ac:dyDescent="0.2">
      <c r="D110" s="120" t="s">
        <v>1997</v>
      </c>
      <c r="E110" s="125" t="s">
        <v>1998</v>
      </c>
      <c r="F110" s="133"/>
      <c r="G110" s="126"/>
      <c r="H110" s="120" t="s">
        <v>19</v>
      </c>
      <c r="I110" s="128" t="s">
        <v>2003</v>
      </c>
    </row>
    <row r="111" spans="1:9" ht="20.100000000000001" customHeight="1" x14ac:dyDescent="0.2">
      <c r="D111" s="120" t="s">
        <v>1999</v>
      </c>
      <c r="E111" s="125" t="s">
        <v>2000</v>
      </c>
      <c r="F111" s="133"/>
      <c r="G111" s="126"/>
      <c r="H111" s="120" t="s">
        <v>19</v>
      </c>
      <c r="I111" s="121" t="s">
        <v>1469</v>
      </c>
    </row>
    <row r="113" spans="4:11" ht="20.100000000000001" customHeight="1" x14ac:dyDescent="0.2">
      <c r="D113" s="122" t="s">
        <v>1103</v>
      </c>
    </row>
    <row r="114" spans="4:11" ht="20.100000000000001" customHeight="1" x14ac:dyDescent="0.2">
      <c r="D114" s="123" t="s">
        <v>1104</v>
      </c>
    </row>
    <row r="115" spans="4:11" ht="20.100000000000001" customHeight="1" x14ac:dyDescent="0.2">
      <c r="D115" s="81" t="s">
        <v>1096</v>
      </c>
      <c r="E115" s="81" t="s">
        <v>1097</v>
      </c>
      <c r="F115" s="81"/>
      <c r="G115" s="81" t="s">
        <v>1105</v>
      </c>
      <c r="H115" s="124" t="s">
        <v>1106</v>
      </c>
      <c r="I115" s="124" t="s">
        <v>1100</v>
      </c>
      <c r="J115" s="124" t="s">
        <v>1107</v>
      </c>
      <c r="K115" s="124" t="s">
        <v>1108</v>
      </c>
    </row>
    <row r="116" spans="4:11" ht="20.100000000000001" customHeight="1" x14ac:dyDescent="0.2">
      <c r="D116" s="120" t="str" cm="1">
        <f t="array" ref="D116:D149">Table_SourceData_WasteSolid_WasteTreatmentEFs[Treatment type t]</f>
        <v>Landfill</v>
      </c>
      <c r="E116" s="125" t="str" cm="1">
        <f t="array" ref="E116:E149">Table_SourceData_WasteSolid_WasteTreatmentEFs[Waste type w]</f>
        <v>Food waste (including animal carcasses, spoiled animal feed or crop)</v>
      </c>
      <c r="F116" s="179"/>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f>(I116 * J116)</f>
        <v>157.5</v>
      </c>
    </row>
    <row r="117" spans="4:11" ht="20.100000000000001" customHeight="1" x14ac:dyDescent="0.2">
      <c r="D117" s="120" t="str">
        <v>Landfill</v>
      </c>
      <c r="E117" s="125" t="str">
        <v>Paper and cardboard</v>
      </c>
      <c r="F117" s="179"/>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f>(I117 * J117)</f>
        <v>179.85</v>
      </c>
    </row>
    <row r="118" spans="4:11" ht="20.100000000000001" customHeight="1" x14ac:dyDescent="0.2">
      <c r="D118" s="120" t="str">
        <v>Landfill</v>
      </c>
      <c r="E118" s="125" t="str">
        <v>Green waste (including crop residues or prunings)</v>
      </c>
      <c r="F118" s="179"/>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f>(I118 * J118)</f>
        <v>99.2</v>
      </c>
    </row>
    <row r="119" spans="4:11" ht="20.100000000000001" customHeight="1" x14ac:dyDescent="0.2">
      <c r="D119" s="120" t="str">
        <v>Landfill</v>
      </c>
      <c r="E119" s="125" t="str">
        <v>Wood</v>
      </c>
      <c r="F119" s="179"/>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f>(I119 * J119)</f>
        <v>0</v>
      </c>
    </row>
    <row r="120" spans="4:11" ht="20.100000000000001" customHeight="1" x14ac:dyDescent="0.2">
      <c r="D120" s="120" t="str">
        <v>Landfill</v>
      </c>
      <c r="E120" s="125" t="str">
        <v>Textiles</v>
      </c>
      <c r="F120" s="179"/>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f>(I120 * J120)</f>
        <v>0</v>
      </c>
    </row>
    <row r="121" spans="4:11" ht="20.100000000000001" customHeight="1" x14ac:dyDescent="0.2">
      <c r="D121" s="120" t="str">
        <v>Landfill</v>
      </c>
      <c r="E121" s="125" t="str">
        <v>Sludge</v>
      </c>
      <c r="F121" s="179"/>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f>(I121 * J121)</f>
        <v>0</v>
      </c>
    </row>
    <row r="122" spans="4:11" ht="20.100000000000001" customHeight="1" x14ac:dyDescent="0.2">
      <c r="D122" s="120" t="str">
        <v>Landfill</v>
      </c>
      <c r="E122" s="125" t="str">
        <v>Rubber and leather</v>
      </c>
      <c r="F122" s="179"/>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f>(I122 * J122)</f>
        <v>0</v>
      </c>
    </row>
    <row r="123" spans="4:11" ht="20.100000000000001" customHeight="1" x14ac:dyDescent="0.2">
      <c r="D123" s="120" t="str">
        <v>Landfill</v>
      </c>
      <c r="E123" s="125" t="str">
        <v>Inert waste (including concrete, metal, plastic or glass)</v>
      </c>
      <c r="F123" s="179"/>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f>(I123 * J123)</f>
        <v>0</v>
      </c>
    </row>
    <row r="124" spans="4:11" ht="20.100000000000001" customHeight="1" x14ac:dyDescent="0.2">
      <c r="D124" s="120" t="str">
        <v>Landfill</v>
      </c>
      <c r="E124" s="125" t="str">
        <v>Municipal solid waste</v>
      </c>
      <c r="F124" s="179"/>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f>(I124 * J124)</f>
        <v>0</v>
      </c>
    </row>
    <row r="125" spans="4:11" ht="20.100000000000001" customHeight="1" x14ac:dyDescent="0.2">
      <c r="D125" s="120" t="str">
        <v>Landfill</v>
      </c>
      <c r="E125" s="125" t="str">
        <v>Commercial and industrial waste</v>
      </c>
      <c r="F125" s="179"/>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f>(I125 * J125)</f>
        <v>0</v>
      </c>
    </row>
    <row r="126" spans="4:11" ht="20.100000000000001" customHeight="1" x14ac:dyDescent="0.2">
      <c r="D126" s="120" t="str">
        <v>Landfill</v>
      </c>
      <c r="E126" s="125" t="str">
        <v>Construction and demolition waste</v>
      </c>
      <c r="F126" s="179"/>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f>(I126 * J126)</f>
        <v>0</v>
      </c>
    </row>
    <row r="127" spans="4:11" ht="20.100000000000001" customHeight="1" x14ac:dyDescent="0.2">
      <c r="D127" s="120" t="str">
        <v>Incineration</v>
      </c>
      <c r="E127" s="125" t="str">
        <v>Food waste, green waste, wood, sludge</v>
      </c>
      <c r="F127" s="179"/>
      <c r="G127" s="15" t="s">
        <v>762</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f>(I127 * J127)</f>
        <v>0</v>
      </c>
    </row>
    <row r="128" spans="4:11" ht="20.100000000000001" customHeight="1" x14ac:dyDescent="0.2">
      <c r="D128" s="120" t="str">
        <v>Incineration</v>
      </c>
      <c r="E128" s="125" t="str">
        <v>Food waste (including animal carcasses, spoiled animal feed or crop)</v>
      </c>
      <c r="F128" s="179"/>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1109</v>
      </c>
      <c r="J128" s="15" t="s">
        <v>762</v>
      </c>
      <c r="K128" s="15" t="s">
        <v>762</v>
      </c>
    </row>
    <row r="129" spans="1:11" ht="20.100000000000001" customHeight="1" x14ac:dyDescent="0.2">
      <c r="D129" s="120" t="str">
        <v>Incineration</v>
      </c>
      <c r="E129" s="125" t="str">
        <v>Green waste (including crop residues or prunings)</v>
      </c>
      <c r="F129" s="179"/>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1109</v>
      </c>
      <c r="J129" s="15" t="s">
        <v>762</v>
      </c>
      <c r="K129" s="15" t="s">
        <v>762</v>
      </c>
    </row>
    <row r="130" spans="1:11" ht="20.100000000000001" customHeight="1" x14ac:dyDescent="0.2">
      <c r="D130" s="120" t="str">
        <v>Incineration</v>
      </c>
      <c r="E130" s="125" t="str">
        <v>Wood</v>
      </c>
      <c r="F130" s="179"/>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1109</v>
      </c>
      <c r="J130" s="15" t="s">
        <v>762</v>
      </c>
      <c r="K130" s="15" t="s">
        <v>762</v>
      </c>
    </row>
    <row r="131" spans="1:11" ht="20.100000000000001" customHeight="1" x14ac:dyDescent="0.2">
      <c r="D131" s="120" t="str">
        <v>Incineration</v>
      </c>
      <c r="E131" s="125" t="str">
        <v>Sludge</v>
      </c>
      <c r="F131" s="179"/>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1109</v>
      </c>
      <c r="J131" s="15" t="s">
        <v>762</v>
      </c>
      <c r="K131" s="15" t="s">
        <v>762</v>
      </c>
    </row>
    <row r="132" spans="1:11" ht="20.100000000000001" customHeight="1" x14ac:dyDescent="0.2">
      <c r="D132" s="120" t="str">
        <v>Incineration</v>
      </c>
      <c r="E132" s="125" t="str">
        <v>Paper and cardboard</v>
      </c>
      <c r="F132" s="179"/>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f>(I132 * J132)</f>
        <v>0.92104999999999992</v>
      </c>
    </row>
    <row r="133" spans="1:11" ht="20.100000000000001" customHeight="1" x14ac:dyDescent="0.2">
      <c r="D133" s="120" t="str">
        <v>Incineration</v>
      </c>
      <c r="E133" s="125" t="str">
        <v>Textiles</v>
      </c>
      <c r="F133" s="179"/>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f>(I133 * J133)</f>
        <v>0</v>
      </c>
    </row>
    <row r="134" spans="1:11" ht="20.100000000000001" customHeight="1" x14ac:dyDescent="0.2">
      <c r="D134" s="120" t="str">
        <v>Incineration</v>
      </c>
      <c r="E134" s="125" t="str">
        <v>Rubber and leather</v>
      </c>
      <c r="F134" s="179"/>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f>(I134 * J134)</f>
        <v>0</v>
      </c>
    </row>
    <row r="135" spans="1:11" ht="20.100000000000001" customHeight="1" x14ac:dyDescent="0.2">
      <c r="D135" s="120" t="str">
        <v>Incineration</v>
      </c>
      <c r="E135" s="125" t="str">
        <v>Inert waste (including concrete, metal, plastic or glass)</v>
      </c>
      <c r="F135" s="179"/>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f>(I135 * J135)</f>
        <v>0</v>
      </c>
    </row>
    <row r="136" spans="1:11" ht="20.100000000000001" customHeight="1" x14ac:dyDescent="0.2">
      <c r="D136" s="120" t="str">
        <v>Incineration</v>
      </c>
      <c r="E136" s="125" t="str">
        <v>Municipal solid waste</v>
      </c>
      <c r="F136" s="126"/>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f>(I136 * J136)</f>
        <v>0</v>
      </c>
    </row>
    <row r="137" spans="1:11" ht="20.100000000000001" customHeight="1" x14ac:dyDescent="0.2">
      <c r="D137" s="120" t="str">
        <v>Incineration</v>
      </c>
      <c r="E137" s="125" t="str">
        <v>Commercial and industrial waste</v>
      </c>
      <c r="F137" s="126"/>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f>(I137 * J137)</f>
        <v>0</v>
      </c>
    </row>
    <row r="138" spans="1:11" ht="20.100000000000001" customHeight="1" x14ac:dyDescent="0.2">
      <c r="D138" s="120" t="str">
        <v>Composting</v>
      </c>
      <c r="E138" s="125" t="str">
        <v>All organic waste</v>
      </c>
      <c r="F138" s="126"/>
      <c r="G138" s="15" t="s">
        <v>762</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f>(I138 * J138)</f>
        <v>1.357</v>
      </c>
    </row>
    <row r="139" spans="1:11" ht="20.100000000000001" customHeight="1" x14ac:dyDescent="0.2">
      <c r="A139" s="129" t="str">
        <f>HYPERLINK("#A1", "▲ Back to top")</f>
        <v>▲ Back to top</v>
      </c>
      <c r="D139" s="120" t="str">
        <v>Composting</v>
      </c>
      <c r="E139" s="125" t="str">
        <v>Food waste (including animal carcasses, spoiled animal feed or crop)</v>
      </c>
      <c r="F139" s="126"/>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1109</v>
      </c>
      <c r="J139" s="15" t="s">
        <v>762</v>
      </c>
      <c r="K139" s="15" t="s">
        <v>762</v>
      </c>
    </row>
    <row r="140" spans="1:11" ht="20.100000000000001" customHeight="1" x14ac:dyDescent="0.2">
      <c r="D140" s="120" t="str">
        <v>Composting</v>
      </c>
      <c r="E140" s="125" t="str">
        <v>Green waste (including crop residues or prunings)</v>
      </c>
      <c r="F140" s="126"/>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1109</v>
      </c>
      <c r="J140" s="15" t="s">
        <v>762</v>
      </c>
      <c r="K140" s="15" t="s">
        <v>762</v>
      </c>
    </row>
    <row r="141" spans="1:11" ht="20.100000000000001" customHeight="1" x14ac:dyDescent="0.2">
      <c r="D141" s="120" t="str">
        <v>Composting</v>
      </c>
      <c r="E141" s="125" t="str">
        <v>Wood</v>
      </c>
      <c r="F141" s="126"/>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1109</v>
      </c>
      <c r="J141" s="15" t="s">
        <v>762</v>
      </c>
      <c r="K141" s="15" t="s">
        <v>762</v>
      </c>
    </row>
    <row r="142" spans="1:11" ht="20.100000000000001" customHeight="1" x14ac:dyDescent="0.2">
      <c r="D142" s="120" t="str">
        <v>Composting</v>
      </c>
      <c r="E142" s="125" t="str">
        <v>Sludge</v>
      </c>
      <c r="F142" s="126"/>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1109</v>
      </c>
      <c r="J142" s="15" t="s">
        <v>762</v>
      </c>
      <c r="K142" s="15" t="s">
        <v>762</v>
      </c>
    </row>
    <row r="143" spans="1:11" ht="20.100000000000001" customHeight="1" x14ac:dyDescent="0.2">
      <c r="D143" s="120" t="str">
        <v>Composting</v>
      </c>
      <c r="E143" s="125" t="str">
        <v>Paper and cardboard</v>
      </c>
      <c r="F143" s="126"/>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1109</v>
      </c>
      <c r="J143" s="15" t="s">
        <v>762</v>
      </c>
      <c r="K143" s="15" t="s">
        <v>762</v>
      </c>
    </row>
    <row r="144" spans="1:11" ht="20.100000000000001" customHeight="1" x14ac:dyDescent="0.2">
      <c r="D144" s="120" t="str">
        <v>Anaerobic digestion</v>
      </c>
      <c r="E144" s="125" t="str">
        <v>All organic waste</v>
      </c>
      <c r="F144" s="126"/>
      <c r="G144" s="15" t="s">
        <v>762</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f>(I144 * J144)</f>
        <v>0</v>
      </c>
    </row>
    <row r="145" spans="4:11" ht="20.100000000000001" customHeight="1" x14ac:dyDescent="0.2">
      <c r="D145" s="120" t="str">
        <v>Anaerobic digestion</v>
      </c>
      <c r="E145" s="125" t="str">
        <v>Food waste (including animal carcasses, spoiled animal feed or crop)</v>
      </c>
      <c r="F145" s="126"/>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1109</v>
      </c>
      <c r="J145" s="15" t="s">
        <v>762</v>
      </c>
      <c r="K145" s="15" t="s">
        <v>762</v>
      </c>
    </row>
    <row r="146" spans="4:11" ht="20.100000000000001" customHeight="1" x14ac:dyDescent="0.2">
      <c r="D146" s="120" t="str">
        <v>Anaerobic digestion</v>
      </c>
      <c r="E146" s="125" t="str">
        <v>Green waste (including crop residues or prunings)</v>
      </c>
      <c r="F146" s="126"/>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1109</v>
      </c>
      <c r="J146" s="15" t="s">
        <v>762</v>
      </c>
      <c r="K146" s="15" t="s">
        <v>762</v>
      </c>
    </row>
    <row r="147" spans="4:11" ht="20.100000000000001" customHeight="1" x14ac:dyDescent="0.2">
      <c r="D147" s="120" t="str">
        <v>Anaerobic digestion</v>
      </c>
      <c r="E147" s="125" t="str">
        <v>Wood</v>
      </c>
      <c r="F147" s="126"/>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1109</v>
      </c>
      <c r="J147" s="15" t="s">
        <v>762</v>
      </c>
      <c r="K147" s="15" t="s">
        <v>762</v>
      </c>
    </row>
    <row r="148" spans="4:11" ht="20.100000000000001" customHeight="1" x14ac:dyDescent="0.2">
      <c r="D148" s="120" t="str">
        <v>Anaerobic digestion</v>
      </c>
      <c r="E148" s="125" t="str">
        <v>Sludge</v>
      </c>
      <c r="F148" s="126"/>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1109</v>
      </c>
      <c r="J148" s="15" t="s">
        <v>762</v>
      </c>
      <c r="K148" s="15" t="s">
        <v>762</v>
      </c>
    </row>
    <row r="149" spans="4:11" ht="20.100000000000001" customHeight="1" x14ac:dyDescent="0.2">
      <c r="D149" s="120" t="str">
        <v>Anaerobic digestion</v>
      </c>
      <c r="E149" s="125" t="str">
        <v>Paper and cardboard</v>
      </c>
      <c r="F149" s="126"/>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1109</v>
      </c>
      <c r="J149" s="15" t="s">
        <v>762</v>
      </c>
      <c r="K149" s="15" t="s">
        <v>762</v>
      </c>
    </row>
    <row r="151" spans="4:11" ht="20.100000000000001" customHeight="1" x14ac:dyDescent="0.2">
      <c r="D151" s="87" t="s">
        <v>1110</v>
      </c>
      <c r="E151" s="90">
        <f>SUM(K116:K149)</f>
        <v>438.82805000000002</v>
      </c>
      <c r="F151" s="89" t="str">
        <f>$E$103</f>
        <v>t CO2e</v>
      </c>
    </row>
    <row r="154" spans="4:11" ht="20.100000000000001" customHeight="1" x14ac:dyDescent="0.2">
      <c r="D154" s="122" t="s">
        <v>1111</v>
      </c>
    </row>
    <row r="155" spans="4:11" ht="20.100000000000001" customHeight="1" x14ac:dyDescent="0.2">
      <c r="D155" s="123" t="s">
        <v>1112</v>
      </c>
    </row>
    <row r="156" spans="4:11" ht="20.100000000000001" customHeight="1" x14ac:dyDescent="0.2">
      <c r="D156" s="81" t="s">
        <v>1096</v>
      </c>
      <c r="E156" s="81" t="s">
        <v>1097</v>
      </c>
      <c r="F156" s="81"/>
      <c r="G156" s="81" t="s">
        <v>1105</v>
      </c>
      <c r="H156" s="124" t="s">
        <v>1106</v>
      </c>
      <c r="I156" s="124" t="s">
        <v>1100</v>
      </c>
      <c r="J156" s="124" t="s">
        <v>1107</v>
      </c>
      <c r="K156" s="124" t="s">
        <v>1108</v>
      </c>
    </row>
    <row r="157" spans="4:11" ht="20.100000000000001" customHeight="1" x14ac:dyDescent="0.2">
      <c r="D157" s="120" t="str" cm="1">
        <f t="array" ref="D157:D190">Table_SourceData_WasteSolid_WasteTreatmentEFs[Treatment type t]</f>
        <v>Landfill</v>
      </c>
      <c r="E157" s="125" t="str" cm="1">
        <f t="array" ref="E157:E190">Table_SourceData_WasteSolid_WasteTreatmentEFs[Waste type w]</f>
        <v>Food waste (including animal carcasses, spoiled animal feed or crop)</v>
      </c>
      <c r="F157" s="179"/>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f>(I157 * J157)</f>
        <v>157.5</v>
      </c>
    </row>
    <row r="158" spans="4:11" ht="20.100000000000001" customHeight="1" x14ac:dyDescent="0.2">
      <c r="D158" s="120" t="str">
        <v>Landfill</v>
      </c>
      <c r="E158" s="125" t="str">
        <v>Paper and cardboard</v>
      </c>
      <c r="F158" s="179"/>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f>(I158 * J158)</f>
        <v>179.85</v>
      </c>
    </row>
    <row r="159" spans="4:11" ht="20.100000000000001" customHeight="1" x14ac:dyDescent="0.2">
      <c r="D159" s="120" t="str">
        <v>Landfill</v>
      </c>
      <c r="E159" s="125" t="str">
        <v>Green waste (including crop residues or prunings)</v>
      </c>
      <c r="F159" s="179"/>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f>(I159 * J159)</f>
        <v>99.2</v>
      </c>
    </row>
    <row r="160" spans="4:11" ht="20.100000000000001" customHeight="1" x14ac:dyDescent="0.2">
      <c r="D160" s="120" t="str">
        <v>Landfill</v>
      </c>
      <c r="E160" s="125" t="str">
        <v>Wood</v>
      </c>
      <c r="F160" s="179"/>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f>(I160 * J160)</f>
        <v>0</v>
      </c>
    </row>
    <row r="161" spans="1:11" ht="20.100000000000001" customHeight="1" x14ac:dyDescent="0.2">
      <c r="D161" s="120" t="str">
        <v>Landfill</v>
      </c>
      <c r="E161" s="125" t="str">
        <v>Textiles</v>
      </c>
      <c r="F161" s="179"/>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f>(I161 * J161)</f>
        <v>0</v>
      </c>
    </row>
    <row r="162" spans="1:11" ht="20.100000000000001" customHeight="1" x14ac:dyDescent="0.2">
      <c r="D162" s="120" t="str">
        <v>Landfill</v>
      </c>
      <c r="E162" s="125" t="str">
        <v>Sludge</v>
      </c>
      <c r="F162" s="179"/>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f>(I162 * J162)</f>
        <v>0</v>
      </c>
    </row>
    <row r="163" spans="1:11" ht="20.100000000000001" customHeight="1" x14ac:dyDescent="0.2">
      <c r="D163" s="120" t="str">
        <v>Landfill</v>
      </c>
      <c r="E163" s="125" t="str">
        <v>Rubber and leather</v>
      </c>
      <c r="F163" s="179"/>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f>(I163 * J163)</f>
        <v>0</v>
      </c>
    </row>
    <row r="164" spans="1:11" ht="20.100000000000001" customHeight="1" x14ac:dyDescent="0.2">
      <c r="D164" s="120" t="str">
        <v>Landfill</v>
      </c>
      <c r="E164" s="125" t="str">
        <v>Inert waste (including concrete, metal, plastic or glass)</v>
      </c>
      <c r="F164" s="179"/>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f>(I164 * J164)</f>
        <v>0</v>
      </c>
    </row>
    <row r="165" spans="1:11" ht="20.100000000000001" customHeight="1" x14ac:dyDescent="0.2">
      <c r="D165" s="120" t="str">
        <v>Landfill</v>
      </c>
      <c r="E165" s="125" t="str">
        <v>Municipal solid waste</v>
      </c>
      <c r="F165" s="179"/>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f>(I165 * J165)</f>
        <v>0</v>
      </c>
    </row>
    <row r="166" spans="1:11" ht="20.100000000000001" customHeight="1" x14ac:dyDescent="0.2">
      <c r="D166" s="120" t="str">
        <v>Landfill</v>
      </c>
      <c r="E166" s="125" t="str">
        <v>Commercial and industrial waste</v>
      </c>
      <c r="F166" s="179"/>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f>(I166 * J166)</f>
        <v>0</v>
      </c>
    </row>
    <row r="167" spans="1:11" ht="20.100000000000001" customHeight="1" x14ac:dyDescent="0.2">
      <c r="D167" s="120" t="str">
        <v>Landfill</v>
      </c>
      <c r="E167" s="125" t="str">
        <v>Construction and demolition waste</v>
      </c>
      <c r="F167" s="179"/>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f>(I167 * J167)</f>
        <v>0</v>
      </c>
    </row>
    <row r="168" spans="1:11" ht="20.100000000000001" customHeight="1" x14ac:dyDescent="0.2">
      <c r="D168" s="120" t="str">
        <v>Incineration</v>
      </c>
      <c r="E168" s="125" t="str">
        <v>Food waste, green waste, wood, sludge</v>
      </c>
      <c r="F168" s="179"/>
      <c r="G168" s="15" t="s">
        <v>762</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f>(I168 * J168)</f>
        <v>0</v>
      </c>
    </row>
    <row r="169" spans="1:11" ht="20.100000000000001" customHeight="1" x14ac:dyDescent="0.2">
      <c r="A169" s="129" t="str">
        <f>HYPERLINK("#A1", "▲ Back to top")</f>
        <v>▲ Back to top</v>
      </c>
      <c r="D169" s="120" t="str">
        <v>Incineration</v>
      </c>
      <c r="E169" s="125" t="str">
        <v>Food waste (including animal carcasses, spoiled animal feed or crop)</v>
      </c>
      <c r="F169" s="179"/>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1109</v>
      </c>
      <c r="J169" s="15" t="s">
        <v>762</v>
      </c>
      <c r="K169" s="15" t="s">
        <v>762</v>
      </c>
    </row>
    <row r="170" spans="1:11" ht="20.100000000000001" customHeight="1" x14ac:dyDescent="0.2">
      <c r="D170" s="120" t="str">
        <v>Incineration</v>
      </c>
      <c r="E170" s="125" t="str">
        <v>Green waste (including crop residues or prunings)</v>
      </c>
      <c r="F170" s="179"/>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1109</v>
      </c>
      <c r="J170" s="15" t="s">
        <v>762</v>
      </c>
      <c r="K170" s="15" t="s">
        <v>762</v>
      </c>
    </row>
    <row r="171" spans="1:11" ht="20.100000000000001" customHeight="1" x14ac:dyDescent="0.2">
      <c r="D171" s="120" t="str">
        <v>Incineration</v>
      </c>
      <c r="E171" s="125" t="str">
        <v>Wood</v>
      </c>
      <c r="F171" s="179"/>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1109</v>
      </c>
      <c r="J171" s="15" t="s">
        <v>762</v>
      </c>
      <c r="K171" s="15" t="s">
        <v>762</v>
      </c>
    </row>
    <row r="172" spans="1:11" ht="20.100000000000001" customHeight="1" x14ac:dyDescent="0.2">
      <c r="D172" s="120" t="str">
        <v>Incineration</v>
      </c>
      <c r="E172" s="125" t="str">
        <v>Sludge</v>
      </c>
      <c r="F172" s="179"/>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1109</v>
      </c>
      <c r="J172" s="15" t="s">
        <v>762</v>
      </c>
      <c r="K172" s="15" t="s">
        <v>762</v>
      </c>
    </row>
    <row r="173" spans="1:11" ht="20.100000000000001" customHeight="1" x14ac:dyDescent="0.2">
      <c r="D173" s="120" t="str">
        <v>Incineration</v>
      </c>
      <c r="E173" s="125" t="str">
        <v>Paper and cardboard</v>
      </c>
      <c r="F173" s="179"/>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f>(I173 * J173)</f>
        <v>0</v>
      </c>
    </row>
    <row r="174" spans="1:11" ht="20.100000000000001" customHeight="1" x14ac:dyDescent="0.2">
      <c r="D174" s="120" t="str">
        <v>Incineration</v>
      </c>
      <c r="E174" s="125" t="str">
        <v>Textiles</v>
      </c>
      <c r="F174" s="179"/>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f>(I174 * J174)</f>
        <v>0</v>
      </c>
    </row>
    <row r="175" spans="1:11" ht="20.100000000000001" customHeight="1" x14ac:dyDescent="0.2">
      <c r="D175" s="120" t="str">
        <v>Incineration</v>
      </c>
      <c r="E175" s="125" t="str">
        <v>Rubber and leather</v>
      </c>
      <c r="F175" s="179"/>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f>(I175 * J175)</f>
        <v>0</v>
      </c>
    </row>
    <row r="176" spans="1:11" ht="20.100000000000001" customHeight="1" x14ac:dyDescent="0.2">
      <c r="D176" s="120" t="str">
        <v>Incineration</v>
      </c>
      <c r="E176" s="125" t="str">
        <v>Inert waste (including concrete, metal, plastic or glass)</v>
      </c>
      <c r="F176" s="179"/>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f>(I176 * J176)</f>
        <v>0</v>
      </c>
    </row>
    <row r="177" spans="4:11" ht="20.100000000000001" customHeight="1" x14ac:dyDescent="0.2">
      <c r="D177" s="120" t="str">
        <v>Incineration</v>
      </c>
      <c r="E177" s="125" t="str">
        <v>Municipal solid waste</v>
      </c>
      <c r="F177" s="126"/>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f>(I177 * J177)</f>
        <v>0</v>
      </c>
    </row>
    <row r="178" spans="4:11" ht="20.100000000000001" customHeight="1" x14ac:dyDescent="0.2">
      <c r="D178" s="120" t="str">
        <v>Incineration</v>
      </c>
      <c r="E178" s="125" t="str">
        <v>Commercial and industrial waste</v>
      </c>
      <c r="F178" s="126"/>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f>(I178 * J178)</f>
        <v>0</v>
      </c>
    </row>
    <row r="179" spans="4:11" ht="20.100000000000001" customHeight="1" x14ac:dyDescent="0.2">
      <c r="D179" s="120" t="str">
        <v>Composting</v>
      </c>
      <c r="E179" s="125" t="str">
        <v>All organic waste</v>
      </c>
      <c r="F179" s="126"/>
      <c r="G179" s="15" t="s">
        <v>762</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f>(I179 * J179)</f>
        <v>4.5999999999999996</v>
      </c>
    </row>
    <row r="180" spans="4:11" ht="20.100000000000001" customHeight="1" x14ac:dyDescent="0.2">
      <c r="D180" s="120" t="str">
        <v>Composting</v>
      </c>
      <c r="E180" s="125" t="str">
        <v>Food waste (including animal carcasses, spoiled animal feed or crop)</v>
      </c>
      <c r="F180" s="126"/>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1109</v>
      </c>
      <c r="J180" s="15" t="s">
        <v>762</v>
      </c>
      <c r="K180" s="15" t="s">
        <v>762</v>
      </c>
    </row>
    <row r="181" spans="4:11" ht="20.100000000000001" customHeight="1" x14ac:dyDescent="0.2">
      <c r="D181" s="120" t="str">
        <v>Composting</v>
      </c>
      <c r="E181" s="125" t="str">
        <v>Green waste (including crop residues or prunings)</v>
      </c>
      <c r="F181" s="126"/>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1109</v>
      </c>
      <c r="J181" s="15" t="s">
        <v>762</v>
      </c>
      <c r="K181" s="15" t="s">
        <v>762</v>
      </c>
    </row>
    <row r="182" spans="4:11" ht="20.100000000000001" customHeight="1" x14ac:dyDescent="0.2">
      <c r="D182" s="120" t="str">
        <v>Composting</v>
      </c>
      <c r="E182" s="125" t="str">
        <v>Wood</v>
      </c>
      <c r="F182" s="126"/>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1109</v>
      </c>
      <c r="J182" s="15" t="s">
        <v>762</v>
      </c>
      <c r="K182" s="15" t="s">
        <v>762</v>
      </c>
    </row>
    <row r="183" spans="4:11" ht="20.100000000000001" customHeight="1" x14ac:dyDescent="0.2">
      <c r="D183" s="120" t="str">
        <v>Composting</v>
      </c>
      <c r="E183" s="125" t="str">
        <v>Sludge</v>
      </c>
      <c r="F183" s="126"/>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1109</v>
      </c>
      <c r="J183" s="15" t="s">
        <v>762</v>
      </c>
      <c r="K183" s="15" t="s">
        <v>762</v>
      </c>
    </row>
    <row r="184" spans="4:11" ht="20.100000000000001" customHeight="1" x14ac:dyDescent="0.2">
      <c r="D184" s="120" t="str">
        <v>Composting</v>
      </c>
      <c r="E184" s="125" t="str">
        <v>Paper and cardboard</v>
      </c>
      <c r="F184" s="126"/>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1109</v>
      </c>
      <c r="J184" s="15" t="s">
        <v>762</v>
      </c>
      <c r="K184" s="15" t="s">
        <v>762</v>
      </c>
    </row>
    <row r="185" spans="4:11" ht="20.100000000000001" customHeight="1" x14ac:dyDescent="0.2">
      <c r="D185" s="120" t="str">
        <v>Anaerobic digestion</v>
      </c>
      <c r="E185" s="125" t="str">
        <v>All organic waste</v>
      </c>
      <c r="F185" s="126"/>
      <c r="G185" s="15" t="s">
        <v>762</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f>(I185 * J185)</f>
        <v>0</v>
      </c>
    </row>
    <row r="186" spans="4:11" ht="20.100000000000001" customHeight="1" x14ac:dyDescent="0.2">
      <c r="D186" s="120" t="str">
        <v>Anaerobic digestion</v>
      </c>
      <c r="E186" s="125" t="str">
        <v>Food waste (including animal carcasses, spoiled animal feed or crop)</v>
      </c>
      <c r="F186" s="126"/>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1109</v>
      </c>
      <c r="J186" s="15" t="s">
        <v>762</v>
      </c>
      <c r="K186" s="15" t="s">
        <v>762</v>
      </c>
    </row>
    <row r="187" spans="4:11" ht="20.100000000000001" customHeight="1" x14ac:dyDescent="0.2">
      <c r="D187" s="120" t="str">
        <v>Anaerobic digestion</v>
      </c>
      <c r="E187" s="125" t="str">
        <v>Green waste (including crop residues or prunings)</v>
      </c>
      <c r="F187" s="126"/>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1109</v>
      </c>
      <c r="J187" s="15" t="s">
        <v>762</v>
      </c>
      <c r="K187" s="15" t="s">
        <v>762</v>
      </c>
    </row>
    <row r="188" spans="4:11" ht="20.100000000000001" customHeight="1" x14ac:dyDescent="0.2">
      <c r="D188" s="120" t="str">
        <v>Anaerobic digestion</v>
      </c>
      <c r="E188" s="125" t="str">
        <v>Wood</v>
      </c>
      <c r="F188" s="126"/>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1109</v>
      </c>
      <c r="J188" s="15" t="s">
        <v>762</v>
      </c>
      <c r="K188" s="15" t="s">
        <v>762</v>
      </c>
    </row>
    <row r="189" spans="4:11" ht="20.100000000000001" customHeight="1" x14ac:dyDescent="0.2">
      <c r="D189" s="120" t="str">
        <v>Anaerobic digestion</v>
      </c>
      <c r="E189" s="125" t="str">
        <v>Sludge</v>
      </c>
      <c r="F189" s="126"/>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1109</v>
      </c>
      <c r="J189" s="15" t="s">
        <v>762</v>
      </c>
      <c r="K189" s="15" t="s">
        <v>762</v>
      </c>
    </row>
    <row r="190" spans="4:11" ht="20.100000000000001" customHeight="1" x14ac:dyDescent="0.2">
      <c r="D190" s="120" t="str">
        <v>Anaerobic digestion</v>
      </c>
      <c r="E190" s="125" t="str">
        <v>Paper and cardboard</v>
      </c>
      <c r="F190" s="126"/>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1109</v>
      </c>
      <c r="J190" s="15" t="s">
        <v>762</v>
      </c>
      <c r="K190" s="15" t="s">
        <v>762</v>
      </c>
    </row>
    <row r="192" spans="4:11" ht="20.100000000000001" customHeight="1" x14ac:dyDescent="0.2">
      <c r="D192" s="87" t="s">
        <v>1110</v>
      </c>
      <c r="E192" s="90">
        <f>SUM(K157:K190)</f>
        <v>441.15000000000003</v>
      </c>
      <c r="F192" s="89"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32648F22-D17D-450D-A866-576C57CA942C}"/>
  </dataValidation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1D64D-12EC-42C5-B95C-7C2098D378C4}">
  <sheetPr>
    <tabColor rgb="FF008000"/>
  </sheetPr>
  <dimension ref="A1:K342"/>
  <sheetViews>
    <sheetView showGridLines="0" zoomScaleNormal="100" workbookViewId="0">
      <pane xSplit="1" topLeftCell="B1" activePane="topRight" state="frozenSplit"/>
      <selection pane="topRight" activeCell="A619" sqref="A61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0" customFormat="1" ht="30" customHeight="1" x14ac:dyDescent="0.35">
      <c r="A1" s="10" t="e" vm="1">
        <v>#VALUE!</v>
      </c>
      <c r="C1" s="20" t="s">
        <v>890</v>
      </c>
    </row>
    <row r="2" spans="1:11" s="3" customFormat="1" ht="20.100000000000001" customHeight="1" x14ac:dyDescent="0.2">
      <c r="A2"/>
    </row>
    <row r="3" spans="1:11" ht="20.100000000000001" customHeight="1" x14ac:dyDescent="0.2">
      <c r="A3" s="5" t="str">
        <f>HYPERLINK("#'Home'!A1", "Home")</f>
        <v>Home</v>
      </c>
      <c r="C3" s="22"/>
      <c r="D3" s="22" t="s">
        <v>129</v>
      </c>
      <c r="E3" s="22"/>
      <c r="F3" s="22"/>
      <c r="G3" s="22"/>
      <c r="H3" s="22"/>
      <c r="I3" s="22"/>
      <c r="J3" s="22"/>
      <c r="K3" s="22"/>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2004</v>
      </c>
    </row>
    <row r="6" spans="1:11" ht="20.100000000000001" customHeight="1" x14ac:dyDescent="0.2">
      <c r="A6" s="5" t="str">
        <f>HYPERLINK("#'Results'!A1", "Results")</f>
        <v>Results</v>
      </c>
      <c r="D6" s="17" t="s">
        <v>2005</v>
      </c>
    </row>
    <row r="7" spans="1:11" ht="20.100000000000001" customHeight="1" x14ac:dyDescent="0.2">
      <c r="D7" s="25" t="s">
        <v>2006</v>
      </c>
    </row>
    <row r="8" spans="1:11" ht="20.100000000000001" customHeight="1" x14ac:dyDescent="0.2">
      <c r="D8" s="118"/>
      <c r="E8" s="118"/>
    </row>
    <row r="9" spans="1:11" ht="20.100000000000001" customHeight="1" x14ac:dyDescent="0.2">
      <c r="A9" s="7" t="s">
        <v>0</v>
      </c>
    </row>
    <row r="10" spans="1:11" ht="20.100000000000001" customHeight="1" x14ac:dyDescent="0.2">
      <c r="A10" s="5" t="str">
        <f>HYPERLINK("#'Input - Enterprise'!A1", "Enterprise")</f>
        <v>Enterprise</v>
      </c>
    </row>
    <row r="11" spans="1:11" ht="20.100000000000001" customHeight="1" x14ac:dyDescent="0.2">
      <c r="A11" s="5" t="str">
        <f>HYPERLINK("#'Input - Site'!A1", "Site")</f>
        <v>Site</v>
      </c>
      <c r="D11" s="76" t="s">
        <v>378</v>
      </c>
      <c r="E11" s="1" t="s">
        <v>2007</v>
      </c>
    </row>
    <row r="12" spans="1:11" ht="20.100000000000001" customHeight="1" x14ac:dyDescent="0.2">
      <c r="A12" s="5" t="str">
        <f>HYPERLINK("#'Input - Dairy'!A1", "Dairy")</f>
        <v>Dairy</v>
      </c>
      <c r="D12" s="76" t="s">
        <v>118</v>
      </c>
      <c r="E12" s="9" t="s">
        <v>6</v>
      </c>
    </row>
    <row r="13" spans="1:11" ht="20.100000000000001" customHeight="1" x14ac:dyDescent="0.2">
      <c r="A13" s="5" t="str">
        <f>HYPERLINK("#'Input - Livestock sales'!A1", "Livestock sales")</f>
        <v>Livestock sales</v>
      </c>
    </row>
    <row r="14" spans="1:11" ht="20.100000000000001" customHeight="1" x14ac:dyDescent="0.2">
      <c r="A14" s="5" t="str">
        <f>HYPERLINK("#'Input - Dairy cattle purchases'!A1", "Dairy cattle purchases")</f>
        <v>Dairy cattle purchases</v>
      </c>
      <c r="D14" s="120" t="s">
        <v>2008</v>
      </c>
      <c r="E14" s="125" t="s">
        <v>2009</v>
      </c>
      <c r="F14" s="126"/>
      <c r="G14" s="120" t="s">
        <v>862</v>
      </c>
      <c r="H14" s="121" t="s">
        <v>1469</v>
      </c>
      <c r="I14" s="125">
        <f>X_Cell_Electricity_Location_AmountPurchasedInkWh</f>
        <v>30000</v>
      </c>
      <c r="J14" s="126"/>
    </row>
    <row r="15" spans="1:11" ht="20.100000000000001" customHeight="1" x14ac:dyDescent="0.2">
      <c r="A15" s="5" t="str">
        <f>HYPERLINK("#'Input - Pasture'!A1", "Pasture")</f>
        <v>Pasture</v>
      </c>
      <c r="D15" s="120" t="s">
        <v>2010</v>
      </c>
      <c r="E15" s="125" t="s">
        <v>2011</v>
      </c>
      <c r="F15" s="126"/>
      <c r="G15" s="120" t="s">
        <v>2013</v>
      </c>
      <c r="H15" s="128" t="s">
        <v>1501</v>
      </c>
      <c r="I15" s="125" cm="1">
        <f t="array" ref="I15">Common_InputFunctions.Utility_LookupValueInTableNumber(I16,Table_SourceData_ElectricityEFs[State, Territory or grid description],Table_SourceData_ElectricityEFs[Scope 2 Emission Factors (kg CO2-e/kWh)])</f>
        <v>0.56000000000000005</v>
      </c>
      <c r="J15" s="126"/>
    </row>
    <row r="16" spans="1:11" ht="20.100000000000001" customHeight="1" x14ac:dyDescent="0.2">
      <c r="A16" s="5" t="str">
        <f>HYPERLINK("#'Input - Fert Prod System'!A1", "Fert Prod System")</f>
        <v>Fert Prod System</v>
      </c>
      <c r="D16" s="120" t="s">
        <v>1924</v>
      </c>
      <c r="E16" s="125" t="s">
        <v>2012</v>
      </c>
      <c r="F16" s="126"/>
      <c r="G16" s="120"/>
      <c r="H16" s="121" t="s">
        <v>1469</v>
      </c>
      <c r="I16" s="125" t="str">
        <f>X_Cell_Electricity_Location_GridElectricityPurchasedFrom</f>
        <v>Western Australia - North Western Interconnected System (NWIS)</v>
      </c>
      <c r="J16" s="126"/>
    </row>
    <row r="17" spans="1:11" ht="20.100000000000001" customHeight="1" x14ac:dyDescent="0.2">
      <c r="A17" s="5" t="str">
        <f>HYPERLINK("#'Input - Fertiliser'!A1", "Fertiliser")</f>
        <v>Fertiliser</v>
      </c>
    </row>
    <row r="18" spans="1:11" ht="20.100000000000001" customHeight="1" x14ac:dyDescent="0.2">
      <c r="A18" s="5" t="str">
        <f>HYPERLINK("#'Input - Fuel'!A1", "Fuel")</f>
        <v>Fuel</v>
      </c>
      <c r="D18" s="87" t="s">
        <v>891</v>
      </c>
      <c r="E18" s="90">
        <f>(I14 * I15 * 10 ^ -3)</f>
        <v>16.8</v>
      </c>
      <c r="F18" s="89" t="str">
        <f>$E$12</f>
        <v>t CO2e</v>
      </c>
    </row>
    <row r="19" spans="1:11" ht="20.100000000000001" customHeight="1" x14ac:dyDescent="0.2">
      <c r="A19" s="5" t="str">
        <f>HYPERLINK("#'Input - Electricity'!A1", "Electricity")</f>
        <v>Electricity</v>
      </c>
    </row>
    <row r="20" spans="1:11" ht="20.100000000000001" customHeight="1" x14ac:dyDescent="0.2">
      <c r="A20" s="5" t="str">
        <f>HYPERLINK("#'Input - Common farm inputs'!A1", "Common farm inputs")</f>
        <v>Common farm inputs</v>
      </c>
    </row>
    <row r="21" spans="1:11" ht="20.100000000000001" customHeight="1" x14ac:dyDescent="0.2">
      <c r="A21" s="5" t="str">
        <f>HYPERLINK("#'Input - Crop pasture farm input'!A1", "Crop pasture farm input")</f>
        <v>Crop pasture farm input</v>
      </c>
      <c r="C21" s="88"/>
      <c r="D21" s="88"/>
      <c r="E21" s="88"/>
      <c r="F21" s="88"/>
      <c r="G21" s="88"/>
      <c r="H21" s="88"/>
      <c r="I21" s="88"/>
      <c r="J21" s="88"/>
      <c r="K21" s="88"/>
    </row>
    <row r="22" spans="1:11" ht="20.100000000000001" customHeight="1" x14ac:dyDescent="0.2">
      <c r="A22" s="5" t="str">
        <f>HYPERLINK("#'Input - Livestock farm Inputs'!A1", "Livestock farm Inputs")</f>
        <v>Livestock farm Inputs</v>
      </c>
      <c r="D22" s="2" t="s">
        <v>2014</v>
      </c>
    </row>
    <row r="23" spans="1:11" ht="20.100000000000001" customHeight="1" x14ac:dyDescent="0.2">
      <c r="A23" s="5" t="str">
        <f>HYPERLINK("#'Input - Freight'!A1", "Freight")</f>
        <v>Freight</v>
      </c>
      <c r="D23" s="17" t="s">
        <v>2015</v>
      </c>
    </row>
    <row r="24" spans="1:11" ht="20.100000000000001" customHeight="1" x14ac:dyDescent="0.2">
      <c r="A24" s="5" t="str">
        <f>HYPERLINK("#'Input - Solid waste'!A1", "Solid waste")</f>
        <v>Solid waste</v>
      </c>
      <c r="D24" s="25" t="s">
        <v>2016</v>
      </c>
    </row>
    <row r="25" spans="1:11" ht="20.100000000000001" customHeight="1" x14ac:dyDescent="0.2">
      <c r="A25" s="5" t="str">
        <f>HYPERLINK("#'Input - Manure sent off-site'!A1", "Manure sent off-site")</f>
        <v>Manure sent off-site</v>
      </c>
      <c r="D25" s="118"/>
      <c r="E25" s="118"/>
    </row>
    <row r="26" spans="1:11" ht="20.100000000000001" customHeight="1" x14ac:dyDescent="0.2">
      <c r="A26" s="5" t="str">
        <f>HYPERLINK("#'Input - Refrigerants'!A1", "Refrigerants")</f>
        <v>Refrigerants</v>
      </c>
    </row>
    <row r="27" spans="1:11" ht="20.100000000000001" customHeight="1" x14ac:dyDescent="0.2">
      <c r="A27" s="5" t="str">
        <f>HYPERLINK("#'Input - Data quality'!A1", "Data quality")</f>
        <v>Data quality</v>
      </c>
    </row>
    <row r="28" spans="1:11" ht="20.100000000000001" customHeight="1" x14ac:dyDescent="0.2">
      <c r="D28" s="76" t="s">
        <v>378</v>
      </c>
      <c r="E28" s="1" t="s">
        <v>2007</v>
      </c>
    </row>
    <row r="29" spans="1:11" ht="20.100000000000001" customHeight="1" x14ac:dyDescent="0.2">
      <c r="D29" s="76" t="s">
        <v>118</v>
      </c>
      <c r="E29" s="9" t="s">
        <v>6</v>
      </c>
    </row>
    <row r="30" spans="1:11" ht="20.100000000000001" customHeight="1" x14ac:dyDescent="0.2">
      <c r="A30" s="6" t="s">
        <v>2</v>
      </c>
    </row>
    <row r="31" spans="1:11" ht="20.100000000000001" customHeight="1" x14ac:dyDescent="0.2">
      <c r="A31" s="5" t="str">
        <f>HYPERLINK("#'3.3.1.1-2 Enteric Methane'!A1", "3.3.1.1-2 Enteric methane")</f>
        <v>3.3.1.1-2 Enteric methane</v>
      </c>
      <c r="D31" s="120" t="s">
        <v>2008</v>
      </c>
      <c r="E31" s="125" t="s">
        <v>2009</v>
      </c>
      <c r="F31" s="133"/>
      <c r="G31" s="133"/>
      <c r="H31" s="120" t="s">
        <v>862</v>
      </c>
      <c r="I31" s="121" t="s">
        <v>1469</v>
      </c>
      <c r="J31" s="120">
        <f>X_Cell_Electricity_Market_AmountPurchasedExcludingGreenPower</f>
        <v>30000</v>
      </c>
    </row>
    <row r="32" spans="1:11" ht="20.100000000000001" customHeight="1" x14ac:dyDescent="0.2">
      <c r="A32" s="5" t="str">
        <f>HYPERLINK("#'4.3.1.1-2 Methane'!A1", "4.3.1.1-2 Manure methane")</f>
        <v>4.3.1.1-2 Manure methane</v>
      </c>
      <c r="D32" s="120" t="s">
        <v>2017</v>
      </c>
      <c r="E32" s="125" t="s">
        <v>2018</v>
      </c>
      <c r="F32" s="133"/>
      <c r="G32" s="133"/>
      <c r="H32" s="120" t="s">
        <v>1483</v>
      </c>
      <c r="I32" s="121" t="s">
        <v>1469</v>
      </c>
      <c r="J32" s="200">
        <f>X_Cell_Electricity_Market_RenewablePowerPercentage</f>
        <v>0.1</v>
      </c>
    </row>
    <row r="33" spans="1:10" ht="20.100000000000001" customHeight="1" x14ac:dyDescent="0.2">
      <c r="A33" s="5" t="str">
        <f>HYPERLINK("#'4.3.1.3-4 Direct N20'!A1", "4.3.1.3-4 Direct N20")</f>
        <v>4.3.1.3-4 Direct N20</v>
      </c>
      <c r="D33" s="120" t="s">
        <v>2019</v>
      </c>
      <c r="E33" s="125" t="s">
        <v>2020</v>
      </c>
      <c r="F33" s="133"/>
      <c r="G33" s="133"/>
      <c r="H33" s="120" t="s">
        <v>1483</v>
      </c>
      <c r="I33" s="121" t="s">
        <v>1469</v>
      </c>
      <c r="J33" s="200" t="str">
        <f>IF(J37="ACT", X_Cell_Electricity_Market_JurisdictionalRenewablePowerPercentage, "N/A")</f>
        <v>N/A</v>
      </c>
    </row>
    <row r="34" spans="1:10" ht="20.100000000000001" customHeight="1" x14ac:dyDescent="0.2">
      <c r="A34" s="5" t="str">
        <f>HYPERLINK("#'4.3.1.5 Atmos deposition'!A1", "4.3.1.5 Atmos deposition")</f>
        <v>4.3.1.5 Atmos deposition</v>
      </c>
      <c r="D34" s="120" t="s">
        <v>2021</v>
      </c>
      <c r="E34" s="125" t="s">
        <v>2022</v>
      </c>
      <c r="F34" s="133"/>
      <c r="G34" s="133"/>
      <c r="H34" s="120" t="s">
        <v>878</v>
      </c>
      <c r="I34" s="121" t="s">
        <v>1469</v>
      </c>
      <c r="J34" s="120">
        <f>(X_Cell_Electricity_Market_AmountPurchasedGreenPower*10^-3)+X_Cell_TotalElegibleVoluntarilySurrenderedRECs</f>
        <v>20</v>
      </c>
    </row>
    <row r="35" spans="1:10" ht="20.100000000000001" customHeight="1" x14ac:dyDescent="0.2">
      <c r="A35" s="5" t="str">
        <f>HYPERLINK("#'4.3.1.6-7 Leaching and runoff'!A1", "4.3.1.6-7 Leaching &amp; runoff")</f>
        <v>4.3.1.6-7 Leaching &amp; runoff</v>
      </c>
      <c r="D35" s="120" t="s">
        <v>2023</v>
      </c>
      <c r="E35" s="125" t="s">
        <v>2024</v>
      </c>
      <c r="F35" s="133"/>
      <c r="G35" s="133"/>
      <c r="H35" s="120" t="s">
        <v>878</v>
      </c>
      <c r="I35" s="121" t="s">
        <v>1469</v>
      </c>
      <c r="J35" s="120">
        <f>X_Cell_TotalElegibleRECsForElectricityProducedOnSite</f>
        <v>11</v>
      </c>
    </row>
    <row r="36" spans="1:10" ht="20.100000000000001" customHeight="1" x14ac:dyDescent="0.2">
      <c r="A36" s="5" t="str">
        <f>HYPERLINK("#'4.3.1.8 Manure applied to soils'!A1", "4.3.1.8 Manure applied to soils")</f>
        <v>4.3.1.8 Manure applied to soils</v>
      </c>
      <c r="D36" s="120" t="s">
        <v>2025</v>
      </c>
      <c r="E36" s="125" t="s">
        <v>2026</v>
      </c>
      <c r="F36" s="133"/>
      <c r="G36" s="133"/>
      <c r="H36" s="120" t="s">
        <v>2013</v>
      </c>
      <c r="I36" s="128" t="s">
        <v>1501</v>
      </c>
      <c r="J36" s="120" cm="1">
        <f t="array" ref="J36">Table_SourceData_ElectricityEFsMarketBased[Scope 2 EF (kg CO2-e/kWh)]</f>
        <v>0.81</v>
      </c>
    </row>
    <row r="37" spans="1:10" ht="20.100000000000001" customHeight="1" x14ac:dyDescent="0.2">
      <c r="A37" s="5" t="str">
        <f>HYPERLINK("#'4.3.1.9 Soil direct N2O'!A1", "4.3.1.9 Soil direct N2O")</f>
        <v>4.3.1.9 Soil direct N2O</v>
      </c>
      <c r="D37" s="120" t="s">
        <v>1577</v>
      </c>
      <c r="E37" s="125" t="s">
        <v>1578</v>
      </c>
      <c r="F37" s="133"/>
      <c r="G37" s="126"/>
      <c r="H37" s="120"/>
      <c r="I37" s="121" t="s">
        <v>1469</v>
      </c>
      <c r="J37" s="120" t="str">
        <f>X_Cell_Site_State</f>
        <v>Western Australia</v>
      </c>
    </row>
    <row r="38" spans="1:10" ht="20.100000000000001" customHeight="1" x14ac:dyDescent="0.2">
      <c r="A38" s="5" t="str">
        <f>HYPERLINK("#'4.3.1.10-11 Soil Atmos Dep'!A1", "4.3.1.10-11 Soil Atmos Deposition")</f>
        <v>4.3.1.10-11 Soil Atmos Deposition</v>
      </c>
    </row>
    <row r="39" spans="1:10" ht="20.100000000000001" customHeight="1" x14ac:dyDescent="0.2">
      <c r="A39" s="5" t="str">
        <f>HYPERLINK("#'4.3.1.12-13 Soil leach runoff'!A1", "4.3.1.12-13 Soil leach &amp; runoff")</f>
        <v>4.3.1.12-13 Soil leach &amp; runoff</v>
      </c>
      <c r="D39" s="87" t="s">
        <v>891</v>
      </c>
      <c r="E39" s="90">
        <f>(((J31 * (1 - (J32 + (IF(ISNUMBER(J33), J33, 0))))) - ((J34 - J35) * 10 ^ 3)) * J36 * 10 ^ -3)</f>
        <v>14.580000000000002</v>
      </c>
      <c r="F39" s="89" t="str">
        <f>E29</f>
        <v>t CO2e</v>
      </c>
    </row>
    <row r="40" spans="1:10" ht="20.100000000000001" customHeight="1" x14ac:dyDescent="0.2">
      <c r="A40" s="5" t="str">
        <f>HYPERLINK("#'5.1.1.1-2 Inorganic fert N2O'!A1", "5.1.1.1-2 Inorganic fert N2O")</f>
        <v>5.1.1.1-2 Inorganic fert N2O</v>
      </c>
      <c r="H40" s="1" t="s">
        <v>602</v>
      </c>
    </row>
    <row r="41" spans="1:10" ht="20.100000000000001" customHeight="1" x14ac:dyDescent="0.2">
      <c r="A41" s="5" t="str">
        <f>HYPERLINK("#'5.1.1.3-4 Inorganic fert CO2'!A1", "5.1.1.3-4 Inorganic fert CO2")</f>
        <v>5.1.1.3-4 Inorganic fert CO2</v>
      </c>
    </row>
    <row r="42" spans="1:10" ht="20.100000000000001" customHeight="1" x14ac:dyDescent="0.2">
      <c r="A42" s="5" t="str">
        <f>HYPERLINK("#'5.2.1.1-2 Organic Fert N2O'!A1", "5.2.1.1-2 Organic fert N2O")</f>
        <v>5.2.1.1-2 Organic fert N2O</v>
      </c>
    </row>
    <row r="43" spans="1:10" ht="20.100000000000001" customHeight="1" x14ac:dyDescent="0.2">
      <c r="A43" s="5" t="str">
        <f>HYPERLINK("#'5.3.1.1-2 Lime CO2'!A1", "5.3.1.1-2 Lime CO2")</f>
        <v>5.3.1.1-2 Lime CO2</v>
      </c>
    </row>
    <row r="44" spans="1:10" ht="20.100000000000001" customHeight="1" x14ac:dyDescent="0.2">
      <c r="A44" s="5" t="str">
        <f>HYPERLINK("#'5.4.1.1-4 Atmos deposition'!A1", "5.4.1.1-4 Atmos. deposition")</f>
        <v>5.4.1.1-4 Atmos. deposition</v>
      </c>
      <c r="E44" s="160"/>
    </row>
    <row r="45" spans="1:10" ht="20.100000000000001" customHeight="1" x14ac:dyDescent="0.2">
      <c r="A45" s="5" t="str">
        <f>HYPERLINK("#'5.5.1.1-2 Leaching and runoff'!A1", "5.5.1.1-2 Leaching &amp; runoff")</f>
        <v>5.5.1.1-2 Leaching &amp; runoff</v>
      </c>
    </row>
    <row r="46" spans="1:10" ht="20.100000000000001" customHeight="1" x14ac:dyDescent="0.2">
      <c r="A46" s="5" t="str">
        <f>HYPERLINK("#'6.2.1.1-2 Pasture residue N2O'!A1", "6.2.1.1-2 Pasture residue N2O")</f>
        <v>6.2.1.1-2 Pasture residue N2O</v>
      </c>
    </row>
    <row r="47" spans="1:10" ht="20.100000000000001" customHeight="1" x14ac:dyDescent="0.2">
      <c r="A47" s="5" t="str">
        <f>HYPERLINK("#'6.3.1.1-2 Leach runoff pasture'!A1", "6.3.1.1-2 Leach &amp; runoff (pasture)")</f>
        <v>6.3.1.1-2 Leach &amp; runoff (pasture)</v>
      </c>
    </row>
    <row r="48" spans="1:10"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119"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C34F3267-7D04-4427-9E84-2EA2628657F7}"/>
  </dataValidation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E1D1C-90F6-4305-8C5E-F278168FFEE1}">
  <sheetPr>
    <tabColor theme="9" tint="-0.249977111117893"/>
  </sheetPr>
  <dimension ref="A1:AO657"/>
  <sheetViews>
    <sheetView showGridLines="0" zoomScaleNormal="100" workbookViewId="0">
      <pane xSplit="1" topLeftCell="B1" activePane="topRight" state="frozenSplit"/>
      <selection pane="topRight" activeCell="A68" sqref="A68"/>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0" customFormat="1" ht="30" customHeight="1" x14ac:dyDescent="0.35">
      <c r="A1" s="10" t="e" vm="1">
        <v>#VALUE!</v>
      </c>
      <c r="C1" s="20" t="s">
        <v>1305</v>
      </c>
    </row>
    <row r="2" spans="1:41" s="3" customFormat="1" ht="20.100000000000001" customHeight="1" x14ac:dyDescent="0.2">
      <c r="A2"/>
    </row>
    <row r="3" spans="1:4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Emissions Intensity")</f>
        <v>Results - Product Emissions Intensity</v>
      </c>
      <c r="D5" s="2" t="s">
        <v>2027</v>
      </c>
    </row>
    <row r="6" spans="1:41" ht="20.100000000000001" customHeight="1" x14ac:dyDescent="0.2">
      <c r="A6" s="5" t="str">
        <f>HYPERLINK("#'Results'!A1", "Results")</f>
        <v>Results</v>
      </c>
      <c r="D6" s="17" t="s">
        <v>2028</v>
      </c>
    </row>
    <row r="7" spans="1:41" ht="20.100000000000001" customHeight="1" x14ac:dyDescent="0.2">
      <c r="D7" s="118"/>
      <c r="E7" s="118"/>
    </row>
    <row r="9" spans="1:41" ht="20.100000000000001" customHeight="1" x14ac:dyDescent="0.2">
      <c r="A9" s="7" t="s">
        <v>0</v>
      </c>
      <c r="H9" s="118"/>
    </row>
    <row r="10" spans="1:41" ht="20.100000000000001" customHeight="1" x14ac:dyDescent="0.2">
      <c r="A10" s="5" t="str">
        <f>HYPERLINK("#'Input - Enterprise'!A1", "Enterprise")</f>
        <v>Enterprise</v>
      </c>
      <c r="D10" s="76" t="s">
        <v>378</v>
      </c>
      <c r="E10" s="1" t="s">
        <v>1419</v>
      </c>
    </row>
    <row r="11" spans="1:41" ht="20.100000000000001" customHeight="1" x14ac:dyDescent="0.2">
      <c r="A11" s="5" t="str">
        <f>HYPERLINK("#'Input - Site'!A1", "Site")</f>
        <v>Site</v>
      </c>
      <c r="D11" s="76" t="s">
        <v>118</v>
      </c>
      <c r="E11" s="9" t="s">
        <v>6</v>
      </c>
    </row>
    <row r="12" spans="1:41" ht="20.100000000000001" customHeight="1" x14ac:dyDescent="0.2">
      <c r="A12" s="5" t="str">
        <f>HYPERLINK("#'Input - Dairy'!A1", "Dairy")</f>
        <v>Dairy</v>
      </c>
    </row>
    <row r="13" spans="1:41" ht="20.100000000000001" customHeight="1" x14ac:dyDescent="0.2">
      <c r="A13" s="5" t="str">
        <f>HYPERLINK("#'Input - Livestock sales'!A1", "Livestock sales")</f>
        <v>Livestock sales</v>
      </c>
      <c r="D13" s="120" t="s">
        <v>2029</v>
      </c>
      <c r="E13" s="125" t="s">
        <v>2030</v>
      </c>
      <c r="F13" s="126"/>
      <c r="G13" s="120" t="s">
        <v>335</v>
      </c>
      <c r="H13" s="269" t="s">
        <v>1469</v>
      </c>
    </row>
    <row r="14" spans="1:41" ht="20.100000000000001" customHeight="1" x14ac:dyDescent="0.2">
      <c r="A14" s="5" t="str">
        <f>HYPERLINK("#'Input - Dairy cattle purchases'!A1", "Dairy cattle purchases")</f>
        <v>Dairy cattle purchases</v>
      </c>
      <c r="D14" s="120" t="s">
        <v>2031</v>
      </c>
      <c r="E14" s="125" t="s">
        <v>2032</v>
      </c>
      <c r="F14" s="126"/>
      <c r="G14" s="120" t="s">
        <v>339</v>
      </c>
      <c r="H14" s="269" t="s">
        <v>1469</v>
      </c>
    </row>
    <row r="15" spans="1:41" ht="20.100000000000001" customHeight="1" x14ac:dyDescent="0.2">
      <c r="A15" s="5" t="str">
        <f>HYPERLINK("#'Input - Pasture'!A1", "Pasture")</f>
        <v>Pasture</v>
      </c>
      <c r="D15" s="120" t="s">
        <v>2033</v>
      </c>
      <c r="E15" s="125" t="s">
        <v>2034</v>
      </c>
      <c r="F15" s="126"/>
      <c r="G15" s="120" t="s">
        <v>2038</v>
      </c>
      <c r="H15" s="128" t="s">
        <v>1501</v>
      </c>
    </row>
    <row r="16" spans="1:41" ht="20.100000000000001" customHeight="1" x14ac:dyDescent="0.2">
      <c r="A16" s="5" t="str">
        <f>HYPERLINK("#'Input - Fert Prod System'!A1", "Fert Prod System")</f>
        <v>Fert Prod System</v>
      </c>
      <c r="D16" s="120" t="s">
        <v>1776</v>
      </c>
      <c r="E16" s="125" t="s">
        <v>2035</v>
      </c>
      <c r="F16" s="126"/>
      <c r="G16" s="120"/>
      <c r="H16" s="269" t="s">
        <v>1469</v>
      </c>
    </row>
    <row r="17" spans="1:16" ht="20.100000000000001" customHeight="1" x14ac:dyDescent="0.2">
      <c r="A17" s="5" t="str">
        <f>HYPERLINK("#'Input - Fertiliser'!A1", "Fertiliser")</f>
        <v>Fertiliser</v>
      </c>
      <c r="D17" s="120" t="s">
        <v>2036</v>
      </c>
      <c r="E17" s="125" t="s">
        <v>2037</v>
      </c>
      <c r="F17" s="126"/>
      <c r="G17" s="120"/>
      <c r="H17" s="269" t="s">
        <v>1469</v>
      </c>
    </row>
    <row r="18" spans="1:16" ht="20.100000000000001" customHeight="1" x14ac:dyDescent="0.2">
      <c r="A18" s="5" t="str">
        <f>HYPERLINK("#'Input - Fuel'!A1", "Fuel")</f>
        <v>Fuel</v>
      </c>
    </row>
    <row r="19" spans="1:16" ht="20.100000000000001" customHeight="1" x14ac:dyDescent="0.2">
      <c r="A19" s="5" t="str">
        <f>HYPERLINK("#'Input - Electricity'!A1", "Electricity")</f>
        <v>Electricity</v>
      </c>
      <c r="D19" s="35" t="s">
        <v>1306</v>
      </c>
      <c r="E19" s="37"/>
      <c r="F19" s="38"/>
    </row>
    <row r="20" spans="1:16" ht="20.100000000000001" customHeight="1" x14ac:dyDescent="0.2">
      <c r="A20" s="5" t="str">
        <f>HYPERLINK("#'Input - Common farm inputs'!A1", "Common farm inputs")</f>
        <v>Common farm inputs</v>
      </c>
    </row>
    <row r="21" spans="1:16" ht="20.100000000000001" customHeight="1" x14ac:dyDescent="0.2">
      <c r="A21" s="5" t="str">
        <f>HYPERLINK("#'Input - Crop pasture farm input'!A1", "Crop pasture farm input")</f>
        <v>Crop pasture farm input</v>
      </c>
      <c r="D21" s="261" t="s">
        <v>1307</v>
      </c>
    </row>
    <row r="22" spans="1:16" ht="20.100000000000001" customHeight="1" x14ac:dyDescent="0.2">
      <c r="A22" s="5" t="str">
        <f>HYPERLINK("#'Input - Livestock farm Inputs'!A1", "Livestock farm Inputs")</f>
        <v>Livestock farm Inputs</v>
      </c>
      <c r="D22" s="81" t="s">
        <v>1308</v>
      </c>
      <c r="E22" s="270" t="s">
        <v>1309</v>
      </c>
      <c r="F22" s="270" t="s">
        <v>1310</v>
      </c>
      <c r="G22" s="270" t="s">
        <v>1311</v>
      </c>
      <c r="H22" s="270" t="s">
        <v>1312</v>
      </c>
      <c r="I22" s="124" t="s">
        <v>1313</v>
      </c>
      <c r="J22" s="124" t="s">
        <v>1314</v>
      </c>
      <c r="K22" s="270" t="s">
        <v>1315</v>
      </c>
      <c r="L22" s="81" t="s">
        <v>1316</v>
      </c>
      <c r="M22" s="124" t="s">
        <v>1317</v>
      </c>
      <c r="N22" s="81" t="s">
        <v>1318</v>
      </c>
      <c r="O22" s="81" t="s">
        <v>1319</v>
      </c>
      <c r="P22" s="81" t="s">
        <v>1320</v>
      </c>
    </row>
    <row r="23" spans="1:16" ht="20.100000000000001" customHeight="1" x14ac:dyDescent="0.2">
      <c r="A23" s="5" t="str">
        <f>HYPERLINK("#'Input - Freight'!A1", "Freight")</f>
        <v>Freight</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46">
        <f>((G23 * H23 * I23) * 10 ^ -3)</f>
        <v>0</v>
      </c>
      <c r="K23" s="15"/>
      <c r="L23" s="75">
        <v>20</v>
      </c>
      <c r="M23" s="246">
        <f>((G23 * K23 * (IF(L23, L23, I23))) * 10 ^ -3)</f>
        <v>0</v>
      </c>
      <c r="N23" s="33" t="s">
        <v>1321</v>
      </c>
      <c r="O23" s="13" t="s">
        <v>1322</v>
      </c>
      <c r="P23" t="s">
        <v>1323</v>
      </c>
    </row>
    <row r="24" spans="1:16" ht="20.100000000000001" customHeight="1" x14ac:dyDescent="0.2">
      <c r="A24" s="5" t="str">
        <f>HYPERLINK("#'Input - Solid waste'!A1", "Solid waste")</f>
        <v>Solid waste</v>
      </c>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46">
        <f>((G24 * H24 * I24) * 10 ^ -3)</f>
        <v>0</v>
      </c>
      <c r="K24" s="15"/>
      <c r="L24" s="75">
        <v>13</v>
      </c>
      <c r="M24" s="246">
        <f>((G24 * K24 * (IF(L24, L24, I24))) * 10 ^ -3)</f>
        <v>0</v>
      </c>
      <c r="N24" s="33"/>
      <c r="O24" s="13"/>
      <c r="P24" s="33"/>
    </row>
    <row r="25" spans="1:16" ht="20.100000000000001" customHeight="1" x14ac:dyDescent="0.2">
      <c r="A25" s="5" t="str">
        <f>HYPERLINK("#'Input - Manure sent off-site'!A1", "Manure sent off-site")</f>
        <v>Manure sent off-site</v>
      </c>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46">
        <f>((G25 * H25 * I25) * 10 ^ -3)</f>
        <v>0</v>
      </c>
      <c r="K25" s="15"/>
      <c r="L25" s="75"/>
      <c r="M25" s="246">
        <f>((G25 * K25 * (IF(L25, L25, I25))) * 10 ^ -3)</f>
        <v>0</v>
      </c>
      <c r="N25" s="33"/>
      <c r="O25" s="13"/>
      <c r="P25" s="33"/>
    </row>
    <row r="26" spans="1:16" ht="20.100000000000001" customHeight="1" x14ac:dyDescent="0.2">
      <c r="A26" s="5" t="str">
        <f>HYPERLINK("#'Input - Refrigerants'!A1", "Refrigerants")</f>
        <v>Refrigerants</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46">
        <f>((G26 * H26 * I26) * 10 ^ -3)</f>
        <v>0</v>
      </c>
      <c r="K26" s="15"/>
      <c r="L26" s="75"/>
      <c r="M26" s="246">
        <f>((G26 * K26 * (IF(L26, L26, I26))) * 10 ^ -3)</f>
        <v>0</v>
      </c>
      <c r="N26" s="33"/>
      <c r="O26" s="13"/>
      <c r="P26" s="33"/>
    </row>
    <row r="27" spans="1:16" ht="20.100000000000001" customHeight="1" x14ac:dyDescent="0.2">
      <c r="A27" s="5" t="str">
        <f>HYPERLINK("#'Input - Data quality'!A1", "Data quality")</f>
        <v>Data quality</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46">
        <f>((G27 * H27 * I27) * 10 ^ -3)</f>
        <v>0</v>
      </c>
      <c r="K27" s="15"/>
      <c r="L27" s="75"/>
      <c r="M27" s="246">
        <f>((G27 * K27 * (IF(L27, L27, I27))) * 10 ^ -3)</f>
        <v>0</v>
      </c>
      <c r="N27" s="33"/>
      <c r="O27" s="13"/>
      <c r="P27" s="33"/>
    </row>
    <row r="28" spans="1:16" ht="20.100000000000001" customHeight="1" x14ac:dyDescent="0.2">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46">
        <f>((G28 * H28 * I28) * 10 ^ -3)</f>
        <v>0</v>
      </c>
      <c r="K28" s="15"/>
      <c r="L28" s="75"/>
      <c r="M28" s="246">
        <f>((G28 * K28 * (IF(L28, L28, I28))) * 10 ^ -3)</f>
        <v>0</v>
      </c>
      <c r="N28" s="33"/>
      <c r="O28" s="13"/>
      <c r="P28" s="33"/>
    </row>
    <row r="29" spans="1:16" ht="20.100000000000001" customHeight="1" x14ac:dyDescent="0.2">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46">
        <f>((G29 * H29 * I29) * 10 ^ -3)</f>
        <v>0</v>
      </c>
      <c r="K29" s="15"/>
      <c r="L29" s="75"/>
      <c r="M29" s="246">
        <f>((G29 * K29 * (IF(L29, L29, I29))) * 10 ^ -3)</f>
        <v>0</v>
      </c>
      <c r="N29" s="33"/>
      <c r="O29" s="13"/>
      <c r="P29" s="33"/>
    </row>
    <row r="30" spans="1:16" ht="20.100000000000001" customHeight="1" x14ac:dyDescent="0.2">
      <c r="A30" s="6" t="s">
        <v>2</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46">
        <f>((G30 * H30 * I30) * 10 ^ -3)</f>
        <v>0</v>
      </c>
      <c r="K30" s="15"/>
      <c r="L30" s="75"/>
      <c r="M30" s="246">
        <f>((G30 * K30 * (IF(L30, L30, I30))) * 10 ^ -3)</f>
        <v>0</v>
      </c>
      <c r="N30" s="33"/>
      <c r="O30" s="13"/>
      <c r="P30" s="33"/>
    </row>
    <row r="31" spans="1:16" ht="20.100000000000001" customHeight="1" x14ac:dyDescent="0.2">
      <c r="A31" s="5" t="str">
        <f>HYPERLINK("#'3.3.1.1-2 Enteric Methane'!A1", "3.3.1.1-2 Enteric methane")</f>
        <v>3.3.1.1-2 Enteric methane</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46">
        <f>((G31 * H31 * I31) * 10 ^ -3)</f>
        <v>0</v>
      </c>
      <c r="K31" s="15"/>
      <c r="L31" s="75"/>
      <c r="M31" s="246">
        <f>((G31 * K31 * (IF(L31, L31, I31))) * 10 ^ -3)</f>
        <v>0</v>
      </c>
      <c r="N31" s="33"/>
      <c r="O31" s="13"/>
      <c r="P31" s="33"/>
    </row>
    <row r="32" spans="1:16" ht="20.100000000000001" customHeight="1" x14ac:dyDescent="0.2">
      <c r="A32" s="5" t="str">
        <f>HYPERLINK("#'4.3.1.1-2 Methane'!A1", "4.3.1.1-2 Manure methane")</f>
        <v>4.3.1.1-2 Manure methane</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46">
        <f>((G32 * H32 * I32) * 10 ^ -3)</f>
        <v>0</v>
      </c>
      <c r="K32" s="15"/>
      <c r="L32" s="75"/>
      <c r="M32" s="246">
        <f>((G32 * K32 * (IF(L32, L32, I32))) * 10 ^ -3)</f>
        <v>0</v>
      </c>
      <c r="N32" s="33"/>
      <c r="O32" s="13"/>
      <c r="P32" s="33"/>
    </row>
    <row r="33" spans="1:13" ht="20.100000000000001" customHeight="1" x14ac:dyDescent="0.2">
      <c r="A33" s="5" t="str">
        <f>HYPERLINK("#'4.3.1.3-4 Direct N20'!A1", "4.3.1.3-4 Direct N20")</f>
        <v>4.3.1.3-4 Direct N20</v>
      </c>
    </row>
    <row r="34" spans="1:13" ht="20.100000000000001" customHeight="1" x14ac:dyDescent="0.2">
      <c r="A34" s="5" t="str">
        <f>HYPERLINK("#'4.3.1.5 Atmos deposition'!A1", "4.3.1.5 Atmos deposition")</f>
        <v>4.3.1.5 Atmos deposition</v>
      </c>
      <c r="D34" s="92" t="s">
        <v>1324</v>
      </c>
      <c r="E34" s="88">
        <f>SUM(J23:J32)</f>
        <v>0</v>
      </c>
      <c r="F34" s="93" t="str">
        <f>$E$11</f>
        <v>t CO2e</v>
      </c>
    </row>
    <row r="35" spans="1:13" ht="20.100000000000001" customHeight="1" x14ac:dyDescent="0.2">
      <c r="A35" s="5" t="str">
        <f>HYPERLINK("#'4.3.1.6-7 Leaching and runoff'!A1", "4.3.1.6-7 Leaching &amp; runoff")</f>
        <v>4.3.1.6-7 Leaching &amp; runoff</v>
      </c>
      <c r="D35" s="92" t="s">
        <v>1325</v>
      </c>
      <c r="E35" s="88">
        <f>SUM(M23:M32)</f>
        <v>0</v>
      </c>
      <c r="F35" s="93" t="str">
        <f>$E$11</f>
        <v>t CO2e</v>
      </c>
    </row>
    <row r="36" spans="1:13" ht="20.100000000000001" customHeight="1" x14ac:dyDescent="0.2">
      <c r="A36" s="5" t="str">
        <f>HYPERLINK("#'4.3.1.8 Manure applied to soils'!A1", "4.3.1.8 Manure applied to soils")</f>
        <v>4.3.1.8 Manure applied to soils</v>
      </c>
    </row>
    <row r="37" spans="1:13" ht="20.100000000000001" customHeight="1" x14ac:dyDescent="0.2">
      <c r="A37" s="5" t="str">
        <f>HYPERLINK("#'4.3.1.9 Soil direct N2O'!A1", "4.3.1.9 Soil direct N2O")</f>
        <v>4.3.1.9 Soil direct N2O</v>
      </c>
    </row>
    <row r="38" spans="1:13" ht="20.100000000000001" customHeight="1" x14ac:dyDescent="0.2">
      <c r="A38" s="5" t="str">
        <f>HYPERLINK("#'4.3.1.10-11 Soil Atmos Dep'!A1", "4.3.1.10-11 Soil Atmos Deposition")</f>
        <v>4.3.1.10-11 Soil Atmos Deposition</v>
      </c>
      <c r="D38" s="261" t="s">
        <v>308</v>
      </c>
    </row>
    <row r="39" spans="1:13" ht="20.100000000000001" customHeight="1" x14ac:dyDescent="0.2">
      <c r="A39" s="5" t="str">
        <f>HYPERLINK("#'4.3.1.12-13 Soil leach runoff'!A1", "4.3.1.12-13 Soil leach &amp; runoff")</f>
        <v>4.3.1.12-13 Soil leach &amp; runoff</v>
      </c>
      <c r="D39" s="120" t="s">
        <v>1326</v>
      </c>
      <c r="E39" s="15" cm="1">
        <f t="array" ref="E39">Common_InputFunctions.Utility_LookupValueInTableNumber("Dairy cows", Table_SourceData_Scope3_Animals[Product],Table_SourceData_Scope3_Animals[Emissions intensity])</f>
        <v>4.41</v>
      </c>
    </row>
    <row r="40" spans="1:13" ht="20.100000000000001" customHeight="1" x14ac:dyDescent="0.2">
      <c r="A40" s="5" t="str">
        <f>HYPERLINK("#'5.1.1.1-2 Inorganic fert N2O'!A1", "5.1.1.1-2 Inorganic fert N2O")</f>
        <v>5.1.1.1-2 Inorganic fert N2O</v>
      </c>
    </row>
    <row r="41" spans="1:13" ht="20.100000000000001" customHeight="1" x14ac:dyDescent="0.2">
      <c r="A41" s="5" t="str">
        <f>HYPERLINK("#'5.1.1.3-4 Inorganic fert CO2'!A1", "5.1.1.3-4 Inorganic fert CO2")</f>
        <v>5.1.1.3-4 Inorganic fert CO2</v>
      </c>
      <c r="D41" s="81" t="s">
        <v>1308</v>
      </c>
      <c r="E41" s="270" t="s">
        <v>1311</v>
      </c>
      <c r="F41" s="270" t="s">
        <v>1312</v>
      </c>
      <c r="G41" s="124" t="s">
        <v>1314</v>
      </c>
      <c r="H41" s="270" t="s">
        <v>1315</v>
      </c>
      <c r="I41" s="81" t="s">
        <v>1316</v>
      </c>
      <c r="J41" s="124" t="s">
        <v>1317</v>
      </c>
      <c r="K41" s="81" t="s">
        <v>1318</v>
      </c>
      <c r="L41" s="81" t="s">
        <v>1319</v>
      </c>
      <c r="M41" s="81" t="s">
        <v>1320</v>
      </c>
    </row>
    <row r="42" spans="1:13" ht="20.100000000000001" customHeight="1" x14ac:dyDescent="0.2">
      <c r="A42" s="5" t="str">
        <f>HYPERLINK("#'5.2.1.1-2 Organic Fert N2O'!A1", "5.2.1.1-2 Organic fert N2O")</f>
        <v>5.2.1.1-2 Organic fert N2O</v>
      </c>
      <c r="D42" s="15" t="str" cm="1">
        <f t="array" ref="D42:D51">IFERROR(INDEX(Table_Input_LivestockPurchases_Dairy[Transaction name], _xlfn.SEQUENCE(10)), "")</f>
        <v>Dairy cows from Denise</v>
      </c>
      <c r="E42" s="15" cm="1">
        <f t="array" ref="E42:E51">IFERROR(INDEX(Table_Input_LivestockPurchases_Dairy[Quantity (head)], _xlfn.SEQUENCE(10)), 0)</f>
        <v>100</v>
      </c>
      <c r="F42" s="15" cm="1">
        <f t="array" ref="F42:F51">IFERROR(INDEX(Table_Input_LivestockPurchases_Dairy[Liveweight (kg/head) Method 1], _xlfn.SEQUENCE(10)), 0)</f>
        <v>130</v>
      </c>
      <c r="G42" s="246">
        <f>((E42 * F42 * $E$39) * 10 ^ -3)</f>
        <v>57.33</v>
      </c>
      <c r="H42" s="15" cm="1">
        <f t="array" ref="H42:H51">IFERROR(INDEX(Table_Input_LivestockPurchases_Dairy[Liveweight (kg/head) Method 2], _xlfn.SEQUENCE(10)), "")</f>
        <v>350</v>
      </c>
      <c r="I42" s="75">
        <v>4</v>
      </c>
      <c r="J42" s="246">
        <f>((E42 * H42 * (IF(I42,I42,$E$39))) * 10 ^ -3)</f>
        <v>140</v>
      </c>
      <c r="K42" s="33" t="s">
        <v>1321</v>
      </c>
      <c r="L42" s="13" t="s">
        <v>1322</v>
      </c>
      <c r="M42" t="s">
        <v>1323</v>
      </c>
    </row>
    <row r="43" spans="1:13" ht="20.100000000000001" customHeight="1" x14ac:dyDescent="0.2">
      <c r="A43" s="5" t="str">
        <f>HYPERLINK("#'5.3.1.1-2 Lime CO2'!A1", "5.3.1.1-2 Lime CO2")</f>
        <v>5.3.1.1-2 Lime CO2</v>
      </c>
      <c r="D43" s="15">
        <v>0</v>
      </c>
      <c r="E43" s="15">
        <v>100</v>
      </c>
      <c r="F43" s="15">
        <v>540</v>
      </c>
      <c r="G43" s="246">
        <f>((E43 * F43 * $E$39) * 10 ^ -3)</f>
        <v>238.14000000000001</v>
      </c>
      <c r="H43" s="15">
        <v>625</v>
      </c>
      <c r="I43" s="75"/>
      <c r="J43" s="246">
        <f>((E43 * H43 * (IF(I43,I43,$E$39))) * 10 ^ -3)</f>
        <v>275.625</v>
      </c>
      <c r="K43" s="33"/>
      <c r="L43" s="13"/>
      <c r="M43" s="33"/>
    </row>
    <row r="44" spans="1:13" ht="20.100000000000001" customHeight="1" x14ac:dyDescent="0.2">
      <c r="A44" s="5" t="str">
        <f>HYPERLINK("#'5.4.1.1-4 Atmos deposition'!A1", "5.4.1.1-4 Atmos. deposition")</f>
        <v>5.4.1.1-4 Atmos. deposition</v>
      </c>
      <c r="D44" s="15">
        <v>0</v>
      </c>
      <c r="E44" s="15">
        <v>0</v>
      </c>
      <c r="F44" s="15">
        <v>315</v>
      </c>
      <c r="G44" s="246">
        <f>((E44 * F44 * $E$39) * 10 ^ -3)</f>
        <v>0</v>
      </c>
      <c r="H44" s="15">
        <v>0</v>
      </c>
      <c r="I44" s="75"/>
      <c r="J44" s="246">
        <f>((E44 * H44 * (IF(I44,I44,$E$39))) * 10 ^ -3)</f>
        <v>0</v>
      </c>
      <c r="K44" s="33"/>
      <c r="L44" s="13"/>
      <c r="M44" s="33"/>
    </row>
    <row r="45" spans="1:13" ht="20.100000000000001" customHeight="1" x14ac:dyDescent="0.2">
      <c r="A45" s="5" t="str">
        <f>HYPERLINK("#'5.5.1.1-2 Leaching and runoff'!A1", "5.5.1.1-2 Leaching &amp; runoff")</f>
        <v>5.5.1.1-2 Leaching &amp; runoff</v>
      </c>
      <c r="D45" s="15">
        <v>0</v>
      </c>
      <c r="E45" s="15">
        <v>0</v>
      </c>
      <c r="F45" s="15">
        <v>0</v>
      </c>
      <c r="G45" s="246">
        <f>((E45 * F45 * $E$39) * 10 ^ -3)</f>
        <v>0</v>
      </c>
      <c r="H45" s="15">
        <v>0</v>
      </c>
      <c r="I45" s="75"/>
      <c r="J45" s="246">
        <f>((E45 * H45 * (IF(I45,I45,$E$39))) * 10 ^ -3)</f>
        <v>0</v>
      </c>
      <c r="K45" s="33"/>
      <c r="L45" s="13"/>
      <c r="M45" s="33"/>
    </row>
    <row r="46" spans="1:13" ht="20.100000000000001" customHeight="1" x14ac:dyDescent="0.2">
      <c r="A46" s="5" t="str">
        <f>HYPERLINK("#'6.2.1.1-2 Pasture residue N2O'!A1", "6.2.1.1-2 Pasture residue N2O")</f>
        <v>6.2.1.1-2 Pasture residue N2O</v>
      </c>
      <c r="D46" s="15">
        <v>0</v>
      </c>
      <c r="E46" s="15">
        <v>0</v>
      </c>
      <c r="F46" s="15">
        <v>0</v>
      </c>
      <c r="G46" s="246">
        <f>((E46 * F46 * $E$39) * 10 ^ -3)</f>
        <v>0</v>
      </c>
      <c r="H46" s="15">
        <v>0</v>
      </c>
      <c r="I46" s="75"/>
      <c r="J46" s="246">
        <f>((E46 * H46 * (IF(I46,I46,$E$39))) * 10 ^ -3)</f>
        <v>0</v>
      </c>
      <c r="K46" s="33"/>
      <c r="L46" s="13"/>
      <c r="M46" s="33"/>
    </row>
    <row r="47" spans="1:13" ht="20.100000000000001" customHeight="1" x14ac:dyDescent="0.2">
      <c r="A47" s="5" t="str">
        <f>HYPERLINK("#'6.3.1.1-2 Leach runoff pasture'!A1", "6.3.1.1-2 Leach &amp; runoff (pasture)")</f>
        <v>6.3.1.1-2 Leach &amp; runoff (pasture)</v>
      </c>
      <c r="D47" s="15">
        <v>0</v>
      </c>
      <c r="E47" s="15">
        <v>0</v>
      </c>
      <c r="F47" s="15">
        <v>0</v>
      </c>
      <c r="G47" s="246">
        <f>((E47 * F47 * $E$39) * 10 ^ -3)</f>
        <v>0</v>
      </c>
      <c r="H47" s="15">
        <v>0</v>
      </c>
      <c r="I47" s="75"/>
      <c r="J47" s="246">
        <f>((E47 * H47 * (IF(I47,I47,$E$39))) * 10 ^ -3)</f>
        <v>0</v>
      </c>
      <c r="K47" s="33"/>
      <c r="L47" s="13"/>
      <c r="M47" s="33"/>
    </row>
    <row r="48" spans="1:13" ht="20.100000000000001" customHeight="1" x14ac:dyDescent="0.2">
      <c r="A48" s="5" t="str">
        <f>HYPERLINK("#'8.1.1.1-2 Transport fuel'!A1", "8.1.1.1-2 Transport fuel")</f>
        <v>8.1.1.1-2 Transport fuel</v>
      </c>
      <c r="D48" s="15">
        <v>0</v>
      </c>
      <c r="E48" s="15">
        <v>0</v>
      </c>
      <c r="F48" s="15">
        <v>0</v>
      </c>
      <c r="G48" s="246">
        <f>((E48 * F48 * $E$39) * 10 ^ -3)</f>
        <v>0</v>
      </c>
      <c r="H48" s="15">
        <v>0</v>
      </c>
      <c r="I48" s="75"/>
      <c r="J48" s="246">
        <f>((E48 * H48 * (IF(I48,I48,$E$39))) * 10 ^ -3)</f>
        <v>0</v>
      </c>
      <c r="K48" s="33"/>
      <c r="L48" s="13"/>
      <c r="M48" s="33"/>
    </row>
    <row r="49" spans="1:13" ht="20.100000000000001" customHeight="1" x14ac:dyDescent="0.2">
      <c r="A49" s="5" t="str">
        <f>HYPERLINK("#'8.2.1.1-2 Stationary fuel'!A1", "8.2.1.1-2 Stationary fuel")</f>
        <v>8.2.1.1-2 Stationary fuel</v>
      </c>
      <c r="D49" s="15">
        <v>0</v>
      </c>
      <c r="E49" s="15">
        <v>0</v>
      </c>
      <c r="F49" s="15">
        <v>0</v>
      </c>
      <c r="G49" s="246">
        <f>((E49 * F49 * $E$39) * 10 ^ -3)</f>
        <v>0</v>
      </c>
      <c r="H49" s="15">
        <v>0</v>
      </c>
      <c r="I49" s="75"/>
      <c r="J49" s="246">
        <f>((E49 * H49 * (IF(I49,I49,$E$39))) * 10 ^ -3)</f>
        <v>0</v>
      </c>
      <c r="K49" s="33"/>
      <c r="L49" s="13"/>
      <c r="M49" s="33"/>
    </row>
    <row r="50" spans="1:13" ht="20.100000000000001" customHeight="1" x14ac:dyDescent="0.2">
      <c r="A50" s="5" t="str">
        <f>HYPERLINK("#'9.1.1.1-2 Refrigerant use'!A1", "9.1.1.1-2 Refrigerant use")</f>
        <v>9.1.1.1-2 Refrigerant use</v>
      </c>
      <c r="D50" s="15">
        <v>0</v>
      </c>
      <c r="E50" s="15">
        <v>0</v>
      </c>
      <c r="F50" s="15">
        <v>0</v>
      </c>
      <c r="G50" s="246">
        <f>((E50 * F50 * $E$39) * 10 ^ -3)</f>
        <v>0</v>
      </c>
      <c r="H50" s="15">
        <v>0</v>
      </c>
      <c r="I50" s="75"/>
      <c r="J50" s="246">
        <f>((E50 * H50 * (IF(I50,I50,$E$39))) * 10 ^ -3)</f>
        <v>0</v>
      </c>
      <c r="K50" s="33"/>
      <c r="L50" s="13"/>
      <c r="M50" s="33"/>
    </row>
    <row r="51" spans="1:13" ht="20.100000000000001" customHeight="1" x14ac:dyDescent="0.2">
      <c r="A51" s="5" t="str">
        <f>HYPERLINK("#'10.1.1-2 Solid waste treatment'!A1", "10.1.1.1-2 Solid waste")</f>
        <v>10.1.1.1-2 Solid waste</v>
      </c>
      <c r="D51" s="15">
        <v>0</v>
      </c>
      <c r="E51" s="15">
        <v>0</v>
      </c>
      <c r="F51" s="15">
        <v>0</v>
      </c>
      <c r="G51" s="246">
        <f>((E51 * F51 * $E$39) * 10 ^ -3)</f>
        <v>0</v>
      </c>
      <c r="H51" s="15">
        <v>0</v>
      </c>
      <c r="I51" s="75"/>
      <c r="J51" s="246">
        <f>((E51 * H51 * (IF(I51,I51,$E$39))) * 10 ^ -3)</f>
        <v>0</v>
      </c>
      <c r="K51" s="33"/>
      <c r="L51" s="13"/>
      <c r="M51" s="33"/>
    </row>
    <row r="52" spans="1:13" ht="20.100000000000001" customHeight="1" x14ac:dyDescent="0.2">
      <c r="A52" s="5" t="str">
        <f>HYPERLINK("#'14.1.1-2 Purchased electricity'!A1", "14.1.1-2 Purchased electricity")</f>
        <v>14.1.1-2 Purchased electricity</v>
      </c>
    </row>
    <row r="53" spans="1:13" ht="20.100000000000001" customHeight="1" x14ac:dyDescent="0.2">
      <c r="A53" s="119" t="str">
        <f>HYPERLINK("#'15 Scope 3'!A1", "15 Scope 3")</f>
        <v>15 Scope 3</v>
      </c>
      <c r="D53" s="92" t="s">
        <v>1327</v>
      </c>
      <c r="E53" s="88">
        <f>SUM(G42:G51)</f>
        <v>295.47000000000003</v>
      </c>
      <c r="F53" s="93" t="str">
        <f>$E$11</f>
        <v>t CO2e</v>
      </c>
    </row>
    <row r="54" spans="1:13" ht="20.100000000000001" customHeight="1" x14ac:dyDescent="0.2">
      <c r="A54" s="5" t="str">
        <f>HYPERLINK("#'Calcs - Manure sent off-site'!A1", "Calcs - Manure sent off-site")</f>
        <v>Calcs - Manure sent off-site</v>
      </c>
      <c r="D54" s="92" t="s">
        <v>1328</v>
      </c>
      <c r="E54" s="88">
        <f>SUM(J42:J51)</f>
        <v>415.625</v>
      </c>
      <c r="F54" s="93" t="str">
        <f>$E$11</f>
        <v>t CO2e</v>
      </c>
    </row>
    <row r="57" spans="1:13" ht="20.100000000000001" customHeight="1" x14ac:dyDescent="0.2">
      <c r="A57" s="82" t="s">
        <v>1</v>
      </c>
      <c r="D57" s="261" t="s">
        <v>1329</v>
      </c>
    </row>
    <row r="58" spans="1:13" ht="20.100000000000001" customHeight="1" x14ac:dyDescent="0.2">
      <c r="A58" s="5" t="str">
        <f>HYPERLINK("#'Constants - Dairy'!A1", "Constants - Dairy")</f>
        <v>Constants - Dairy</v>
      </c>
      <c r="D58" s="120" t="s">
        <v>1326</v>
      </c>
      <c r="E58" s="15" cm="1">
        <f t="array" ref="E58">Common_InputFunctions.Utility_LookupValueInTableNumber("Pigs", Table_SourceData_Scope3_Animals[Product],Table_SourceData_Scope3_Animals[Emissions intensity])</f>
        <v>3.38</v>
      </c>
    </row>
    <row r="59" spans="1:13" ht="20.100000000000001" customHeight="1" x14ac:dyDescent="0.2">
      <c r="A59" s="5" t="str">
        <f>HYPERLINK("#'Constants - Ag Residue'!A1", "Constants - Ag residue")</f>
        <v>Constants - Ag residue</v>
      </c>
    </row>
    <row r="60" spans="1:13" ht="20.100000000000001" customHeight="1" x14ac:dyDescent="0.2">
      <c r="A60" s="5" t="str">
        <f>HYPERLINK("#'Constants - Common Livestock'!A1", "Constants - Common Livestock")</f>
        <v>Constants - Common Livestock</v>
      </c>
      <c r="D60" s="81" t="s">
        <v>1308</v>
      </c>
      <c r="E60" s="270" t="s">
        <v>1311</v>
      </c>
      <c r="F60" s="270" t="s">
        <v>1312</v>
      </c>
      <c r="G60" s="124" t="s">
        <v>1314</v>
      </c>
      <c r="H60" s="270" t="s">
        <v>1315</v>
      </c>
      <c r="I60" s="81" t="s">
        <v>1316</v>
      </c>
      <c r="J60" s="124" t="s">
        <v>1317</v>
      </c>
      <c r="K60" s="81" t="s">
        <v>1318</v>
      </c>
      <c r="L60" s="81" t="s">
        <v>1319</v>
      </c>
      <c r="M60" s="81" t="s">
        <v>1320</v>
      </c>
    </row>
    <row r="61" spans="1:13" ht="20.100000000000001" customHeight="1" x14ac:dyDescent="0.2">
      <c r="A61" s="5" t="str">
        <f>HYPERLINK("#'Constants - Electricity'!A1", "Constants - Electricity")</f>
        <v>Constants - Electricity</v>
      </c>
      <c r="D61" s="15"/>
      <c r="E61" s="15"/>
      <c r="F61" s="15"/>
      <c r="G61" s="246">
        <f>((E61 * F61 * $E$58) * 10 ^ -3)</f>
        <v>0</v>
      </c>
      <c r="H61" s="15"/>
      <c r="I61" s="75">
        <v>3.38</v>
      </c>
      <c r="J61" s="246">
        <f>((E61 * H61 * (IF(I61, I61,$E$58))) * 10 ^ -3)</f>
        <v>0</v>
      </c>
      <c r="K61" s="33"/>
      <c r="L61" s="13"/>
      <c r="M61"/>
    </row>
    <row r="62" spans="1:13" ht="20.100000000000001" customHeight="1" x14ac:dyDescent="0.2">
      <c r="A62" s="5" t="str">
        <f>HYPERLINK("#'Constants - Fertiliser'!A1", "Constants - Fertiliser")</f>
        <v>Constants - Fertiliser</v>
      </c>
      <c r="D62" s="15"/>
      <c r="E62" s="15"/>
      <c r="F62" s="15"/>
      <c r="G62" s="246">
        <f>((E62 * F62 * $E$58) * 10 ^ -3)</f>
        <v>0</v>
      </c>
      <c r="H62" s="15"/>
      <c r="I62" s="75">
        <v>3.3</v>
      </c>
      <c r="J62" s="246">
        <f>((E62 * H62 * (IF(I62, I62,$E$58))) * 10 ^ -3)</f>
        <v>0</v>
      </c>
      <c r="K62" s="33"/>
      <c r="L62" s="13"/>
      <c r="M62" s="33"/>
    </row>
    <row r="63" spans="1:13" ht="20.100000000000001" customHeight="1" x14ac:dyDescent="0.2">
      <c r="A63" s="5" t="str">
        <f>HYPERLINK("#'Constants - Fuel'!A1", "Constants - Fuel")</f>
        <v>Constants - Fuel</v>
      </c>
      <c r="D63" s="15"/>
      <c r="E63" s="15"/>
      <c r="F63" s="15"/>
      <c r="G63" s="246">
        <f>((E63 * F63 * $E$58) * 10 ^ -3)</f>
        <v>0</v>
      </c>
      <c r="H63" s="15"/>
      <c r="I63" s="75"/>
      <c r="J63" s="246">
        <f>((E63 * H63 * (IF(I63, I63,$E$58))) * 10 ^ -3)</f>
        <v>0</v>
      </c>
      <c r="K63" s="33"/>
      <c r="L63" s="13"/>
      <c r="M63" s="33"/>
    </row>
    <row r="64" spans="1:13" ht="20.100000000000001" customHeight="1" x14ac:dyDescent="0.2">
      <c r="A64" s="5" t="str">
        <f>HYPERLINK("#'Constants - Scope 3'!A1", "Constants - Scope 3")</f>
        <v>Constants - Scope 3</v>
      </c>
      <c r="D64" s="15"/>
      <c r="E64" s="15"/>
      <c r="F64" s="15"/>
      <c r="G64" s="246">
        <f>((E64 * F64 * $E$58) * 10 ^ -3)</f>
        <v>0</v>
      </c>
      <c r="H64" s="15"/>
      <c r="I64" s="75"/>
      <c r="J64" s="246">
        <f>((E64 * H64 * (IF(I64, I64,$E$58))) * 10 ^ -3)</f>
        <v>0</v>
      </c>
      <c r="K64" s="33"/>
      <c r="L64" s="13"/>
      <c r="M64" s="33"/>
    </row>
    <row r="65" spans="1:13" ht="20.100000000000001" customHeight="1" x14ac:dyDescent="0.2">
      <c r="A65" s="5" t="str">
        <f>HYPERLINK("#'Constants - Common'!A1", "Constants - Common")</f>
        <v>Constants - Common</v>
      </c>
      <c r="D65" s="15"/>
      <c r="E65" s="15"/>
      <c r="F65" s="15"/>
      <c r="G65" s="246">
        <f>((E65 * F65 * $E$58) * 10 ^ -3)</f>
        <v>0</v>
      </c>
      <c r="H65" s="15"/>
      <c r="I65" s="75"/>
      <c r="J65" s="246">
        <f>((E65 * H65 * (IF(I65, I65,$E$58))) * 10 ^ -3)</f>
        <v>0</v>
      </c>
      <c r="K65" s="33"/>
      <c r="L65" s="13"/>
      <c r="M65" s="33"/>
    </row>
    <row r="66" spans="1:13" ht="20.100000000000001" customHeight="1" x14ac:dyDescent="0.2">
      <c r="A66" s="5" t="str">
        <f>HYPERLINK("#'Constants - Refrigerants'!A1", "Constants - Refrigerants")</f>
        <v>Constants - Refrigerants</v>
      </c>
      <c r="D66" s="15"/>
      <c r="E66" s="15"/>
      <c r="F66" s="15"/>
      <c r="G66" s="246">
        <f>((E66 * F66 * $E$58) * 10 ^ -3)</f>
        <v>0</v>
      </c>
      <c r="H66" s="15"/>
      <c r="I66" s="75"/>
      <c r="J66" s="246">
        <f>((E66 * H66 * (IF(I66, I66,$E$58))) * 10 ^ -3)</f>
        <v>0</v>
      </c>
      <c r="K66" s="33"/>
      <c r="L66" s="13"/>
      <c r="M66" s="33"/>
    </row>
    <row r="67" spans="1:13" ht="20.100000000000001" customHeight="1" x14ac:dyDescent="0.2">
      <c r="A67" s="5" t="str">
        <f>HYPERLINK("#'Constants - Solid Waste'!A1", "Constants - Solid Waste")</f>
        <v>Constants - Solid Waste</v>
      </c>
      <c r="D67" s="15"/>
      <c r="E67" s="15"/>
      <c r="F67" s="15"/>
      <c r="G67" s="246">
        <f>((E67 * F67 * $E$58) * 10 ^ -3)</f>
        <v>0</v>
      </c>
      <c r="H67" s="15"/>
      <c r="I67" s="75"/>
      <c r="J67" s="246">
        <f>((E67 * H67 * (IF(I67, I67,$E$58))) * 10 ^ -3)</f>
        <v>0</v>
      </c>
      <c r="K67" s="33"/>
      <c r="L67" s="13"/>
      <c r="M67" s="33"/>
    </row>
    <row r="68" spans="1:13" ht="20.100000000000001" customHeight="1" x14ac:dyDescent="0.2">
      <c r="A68" s="5" t="str">
        <f>HYPERLINK("#'Acknowledgements'!A1", "Acknowledgements")</f>
        <v>Acknowledgements</v>
      </c>
      <c r="D68" s="15"/>
      <c r="E68" s="15"/>
      <c r="F68" s="15"/>
      <c r="G68" s="246">
        <f>((E68 * F68 * $E$58) * 10 ^ -3)</f>
        <v>0</v>
      </c>
      <c r="H68" s="15"/>
      <c r="I68" s="75"/>
      <c r="J68" s="246">
        <f>((E68 * H68 * (IF(I68, I68,$E$58))) * 10 ^ -3)</f>
        <v>0</v>
      </c>
      <c r="K68" s="33"/>
      <c r="L68" s="13"/>
      <c r="M68" s="33"/>
    </row>
    <row r="69" spans="1:13" ht="20.100000000000001" customHeight="1" x14ac:dyDescent="0.2">
      <c r="D69" s="15"/>
      <c r="E69" s="15"/>
      <c r="F69" s="15"/>
      <c r="G69" s="246">
        <f>((E69 * F69 * $E$58) * 10 ^ -3)</f>
        <v>0</v>
      </c>
      <c r="H69" s="15"/>
      <c r="I69" s="75"/>
      <c r="J69" s="246">
        <f>((E69 * H69 * (IF(I69, I69,$E$58))) * 10 ^ -3)</f>
        <v>0</v>
      </c>
      <c r="K69" s="33"/>
      <c r="L69" s="13"/>
      <c r="M69" s="33"/>
    </row>
    <row r="70" spans="1:13" ht="20.100000000000001" customHeight="1" x14ac:dyDescent="0.2">
      <c r="D70" s="15"/>
      <c r="E70" s="15"/>
      <c r="F70" s="15"/>
      <c r="G70" s="246">
        <f>((E70 * F70 * $E$58) * 10 ^ -3)</f>
        <v>0</v>
      </c>
      <c r="H70" s="15"/>
      <c r="I70" s="75"/>
      <c r="J70" s="246">
        <f>((E70 * H70 * (IF(I70, I70,$E$58))) * 10 ^ -3)</f>
        <v>0</v>
      </c>
      <c r="K70" s="33"/>
      <c r="L70" s="13"/>
      <c r="M70" s="33"/>
    </row>
    <row r="72" spans="1:13" ht="20.100000000000001" customHeight="1" x14ac:dyDescent="0.2">
      <c r="D72" s="92" t="s">
        <v>1330</v>
      </c>
      <c r="E72" s="88">
        <f>SUM(G61:G70)</f>
        <v>0</v>
      </c>
      <c r="F72" s="93" t="str">
        <f>$E$11</f>
        <v>t CO2e</v>
      </c>
    </row>
    <row r="73" spans="1:13" ht="20.100000000000001" customHeight="1" x14ac:dyDescent="0.2">
      <c r="D73" s="92" t="s">
        <v>1331</v>
      </c>
      <c r="E73" s="88">
        <f>SUM(J61:J70)</f>
        <v>0</v>
      </c>
      <c r="F73" s="93" t="str">
        <f>$E$11</f>
        <v>t CO2e</v>
      </c>
    </row>
    <row r="75" spans="1:13" ht="20.100000000000001" customHeight="1" x14ac:dyDescent="0.2">
      <c r="D75" s="261" t="s">
        <v>1332</v>
      </c>
    </row>
    <row r="76" spans="1:13" ht="20.100000000000001" customHeight="1" x14ac:dyDescent="0.2">
      <c r="D76" s="120" t="s">
        <v>1326</v>
      </c>
      <c r="E76" s="15" cm="1">
        <f t="array" ref="E76">Common_InputFunctions.Utility_LookupValueInTableNumber("Chickens", Table_SourceData_Scope3_Animals[Product],Table_SourceData_Scope3_Animals[Emissions intensity])</f>
        <v>1.36</v>
      </c>
    </row>
    <row r="78" spans="1:13" ht="20.100000000000001" customHeight="1" x14ac:dyDescent="0.2">
      <c r="D78" s="81" t="s">
        <v>1308</v>
      </c>
      <c r="E78" s="270" t="s">
        <v>1311</v>
      </c>
      <c r="F78" s="270" t="s">
        <v>1312</v>
      </c>
      <c r="G78" s="124" t="s">
        <v>1314</v>
      </c>
      <c r="H78" s="270" t="s">
        <v>1315</v>
      </c>
      <c r="I78" s="81" t="s">
        <v>1316</v>
      </c>
      <c r="J78" s="124" t="s">
        <v>1317</v>
      </c>
      <c r="K78" s="81" t="s">
        <v>1318</v>
      </c>
      <c r="L78" s="81" t="s">
        <v>1319</v>
      </c>
      <c r="M78" s="81" t="s">
        <v>1320</v>
      </c>
    </row>
    <row r="79" spans="1:13" ht="20.100000000000001" customHeight="1" x14ac:dyDescent="0.2">
      <c r="A79" s="129" t="str">
        <f>HYPERLINK("#A1", "▲ Back to top")</f>
        <v>▲ Back to top</v>
      </c>
      <c r="D79" s="15"/>
      <c r="E79" s="15"/>
      <c r="F79" s="15"/>
      <c r="G79" s="246">
        <f>((E79 * F79 * $E$76) * 10 ^ -3)</f>
        <v>0</v>
      </c>
      <c r="H79" s="15"/>
      <c r="I79" s="75">
        <v>1.3</v>
      </c>
      <c r="J79" s="246">
        <f>((E79 * H79 * (IF(I79, I79,$E$76))) * 10 ^ -3)</f>
        <v>0</v>
      </c>
      <c r="K79" s="33"/>
      <c r="L79" s="13"/>
      <c r="M79"/>
    </row>
    <row r="80" spans="1:13" ht="20.100000000000001" customHeight="1" x14ac:dyDescent="0.2">
      <c r="D80" s="15"/>
      <c r="E80" s="15"/>
      <c r="F80" s="15"/>
      <c r="G80" s="246">
        <f>((E80 * F80 * $E$76) * 10 ^ -3)</f>
        <v>0</v>
      </c>
      <c r="H80" s="15"/>
      <c r="I80" s="75"/>
      <c r="J80" s="246">
        <f>((E80 * H80 * (IF(I80, I80,$E$76))) * 10 ^ -3)</f>
        <v>0</v>
      </c>
      <c r="K80" s="33"/>
      <c r="L80" s="13"/>
      <c r="M80" s="33"/>
    </row>
    <row r="81" spans="4:13" ht="20.100000000000001" customHeight="1" x14ac:dyDescent="0.2">
      <c r="D81" s="15"/>
      <c r="E81" s="15"/>
      <c r="F81" s="15"/>
      <c r="G81" s="246">
        <f>((E81 * F81 * $E$76) * 10 ^ -3)</f>
        <v>0</v>
      </c>
      <c r="H81" s="15"/>
      <c r="I81" s="75"/>
      <c r="J81" s="246">
        <f>((E81 * H81 * (IF(I81, I81,$E$76))) * 10 ^ -3)</f>
        <v>0</v>
      </c>
      <c r="K81" s="33"/>
      <c r="L81" s="13"/>
      <c r="M81" s="33"/>
    </row>
    <row r="82" spans="4:13" ht="20.100000000000001" customHeight="1" x14ac:dyDescent="0.2">
      <c r="D82" s="15"/>
      <c r="E82" s="15"/>
      <c r="F82" s="15"/>
      <c r="G82" s="246">
        <f>((E82 * F82 * $E$76) * 10 ^ -3)</f>
        <v>0</v>
      </c>
      <c r="H82" s="15"/>
      <c r="I82" s="75"/>
      <c r="J82" s="246">
        <f>((E82 * H82 * (IF(I82, I82,$E$76))) * 10 ^ -3)</f>
        <v>0</v>
      </c>
      <c r="K82" s="33"/>
      <c r="L82" s="13"/>
      <c r="M82" s="33"/>
    </row>
    <row r="83" spans="4:13" ht="20.100000000000001" customHeight="1" x14ac:dyDescent="0.2">
      <c r="D83" s="15"/>
      <c r="E83" s="15"/>
      <c r="F83" s="15"/>
      <c r="G83" s="246">
        <f>((E83 * F83 * $E$76) * 10 ^ -3)</f>
        <v>0</v>
      </c>
      <c r="H83" s="15"/>
      <c r="I83" s="75"/>
      <c r="J83" s="246">
        <f>((E83 * H83 * (IF(I83, I83,$E$76))) * 10 ^ -3)</f>
        <v>0</v>
      </c>
      <c r="K83" s="33"/>
      <c r="L83" s="13"/>
      <c r="M83" s="33"/>
    </row>
    <row r="84" spans="4:13" ht="20.100000000000001" customHeight="1" x14ac:dyDescent="0.2">
      <c r="D84" s="15"/>
      <c r="E84" s="15"/>
      <c r="F84" s="15"/>
      <c r="G84" s="246">
        <f>((E84 * F84 * $E$76) * 10 ^ -3)</f>
        <v>0</v>
      </c>
      <c r="H84" s="15"/>
      <c r="I84" s="75"/>
      <c r="J84" s="246">
        <f>((E84 * H84 * (IF(I84, I84,$E$76))) * 10 ^ -3)</f>
        <v>0</v>
      </c>
      <c r="K84" s="33"/>
      <c r="L84" s="13"/>
      <c r="M84" s="33"/>
    </row>
    <row r="85" spans="4:13" ht="20.100000000000001" customHeight="1" x14ac:dyDescent="0.2">
      <c r="D85" s="15"/>
      <c r="E85" s="15"/>
      <c r="F85" s="15"/>
      <c r="G85" s="246">
        <f>((E85 * F85 * $E$76) * 10 ^ -3)</f>
        <v>0</v>
      </c>
      <c r="H85" s="15"/>
      <c r="I85" s="75"/>
      <c r="J85" s="246">
        <f>((E85 * H85 * (IF(I85, I85,$E$76))) * 10 ^ -3)</f>
        <v>0</v>
      </c>
      <c r="K85" s="33"/>
      <c r="L85" s="13"/>
      <c r="M85" s="33"/>
    </row>
    <row r="86" spans="4:13" ht="20.100000000000001" customHeight="1" x14ac:dyDescent="0.2">
      <c r="D86" s="15"/>
      <c r="E86" s="15"/>
      <c r="F86" s="15"/>
      <c r="G86" s="246">
        <f>((E86 * F86 * $E$76) * 10 ^ -3)</f>
        <v>0</v>
      </c>
      <c r="H86" s="15"/>
      <c r="I86" s="75"/>
      <c r="J86" s="246">
        <f>((E86 * H86 * (IF(I86, I86,$E$76))) * 10 ^ -3)</f>
        <v>0</v>
      </c>
      <c r="K86" s="33"/>
      <c r="L86" s="13"/>
      <c r="M86" s="33"/>
    </row>
    <row r="87" spans="4:13" ht="20.100000000000001" customHeight="1" x14ac:dyDescent="0.2">
      <c r="D87" s="15"/>
      <c r="E87" s="15"/>
      <c r="F87" s="15"/>
      <c r="G87" s="246">
        <f>((E87 * F87 * $E$76) * 10 ^ -3)</f>
        <v>0</v>
      </c>
      <c r="H87" s="15"/>
      <c r="I87" s="75"/>
      <c r="J87" s="246">
        <f>((E87 * H87 * (IF(I87, I87,$E$76))) * 10 ^ -3)</f>
        <v>0</v>
      </c>
      <c r="K87" s="33"/>
      <c r="L87" s="13"/>
      <c r="M87" s="33"/>
    </row>
    <row r="88" spans="4:13" ht="20.100000000000001" customHeight="1" x14ac:dyDescent="0.2">
      <c r="D88" s="15"/>
      <c r="E88" s="15"/>
      <c r="F88" s="15"/>
      <c r="G88" s="246">
        <f>((E88 * F88 * $E$76) * 10 ^ -3)</f>
        <v>0</v>
      </c>
      <c r="H88" s="15"/>
      <c r="I88" s="75"/>
      <c r="J88" s="246">
        <f>((E88 * H88 * (IF(I88, I88,$E$76))) * 10 ^ -3)</f>
        <v>0</v>
      </c>
      <c r="K88" s="33"/>
      <c r="L88" s="13"/>
      <c r="M88" s="33"/>
    </row>
    <row r="90" spans="4:13" ht="20.100000000000001" customHeight="1" x14ac:dyDescent="0.2">
      <c r="D90" s="92" t="s">
        <v>1333</v>
      </c>
      <c r="E90" s="88">
        <f>SUM(G79:G88)</f>
        <v>0</v>
      </c>
      <c r="F90" s="93" t="str">
        <f>$E$11</f>
        <v>t CO2e</v>
      </c>
    </row>
    <row r="91" spans="4:13" ht="20.100000000000001" customHeight="1" x14ac:dyDescent="0.2">
      <c r="D91" s="92" t="s">
        <v>1334</v>
      </c>
      <c r="E91" s="88">
        <f>SUM(J79:J88)</f>
        <v>0</v>
      </c>
      <c r="F91" s="93" t="str">
        <f>$E$11</f>
        <v>t CO2e</v>
      </c>
    </row>
    <row r="93" spans="4:13" ht="20.100000000000001" customHeight="1" x14ac:dyDescent="0.2">
      <c r="D93" s="87" t="s">
        <v>1314</v>
      </c>
      <c r="E93" s="90">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295.47000000000003</v>
      </c>
      <c r="F93" s="89" t="str">
        <f>$E$11</f>
        <v>t CO2e</v>
      </c>
    </row>
    <row r="94" spans="4:13" ht="20.100000000000001" customHeight="1" x14ac:dyDescent="0.2">
      <c r="D94" s="87" t="s">
        <v>1317</v>
      </c>
      <c r="E94" s="90">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415.625</v>
      </c>
      <c r="F94" s="89" t="str">
        <f>$E$11</f>
        <v>t CO2e</v>
      </c>
    </row>
    <row r="97" spans="1:41" ht="20.100000000000001" customHeight="1" x14ac:dyDescent="0.2">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row>
    <row r="98" spans="1:41" ht="20.100000000000001" customHeight="1" x14ac:dyDescent="0.2">
      <c r="D98" s="2" t="s">
        <v>2039</v>
      </c>
    </row>
    <row r="99" spans="1:41" ht="20.100000000000001" customHeight="1" x14ac:dyDescent="0.2">
      <c r="D99" s="17" t="s">
        <v>2040</v>
      </c>
    </row>
    <row r="100" spans="1:41" ht="20.100000000000001" customHeight="1" x14ac:dyDescent="0.2">
      <c r="D100" s="25" t="s">
        <v>2041</v>
      </c>
    </row>
    <row r="101" spans="1:41" ht="20.100000000000001" customHeight="1" x14ac:dyDescent="0.2">
      <c r="D101" s="118"/>
      <c r="E101" s="118"/>
      <c r="H101" s="25"/>
    </row>
    <row r="103" spans="1:41" ht="20.100000000000001" customHeight="1" x14ac:dyDescent="0.2">
      <c r="H103" s="118"/>
    </row>
    <row r="104" spans="1:41" ht="20.100000000000001" customHeight="1" x14ac:dyDescent="0.2">
      <c r="D104" s="76" t="s">
        <v>378</v>
      </c>
      <c r="E104" s="1" t="s">
        <v>1419</v>
      </c>
    </row>
    <row r="105" spans="1:41" ht="20.100000000000001" customHeight="1" x14ac:dyDescent="0.2">
      <c r="D105" s="76" t="s">
        <v>118</v>
      </c>
      <c r="E105" s="9" t="s">
        <v>6</v>
      </c>
    </row>
    <row r="107" spans="1:41" ht="20.100000000000001" customHeight="1" x14ac:dyDescent="0.2">
      <c r="D107" s="120" t="s">
        <v>2042</v>
      </c>
      <c r="E107" s="125" t="s">
        <v>2043</v>
      </c>
      <c r="F107" s="126"/>
      <c r="G107" s="120" t="s">
        <v>738</v>
      </c>
      <c r="H107" s="269" t="s">
        <v>1469</v>
      </c>
    </row>
    <row r="108" spans="1:41" ht="20.100000000000001" customHeight="1" x14ac:dyDescent="0.2">
      <c r="D108" s="120" t="s">
        <v>2044</v>
      </c>
      <c r="E108" s="125" t="s">
        <v>2045</v>
      </c>
      <c r="F108" s="126"/>
      <c r="G108" s="120" t="s">
        <v>2038</v>
      </c>
      <c r="H108" s="128" t="s">
        <v>1501</v>
      </c>
    </row>
    <row r="109" spans="1:41" ht="20.100000000000001" customHeight="1" x14ac:dyDescent="0.2">
      <c r="A109" s="129" t="str">
        <f>HYPERLINK("#A1", "▲ Back to top")</f>
        <v>▲ Back to top</v>
      </c>
      <c r="D109" s="120" t="s">
        <v>1675</v>
      </c>
      <c r="E109" s="125" t="s">
        <v>2046</v>
      </c>
      <c r="F109" s="126"/>
      <c r="G109" s="120"/>
      <c r="H109" s="269" t="s">
        <v>1469</v>
      </c>
    </row>
    <row r="111" spans="1:41" ht="20.100000000000001" customHeight="1" x14ac:dyDescent="0.2">
      <c r="D111" s="261" t="s">
        <v>1335</v>
      </c>
    </row>
    <row r="113" spans="4:28" ht="20.100000000000001" customHeight="1" x14ac:dyDescent="0.2">
      <c r="D113" s="140" t="s">
        <v>1336</v>
      </c>
      <c r="E113" s="44"/>
      <c r="F113" s="140"/>
      <c r="G113" s="43"/>
      <c r="H113" s="44"/>
    </row>
    <row r="114" spans="4:28" ht="20.100000000000001" customHeight="1" x14ac:dyDescent="0.2">
      <c r="D114" s="169" t="s">
        <v>1337</v>
      </c>
      <c r="E114" s="171"/>
      <c r="F114" s="169"/>
      <c r="G114" s="170"/>
      <c r="H114" s="171"/>
    </row>
    <row r="115" spans="4:28" ht="20.100000000000001" customHeight="1" x14ac:dyDescent="0.2">
      <c r="D115" s="45" t="s">
        <v>1338</v>
      </c>
      <c r="E115" s="47"/>
      <c r="F115" s="45"/>
      <c r="G115" s="46"/>
      <c r="H115" s="47"/>
    </row>
    <row r="117" spans="4:28" ht="20.100000000000001" customHeight="1" x14ac:dyDescent="0.2">
      <c r="D117" s="35" t="s">
        <v>1339</v>
      </c>
      <c r="E117" s="37"/>
      <c r="F117" s="38"/>
    </row>
    <row r="119" spans="4:28" ht="20.100000000000001" customHeight="1" x14ac:dyDescent="0.2">
      <c r="D119" s="81" t="s">
        <v>1340</v>
      </c>
      <c r="E119" s="81" t="s">
        <v>1341</v>
      </c>
      <c r="F119" s="124" t="s">
        <v>1342</v>
      </c>
      <c r="G119" s="124" t="s">
        <v>1314</v>
      </c>
      <c r="H119" s="81" t="s">
        <v>1343</v>
      </c>
      <c r="I119" s="124" t="s">
        <v>1317</v>
      </c>
      <c r="J119" s="81" t="s">
        <v>1318</v>
      </c>
      <c r="K119" s="81" t="s">
        <v>1319</v>
      </c>
      <c r="L119" s="81" t="s">
        <v>1320</v>
      </c>
      <c r="M119" s="124" t="s">
        <v>675</v>
      </c>
      <c r="N119" s="124" t="s">
        <v>1344</v>
      </c>
      <c r="O119" s="124" t="s">
        <v>676</v>
      </c>
      <c r="P119" s="124" t="s">
        <v>1345</v>
      </c>
      <c r="Q119" s="124" t="s">
        <v>677</v>
      </c>
      <c r="R119" s="124" t="s">
        <v>1346</v>
      </c>
      <c r="S119" s="124" t="s">
        <v>678</v>
      </c>
      <c r="T119" s="124" t="s">
        <v>1347</v>
      </c>
      <c r="U119" s="124" t="s">
        <v>679</v>
      </c>
      <c r="V119" s="124" t="s">
        <v>1348</v>
      </c>
      <c r="W119" s="124" t="s">
        <v>680</v>
      </c>
      <c r="X119" s="124" t="s">
        <v>1349</v>
      </c>
      <c r="Y119" s="124" t="s">
        <v>681</v>
      </c>
      <c r="Z119" s="124" t="s">
        <v>1350</v>
      </c>
      <c r="AA119" s="124" t="s">
        <v>682</v>
      </c>
      <c r="AB119" s="124" t="s">
        <v>1351</v>
      </c>
    </row>
    <row r="120" spans="4:28" ht="20.100000000000001" customHeight="1" x14ac:dyDescent="0.2">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46">
        <f>((E120 * F120) * 10 ^ -3)</f>
        <v>0.19527599999999998</v>
      </c>
      <c r="H120" s="75">
        <v>0.04</v>
      </c>
      <c r="I120" s="246">
        <f>((E120 * (IF(H120,H120, F120))) * 10 ^ -3)</f>
        <v>4.8000000000000001E-2</v>
      </c>
      <c r="J120" s="33"/>
      <c r="K120" s="13"/>
      <c r="L120"/>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4:28" ht="20.100000000000001" customHeight="1" x14ac:dyDescent="0.2">
      <c r="D121" s="15">
        <v>0</v>
      </c>
      <c r="E121" s="15">
        <v>3456</v>
      </c>
      <c r="F121" s="15">
        <f t="shared" si="0"/>
        <v>4.6000000000000006E-2</v>
      </c>
      <c r="G121" s="246">
        <f>((E121 * F121) * 10 ^ -3)</f>
        <v>0.15897600000000003</v>
      </c>
      <c r="H121" s="75">
        <v>0.03</v>
      </c>
      <c r="I121" s="246">
        <f>((E121 * (IF(H121,H121, F121))) * 10 ^ -3)</f>
        <v>0.10367999999999999</v>
      </c>
      <c r="J121" s="33"/>
      <c r="K121" s="13"/>
      <c r="L121" s="33"/>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4:28" ht="20.100000000000001" customHeight="1" x14ac:dyDescent="0.2">
      <c r="D122" s="15" t="str">
        <v>Hay bales in paddock</v>
      </c>
      <c r="E122" s="15">
        <v>300</v>
      </c>
      <c r="F122" s="15">
        <f t="shared" si="0"/>
        <v>0.27800000000000002</v>
      </c>
      <c r="G122" s="246">
        <f>((E122 * F122) * 10 ^ -3)</f>
        <v>8.3400000000000002E-2</v>
      </c>
      <c r="H122" s="75">
        <v>0.14000000000000001</v>
      </c>
      <c r="I122" s="246">
        <f>((E122 * (IF(H122,H122, F122))) * 10 ^ -3)</f>
        <v>4.200000000000001E-2</v>
      </c>
      <c r="J122" s="33"/>
      <c r="K122" s="13"/>
      <c r="L122" s="33"/>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4:28" ht="20.100000000000001" customHeight="1" x14ac:dyDescent="0.2">
      <c r="D123" s="15">
        <v>0</v>
      </c>
      <c r="E123" s="15">
        <v>500</v>
      </c>
      <c r="F123" s="15">
        <f t="shared" si="0"/>
        <v>0.34499999999999997</v>
      </c>
      <c r="G123" s="246">
        <f>((E123 * F123) * 10 ^ -3)</f>
        <v>0.17250000000000001</v>
      </c>
      <c r="H123" s="75"/>
      <c r="I123" s="246">
        <f>((E123 * (IF(H123,H123, F123))) * 10 ^ -3)</f>
        <v>0.17250000000000001</v>
      </c>
      <c r="J123" s="33"/>
      <c r="K123" s="13"/>
      <c r="L123" s="33"/>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4:28" ht="20.100000000000001" customHeight="1" x14ac:dyDescent="0.2">
      <c r="D124" s="15">
        <v>0</v>
      </c>
      <c r="E124" s="15">
        <v>0</v>
      </c>
      <c r="F124" s="15">
        <f t="shared" si="0"/>
        <v>0</v>
      </c>
      <c r="G124" s="246">
        <f>((E124 * F124) * 10 ^ -3)</f>
        <v>0</v>
      </c>
      <c r="H124" s="75"/>
      <c r="I124" s="246">
        <f>((E124 * (IF(H124,H124, F124))) * 10 ^ -3)</f>
        <v>0</v>
      </c>
      <c r="J124" s="33"/>
      <c r="K124" s="13"/>
      <c r="L124" s="33"/>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4:28" ht="20.100000000000001" customHeight="1" x14ac:dyDescent="0.2">
      <c r="D125" s="15">
        <v>0</v>
      </c>
      <c r="E125" s="15">
        <v>0</v>
      </c>
      <c r="F125" s="15">
        <f t="shared" si="0"/>
        <v>0</v>
      </c>
      <c r="G125" s="246">
        <f>((E125 * F125) * 10 ^ -3)</f>
        <v>0</v>
      </c>
      <c r="H125" s="75"/>
      <c r="I125" s="246">
        <f>((E125 * (IF(H125,H125, F125))) * 10 ^ -3)</f>
        <v>0</v>
      </c>
      <c r="J125" s="33"/>
      <c r="K125" s="13"/>
      <c r="L125" s="33"/>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4:28" ht="20.100000000000001" customHeight="1" x14ac:dyDescent="0.2">
      <c r="D126" s="15">
        <v>0</v>
      </c>
      <c r="E126" s="15">
        <v>0</v>
      </c>
      <c r="F126" s="15">
        <f t="shared" si="0"/>
        <v>0</v>
      </c>
      <c r="G126" s="246">
        <f>((E126 * F126) * 10 ^ -3)</f>
        <v>0</v>
      </c>
      <c r="H126" s="75"/>
      <c r="I126" s="246">
        <f>((E126 * (IF(H126,H126, F126))) * 10 ^ -3)</f>
        <v>0</v>
      </c>
      <c r="J126" s="33"/>
      <c r="K126" s="13"/>
      <c r="L126" s="33"/>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4:28" ht="20.100000000000001" customHeight="1" x14ac:dyDescent="0.2">
      <c r="D127" s="15">
        <v>0</v>
      </c>
      <c r="E127" s="15">
        <v>0</v>
      </c>
      <c r="F127" s="15">
        <f t="shared" si="0"/>
        <v>0</v>
      </c>
      <c r="G127" s="246">
        <f>((E127 * F127) * 10 ^ -3)</f>
        <v>0</v>
      </c>
      <c r="H127" s="75"/>
      <c r="I127" s="246">
        <f>((E127 * (IF(H127,H127, F127))) * 10 ^ -3)</f>
        <v>0</v>
      </c>
      <c r="J127" s="33"/>
      <c r="K127" s="13"/>
      <c r="L127" s="33"/>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4:28" ht="20.100000000000001" customHeight="1" x14ac:dyDescent="0.2">
      <c r="D128" s="15">
        <v>0</v>
      </c>
      <c r="E128" s="15">
        <v>0</v>
      </c>
      <c r="F128" s="15">
        <f t="shared" si="0"/>
        <v>0</v>
      </c>
      <c r="G128" s="246">
        <f>((E128 * F128) * 10 ^ -3)</f>
        <v>0</v>
      </c>
      <c r="H128" s="75"/>
      <c r="I128" s="246">
        <f>((E128 * (IF(H128,H128, F128))) * 10 ^ -3)</f>
        <v>0</v>
      </c>
      <c r="J128" s="33"/>
      <c r="K128" s="13"/>
      <c r="L128" s="33"/>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
      <c r="D129" s="15">
        <v>0</v>
      </c>
      <c r="E129" s="15">
        <v>0</v>
      </c>
      <c r="F129" s="15">
        <f t="shared" si="0"/>
        <v>0</v>
      </c>
      <c r="G129" s="246">
        <f>((E129 * F129) * 10 ^ -3)</f>
        <v>0</v>
      </c>
      <c r="H129" s="75"/>
      <c r="I129" s="246">
        <f>((E129 * (IF(H129,H129, F129))) * 10 ^ -3)</f>
        <v>0</v>
      </c>
      <c r="J129" s="33"/>
      <c r="K129" s="13"/>
      <c r="L129" s="33"/>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1:28" ht="20.100000000000001" customHeight="1" x14ac:dyDescent="0.2">
      <c r="D131" s="92" t="s">
        <v>1314</v>
      </c>
      <c r="E131" s="88">
        <f>SUM(G120:G129)</f>
        <v>0.61015200000000003</v>
      </c>
      <c r="F131" s="93" t="str">
        <f>$E$105</f>
        <v>t CO2e</v>
      </c>
    </row>
    <row r="132" spans="1:28" ht="20.100000000000001" customHeight="1" x14ac:dyDescent="0.2">
      <c r="D132" s="92" t="s">
        <v>1317</v>
      </c>
      <c r="E132" s="88">
        <f>SUM(I120:I129)</f>
        <v>0.36618000000000001</v>
      </c>
      <c r="F132" s="93" t="str">
        <f>$E$105</f>
        <v>t CO2e</v>
      </c>
    </row>
    <row r="135" spans="1:28" ht="20.100000000000001" customHeight="1" x14ac:dyDescent="0.2">
      <c r="D135" s="261" t="s">
        <v>1249</v>
      </c>
    </row>
    <row r="136" spans="1:28" ht="20.100000000000001" customHeight="1" x14ac:dyDescent="0.2">
      <c r="D136" s="81" t="s">
        <v>131</v>
      </c>
      <c r="E136" s="81" t="s">
        <v>1341</v>
      </c>
      <c r="F136" s="124" t="s">
        <v>1342</v>
      </c>
      <c r="G136" s="124" t="s">
        <v>1314</v>
      </c>
      <c r="H136" s="81" t="s">
        <v>1343</v>
      </c>
      <c r="I136" s="124" t="s">
        <v>1317</v>
      </c>
      <c r="J136" s="81" t="s">
        <v>1318</v>
      </c>
      <c r="K136" s="81" t="s">
        <v>1319</v>
      </c>
      <c r="L136" s="81" t="s">
        <v>1320</v>
      </c>
    </row>
    <row r="137" spans="1:28" ht="20.100000000000001" customHeight="1" x14ac:dyDescent="0.2">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46">
        <f>((E137 * F137) * 10 ^ -3)</f>
        <v>5.9400000000000001E-2</v>
      </c>
      <c r="H137" s="75">
        <v>0.5</v>
      </c>
      <c r="I137" s="246">
        <f>((E137 * (IF(H137,H137, F137))) * 10 ^ -3)</f>
        <v>0.05</v>
      </c>
      <c r="J137" s="33"/>
      <c r="K137" s="13"/>
      <c r="L137" s="33"/>
    </row>
    <row r="138" spans="1:28" ht="20.100000000000001" customHeight="1" x14ac:dyDescent="0.2">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46">
        <f>((E138 * F138) * 10 ^ -3)</f>
        <v>4.19E-2</v>
      </c>
      <c r="H138" s="75">
        <v>0.4</v>
      </c>
      <c r="I138" s="246">
        <f>((E138 * (IF(H138,H138, F138))) * 10 ^ -3)</f>
        <v>0.04</v>
      </c>
      <c r="J138" s="33"/>
      <c r="K138" s="13"/>
      <c r="L138" s="33"/>
    </row>
    <row r="139" spans="1:28" ht="20.100000000000001" customHeight="1" x14ac:dyDescent="0.2">
      <c r="A139" s="129" t="str">
        <f>HYPERLINK("#A1", "▲ Back to top")</f>
        <v>▲ Back to top</v>
      </c>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46">
        <f>((E139 * F139) * 10 ^ -3)</f>
        <v>3.3300000000000003E-2</v>
      </c>
      <c r="H139" s="75">
        <v>0</v>
      </c>
      <c r="I139" s="246">
        <f>((E139 * (IF(H139,H139, F139))) * 10 ^ -3)</f>
        <v>3.3300000000000003E-2</v>
      </c>
      <c r="J139" s="33"/>
      <c r="K139" s="13"/>
      <c r="L139" s="33"/>
    </row>
    <row r="140" spans="1:28" ht="20.100000000000001" customHeight="1" x14ac:dyDescent="0.2">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46">
        <f>((E140 * F140) * 10 ^ -3)</f>
        <v>4.0300000000000002E-2</v>
      </c>
      <c r="H140" s="75">
        <v>0</v>
      </c>
      <c r="I140" s="246">
        <f>((E140 * (IF(H140,H140, F140))) * 10 ^ -3)</f>
        <v>4.0300000000000002E-2</v>
      </c>
      <c r="J140" s="33"/>
      <c r="K140" s="13"/>
      <c r="L140" s="33"/>
    </row>
    <row r="142" spans="1:28" ht="20.100000000000001" customHeight="1" x14ac:dyDescent="0.2">
      <c r="D142" s="92" t="s">
        <v>1314</v>
      </c>
      <c r="E142" s="88">
        <f>SUM(G137:G140)</f>
        <v>0.1749</v>
      </c>
      <c r="F142" s="93" t="str">
        <f>$E$105</f>
        <v>t CO2e</v>
      </c>
    </row>
    <row r="143" spans="1:28" ht="20.100000000000001" customHeight="1" x14ac:dyDescent="0.2">
      <c r="D143" s="92" t="s">
        <v>1317</v>
      </c>
      <c r="E143" s="88">
        <f>SUM(I137:I140)</f>
        <v>0.1636</v>
      </c>
      <c r="F143" s="93" t="str">
        <f>$E$105</f>
        <v>t CO2e</v>
      </c>
    </row>
    <row r="146" spans="4:12" ht="20.100000000000001" customHeight="1" x14ac:dyDescent="0.2">
      <c r="D146" s="261" t="s">
        <v>1352</v>
      </c>
    </row>
    <row r="147" spans="4:12" ht="20.100000000000001" customHeight="1" x14ac:dyDescent="0.2">
      <c r="D147" s="81" t="s">
        <v>131</v>
      </c>
      <c r="E147" s="81" t="s">
        <v>1341</v>
      </c>
      <c r="F147" s="124" t="s">
        <v>1342</v>
      </c>
      <c r="G147" s="124" t="s">
        <v>1314</v>
      </c>
      <c r="H147" s="81" t="s">
        <v>1343</v>
      </c>
      <c r="I147" s="124" t="s">
        <v>1317</v>
      </c>
      <c r="J147" s="81" t="s">
        <v>1318</v>
      </c>
      <c r="K147" s="81" t="s">
        <v>1319</v>
      </c>
      <c r="L147" s="81" t="s">
        <v>1320</v>
      </c>
    </row>
    <row r="148" spans="4:12" ht="20.100000000000001" customHeight="1" x14ac:dyDescent="0.2">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46">
        <f>((E148 * F148) * 10 ^ -3)</f>
        <v>0</v>
      </c>
      <c r="H148" s="75">
        <v>0.2</v>
      </c>
      <c r="I148" s="246">
        <f>((E148 * (IF(H148,H148, F148))) * 10 ^ -3)</f>
        <v>0</v>
      </c>
      <c r="J148" s="33"/>
      <c r="K148" s="33"/>
      <c r="L148" s="33"/>
    </row>
    <row r="149" spans="4: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46">
        <f>((E149 * F149) * 10 ^ -3)</f>
        <v>0</v>
      </c>
      <c r="H149" s="75">
        <v>0</v>
      </c>
      <c r="I149" s="246">
        <f>((E149 * (IF(H149,H149, F149))) * 10 ^ -3)</f>
        <v>0</v>
      </c>
      <c r="J149" s="33"/>
      <c r="K149" s="33"/>
      <c r="L149" s="33"/>
    </row>
    <row r="150" spans="4: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46">
        <f>((E150 * F150) * 10 ^ -3)</f>
        <v>0</v>
      </c>
      <c r="H150" s="75">
        <v>0</v>
      </c>
      <c r="I150" s="246">
        <f>((E150 * (IF(H150,H150, F150))) * 10 ^ -3)</f>
        <v>0</v>
      </c>
      <c r="J150" s="33"/>
      <c r="K150" s="33"/>
      <c r="L150" s="33"/>
    </row>
    <row r="151" spans="4: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46">
        <f>((E151 * F151) * 10 ^ -3)</f>
        <v>0</v>
      </c>
      <c r="H151" s="75">
        <v>0</v>
      </c>
      <c r="I151" s="246">
        <f>((E151 * (IF(H151,H151, F151))) * 10 ^ -3)</f>
        <v>0</v>
      </c>
      <c r="J151" s="33"/>
      <c r="K151" s="33"/>
      <c r="L151" s="33"/>
    </row>
    <row r="152" spans="4: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46">
        <f>((E152 * F152) * 10 ^ -3)</f>
        <v>0</v>
      </c>
      <c r="H152" s="75">
        <v>0</v>
      </c>
      <c r="I152" s="246">
        <f>((E152 * (IF(H152,H152, F152))) * 10 ^ -3)</f>
        <v>0</v>
      </c>
      <c r="J152" s="33"/>
      <c r="K152" s="33"/>
      <c r="L152" s="33"/>
    </row>
    <row r="153" spans="4: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46">
        <f>((E153 * F153) * 10 ^ -3)</f>
        <v>0</v>
      </c>
      <c r="H153" s="75">
        <v>0</v>
      </c>
      <c r="I153" s="246">
        <f>((E153 * (IF(H153,H153, F153))) * 10 ^ -3)</f>
        <v>0</v>
      </c>
      <c r="J153" s="33"/>
      <c r="K153" s="33"/>
      <c r="L153" s="33"/>
    </row>
    <row r="155" spans="4:12" ht="20.100000000000001" customHeight="1" x14ac:dyDescent="0.2">
      <c r="D155" s="92" t="s">
        <v>1314</v>
      </c>
      <c r="E155" s="88">
        <f>SUM(G148:G153)</f>
        <v>0</v>
      </c>
      <c r="F155" s="93" t="str">
        <f>$E$105</f>
        <v>t CO2e</v>
      </c>
    </row>
    <row r="156" spans="4:12" ht="20.100000000000001" customHeight="1" x14ac:dyDescent="0.2">
      <c r="D156" s="92" t="s">
        <v>1317</v>
      </c>
      <c r="E156" s="88">
        <f>SUM(I148:I153)</f>
        <v>0</v>
      </c>
      <c r="F156" s="93" t="str">
        <f>$E$105</f>
        <v>t CO2e</v>
      </c>
    </row>
    <row r="159" spans="4:12" ht="20.100000000000001" customHeight="1" x14ac:dyDescent="0.2">
      <c r="D159" s="87" t="s">
        <v>1314</v>
      </c>
      <c r="E159" s="90">
        <f>E131+E142+E155</f>
        <v>0.78505200000000008</v>
      </c>
      <c r="F159" s="89" t="str">
        <f>$E$105</f>
        <v>t CO2e</v>
      </c>
    </row>
    <row r="160" spans="4:12" ht="20.100000000000001" customHeight="1" x14ac:dyDescent="0.2">
      <c r="D160" s="87" t="s">
        <v>1317</v>
      </c>
      <c r="E160" s="90">
        <f>E132+E143+E156</f>
        <v>0.52978000000000003</v>
      </c>
      <c r="F160" s="89" t="str">
        <f>$E$105</f>
        <v>t CO2e</v>
      </c>
    </row>
    <row r="163" spans="1:41" ht="20.100000000000001" customHeight="1" x14ac:dyDescent="0.2">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row>
    <row r="164" spans="1:41" ht="20.100000000000001" customHeight="1" x14ac:dyDescent="0.2">
      <c r="D164" s="2" t="s">
        <v>2047</v>
      </c>
    </row>
    <row r="165" spans="1:41" ht="20.100000000000001" customHeight="1" x14ac:dyDescent="0.2">
      <c r="D165" s="17" t="s">
        <v>2048</v>
      </c>
    </row>
    <row r="166" spans="1:41" ht="20.100000000000001" customHeight="1" x14ac:dyDescent="0.2">
      <c r="D166" s="118"/>
      <c r="E166" s="118"/>
    </row>
    <row r="168" spans="1:41" ht="20.100000000000001" customHeight="1" x14ac:dyDescent="0.2">
      <c r="F168" s="25" t="s">
        <v>2041</v>
      </c>
      <c r="H168" s="118"/>
    </row>
    <row r="169" spans="1:41" ht="20.100000000000001" customHeight="1" x14ac:dyDescent="0.2">
      <c r="A169" s="129" t="str">
        <f>HYPERLINK("#A1", "▲ Back to top")</f>
        <v>▲ Back to top</v>
      </c>
      <c r="D169" s="76" t="s">
        <v>378</v>
      </c>
      <c r="E169" s="1" t="s">
        <v>1419</v>
      </c>
    </row>
    <row r="170" spans="1:41" ht="20.100000000000001" customHeight="1" x14ac:dyDescent="0.2">
      <c r="D170" s="76" t="s">
        <v>118</v>
      </c>
      <c r="E170" s="9" t="s">
        <v>6</v>
      </c>
    </row>
    <row r="172" spans="1:41" ht="20.100000000000001" customHeight="1" x14ac:dyDescent="0.2">
      <c r="D172" s="120" t="s">
        <v>2049</v>
      </c>
      <c r="E172" s="125" t="s">
        <v>2050</v>
      </c>
      <c r="F172" s="126"/>
      <c r="G172" s="120" t="s">
        <v>738</v>
      </c>
      <c r="H172" s="269" t="s">
        <v>1469</v>
      </c>
    </row>
    <row r="173" spans="1:41" ht="20.100000000000001" customHeight="1" x14ac:dyDescent="0.2">
      <c r="D173" s="120" t="s">
        <v>1658</v>
      </c>
      <c r="E173" s="125" t="s">
        <v>2051</v>
      </c>
      <c r="F173" s="126"/>
      <c r="G173" s="120" t="s">
        <v>2038</v>
      </c>
      <c r="H173" s="269" t="s">
        <v>1501</v>
      </c>
    </row>
    <row r="174" spans="1:41" ht="20.100000000000001" customHeight="1" x14ac:dyDescent="0.2">
      <c r="D174" s="120" t="s">
        <v>1954</v>
      </c>
      <c r="E174" s="125" t="s">
        <v>2052</v>
      </c>
      <c r="F174" s="126"/>
      <c r="G174" s="120"/>
      <c r="H174" s="128" t="s">
        <v>1469</v>
      </c>
    </row>
    <row r="176" spans="1:41" ht="20.100000000000001" customHeight="1" x14ac:dyDescent="0.2">
      <c r="D176" s="81" t="s">
        <v>131</v>
      </c>
      <c r="E176" s="81" t="s">
        <v>1353</v>
      </c>
      <c r="F176" s="124" t="s">
        <v>1354</v>
      </c>
      <c r="G176" s="124" t="s">
        <v>1314</v>
      </c>
      <c r="H176" s="81" t="s">
        <v>1355</v>
      </c>
      <c r="I176" s="124" t="s">
        <v>1317</v>
      </c>
      <c r="J176" s="81" t="s">
        <v>1318</v>
      </c>
      <c r="K176" s="81" t="s">
        <v>1319</v>
      </c>
      <c r="L176" s="81" t="s">
        <v>1320</v>
      </c>
    </row>
    <row r="177" spans="3:41" ht="20.100000000000001" customHeight="1" x14ac:dyDescent="0.2">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46">
        <f>((E177 * F177) * 10 ^ -3)</f>
        <v>8.8099999999999998E-2</v>
      </c>
      <c r="H177" s="75">
        <v>0.8</v>
      </c>
      <c r="I177" s="246">
        <f>((E177 * (IF(H177, H177, F177))) * 10 ^ -3)</f>
        <v>0.08</v>
      </c>
      <c r="J177" s="33"/>
      <c r="K177" s="13"/>
      <c r="L177" s="33"/>
    </row>
    <row r="178" spans="3:41" ht="20.100000000000001" customHeight="1" x14ac:dyDescent="0.2">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46">
        <f>((E178 * F178) * 10 ^ -3)</f>
        <v>6.770000000000001E-2</v>
      </c>
      <c r="H178" s="75">
        <v>0.6</v>
      </c>
      <c r="I178" s="246">
        <f>((E178 * (IF(H178, H178, F178))) * 10 ^ -3)</f>
        <v>0.06</v>
      </c>
      <c r="J178" s="33"/>
      <c r="K178" s="13"/>
      <c r="L178" s="33"/>
    </row>
    <row r="179" spans="3:41" ht="20.100000000000001" customHeight="1" x14ac:dyDescent="0.2">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46">
        <f>((E179 * F179) * 10 ^ -3)</f>
        <v>2.3100000000000002E-2</v>
      </c>
      <c r="H179" s="75">
        <v>0.2</v>
      </c>
      <c r="I179" s="246">
        <f>((E179 * (IF(H179, H179, F179))) * 10 ^ -3)</f>
        <v>0.02</v>
      </c>
      <c r="J179" s="33"/>
      <c r="K179" s="13"/>
      <c r="L179" s="33"/>
    </row>
    <row r="181" spans="3:41" ht="20.100000000000001" customHeight="1" x14ac:dyDescent="0.2">
      <c r="D181" s="87" t="s">
        <v>1314</v>
      </c>
      <c r="E181" s="90">
        <f>SUM(G177:G179)</f>
        <v>0.1789</v>
      </c>
      <c r="F181" s="89" t="str">
        <f>$E$170</f>
        <v>t CO2e</v>
      </c>
    </row>
    <row r="182" spans="3:41" ht="20.100000000000001" customHeight="1" x14ac:dyDescent="0.2">
      <c r="D182" s="87" t="s">
        <v>1317</v>
      </c>
      <c r="E182" s="90">
        <f>SUM(I177:I179)</f>
        <v>0.16</v>
      </c>
      <c r="F182" s="89" t="str">
        <f>$E$170</f>
        <v>t CO2e</v>
      </c>
    </row>
    <row r="185" spans="3:41" ht="20.100000000000001" customHeight="1" x14ac:dyDescent="0.2">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row>
    <row r="186" spans="3:41" ht="20.100000000000001" customHeight="1" x14ac:dyDescent="0.2">
      <c r="D186" s="2" t="s">
        <v>2053</v>
      </c>
    </row>
    <row r="187" spans="3:41" ht="20.100000000000001" customHeight="1" x14ac:dyDescent="0.2">
      <c r="D187" s="17" t="s">
        <v>2054</v>
      </c>
    </row>
    <row r="188" spans="3:41" ht="20.100000000000001" customHeight="1" x14ac:dyDescent="0.2">
      <c r="D188" s="25" t="s">
        <v>2055</v>
      </c>
    </row>
    <row r="189" spans="3:41" ht="20.100000000000001" customHeight="1" x14ac:dyDescent="0.2">
      <c r="D189" s="118"/>
      <c r="E189" s="118"/>
    </row>
    <row r="192" spans="3:41" ht="20.100000000000001" customHeight="1" x14ac:dyDescent="0.2">
      <c r="D192" s="76" t="s">
        <v>378</v>
      </c>
      <c r="E192" s="1" t="s">
        <v>2056</v>
      </c>
    </row>
    <row r="193" spans="1:8" ht="20.100000000000001" customHeight="1" x14ac:dyDescent="0.2">
      <c r="D193" s="76" t="s">
        <v>118</v>
      </c>
      <c r="E193" s="9" t="s">
        <v>2057</v>
      </c>
    </row>
    <row r="195" spans="1:8" ht="20.100000000000001" customHeight="1" x14ac:dyDescent="0.2">
      <c r="D195" s="120" t="s">
        <v>2058</v>
      </c>
      <c r="E195" s="125" t="s">
        <v>2059</v>
      </c>
      <c r="F195" s="126"/>
      <c r="G195" s="120" t="s">
        <v>2064</v>
      </c>
      <c r="H195" s="269" t="s">
        <v>1469</v>
      </c>
    </row>
    <row r="196" spans="1:8" ht="20.100000000000001" customHeight="1" x14ac:dyDescent="0.2">
      <c r="D196" s="120" t="s">
        <v>2060</v>
      </c>
      <c r="E196" s="125" t="s">
        <v>2061</v>
      </c>
      <c r="F196" s="126"/>
      <c r="G196" s="120" t="s">
        <v>2065</v>
      </c>
      <c r="H196" s="128" t="s">
        <v>1501</v>
      </c>
    </row>
    <row r="197" spans="1:8" ht="20.100000000000001" customHeight="1" x14ac:dyDescent="0.2">
      <c r="D197" s="120" t="s">
        <v>1776</v>
      </c>
      <c r="E197" s="125" t="s">
        <v>2062</v>
      </c>
      <c r="F197" s="126"/>
      <c r="G197" s="120"/>
      <c r="H197" s="269" t="s">
        <v>1469</v>
      </c>
    </row>
    <row r="198" spans="1:8" ht="20.100000000000001" customHeight="1" x14ac:dyDescent="0.2">
      <c r="D198" s="120" t="s">
        <v>1757</v>
      </c>
      <c r="E198" s="125" t="s">
        <v>2063</v>
      </c>
      <c r="F198" s="126"/>
      <c r="G198" s="120"/>
      <c r="H198" s="269" t="s">
        <v>1469</v>
      </c>
    </row>
    <row r="199" spans="1:8" ht="20.100000000000001" customHeight="1" x14ac:dyDescent="0.2">
      <c r="A199" s="129" t="str">
        <f>HYPERLINK("#A1", "▲ Back to top")</f>
        <v>▲ Back to top</v>
      </c>
    </row>
    <row r="201" spans="1:8" ht="20.100000000000001" customHeight="1" x14ac:dyDescent="0.2">
      <c r="D201" s="2" t="s">
        <v>2066</v>
      </c>
    </row>
    <row r="202" spans="1:8" ht="20.100000000000001" customHeight="1" x14ac:dyDescent="0.2">
      <c r="D202" s="17" t="s">
        <v>2067</v>
      </c>
    </row>
    <row r="203" spans="1:8" ht="20.100000000000001" customHeight="1" x14ac:dyDescent="0.2">
      <c r="D203" s="118"/>
      <c r="E203" s="118"/>
    </row>
    <row r="206" spans="1:8" ht="20.100000000000001" customHeight="1" x14ac:dyDescent="0.2">
      <c r="D206" s="76" t="s">
        <v>378</v>
      </c>
      <c r="E206" s="1" t="s">
        <v>1419</v>
      </c>
    </row>
    <row r="207" spans="1:8" ht="20.100000000000001" customHeight="1" x14ac:dyDescent="0.2">
      <c r="D207" s="76" t="s">
        <v>118</v>
      </c>
      <c r="E207" s="9" t="s">
        <v>6</v>
      </c>
    </row>
    <row r="209" spans="4:8" ht="20.100000000000001" customHeight="1" x14ac:dyDescent="0.2">
      <c r="D209" s="120" t="s">
        <v>1744</v>
      </c>
      <c r="E209" s="120" t="s">
        <v>2068</v>
      </c>
      <c r="F209" s="120"/>
      <c r="G209" s="120" t="s">
        <v>738</v>
      </c>
      <c r="H209" s="269" t="s">
        <v>1469</v>
      </c>
    </row>
    <row r="210" spans="4:8" ht="20.100000000000001" customHeight="1" x14ac:dyDescent="0.2">
      <c r="D210" s="120" t="s">
        <v>2056</v>
      </c>
      <c r="E210" s="120" t="s">
        <v>2069</v>
      </c>
      <c r="F210" s="120"/>
      <c r="G210" s="120" t="s">
        <v>2038</v>
      </c>
      <c r="H210" s="128" t="s">
        <v>1501</v>
      </c>
    </row>
    <row r="211" spans="4:8" ht="20.100000000000001" customHeight="1" x14ac:dyDescent="0.2">
      <c r="D211" s="120" t="s">
        <v>1675</v>
      </c>
      <c r="E211" s="125" t="s">
        <v>1676</v>
      </c>
      <c r="F211" s="126"/>
      <c r="G211" s="120"/>
      <c r="H211" s="269" t="s">
        <v>1469</v>
      </c>
    </row>
    <row r="212" spans="4:8" ht="20.100000000000001" customHeight="1" x14ac:dyDescent="0.2">
      <c r="D212" s="120" t="s">
        <v>1757</v>
      </c>
      <c r="E212" s="125" t="s">
        <v>2063</v>
      </c>
      <c r="F212" s="126"/>
      <c r="G212" s="120"/>
      <c r="H212" s="269" t="s">
        <v>1469</v>
      </c>
    </row>
    <row r="215" spans="4:8" ht="20.100000000000001" customHeight="1" x14ac:dyDescent="0.2">
      <c r="D215" s="2" t="s">
        <v>2070</v>
      </c>
    </row>
    <row r="216" spans="4:8" ht="20.100000000000001" customHeight="1" x14ac:dyDescent="0.2">
      <c r="D216" s="17" t="s">
        <v>2071</v>
      </c>
    </row>
    <row r="217" spans="4:8" ht="20.100000000000001" customHeight="1" x14ac:dyDescent="0.2">
      <c r="D217" s="25" t="s">
        <v>2072</v>
      </c>
    </row>
    <row r="218" spans="4:8" ht="20.100000000000001" customHeight="1" x14ac:dyDescent="0.2">
      <c r="D218" s="118"/>
      <c r="E218" s="118"/>
    </row>
    <row r="221" spans="4:8" ht="20.100000000000001" customHeight="1" x14ac:dyDescent="0.2">
      <c r="D221" s="76" t="s">
        <v>378</v>
      </c>
      <c r="E221" s="1" t="s">
        <v>1419</v>
      </c>
    </row>
    <row r="222" spans="4:8" ht="20.100000000000001" customHeight="1" x14ac:dyDescent="0.2">
      <c r="D222" s="76" t="s">
        <v>118</v>
      </c>
      <c r="E222" s="9" t="s">
        <v>6</v>
      </c>
    </row>
    <row r="224" spans="4:8" ht="20.100000000000001" customHeight="1" x14ac:dyDescent="0.2">
      <c r="D224" s="120" t="s">
        <v>2058</v>
      </c>
      <c r="E224" s="125" t="s">
        <v>2059</v>
      </c>
      <c r="F224" s="126"/>
      <c r="G224" s="120" t="s">
        <v>2064</v>
      </c>
      <c r="H224" s="269" t="s">
        <v>1469</v>
      </c>
    </row>
    <row r="225" spans="1:40" ht="20.100000000000001" customHeight="1" x14ac:dyDescent="0.2">
      <c r="D225" s="120" t="s">
        <v>1744</v>
      </c>
      <c r="E225" s="125" t="s">
        <v>2068</v>
      </c>
      <c r="F225" s="126"/>
      <c r="G225" s="120" t="s">
        <v>738</v>
      </c>
      <c r="H225" s="128" t="s">
        <v>1469</v>
      </c>
    </row>
    <row r="226" spans="1:40" ht="20.100000000000001" customHeight="1" x14ac:dyDescent="0.2">
      <c r="D226" s="120" t="s">
        <v>2060</v>
      </c>
      <c r="E226" s="125" t="s">
        <v>2061</v>
      </c>
      <c r="F226" s="126"/>
      <c r="G226" s="120" t="s">
        <v>2065</v>
      </c>
      <c r="H226" s="128" t="s">
        <v>1501</v>
      </c>
    </row>
    <row r="227" spans="1:40" ht="20.100000000000001" customHeight="1" x14ac:dyDescent="0.2">
      <c r="D227" s="120" t="s">
        <v>1776</v>
      </c>
      <c r="E227" s="125" t="s">
        <v>2062</v>
      </c>
      <c r="F227" s="126"/>
      <c r="G227" s="120"/>
      <c r="H227" s="269" t="s">
        <v>1469</v>
      </c>
    </row>
    <row r="228" spans="1:40" ht="20.100000000000001" customHeight="1" x14ac:dyDescent="0.2">
      <c r="D228" s="120" t="s">
        <v>1757</v>
      </c>
      <c r="E228" s="125" t="s">
        <v>2063</v>
      </c>
      <c r="F228" s="126"/>
      <c r="G228" s="120"/>
      <c r="H228" s="269" t="s">
        <v>1469</v>
      </c>
    </row>
    <row r="229" spans="1:40" ht="20.100000000000001" customHeight="1" x14ac:dyDescent="0.2">
      <c r="A229" s="129" t="str">
        <f>HYPERLINK("#A1", "▲ Back to top")</f>
        <v>▲ Back to top</v>
      </c>
      <c r="D229" s="120" t="s">
        <v>1675</v>
      </c>
      <c r="E229" s="125" t="s">
        <v>1676</v>
      </c>
      <c r="F229" s="126"/>
      <c r="G229" s="120"/>
      <c r="H229" s="269" t="s">
        <v>1469</v>
      </c>
    </row>
    <row r="231" spans="1:40" ht="20.100000000000001" customHeight="1" x14ac:dyDescent="0.2">
      <c r="D231" s="261" t="s">
        <v>1356</v>
      </c>
    </row>
    <row r="233" spans="1:40" ht="20.100000000000001" customHeight="1" x14ac:dyDescent="0.2">
      <c r="D233" s="35" t="s">
        <v>1357</v>
      </c>
      <c r="E233" s="37"/>
      <c r="F233" s="38"/>
    </row>
    <row r="235" spans="1:40" ht="20.100000000000001" customHeight="1" x14ac:dyDescent="0.2">
      <c r="D235" s="81" t="s">
        <v>131</v>
      </c>
      <c r="E235" s="81" t="s">
        <v>1358</v>
      </c>
      <c r="F235" s="124" t="s">
        <v>1359</v>
      </c>
      <c r="G235" s="124" t="s">
        <v>1360</v>
      </c>
      <c r="H235" s="124" t="s">
        <v>1361</v>
      </c>
      <c r="I235" s="81" t="s">
        <v>1362</v>
      </c>
      <c r="J235" s="124" t="s">
        <v>1363</v>
      </c>
      <c r="K235" s="124" t="s">
        <v>1364</v>
      </c>
      <c r="L235" s="81" t="s">
        <v>1318</v>
      </c>
      <c r="M235" s="81" t="s">
        <v>1319</v>
      </c>
      <c r="N235" s="81" t="s">
        <v>1320</v>
      </c>
      <c r="O235" s="124" t="s">
        <v>690</v>
      </c>
      <c r="P235" s="124" t="s">
        <v>691</v>
      </c>
      <c r="Q235" s="124" t="s">
        <v>675</v>
      </c>
      <c r="R235" s="124" t="s">
        <v>676</v>
      </c>
      <c r="S235" s="124" t="s">
        <v>1365</v>
      </c>
      <c r="T235" s="81" t="s">
        <v>1366</v>
      </c>
      <c r="U235" s="124" t="s">
        <v>677</v>
      </c>
      <c r="V235" s="124" t="s">
        <v>678</v>
      </c>
      <c r="W235" s="124" t="s">
        <v>1367</v>
      </c>
      <c r="X235" s="81" t="s">
        <v>1368</v>
      </c>
      <c r="Y235" s="124" t="s">
        <v>679</v>
      </c>
      <c r="Z235" s="124" t="s">
        <v>680</v>
      </c>
      <c r="AA235" s="124" t="s">
        <v>1369</v>
      </c>
      <c r="AB235" s="81" t="s">
        <v>1370</v>
      </c>
      <c r="AC235" s="124" t="s">
        <v>681</v>
      </c>
      <c r="AD235" s="124" t="s">
        <v>682</v>
      </c>
      <c r="AE235" s="124" t="s">
        <v>1371</v>
      </c>
      <c r="AF235" s="81" t="s">
        <v>1372</v>
      </c>
      <c r="AG235" s="124" t="s">
        <v>683</v>
      </c>
      <c r="AH235" s="124" t="s">
        <v>684</v>
      </c>
      <c r="AI235" s="124" t="s">
        <v>1373</v>
      </c>
      <c r="AJ235" s="81" t="s">
        <v>1374</v>
      </c>
      <c r="AK235" s="124" t="s">
        <v>685</v>
      </c>
      <c r="AL235" s="124" t="s">
        <v>686</v>
      </c>
      <c r="AM235" s="124" t="s">
        <v>1375</v>
      </c>
      <c r="AN235" s="81" t="s">
        <v>1376</v>
      </c>
    </row>
    <row r="236" spans="1: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100000</v>
      </c>
      <c r="F236" s="15">
        <f>(R236 * S236)+
(V236 * W236)+
(Z236 * AA236)+
(AD236 * AE236)+
(AH236 * AI236)+
(AL236 * AM236)</f>
        <v>0</v>
      </c>
      <c r="G236" s="246">
        <f>((E236 * F236) * 10 ^ -3)</f>
        <v>0</v>
      </c>
      <c r="H236" s="15">
        <f>((R236 * $E236) * S236 * 10 ^ -3)+
((V236 * $E236) * W236 * 10 ^ -3)+
((Z236 * $E236) * AA236 * 10 ^ -3)+
((AD236 * $E236) * AE236 * 10 ^ -3)+
((AH236 * $E236) * AI236 * 10 ^ -3)+
((AL236 * $E236) * AM236 * 10 ^ -3)</f>
        <v>0</v>
      </c>
      <c r="I236" s="75">
        <v>0.4</v>
      </c>
      <c r="J236" s="246">
        <f>((E236 * I236) * 10 ^ -3)</f>
        <v>40</v>
      </c>
      <c r="K236" s="246">
        <f>((R236 * $E236) * (IF(T236,T236,S236)) * 10 ^ -3)+
((V236 * $E236) * (IF(X236,X236,W236)) * 10 ^ -3)+
((Z236 * $E236) * (IF(AB236,AB236,AA236)) * 10 ^ -3)+
((AD236 * $E236) * (IF(AF236,AF236,AE236)) * 10 ^ -3)+
((AH236 * $E236) * (IF(AJ236,AJ236,AI236)) * 10 ^ -3)+
((AL236 * $E236) * (IF(AN236,AN236,AM236)) * 10 ^ -3)</f>
        <v>90</v>
      </c>
      <c r="L236" s="33"/>
      <c r="M236" s="13"/>
      <c r="N236"/>
      <c r="O236" s="15" cm="1">
        <f t="array" ref="O236:O245">IFERROR(INDEX(Table_Input_InorganicFertiliser_Brands[Urea source], _xlfn.SEQUENCE(10)), "")</f>
        <v>0</v>
      </c>
      <c r="P236" s="15" cm="1">
        <f t="array" ref="P236:P245">IFERROR(INDEX(Table_Input_InorganicFertiliser_Brands[Ammonia source], _xlfn.SEQUENCE(10)), "")</f>
        <v>0</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5">
        <v>0.9</v>
      </c>
      <c r="U236" s="15" cm="1">
        <f t="array" ref="U236:U245">IFERROR(INDEX(Table_Input_InorganicFertiliser_Brands[Ingredient 2], _xlfn.SEQUENCE(10)), "")</f>
        <v>0</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5">
        <v>0.9</v>
      </c>
      <c r="Y236" s="15" cm="1">
        <f t="array" ref="Y236:Y245">IFERROR(INDEX(Table_Input_InorganicFertiliser_Brands[Ingredient 3], _xlfn.SEQUENCE(10)), "")</f>
        <v>0</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5">
        <v>4</v>
      </c>
      <c r="AC236" s="15" cm="1">
        <f t="array" ref="AC236:AC245">IFERROR(INDEX(Table_Input_InorganicFertiliser_Brands[Ingredient 4], _xlfn.SEQUENCE(10)), "")</f>
        <v>0</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5">
        <v>0</v>
      </c>
      <c r="AG236" s="15" cm="1">
        <f t="array" ref="AG236:AG245">IFERROR(INDEX(Table_Input_InorganicFertiliser_Brands[Ingredient 5], _xlfn.SEQUENCE(10)), "")</f>
        <v>0</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5">
        <v>0</v>
      </c>
      <c r="AK236" s="15" cm="1">
        <f t="array" ref="AK236:AK245">IFERROR(INDEX(Table_Input_InorganicFertiliser_Brands[Ingredient 6], _xlfn.SEQUENCE(10)), "")</f>
        <v>0</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5"/>
    </row>
    <row r="237" spans="1:40" ht="20.100000000000001" customHeight="1" x14ac:dyDescent="0.2">
      <c r="D237" s="15" t="str">
        <v>Boost-It</v>
      </c>
      <c r="E237" s="15">
        <v>100000</v>
      </c>
      <c r="F237" s="15">
        <f>(R237 * S237)+
(V237 * W237)+
(Z237 * AA237)+
(AD237 * AE237)+
(AH237 * AI237)+
(AL237 * AM237)</f>
        <v>0.41114000000000001</v>
      </c>
      <c r="G237" s="246">
        <f>((E237 * F237) * 10 ^ -3)</f>
        <v>41.114000000000004</v>
      </c>
      <c r="H237" s="15">
        <f>((R237 * $E237) * S237 * 10 ^ -3)+
((V237 * $E237) * W237 * 10 ^ -3)+
((Z237 * $E237) * AA237 * 10 ^ -3)+
((AD237 * $E237) * AE237 * 10 ^ -3)+
((AH237 * $E237) * AI237 * 10 ^ -3)+
((AL237 * $E237) * AM237 * 10 ^ -3)</f>
        <v>41.113999999999997</v>
      </c>
      <c r="I237" s="75">
        <v>0.9</v>
      </c>
      <c r="J237" s="246">
        <f>((E237 * I237) * 10 ^ -3)</f>
        <v>90</v>
      </c>
      <c r="K237" s="246">
        <f>((R237 * $E237) * (IF(T237,T237,S237)) * 10 ^ -3)+
((V237 * $E237) * (IF(X237,X237,W237)) * 10 ^ -3)+
((Z237 * $E237) * (IF(AB237,AB237,AA237)) * 10 ^ -3)+
((AD237 * $E237) * (IF(AF237,AF237,AE237)) * 10 ^ -3)+
((AH237 * $E237) * (IF(AJ237,AJ237,AI237)) * 10 ^ -3)+
((AL237 * $E237) * (IF(AN237,AN237,AM237)) * 10 ^ -3)</f>
        <v>41.113999999999997</v>
      </c>
      <c r="L237" s="33"/>
      <c r="M237" s="13"/>
      <c r="N237" s="33"/>
      <c r="O237" s="15">
        <v>0</v>
      </c>
      <c r="P237" s="15">
        <v>0</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5"/>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5"/>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5"/>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5"/>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5"/>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5"/>
    </row>
    <row r="238" spans="1:40" ht="20.100000000000001" customHeight="1" x14ac:dyDescent="0.2">
      <c r="D238" s="15" t="str">
        <v>Cal-Gran 50/50</v>
      </c>
      <c r="E238" s="15">
        <v>100000</v>
      </c>
      <c r="F238" s="15">
        <f>(R238 * S238)+
(V238 * W238)+
(Z238 * AA238)+
(AD238 * AE238)+
(AH238 * AI238)+
(AL238 * AM238)</f>
        <v>0.8781199999999999</v>
      </c>
      <c r="G238" s="246">
        <f>((E238 * F238) * 10 ^ -3)</f>
        <v>87.811999999999983</v>
      </c>
      <c r="H238" s="15">
        <f>((R238 * $E238) * S238 * 10 ^ -3)+
((V238 * $E238) * W238 * 10 ^ -3)+
((Z238 * $E238) * AA238 * 10 ^ -3)+
((AD238 * $E238) * AE238 * 10 ^ -3)+
((AH238 * $E238) * AI238 * 10 ^ -3)+
((AL238 * $E238) * AM238 * 10 ^ -3)</f>
        <v>87.811999999999998</v>
      </c>
      <c r="I238" s="75">
        <v>0.4</v>
      </c>
      <c r="J238" s="246">
        <f>((E238 * I238) * 10 ^ -3)</f>
        <v>40</v>
      </c>
      <c r="K238" s="246">
        <f>((R238 * $E238) * (IF(T238,T238,S238)) * 10 ^ -3)+
((V238 * $E238) * (IF(X238,X238,W238)) * 10 ^ -3)+
((Z238 * $E238) * (IF(AB238,AB238,AA238)) * 10 ^ -3)+
((AD238 * $E238) * (IF(AF238,AF238,AE238)) * 10 ^ -3)+
((AH238 * $E238) * (IF(AJ238,AJ238,AI238)) * 10 ^ -3)+
((AL238 * $E238) * (IF(AN238,AN238,AM238)) * 10 ^ -3)</f>
        <v>87.811999999999998</v>
      </c>
      <c r="L238" s="33"/>
      <c r="M238" s="13"/>
      <c r="N238" s="33"/>
      <c r="O238" s="15">
        <v>0</v>
      </c>
      <c r="P238" s="15">
        <v>0</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5"/>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5"/>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5"/>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5"/>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5"/>
      <c r="AK238" s="15">
        <v>0</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5"/>
    </row>
    <row r="239" spans="1:40" ht="20.100000000000001" customHeight="1" x14ac:dyDescent="0.2">
      <c r="D239" s="15">
        <v>0</v>
      </c>
      <c r="E239" s="15">
        <v>0</v>
      </c>
      <c r="F239" s="15">
        <f>(R239 * S239)+
(V239 * W239)+
(Z239 * AA239)+
(AD239 * AE239)+
(AH239 * AI239)+
(AL239 * AM239)</f>
        <v>0</v>
      </c>
      <c r="G239" s="246">
        <f>((E239 * F239) * 10 ^ -3)</f>
        <v>0</v>
      </c>
      <c r="H239" s="15">
        <f>((R239 * $E239) * S239 * 10 ^ -3)+
((V239 * $E239) * W239 * 10 ^ -3)+
((Z239 * $E239) * AA239 * 10 ^ -3)+
((AD239 * $E239) * AE239 * 10 ^ -3)+
((AH239 * $E239) * AI239 * 10 ^ -3)+
((AL239 * $E239) * AM239 * 10 ^ -3)</f>
        <v>0</v>
      </c>
      <c r="I239" s="75"/>
      <c r="J239" s="246">
        <f>((E239 * I239) * 10 ^ -3)</f>
        <v>0</v>
      </c>
      <c r="K239" s="246">
        <f>((R239 * $E239) * (IF(T239,T239,S239)) * 10 ^ -3)+
((V239 * $E239) * (IF(X239,X239,W239)) * 10 ^ -3)+
((Z239 * $E239) * (IF(AB239,AB239,AA239)) * 10 ^ -3)+
((AD239 * $E239) * (IF(AF239,AF239,AE239)) * 10 ^ -3)+
((AH239 * $E239) * (IF(AJ239,AJ239,AI239)) * 10 ^ -3)+
((AL239 * $E239) * (IF(AN239,AN239,AM239)) * 10 ^ -3)</f>
        <v>0</v>
      </c>
      <c r="L239" s="33"/>
      <c r="M239" s="13"/>
      <c r="N239" s="33"/>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5"/>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5"/>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5"/>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5"/>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5"/>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5"/>
    </row>
    <row r="240" spans="1:40" ht="20.100000000000001" customHeight="1" x14ac:dyDescent="0.2">
      <c r="D240" s="15">
        <v>0</v>
      </c>
      <c r="E240" s="15">
        <v>0</v>
      </c>
      <c r="F240" s="15">
        <f>(R240 * S240)+
(V240 * W240)+
(Z240 * AA240)+
(AD240 * AE240)+
(AH240 * AI240)+
(AL240 * AM240)</f>
        <v>0</v>
      </c>
      <c r="G240" s="246">
        <f>((E240 * F240) * 10 ^ -3)</f>
        <v>0</v>
      </c>
      <c r="H240" s="15">
        <f>((R240 * $E240) * S240 * 10 ^ -3)+
((V240 * $E240) * W240 * 10 ^ -3)+
((Z240 * $E240) * AA240 * 10 ^ -3)+
((AD240 * $E240) * AE240 * 10 ^ -3)+
((AH240 * $E240) * AI240 * 10 ^ -3)+
((AL240 * $E240) * AM240 * 10 ^ -3)</f>
        <v>0</v>
      </c>
      <c r="I240" s="75"/>
      <c r="J240" s="246">
        <f>((E240 * I240) * 10 ^ -3)</f>
        <v>0</v>
      </c>
      <c r="K240" s="246">
        <f>((R240 * $E240) * (IF(T240,T240,S240)) * 10 ^ -3)+
((V240 * $E240) * (IF(X240,X240,W240)) * 10 ^ -3)+
((Z240 * $E240) * (IF(AB240,AB240,AA240)) * 10 ^ -3)+
((AD240 * $E240) * (IF(AF240,AF240,AE240)) * 10 ^ -3)+
((AH240 * $E240) * (IF(AJ240,AJ240,AI240)) * 10 ^ -3)+
((AL240 * $E240) * (IF(AN240,AN240,AM240)) * 10 ^ -3)</f>
        <v>0</v>
      </c>
      <c r="L240" s="33"/>
      <c r="M240" s="13"/>
      <c r="N240" s="33"/>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5"/>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5"/>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5"/>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5"/>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5"/>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5"/>
    </row>
    <row r="241" spans="4:40" ht="20.100000000000001" customHeight="1" x14ac:dyDescent="0.2">
      <c r="D241" s="15">
        <v>0</v>
      </c>
      <c r="E241" s="15">
        <v>0</v>
      </c>
      <c r="F241" s="15">
        <f>(R241 * S241)+
(V241 * W241)+
(Z241 * AA241)+
(AD241 * AE241)+
(AH241 * AI241)+
(AL241 * AM241)</f>
        <v>0</v>
      </c>
      <c r="G241" s="246">
        <f>((E241 * F241) * 10 ^ -3)</f>
        <v>0</v>
      </c>
      <c r="H241" s="15">
        <f>((R241 * $E241) * S241 * 10 ^ -3)+
((V241 * $E241) * W241 * 10 ^ -3)+
((Z241 * $E241) * AA241 * 10 ^ -3)+
((AD241 * $E241) * AE241 * 10 ^ -3)+
((AH241 * $E241) * AI241 * 10 ^ -3)+
((AL241 * $E241) * AM241 * 10 ^ -3)</f>
        <v>0</v>
      </c>
      <c r="I241" s="75"/>
      <c r="J241" s="246">
        <f>((E241 * I241) * 10 ^ -3)</f>
        <v>0</v>
      </c>
      <c r="K241" s="246">
        <f>((R241 * $E241) * (IF(T241,T241,S241)) * 10 ^ -3)+
((V241 * $E241) * (IF(X241,X241,W241)) * 10 ^ -3)+
((Z241 * $E241) * (IF(AB241,AB241,AA241)) * 10 ^ -3)+
((AD241 * $E241) * (IF(AF241,AF241,AE241)) * 10 ^ -3)+
((AH241 * $E241) * (IF(AJ241,AJ241,AI241)) * 10 ^ -3)+
((AL241 * $E241) * (IF(AN241,AN241,AM241)) * 10 ^ -3)</f>
        <v>0</v>
      </c>
      <c r="L241" s="33"/>
      <c r="M241" s="13"/>
      <c r="N241" s="33"/>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5"/>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5"/>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5"/>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5"/>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5"/>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5"/>
    </row>
    <row r="242" spans="4:40" ht="20.100000000000001" customHeight="1" x14ac:dyDescent="0.2">
      <c r="D242" s="15">
        <v>0</v>
      </c>
      <c r="E242" s="15">
        <v>0</v>
      </c>
      <c r="F242" s="15">
        <f>(R242 * S242)+
(V242 * W242)+
(Z242 * AA242)+
(AD242 * AE242)+
(AH242 * AI242)+
(AL242 * AM242)</f>
        <v>0</v>
      </c>
      <c r="G242" s="246">
        <f>((E242 * F242) * 10 ^ -3)</f>
        <v>0</v>
      </c>
      <c r="H242" s="15">
        <f>((R242 * $E242) * S242 * 10 ^ -3)+
((V242 * $E242) * W242 * 10 ^ -3)+
((Z242 * $E242) * AA242 * 10 ^ -3)+
((AD242 * $E242) * AE242 * 10 ^ -3)+
((AH242 * $E242) * AI242 * 10 ^ -3)+
((AL242 * $E242) * AM242 * 10 ^ -3)</f>
        <v>0</v>
      </c>
      <c r="I242" s="75"/>
      <c r="J242" s="246">
        <f>((E242 * I242) * 10 ^ -3)</f>
        <v>0</v>
      </c>
      <c r="K242" s="246">
        <f>((R242 * $E242) * (IF(T242,T242,S242)) * 10 ^ -3)+
((V242 * $E242) * (IF(X242,X242,W242)) * 10 ^ -3)+
((Z242 * $E242) * (IF(AB242,AB242,AA242)) * 10 ^ -3)+
((AD242 * $E242) * (IF(AF242,AF242,AE242)) * 10 ^ -3)+
((AH242 * $E242) * (IF(AJ242,AJ242,AI242)) * 10 ^ -3)+
((AL242 * $E242) * (IF(AN242,AN242,AM242)) * 10 ^ -3)</f>
        <v>0</v>
      </c>
      <c r="L242" s="33"/>
      <c r="M242" s="13"/>
      <c r="N242" s="33"/>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5"/>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5"/>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5"/>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5"/>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5"/>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5"/>
    </row>
    <row r="243" spans="4:40" ht="20.100000000000001" customHeight="1" x14ac:dyDescent="0.2">
      <c r="D243" s="15">
        <v>0</v>
      </c>
      <c r="E243" s="15">
        <v>0</v>
      </c>
      <c r="F243" s="15">
        <f>(R243 * S243)+
(V243 * W243)+
(Z243 * AA243)+
(AD243 * AE243)+
(AH243 * AI243)+
(AL243 * AM243)</f>
        <v>0</v>
      </c>
      <c r="G243" s="246">
        <f>((E243 * F243) * 10 ^ -3)</f>
        <v>0</v>
      </c>
      <c r="H243" s="15">
        <f>((R243 * $E243) * S243 * 10 ^ -3)+
((V243 * $E243) * W243 * 10 ^ -3)+
((Z243 * $E243) * AA243 * 10 ^ -3)+
((AD243 * $E243) * AE243 * 10 ^ -3)+
((AH243 * $E243) * AI243 * 10 ^ -3)+
((AL243 * $E243) * AM243 * 10 ^ -3)</f>
        <v>0</v>
      </c>
      <c r="I243" s="75"/>
      <c r="J243" s="246">
        <f>((E243 * I243) * 10 ^ -3)</f>
        <v>0</v>
      </c>
      <c r="K243" s="246">
        <f>((R243 * $E243) * (IF(T243,T243,S243)) * 10 ^ -3)+
((V243 * $E243) * (IF(X243,X243,W243)) * 10 ^ -3)+
((Z243 * $E243) * (IF(AB243,AB243,AA243)) * 10 ^ -3)+
((AD243 * $E243) * (IF(AF243,AF243,AE243)) * 10 ^ -3)+
((AH243 * $E243) * (IF(AJ243,AJ243,AI243)) * 10 ^ -3)+
((AL243 * $E243) * (IF(AN243,AN243,AM243)) * 10 ^ -3)</f>
        <v>0</v>
      </c>
      <c r="L243" s="33"/>
      <c r="M243" s="13"/>
      <c r="N243" s="33"/>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5"/>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5"/>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5"/>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5"/>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5"/>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5"/>
    </row>
    <row r="244" spans="4:40" ht="20.100000000000001" customHeight="1" x14ac:dyDescent="0.2">
      <c r="D244" s="15">
        <v>0</v>
      </c>
      <c r="E244" s="15">
        <v>0</v>
      </c>
      <c r="F244" s="15">
        <f>(R244 * S244)+
(V244 * W244)+
(Z244 * AA244)+
(AD244 * AE244)+
(AH244 * AI244)+
(AL244 * AM244)</f>
        <v>0</v>
      </c>
      <c r="G244" s="246">
        <f>((E244 * F244) * 10 ^ -3)</f>
        <v>0</v>
      </c>
      <c r="H244" s="15">
        <f>((R244 * $E244) * S244 * 10 ^ -3)+
((V244 * $E244) * W244 * 10 ^ -3)+
((Z244 * $E244) * AA244 * 10 ^ -3)+
((AD244 * $E244) * AE244 * 10 ^ -3)+
((AH244 * $E244) * AI244 * 10 ^ -3)+
((AL244 * $E244) * AM244 * 10 ^ -3)</f>
        <v>0</v>
      </c>
      <c r="I244" s="75"/>
      <c r="J244" s="246">
        <f>((E244 * I244) * 10 ^ -3)</f>
        <v>0</v>
      </c>
      <c r="K244" s="246">
        <f>((R244 * $E244) * (IF(T244,T244,S244)) * 10 ^ -3)+
((V244 * $E244) * (IF(X244,X244,W244)) * 10 ^ -3)+
((Z244 * $E244) * (IF(AB244,AB244,AA244)) * 10 ^ -3)+
((AD244 * $E244) * (IF(AF244,AF244,AE244)) * 10 ^ -3)+
((AH244 * $E244) * (IF(AJ244,AJ244,AI244)) * 10 ^ -3)+
((AL244 * $E244) * (IF(AN244,AN244,AM244)) * 10 ^ -3)</f>
        <v>0</v>
      </c>
      <c r="L244" s="33"/>
      <c r="M244" s="13"/>
      <c r="N244" s="33"/>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5"/>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5"/>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5"/>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5"/>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5"/>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5"/>
    </row>
    <row r="245" spans="4:40" ht="20.100000000000001" customHeight="1" x14ac:dyDescent="0.2">
      <c r="D245" s="15">
        <v>0</v>
      </c>
      <c r="E245" s="15">
        <v>0</v>
      </c>
      <c r="F245" s="15">
        <f>(R245 * S245)+
(V245 * W245)+
(Z245 * AA245)+
(AD245 * AE245)+
(AH245 * AI245)+
(AL245 * AM245)</f>
        <v>0</v>
      </c>
      <c r="G245" s="246">
        <f>((E245 * F245) * 10 ^ -3)</f>
        <v>0</v>
      </c>
      <c r="H245" s="15">
        <f>((R245 * $E245) * S245 * 10 ^ -3)+
((V245 * $E245) * W245 * 10 ^ -3)+
((Z245 * $E245) * AA245 * 10 ^ -3)+
((AD245 * $E245) * AE245 * 10 ^ -3)+
((AH245 * $E245) * AI245 * 10 ^ -3)+
((AL245 * $E245) * AM245 * 10 ^ -3)</f>
        <v>0</v>
      </c>
      <c r="I245" s="75"/>
      <c r="J245" s="246">
        <f>((E245 * I245) * 10 ^ -3)</f>
        <v>0</v>
      </c>
      <c r="K245" s="246">
        <f>((R245 * $E245) * (IF(T245,T245,S245)) * 10 ^ -3)+
((V245 * $E245) * (IF(X245,X245,W245)) * 10 ^ -3)+
((Z245 * $E245) * (IF(AB245,AB245,AA245)) * 10 ^ -3)+
((AD245 * $E245) * (IF(AF245,AF245,AE245)) * 10 ^ -3)+
((AH245 * $E245) * (IF(AJ245,AJ245,AI245)) * 10 ^ -3)+
((AL245 * $E245) * (IF(AN245,AN245,AM245)) * 10 ^ -3)</f>
        <v>0</v>
      </c>
      <c r="L245" s="33"/>
      <c r="M245" s="13"/>
      <c r="N245" s="33"/>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5"/>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5"/>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5"/>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5"/>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5"/>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5"/>
    </row>
    <row r="247" spans="4:40" ht="20.100000000000001" customHeight="1" x14ac:dyDescent="0.2">
      <c r="D247" s="261" t="s">
        <v>1377</v>
      </c>
    </row>
    <row r="249" spans="4:40" ht="20.100000000000001" customHeight="1" x14ac:dyDescent="0.2">
      <c r="D249" s="35" t="s">
        <v>1378</v>
      </c>
      <c r="E249" s="37"/>
      <c r="F249" s="38"/>
    </row>
    <row r="251" spans="4:40" ht="20.100000000000001" customHeight="1" x14ac:dyDescent="0.2">
      <c r="D251" s="81" t="s">
        <v>1340</v>
      </c>
      <c r="E251" s="81" t="s">
        <v>1358</v>
      </c>
      <c r="F251" s="124" t="s">
        <v>1359</v>
      </c>
      <c r="G251" s="124" t="s">
        <v>1360</v>
      </c>
      <c r="H251" s="124" t="s">
        <v>1361</v>
      </c>
      <c r="I251" s="81" t="s">
        <v>1362</v>
      </c>
      <c r="J251" s="124" t="s">
        <v>1363</v>
      </c>
      <c r="K251" s="124" t="s">
        <v>1364</v>
      </c>
      <c r="L251" s="81" t="s">
        <v>1318</v>
      </c>
      <c r="M251" s="81" t="s">
        <v>1319</v>
      </c>
      <c r="N251" s="81" t="s">
        <v>1320</v>
      </c>
      <c r="O251" s="124" t="s">
        <v>690</v>
      </c>
      <c r="P251" s="124" t="s">
        <v>691</v>
      </c>
      <c r="Q251" s="124" t="s">
        <v>675</v>
      </c>
      <c r="R251" s="124" t="s">
        <v>676</v>
      </c>
      <c r="S251" s="124" t="s">
        <v>1365</v>
      </c>
      <c r="T251" s="81" t="s">
        <v>1366</v>
      </c>
      <c r="U251" s="124" t="s">
        <v>677</v>
      </c>
      <c r="V251" s="124" t="s">
        <v>678</v>
      </c>
      <c r="W251" s="124" t="s">
        <v>1367</v>
      </c>
      <c r="X251" s="81" t="s">
        <v>1368</v>
      </c>
      <c r="Y251" s="124" t="s">
        <v>679</v>
      </c>
      <c r="Z251" s="124" t="s">
        <v>680</v>
      </c>
      <c r="AA251" s="124" t="s">
        <v>1369</v>
      </c>
      <c r="AB251" s="81" t="s">
        <v>1370</v>
      </c>
      <c r="AC251" s="124" t="s">
        <v>681</v>
      </c>
      <c r="AD251" s="124" t="s">
        <v>682</v>
      </c>
      <c r="AE251" s="124" t="s">
        <v>1371</v>
      </c>
      <c r="AF251" s="81" t="s">
        <v>1372</v>
      </c>
    </row>
    <row r="252" spans="4: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100000</v>
      </c>
      <c r="F252" s="15">
        <f>(R252 * S252)+
(V252 * W252)+
(Z252 * AA252)+
(AD252 * AE252)</f>
        <v>1.7707999999999999</v>
      </c>
      <c r="G252" s="246">
        <f>((E252 * F252) * 10 ^ -3)</f>
        <v>177.08</v>
      </c>
      <c r="H252" s="15">
        <f>((R252 * $E252) * S252 * 10 ^ -3)+
((V252 * $E252) * W252 * 10 ^ -3)+
((Z252 * $E252) * AA252 * 10 ^ -3)+
((AD252 * $E252) * AE252 * 10 ^ -3)</f>
        <v>177.08</v>
      </c>
      <c r="I252" s="75">
        <v>0.4</v>
      </c>
      <c r="J252" s="246">
        <f>((E252 * I252) * 10 ^ -3)</f>
        <v>40</v>
      </c>
      <c r="K252" s="246">
        <f>((R252 * $E252) * (IF(T252,T252,S252)) * 10 ^ -3)+
((V252 * $E252) * (IF(X252,X252,W252)) * 10 ^ -3)+
((Z252 * $E252) * (IF(AB252,AB252,AA252)) * 10 ^ -3)+
((AD252 * $E252) * (IF(AF252,AF252,AE252)) * 10 ^ -3)</f>
        <v>168</v>
      </c>
      <c r="L252" s="33"/>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5">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5">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5">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5">
        <v>0</v>
      </c>
    </row>
    <row r="253" spans="4:40" ht="20.100000000000001" customHeight="1" x14ac:dyDescent="0.2">
      <c r="D253" s="15" t="str">
        <v>My second custom blend</v>
      </c>
      <c r="E253" s="15">
        <v>100000</v>
      </c>
      <c r="F253" s="15">
        <f>(R253 * S253)+
(V253 * W253)+
(Z253 * AA253)+
(AD253 * AE253)</f>
        <v>0.96799999999999997</v>
      </c>
      <c r="G253" s="246">
        <f>((E253 * F253) * 10 ^ -3)</f>
        <v>96.8</v>
      </c>
      <c r="H253" s="15">
        <f>((R253 * $E253) * S253 * 10 ^ -3)+
((V253 * $E253) * W253 * 10 ^ -3)+
((Z253 * $E253) * AA253 * 10 ^ -3)+
((AD253 * $E253) * AE253 * 10 ^ -3)</f>
        <v>96.8</v>
      </c>
      <c r="I253" s="75">
        <v>0.9</v>
      </c>
      <c r="J253" s="246">
        <f>((E253 * I253) * 10 ^ -3)</f>
        <v>90</v>
      </c>
      <c r="K253" s="246">
        <f>((R253 * $E253) * (IF(T253,T253,S253)) * 10 ^ -3)+
((V253 * $E253) * (IF(X253,X253,W253)) * 10 ^ -3)+
((Z253 * $E253) * (IF(AB253,AB253,AA253)) * 10 ^ -3)+
((AD253 * $E253) * (IF(AF253,AF253,AE253)) * 10 ^ -3)</f>
        <v>96.8</v>
      </c>
      <c r="L253" s="33"/>
      <c r="M253" s="13"/>
      <c r="N253" s="33"/>
      <c r="O253" s="271" t="str">
        <v/>
      </c>
      <c r="P253" s="271"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5"/>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5"/>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5"/>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5"/>
    </row>
    <row r="254" spans="4:40" ht="20.100000000000001" customHeight="1" x14ac:dyDescent="0.2">
      <c r="D254" s="15" t="str">
        <v>My third custom blend</v>
      </c>
      <c r="E254" s="15">
        <v>100000</v>
      </c>
      <c r="F254" s="15">
        <f>(R254 * S254)+
(V254 * W254)+
(Z254 * AA254)+
(AD254 * AE254)</f>
        <v>1.1599999999999999</v>
      </c>
      <c r="G254" s="246">
        <f>((E254 * F254) * 10 ^ -3)</f>
        <v>115.99999999999999</v>
      </c>
      <c r="H254" s="15">
        <f>((R254 * $E254) * S254 * 10 ^ -3)+
((V254 * $E254) * W254 * 10 ^ -3)+
((Z254 * $E254) * AA254 * 10 ^ -3)+
((AD254 * $E254) * AE254 * 10 ^ -3)</f>
        <v>115.99999999999999</v>
      </c>
      <c r="I254" s="75">
        <v>0.4</v>
      </c>
      <c r="J254" s="246">
        <f>((E254 * I254) * 10 ^ -3)</f>
        <v>40</v>
      </c>
      <c r="K254" s="246">
        <f>((R254 * $E254) * (IF(T254,T254,S254)) * 10 ^ -3)+
((V254 * $E254) * (IF(X254,X254,W254)) * 10 ^ -3)+
((Z254 * $E254) * (IF(AB254,AB254,AA254)) * 10 ^ -3)+
((AD254 * $E254) * (IF(AF254,AF254,AE254)) * 10 ^ -3)</f>
        <v>115.99999999999999</v>
      </c>
      <c r="L254" s="33"/>
      <c r="M254" s="13"/>
      <c r="N254" s="33"/>
      <c r="O254" s="271" t="str">
        <v/>
      </c>
      <c r="P254" s="271"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5"/>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5"/>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5"/>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5"/>
    </row>
    <row r="255" spans="4:40" ht="20.100000000000001" customHeight="1" x14ac:dyDescent="0.2">
      <c r="D255" s="15">
        <v>0</v>
      </c>
      <c r="E255" s="15">
        <v>0</v>
      </c>
      <c r="F255" s="15">
        <f>(R255 * S255)+
(V255 * W255)+
(Z255 * AA255)+
(AD255 * AE255)</f>
        <v>0</v>
      </c>
      <c r="G255" s="246">
        <f>((E255 * F255) * 10 ^ -3)</f>
        <v>0</v>
      </c>
      <c r="H255" s="15">
        <f>((R255 * $E255) * S255 * 10 ^ -3)+
((V255 * $E255) * W255 * 10 ^ -3)+
((Z255 * $E255) * AA255 * 10 ^ -3)+
((AD255 * $E255) * AE255 * 10 ^ -3)</f>
        <v>0</v>
      </c>
      <c r="I255" s="75"/>
      <c r="J255" s="246">
        <f>((E255 * I255) * 10 ^ -3)</f>
        <v>0</v>
      </c>
      <c r="K255" s="246">
        <f>((R255 * $E255) * (IF(T255,T255,S255)) * 10 ^ -3)+
((V255 * $E255) * (IF(X255,X255,W255)) * 10 ^ -3)+
((Z255 * $E255) * (IF(AB255,AB255,AA255)) * 10 ^ -3)+
((AD255 * $E255) * (IF(AF255,AF255,AE255)) * 10 ^ -3)</f>
        <v>0</v>
      </c>
      <c r="L255" s="33"/>
      <c r="M255" s="13"/>
      <c r="N255" s="33"/>
      <c r="O255" s="271" t="str">
        <v/>
      </c>
      <c r="P255" s="271"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5"/>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5"/>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5"/>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5"/>
    </row>
    <row r="256" spans="4:40" ht="20.100000000000001" customHeight="1" x14ac:dyDescent="0.2">
      <c r="D256" s="15">
        <v>0</v>
      </c>
      <c r="E256" s="15">
        <v>0</v>
      </c>
      <c r="F256" s="15">
        <f>(R256 * S256)+
(V256 * W256)+
(Z256 * AA256)+
(AD256 * AE256)</f>
        <v>0</v>
      </c>
      <c r="G256" s="246">
        <f>((E256 * F256) * 10 ^ -3)</f>
        <v>0</v>
      </c>
      <c r="H256" s="15">
        <f>((R256 * $E256) * S256 * 10 ^ -3)+
((V256 * $E256) * W256 * 10 ^ -3)+
((Z256 * $E256) * AA256 * 10 ^ -3)+
((AD256 * $E256) * AE256 * 10 ^ -3)</f>
        <v>0</v>
      </c>
      <c r="I256" s="75"/>
      <c r="J256" s="246">
        <f>((E256 * I256) * 10 ^ -3)</f>
        <v>0</v>
      </c>
      <c r="K256" s="246">
        <f>((R256 * $E256) * (IF(T256,T256,S256)) * 10 ^ -3)+
((V256 * $E256) * (IF(X256,X256,W256)) * 10 ^ -3)+
((Z256 * $E256) * (IF(AB256,AB256,AA256)) * 10 ^ -3)+
((AD256 * $E256) * (IF(AF256,AF256,AE256)) * 10 ^ -3)</f>
        <v>0</v>
      </c>
      <c r="L256" s="33"/>
      <c r="M256" s="13"/>
      <c r="N256" s="33"/>
      <c r="O256" s="271" t="str">
        <v/>
      </c>
      <c r="P256" s="271"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5"/>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5"/>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5"/>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5"/>
    </row>
    <row r="257" spans="1:41" ht="20.100000000000001" customHeight="1" x14ac:dyDescent="0.2">
      <c r="D257" s="15">
        <v>0</v>
      </c>
      <c r="E257" s="15">
        <v>0</v>
      </c>
      <c r="F257" s="15">
        <f>(R257 * S257)+
(V257 * W257)+
(Z257 * AA257)+
(AD257 * AE257)</f>
        <v>0</v>
      </c>
      <c r="G257" s="246">
        <f>((E257 * F257) * 10 ^ -3)</f>
        <v>0</v>
      </c>
      <c r="H257" s="15">
        <f>((R257 * $E257) * S257 * 10 ^ -3)+
((V257 * $E257) * W257 * 10 ^ -3)+
((Z257 * $E257) * AA257 * 10 ^ -3)+
((AD257 * $E257) * AE257 * 10 ^ -3)</f>
        <v>0</v>
      </c>
      <c r="I257" s="75"/>
      <c r="J257" s="246">
        <f>((E257 * I257) * 10 ^ -3)</f>
        <v>0</v>
      </c>
      <c r="K257" s="246">
        <f>((R257 * $E257) * (IF(T257,T257,S257)) * 10 ^ -3)+
((V257 * $E257) * (IF(X257,X257,W257)) * 10 ^ -3)+
((Z257 * $E257) * (IF(AB257,AB257,AA257)) * 10 ^ -3)+
((AD257 * $E257) * (IF(AF257,AF257,AE257)) * 10 ^ -3)</f>
        <v>0</v>
      </c>
      <c r="L257" s="33"/>
      <c r="M257" s="13"/>
      <c r="N257" s="33"/>
      <c r="O257" s="271" t="str">
        <v/>
      </c>
      <c r="P257" s="271"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5"/>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5"/>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5"/>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5"/>
    </row>
    <row r="258" spans="1:41" ht="20.100000000000001" customHeight="1" x14ac:dyDescent="0.2">
      <c r="D258" s="15">
        <v>0</v>
      </c>
      <c r="E258" s="15">
        <v>0</v>
      </c>
      <c r="F258" s="15">
        <f>(R258 * S258)+
(V258 * W258)+
(Z258 * AA258)+
(AD258 * AE258)</f>
        <v>0</v>
      </c>
      <c r="G258" s="246">
        <f>((E258 * F258) * 10 ^ -3)</f>
        <v>0</v>
      </c>
      <c r="H258" s="15">
        <f>((R258 * $E258) * S258 * 10 ^ -3)+
((V258 * $E258) * W258 * 10 ^ -3)+
((Z258 * $E258) * AA258 * 10 ^ -3)+
((AD258 * $E258) * AE258 * 10 ^ -3)</f>
        <v>0</v>
      </c>
      <c r="I258" s="75"/>
      <c r="J258" s="246">
        <f>((E258 * I258) * 10 ^ -3)</f>
        <v>0</v>
      </c>
      <c r="K258" s="246">
        <f>((R258 * $E258) * (IF(T258,T258,S258)) * 10 ^ -3)+
((V258 * $E258) * (IF(X258,X258,W258)) * 10 ^ -3)+
((Z258 * $E258) * (IF(AB258,AB258,AA258)) * 10 ^ -3)+
((AD258 * $E258) * (IF(AF258,AF258,AE258)) * 10 ^ -3)</f>
        <v>0</v>
      </c>
      <c r="L258" s="33"/>
      <c r="M258" s="13"/>
      <c r="N258" s="33"/>
      <c r="O258" s="271" t="str">
        <v/>
      </c>
      <c r="P258" s="271"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5"/>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5"/>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5"/>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5"/>
    </row>
    <row r="259" spans="1:41" ht="20.100000000000001" customHeight="1" x14ac:dyDescent="0.2">
      <c r="A259" s="129" t="str">
        <f>HYPERLINK("#A1", "▲ Back to top")</f>
        <v>▲ Back to top</v>
      </c>
      <c r="D259" s="15">
        <v>0</v>
      </c>
      <c r="E259" s="15">
        <v>0</v>
      </c>
      <c r="F259" s="15">
        <f>(R259 * S259)+
(V259 * W259)+
(Z259 * AA259)+
(AD259 * AE259)</f>
        <v>0</v>
      </c>
      <c r="G259" s="246">
        <f>((E259 * F259) * 10 ^ -3)</f>
        <v>0</v>
      </c>
      <c r="H259" s="15">
        <f>((R259 * $E259) * S259 * 10 ^ -3)+
((V259 * $E259) * W259 * 10 ^ -3)+
((Z259 * $E259) * AA259 * 10 ^ -3)+
((AD259 * $E259) * AE259 * 10 ^ -3)</f>
        <v>0</v>
      </c>
      <c r="I259" s="75"/>
      <c r="J259" s="246">
        <f>((E259 * I259) * 10 ^ -3)</f>
        <v>0</v>
      </c>
      <c r="K259" s="246">
        <f>((R259 * $E259) * (IF(T259,T259,S259)) * 10 ^ -3)+
((V259 * $E259) * (IF(X259,X259,W259)) * 10 ^ -3)+
((Z259 * $E259) * (IF(AB259,AB259,AA259)) * 10 ^ -3)+
((AD259 * $E259) * (IF(AF259,AF259,AE259)) * 10 ^ -3)</f>
        <v>0</v>
      </c>
      <c r="L259" s="33"/>
      <c r="M259" s="13"/>
      <c r="N259" s="33"/>
      <c r="O259" s="271" t="str">
        <v/>
      </c>
      <c r="P259" s="271"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5"/>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5"/>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5"/>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5"/>
    </row>
    <row r="260" spans="1:41" ht="20.100000000000001" customHeight="1" x14ac:dyDescent="0.2">
      <c r="D260" s="15">
        <v>0</v>
      </c>
      <c r="E260" s="15">
        <v>0</v>
      </c>
      <c r="F260" s="15">
        <f>(R260 * S260)+
(V260 * W260)+
(Z260 * AA260)+
(AD260 * AE260)</f>
        <v>0</v>
      </c>
      <c r="G260" s="246">
        <f>((E260 * F260) * 10 ^ -3)</f>
        <v>0</v>
      </c>
      <c r="H260" s="15">
        <f>((R260 * $E260) * S260 * 10 ^ -3)+
((V260 * $E260) * W260 * 10 ^ -3)+
((Z260 * $E260) * AA260 * 10 ^ -3)+
((AD260 * $E260) * AE260 * 10 ^ -3)</f>
        <v>0</v>
      </c>
      <c r="I260" s="75"/>
      <c r="J260" s="246">
        <f>((E260 * I260) * 10 ^ -3)</f>
        <v>0</v>
      </c>
      <c r="K260" s="246">
        <f>((R260 * $E260) * (IF(T260,T260,S260)) * 10 ^ -3)+
((V260 * $E260) * (IF(X260,X260,W260)) * 10 ^ -3)+
((Z260 * $E260) * (IF(AB260,AB260,AA260)) * 10 ^ -3)+
((AD260 * $E260) * (IF(AF260,AF260,AE260)) * 10 ^ -3)</f>
        <v>0</v>
      </c>
      <c r="L260" s="33"/>
      <c r="M260" s="13"/>
      <c r="N260" s="33"/>
      <c r="O260" s="271" t="str">
        <v/>
      </c>
      <c r="P260" s="271"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5"/>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5"/>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5"/>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5"/>
    </row>
    <row r="261" spans="1:41" ht="20.100000000000001" customHeight="1" x14ac:dyDescent="0.2">
      <c r="D261" s="15">
        <v>0</v>
      </c>
      <c r="E261" s="15">
        <v>0</v>
      </c>
      <c r="F261" s="15">
        <f>(R261 * S261)+
(V261 * W261)+
(Z261 * AA261)+
(AD261 * AE261)</f>
        <v>0</v>
      </c>
      <c r="G261" s="246">
        <f>((E261 * F261) * 10 ^ -3)</f>
        <v>0</v>
      </c>
      <c r="H261" s="15">
        <f>((R261 * $E261) * S261 * 10 ^ -3)+
((V261 * $E261) * W261 * 10 ^ -3)+
((Z261 * $E261) * AA261 * 10 ^ -3)+
((AD261 * $E261) * AE261 * 10 ^ -3)</f>
        <v>0</v>
      </c>
      <c r="I261" s="75"/>
      <c r="J261" s="246">
        <f>((E261 * I261) * 10 ^ -3)</f>
        <v>0</v>
      </c>
      <c r="K261" s="246">
        <f>((R261 * $E261) * (IF(T261,T261,S261)) * 10 ^ -3)+
((V261 * $E261) * (IF(X261,X261,W261)) * 10 ^ -3)+
((Z261 * $E261) * (IF(AB261,AB261,AA261)) * 10 ^ -3)+
((AD261 * $E261) * (IF(AF261,AF261,AE261)) * 10 ^ -3)</f>
        <v>0</v>
      </c>
      <c r="L261" s="33"/>
      <c r="M261" s="13"/>
      <c r="N261" s="33"/>
      <c r="O261" s="271" t="str">
        <v/>
      </c>
      <c r="P261" s="271"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5"/>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5"/>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5"/>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5"/>
    </row>
    <row r="263" spans="1:41" ht="20.100000000000001" customHeight="1" x14ac:dyDescent="0.2">
      <c r="D263" s="272" t="s">
        <v>1379</v>
      </c>
      <c r="E263" s="90">
        <f>SUM(G236:G245)+SUM(G252:G261)</f>
        <v>518.80600000000004</v>
      </c>
      <c r="F263" s="89" t="str">
        <f>$E$170</f>
        <v>t CO2e</v>
      </c>
    </row>
    <row r="264" spans="1:41" ht="20.100000000000001" customHeight="1" x14ac:dyDescent="0.2">
      <c r="D264" s="272" t="s">
        <v>1380</v>
      </c>
      <c r="E264" s="90">
        <f>SUM(J236:J245)+SUM(J252:J261)</f>
        <v>340</v>
      </c>
      <c r="F264" s="89" t="str">
        <f>$E$170</f>
        <v>t CO2e</v>
      </c>
    </row>
    <row r="266" spans="1:41" ht="20.100000000000001" customHeight="1" x14ac:dyDescent="0.2">
      <c r="D266" s="272" t="s">
        <v>1381</v>
      </c>
      <c r="E266" s="90">
        <f>SUM(H236:H245)+SUM(H252:H261)</f>
        <v>518.80600000000004</v>
      </c>
      <c r="F266" s="89" t="str">
        <f>$E$170</f>
        <v>t CO2e</v>
      </c>
    </row>
    <row r="267" spans="1:41" ht="20.100000000000001" customHeight="1" x14ac:dyDescent="0.2">
      <c r="D267" s="272" t="s">
        <v>1382</v>
      </c>
      <c r="E267" s="90">
        <f>SUM(K236:K245)+SUM(K252:K261)</f>
        <v>599.726</v>
      </c>
      <c r="F267" s="89" t="str">
        <f>$E$170</f>
        <v>t CO2e</v>
      </c>
    </row>
    <row r="270" spans="1:41" ht="20.100000000000001" customHeight="1" x14ac:dyDescent="0.2">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row>
    <row r="271" spans="1:41" ht="20.100000000000001" customHeight="1" x14ac:dyDescent="0.2">
      <c r="D271" s="2" t="s">
        <v>2073</v>
      </c>
    </row>
    <row r="272" spans="1:41" ht="20.100000000000001" customHeight="1" x14ac:dyDescent="0.2">
      <c r="D272" s="17" t="s">
        <v>2074</v>
      </c>
    </row>
    <row r="273" spans="4:9" ht="20.100000000000001" customHeight="1" x14ac:dyDescent="0.2">
      <c r="D273" s="118"/>
      <c r="E273" s="118"/>
    </row>
    <row r="277" spans="4:9" ht="20.100000000000001" customHeight="1" x14ac:dyDescent="0.2">
      <c r="D277" s="76" t="s">
        <v>378</v>
      </c>
      <c r="E277" s="1" t="s">
        <v>1419</v>
      </c>
    </row>
    <row r="278" spans="4:9" ht="20.100000000000001" customHeight="1" x14ac:dyDescent="0.2">
      <c r="D278" s="76" t="s">
        <v>118</v>
      </c>
      <c r="E278" s="9" t="s">
        <v>6</v>
      </c>
    </row>
    <row r="280" spans="4:9" ht="20.100000000000001" customHeight="1" x14ac:dyDescent="0.2">
      <c r="D280" s="120" t="s">
        <v>2075</v>
      </c>
      <c r="E280" s="125" t="s">
        <v>2076</v>
      </c>
      <c r="F280" s="126"/>
      <c r="G280" s="120" t="s">
        <v>2081</v>
      </c>
      <c r="H280" s="269" t="s">
        <v>1469</v>
      </c>
    </row>
    <row r="281" spans="4:9" ht="20.100000000000001" customHeight="1" x14ac:dyDescent="0.2">
      <c r="D281" s="120" t="s">
        <v>2077</v>
      </c>
      <c r="E281" s="125" t="s">
        <v>2078</v>
      </c>
      <c r="F281" s="126"/>
      <c r="G281" s="120" t="s">
        <v>2082</v>
      </c>
      <c r="H281" s="128" t="s">
        <v>1501</v>
      </c>
    </row>
    <row r="282" spans="4:9" ht="20.100000000000001" customHeight="1" x14ac:dyDescent="0.2">
      <c r="D282" s="120" t="s">
        <v>2079</v>
      </c>
      <c r="E282" s="125" t="s">
        <v>2080</v>
      </c>
      <c r="F282" s="126"/>
      <c r="G282" s="120"/>
      <c r="H282" s="269" t="s">
        <v>1469</v>
      </c>
    </row>
    <row r="284" spans="4:9" ht="20.100000000000001" customHeight="1" x14ac:dyDescent="0.2">
      <c r="D284" s="81" t="s">
        <v>1383</v>
      </c>
      <c r="E284" s="81" t="s">
        <v>674</v>
      </c>
      <c r="F284" s="124" t="s">
        <v>1384</v>
      </c>
      <c r="G284" s="124" t="s">
        <v>1314</v>
      </c>
      <c r="H284" s="81" t="s">
        <v>1385</v>
      </c>
      <c r="I284" s="124" t="s">
        <v>1317</v>
      </c>
    </row>
    <row r="285" spans="4:9" ht="20.100000000000001" customHeight="1" x14ac:dyDescent="0.2">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15" cm="1">
        <f t="array" ref="F285">Common_InputFunctions.Utility_LookupValueInTableNumber(D285,Table_SourceData_Scope3_Pesticides[Product],Table_SourceData_Scope3_Pesticides[Emissions intensity])</f>
        <v>5.2</v>
      </c>
      <c r="G285" s="15">
        <f>(($E285 * F285) * 10 ^ -3)</f>
        <v>0.52</v>
      </c>
      <c r="H285" s="75">
        <v>5</v>
      </c>
      <c r="I285" s="15">
        <f>(($E285 * (IF(H285,H285,F285))) * 10 ^ -3)</f>
        <v>0.5</v>
      </c>
    </row>
    <row r="286" spans="4:9" ht="20.100000000000001" customHeight="1" x14ac:dyDescent="0.2">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f>(($E286 * F286) * 10 ^ -3)</f>
        <v>0</v>
      </c>
      <c r="H286" s="75">
        <v>8</v>
      </c>
      <c r="I286" s="15">
        <f>(($E286 * (IF(H286,H286,F286))) * 10 ^ -3)</f>
        <v>0</v>
      </c>
    </row>
    <row r="287" spans="4:9" ht="20.100000000000001" customHeight="1" x14ac:dyDescent="0.2">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f>(($E287 * F287) * 10 ^ -3)</f>
        <v>0</v>
      </c>
      <c r="H287" s="75"/>
      <c r="I287" s="15">
        <f>(($E287 * (IF(H287,H287,F287))) * 10 ^ -3)</f>
        <v>0</v>
      </c>
    </row>
    <row r="288" spans="4:9" ht="20.100000000000001" customHeight="1" x14ac:dyDescent="0.2">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15" cm="1">
        <f t="array" ref="F288">Common_InputFunctions.Utility_LookupValueInTableNumber(D288,Table_SourceData_Scope3_Pesticides[Product],Table_SourceData_Scope3_Pesticides[Emissions intensity])</f>
        <v>10.3</v>
      </c>
      <c r="G288" s="15">
        <f>(($E288 * F288) * 10 ^ -3)</f>
        <v>1.03</v>
      </c>
      <c r="H288" s="75"/>
      <c r="I288" s="15">
        <f>(($E288 * (IF(H288,H288,F288))) * 10 ^ -3)</f>
        <v>1.03</v>
      </c>
    </row>
    <row r="289" spans="1:41" ht="20.100000000000001" customHeight="1" x14ac:dyDescent="0.2">
      <c r="A289" s="129" t="str">
        <f>HYPERLINK("#A1", "▲ Back to top")</f>
        <v>▲ Back to top</v>
      </c>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f>(($E289 * F289) * 10 ^ -3)</f>
        <v>0</v>
      </c>
      <c r="H289" s="75"/>
      <c r="I289" s="15">
        <f>(($E289 * (IF(H289,H289,F289))) * 10 ^ -3)</f>
        <v>0</v>
      </c>
    </row>
    <row r="290" spans="1:41" ht="20.100000000000001" customHeight="1" x14ac:dyDescent="0.2">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f>(($E290 * F290) * 10 ^ -3)</f>
        <v>0</v>
      </c>
      <c r="H290" s="75"/>
      <c r="I290" s="15">
        <f>(($E290 * (IF(H290,H290,F290))) * 10 ^ -3)</f>
        <v>0</v>
      </c>
    </row>
    <row r="291" spans="1:41" ht="20.100000000000001" customHeight="1" x14ac:dyDescent="0.2">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15" cm="1">
        <f t="array" ref="F291">Common_InputFunctions.Utility_LookupValueInTableNumber(D291,Table_SourceData_Scope3_Pesticides[Product],Table_SourceData_Scope3_Pesticides[Emissions intensity])</f>
        <v>8.06</v>
      </c>
      <c r="G291" s="15">
        <f>(($E291 * F291) * 10 ^ -3)</f>
        <v>0.80600000000000005</v>
      </c>
      <c r="H291" s="75"/>
      <c r="I291" s="15">
        <f>(($E291 * (IF(H291,H291,F291))) * 10 ^ -3)</f>
        <v>0.80600000000000005</v>
      </c>
    </row>
    <row r="292" spans="1:41" ht="20.100000000000001" customHeight="1" x14ac:dyDescent="0.2">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f>(($E292 * F292) * 10 ^ -3)</f>
        <v>0</v>
      </c>
      <c r="H292" s="75"/>
      <c r="I292" s="15">
        <f>(($E292 * (IF(H292,H292,F292))) * 10 ^ -3)</f>
        <v>0</v>
      </c>
    </row>
    <row r="293" spans="1:41" ht="20.100000000000001" customHeight="1" x14ac:dyDescent="0.2">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15" cm="1">
        <f t="array" ref="F293">Common_InputFunctions.Utility_LookupValueInTableNumber(D293,Table_SourceData_Scope3_Pesticides[Product],Table_SourceData_Scope3_Pesticides[Emissions intensity])</f>
        <v>9.16</v>
      </c>
      <c r="G293" s="15">
        <f>(($E293 * F293) * 10 ^ -3)</f>
        <v>3.6640000000000001</v>
      </c>
      <c r="H293" s="75"/>
      <c r="I293" s="15">
        <f>(($E293 * (IF(H293,H293,F293))) * 10 ^ -3)</f>
        <v>3.6640000000000001</v>
      </c>
    </row>
    <row r="294" spans="1:41" ht="20.100000000000001" customHeight="1" x14ac:dyDescent="0.2">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f>(($E294 * F294) * 10 ^ -3)</f>
        <v>0</v>
      </c>
      <c r="H294" s="75"/>
      <c r="I294" s="15">
        <f>(($E294 * (IF(H294,H294,F294))) * 10 ^ -3)</f>
        <v>0</v>
      </c>
    </row>
    <row r="295" spans="1:41" ht="20.100000000000001" customHeight="1" x14ac:dyDescent="0.2">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15" cm="1">
        <f t="array" ref="F295">Common_InputFunctions.Utility_LookupValueInTableNumber(D295,Table_SourceData_Scope3_Pesticides[Product],Table_SourceData_Scope3_Pesticides[Emissions intensity])</f>
        <v>8.8000000000000007</v>
      </c>
      <c r="G295" s="15">
        <f>(($E295 * F295) * 10 ^ -3)</f>
        <v>0.88000000000000012</v>
      </c>
      <c r="H295" s="75"/>
      <c r="I295" s="15">
        <f>(($E295 * (IF(H295,H295,F295))) * 10 ^ -3)</f>
        <v>0.88000000000000012</v>
      </c>
    </row>
    <row r="296" spans="1:41" ht="20.100000000000001" customHeight="1" x14ac:dyDescent="0.2">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15" cm="1">
        <f t="array" ref="F296">Common_InputFunctions.Utility_LookupValueInTableNumber(D296,Table_SourceData_Scope3_Pesticides[Product],Table_SourceData_Scope3_Pesticides[Emissions intensity])</f>
        <v>6.16</v>
      </c>
      <c r="G296" s="15">
        <f>(($E296 * F296) * 10 ^ -3)</f>
        <v>0.61599999999999999</v>
      </c>
      <c r="H296" s="75"/>
      <c r="I296" s="15">
        <f>(($E296 * (IF(H296,H296,F296))) * 10 ^ -3)</f>
        <v>0.61599999999999999</v>
      </c>
    </row>
    <row r="298" spans="1:41" ht="20.100000000000001" customHeight="1" x14ac:dyDescent="0.2">
      <c r="D298" s="272" t="s">
        <v>1314</v>
      </c>
      <c r="E298" s="90">
        <f>SUM(G285:G296)</f>
        <v>7.5159999999999991</v>
      </c>
      <c r="F298" s="89" t="str">
        <f>$E$170</f>
        <v>t CO2e</v>
      </c>
    </row>
    <row r="299" spans="1:41" ht="20.100000000000001" customHeight="1" x14ac:dyDescent="0.2">
      <c r="D299" s="272" t="s">
        <v>1317</v>
      </c>
      <c r="E299" s="90">
        <f>SUM(I285:I296)</f>
        <v>7.4959999999999996</v>
      </c>
      <c r="F299" s="89" t="str">
        <f>$E$170</f>
        <v>t CO2e</v>
      </c>
    </row>
    <row r="302" spans="1:41" ht="20.100000000000001" customHeight="1" x14ac:dyDescent="0.2">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88"/>
      <c r="AN302" s="88"/>
      <c r="AO302" s="88"/>
    </row>
    <row r="303" spans="1:41" ht="20.100000000000001" customHeight="1" x14ac:dyDescent="0.2">
      <c r="D303" s="2" t="s">
        <v>2083</v>
      </c>
    </row>
    <row r="304" spans="1:41" ht="20.100000000000001" customHeight="1" x14ac:dyDescent="0.2">
      <c r="D304" s="17" t="s">
        <v>2084</v>
      </c>
    </row>
    <row r="305" spans="1:13" ht="20.100000000000001" customHeight="1" x14ac:dyDescent="0.2">
      <c r="D305" s="118"/>
      <c r="E305" s="118"/>
    </row>
    <row r="308" spans="1:13" ht="20.100000000000001" customHeight="1" x14ac:dyDescent="0.2">
      <c r="D308" s="76" t="s">
        <v>378</v>
      </c>
      <c r="E308" s="1" t="s">
        <v>1419</v>
      </c>
    </row>
    <row r="309" spans="1:13" ht="20.100000000000001" customHeight="1" x14ac:dyDescent="0.2">
      <c r="D309" s="76" t="s">
        <v>118</v>
      </c>
      <c r="E309" s="1" t="s">
        <v>6</v>
      </c>
    </row>
    <row r="311" spans="1:13" ht="20.100000000000001" customHeight="1" x14ac:dyDescent="0.2">
      <c r="D311" s="120" t="s">
        <v>1812</v>
      </c>
      <c r="E311" s="120" t="s">
        <v>2085</v>
      </c>
      <c r="F311" s="120" t="s">
        <v>1980</v>
      </c>
      <c r="G311" s="269" t="s">
        <v>1469</v>
      </c>
    </row>
    <row r="312" spans="1:13" ht="20.100000000000001" customHeight="1" x14ac:dyDescent="0.2">
      <c r="D312" s="120" t="s">
        <v>2086</v>
      </c>
      <c r="E312" s="120" t="s">
        <v>2087</v>
      </c>
      <c r="F312" s="120" t="s">
        <v>2002</v>
      </c>
      <c r="G312" s="128" t="s">
        <v>1501</v>
      </c>
    </row>
    <row r="314" spans="1:13" ht="20.100000000000001" customHeight="1" x14ac:dyDescent="0.2">
      <c r="E314" s="124" t="s">
        <v>129</v>
      </c>
      <c r="F314" s="81" t="s">
        <v>130</v>
      </c>
    </row>
    <row r="315" spans="1:13" ht="20.100000000000001" customHeight="1" x14ac:dyDescent="0.2">
      <c r="D315" s="1" t="s">
        <v>1386</v>
      </c>
      <c r="E315" s="15" cm="1">
        <f t="array" ref="E315">Common_InputFunctions.Utility_LookupValueInTableNumber("Limestone (crushed)", Table_SourceData_Scope3_SoilAmeliorants[Product],Table_SourceData_Scope3_SoilAmeliorants[Emissions intensity])*10^-3</f>
        <v>4.85E-5</v>
      </c>
      <c r="F315" s="75">
        <v>4.0000000000000003E-5</v>
      </c>
      <c r="G315" s="16" t="str">
        <f>$F$312</f>
        <v>t CO2e/t</v>
      </c>
    </row>
    <row r="316" spans="1:13" ht="20.100000000000001" customHeight="1" x14ac:dyDescent="0.2">
      <c r="D316" s="1" t="s">
        <v>1387</v>
      </c>
      <c r="E316" s="15" cm="1">
        <f t="array" ref="E316">Common_InputFunctions.Utility_LookupValueInTableNumber("Dolomite", Table_SourceData_Scope3_SoilAmeliorants[Product],Table_SourceData_Scope3_SoilAmeliorants[Emissions intensity])*10^-3</f>
        <v>6.5199999999999999E-5</v>
      </c>
      <c r="F316" s="75">
        <v>6.0000000000000002E-5</v>
      </c>
      <c r="G316" s="16"/>
    </row>
    <row r="317" spans="1:13" ht="20.100000000000001" customHeight="1" x14ac:dyDescent="0.2">
      <c r="D317" s="1" t="s">
        <v>1388</v>
      </c>
      <c r="E317" s="15" cm="1">
        <f t="array" ref="E317">Common_InputFunctions.Utility_LookupValueInTableNumber("Gypsum", Table_SourceData_Scope3_SoilAmeliorants[Product],Table_SourceData_Scope3_SoilAmeliorants[Emissions intensity])*10^-3</f>
        <v>6.5199999999999999E-5</v>
      </c>
      <c r="F317" s="75">
        <v>6.0000000000000002E-5</v>
      </c>
      <c r="G317" s="16"/>
    </row>
    <row r="319" spans="1:13" ht="20.100000000000001" customHeight="1" x14ac:dyDescent="0.2">
      <c r="A319" s="129" t="str">
        <f>HYPERLINK("#A1", "▲ Back to top")</f>
        <v>▲ Back to top</v>
      </c>
      <c r="D319" s="81" t="s">
        <v>1195</v>
      </c>
      <c r="E319" s="270" t="s">
        <v>1389</v>
      </c>
      <c r="F319" s="81" t="s">
        <v>1390</v>
      </c>
      <c r="G319" s="81" t="s">
        <v>1391</v>
      </c>
      <c r="H319" s="81" t="s">
        <v>1392</v>
      </c>
      <c r="I319" s="124" t="s">
        <v>1314</v>
      </c>
      <c r="J319" s="124" t="s">
        <v>1393</v>
      </c>
      <c r="K319" s="81" t="s">
        <v>1318</v>
      </c>
      <c r="L319" s="81" t="s">
        <v>1319</v>
      </c>
      <c r="M319" s="81" t="s">
        <v>1320</v>
      </c>
    </row>
    <row r="320" spans="1:13" ht="20.100000000000001" customHeight="1" x14ac:dyDescent="0.2">
      <c r="D320" s="15" t="str" cm="1">
        <f t="array" ref="D320:D329">IFERROR(INDEX(Table_Input_Lime[Product], _xlfn.SEQUENCE(10)), "")</f>
        <v>Lime product 1</v>
      </c>
      <c r="E320" s="15" cm="1">
        <f t="array" ref="E320:E329">IFERROR(INDEX(Table_Input_Lime[Total amount applied (t)], _xlfn.SEQUENCE(10)), 0)</f>
        <v>1000</v>
      </c>
      <c r="F320" s="15" cm="1">
        <f t="array" ref="F320:F329">IFERROR(INDEX(Table_Input_Lime[Percent Lime CaCO3], _xlfn.SEQUENCE(10)), 0)*E320</f>
        <v>800</v>
      </c>
      <c r="G320" s="15" cm="1">
        <f t="array" ref="G320:G329">IFERROR(INDEX(Table_Input_Lime[Percent Dolomite CaMg(CO3)2], _xlfn.SEQUENCE(10)), 0)*E320</f>
        <v>100</v>
      </c>
      <c r="H320" s="15" cm="1">
        <f t="array" ref="H320:H329">IFERROR(INDEX(Table_Input_Lime[Percent Gypsum], _xlfn.SEQUENCE(10)), 0)*E320</f>
        <v>100</v>
      </c>
      <c r="I320" s="246">
        <f>(F320 * $E$315)+
(G320 * $E$316)+
(H320 * $E$317)</f>
        <v>5.1839999999999997E-2</v>
      </c>
      <c r="J320" s="246">
        <f>(F320 * (IF($F$315,$F$315,$E$315)))+
(G320 * (IF($F$316,$F$316,$E$316)))+
(H320 * (IF($F$317,$F$317,$E$317)))</f>
        <v>4.3999999999999997E-2</v>
      </c>
      <c r="K320" s="33"/>
      <c r="L320" s="13"/>
      <c r="M320" s="33"/>
    </row>
    <row r="321" spans="3:41" ht="20.100000000000001" customHeight="1" x14ac:dyDescent="0.2">
      <c r="D321" s="15" t="str">
        <v>Lime product 2</v>
      </c>
      <c r="E321" s="15">
        <v>1000</v>
      </c>
      <c r="F321" s="15">
        <v>1000</v>
      </c>
      <c r="G321" s="15">
        <v>0</v>
      </c>
      <c r="H321" s="15">
        <v>0</v>
      </c>
      <c r="I321" s="246">
        <f>(F321 * $E$315)+
(G321 * $E$316)+
(H321 * $E$317)</f>
        <v>4.8500000000000001E-2</v>
      </c>
      <c r="J321" s="246">
        <f>(F321 * (IF($F$315,$F$315,$E$315)))+
(G321 * (IF($F$316,$F$316,$E$316)))+
(H321 * (IF($F$317,$F$317,$E$317)))</f>
        <v>0.04</v>
      </c>
      <c r="K321" s="33"/>
      <c r="L321" s="13"/>
      <c r="M321" s="33"/>
    </row>
    <row r="322" spans="3:41" ht="20.100000000000001" customHeight="1" x14ac:dyDescent="0.2">
      <c r="D322" s="15" t="str">
        <v>Lime product 3</v>
      </c>
      <c r="E322" s="15">
        <v>1000</v>
      </c>
      <c r="F322" s="15">
        <v>0</v>
      </c>
      <c r="G322" s="15">
        <v>0</v>
      </c>
      <c r="H322" s="15">
        <v>1000</v>
      </c>
      <c r="I322" s="246">
        <f>(F322 * $E$315)+
(G322 * $E$316)+
(H322 * $E$317)</f>
        <v>6.5199999999999994E-2</v>
      </c>
      <c r="J322" s="246">
        <f>(F322 * (IF($F$315,$F$315,$E$315)))+
(G322 * (IF($F$316,$F$316,$E$316)))+
(H322 * (IF($F$317,$F$317,$E$317)))</f>
        <v>6.0000000000000005E-2</v>
      </c>
      <c r="K322" s="33"/>
      <c r="L322" s="13"/>
      <c r="M322" s="33"/>
    </row>
    <row r="323" spans="3:41" ht="20.100000000000001" customHeight="1" x14ac:dyDescent="0.2">
      <c r="D323" s="15" t="str">
        <v/>
      </c>
      <c r="E323" s="15">
        <v>0</v>
      </c>
      <c r="F323" s="15">
        <v>0</v>
      </c>
      <c r="G323" s="15">
        <v>0</v>
      </c>
      <c r="H323" s="15">
        <v>0</v>
      </c>
      <c r="I323" s="246">
        <f>(F323 * $E$315)+
(G323 * $E$316)+
(H323 * $E$317)</f>
        <v>0</v>
      </c>
      <c r="J323" s="246">
        <f>(F323 * (IF($F$315,$F$315,$E$315)))+
(G323 * (IF($F$316,$F$316,$E$316)))+
(H323 * (IF($F$317,$F$317,$E$317)))</f>
        <v>0</v>
      </c>
      <c r="K323" s="33"/>
      <c r="L323" s="13"/>
      <c r="M323" s="33"/>
    </row>
    <row r="324" spans="3:41" ht="20.100000000000001" customHeight="1" x14ac:dyDescent="0.2">
      <c r="D324" s="15" t="str">
        <v/>
      </c>
      <c r="E324" s="15">
        <v>0</v>
      </c>
      <c r="F324" s="15">
        <v>0</v>
      </c>
      <c r="G324" s="15">
        <v>0</v>
      </c>
      <c r="H324" s="15">
        <v>0</v>
      </c>
      <c r="I324" s="246">
        <f>(F324 * $E$315)+
(G324 * $E$316)+
(H324 * $E$317)</f>
        <v>0</v>
      </c>
      <c r="J324" s="246">
        <f>(F324 * (IF($F$315,$F$315,$E$315)))+
(G324 * (IF($F$316,$F$316,$E$316)))+
(H324 * (IF($F$317,$F$317,$E$317)))</f>
        <v>0</v>
      </c>
      <c r="K324" s="33"/>
      <c r="L324" s="13"/>
      <c r="M324" s="33"/>
    </row>
    <row r="325" spans="3:41" ht="20.100000000000001" customHeight="1" x14ac:dyDescent="0.2">
      <c r="D325" s="15" t="str">
        <v/>
      </c>
      <c r="E325" s="15">
        <v>0</v>
      </c>
      <c r="F325" s="15">
        <v>0</v>
      </c>
      <c r="G325" s="15">
        <v>0</v>
      </c>
      <c r="H325" s="15">
        <v>0</v>
      </c>
      <c r="I325" s="246">
        <f>(F325 * $E$315)+
(G325 * $E$316)+
(H325 * $E$317)</f>
        <v>0</v>
      </c>
      <c r="J325" s="246">
        <f>(F325 * (IF($F$315,$F$315,$E$315)))+
(G325 * (IF($F$316,$F$316,$E$316)))+
(H325 * (IF($F$317,$F$317,$E$317)))</f>
        <v>0</v>
      </c>
      <c r="K325" s="33"/>
      <c r="L325" s="13"/>
      <c r="M325" s="33"/>
    </row>
    <row r="326" spans="3:41" ht="20.100000000000001" customHeight="1" x14ac:dyDescent="0.2">
      <c r="D326" s="15" t="str">
        <v/>
      </c>
      <c r="E326" s="15">
        <v>0</v>
      </c>
      <c r="F326" s="15">
        <v>0</v>
      </c>
      <c r="G326" s="15">
        <v>0</v>
      </c>
      <c r="H326" s="15">
        <v>0</v>
      </c>
      <c r="I326" s="246">
        <f>(F326 * $E$315)+
(G326 * $E$316)+
(H326 * $E$317)</f>
        <v>0</v>
      </c>
      <c r="J326" s="246">
        <f>(F326 * (IF($F$315,$F$315,$E$315)))+
(G326 * (IF($F$316,$F$316,$E$316)))+
(H326 * (IF($F$317,$F$317,$E$317)))</f>
        <v>0</v>
      </c>
      <c r="K326" s="33"/>
      <c r="L326" s="13"/>
      <c r="M326" s="33"/>
    </row>
    <row r="327" spans="3:41" ht="20.100000000000001" customHeight="1" x14ac:dyDescent="0.2">
      <c r="D327" s="15" t="str">
        <v/>
      </c>
      <c r="E327" s="15">
        <v>0</v>
      </c>
      <c r="F327" s="15">
        <v>0</v>
      </c>
      <c r="G327" s="15">
        <v>0</v>
      </c>
      <c r="H327" s="15">
        <v>0</v>
      </c>
      <c r="I327" s="246">
        <f>(F327 * $E$315)+
(G327 * $E$316)+
(H327 * $E$317)</f>
        <v>0</v>
      </c>
      <c r="J327" s="246">
        <f>(F327 * (IF($F$315,$F$315,$E$315)))+
(G327 * (IF($F$316,$F$316,$E$316)))+
(H327 * (IF($F$317,$F$317,$E$317)))</f>
        <v>0</v>
      </c>
      <c r="K327" s="33"/>
      <c r="L327" s="13"/>
      <c r="M327" s="33"/>
    </row>
    <row r="328" spans="3:41" ht="20.100000000000001" customHeight="1" x14ac:dyDescent="0.2">
      <c r="D328" s="15" t="str">
        <v/>
      </c>
      <c r="E328" s="15">
        <v>0</v>
      </c>
      <c r="F328" s="15">
        <v>0</v>
      </c>
      <c r="G328" s="15">
        <v>0</v>
      </c>
      <c r="H328" s="15">
        <v>0</v>
      </c>
      <c r="I328" s="246">
        <f>(F328 * $E$315)+
(G328 * $E$316)+
(H328 * $E$317)</f>
        <v>0</v>
      </c>
      <c r="J328" s="246">
        <f>(F328 * (IF($F$315,$F$315,$E$315)))+
(G328 * (IF($F$316,$F$316,$E$316)))+
(H328 * (IF($F$317,$F$317,$E$317)))</f>
        <v>0</v>
      </c>
      <c r="K328" s="33"/>
      <c r="L328" s="13"/>
      <c r="M328" s="33"/>
    </row>
    <row r="329" spans="3:41" ht="20.100000000000001" customHeight="1" x14ac:dyDescent="0.2">
      <c r="D329" s="15" t="str">
        <v/>
      </c>
      <c r="E329" s="15">
        <v>0</v>
      </c>
      <c r="F329" s="15">
        <v>0</v>
      </c>
      <c r="G329" s="15">
        <v>0</v>
      </c>
      <c r="H329" s="15">
        <v>0</v>
      </c>
      <c r="I329" s="246">
        <f>(F329 * $E$315)+
(G329 * $E$316)+
(H329 * $E$317)</f>
        <v>0</v>
      </c>
      <c r="J329" s="246">
        <f>(F329 * (IF($F$315,$F$315,$E$315)))+
(G329 * (IF($F$316,$F$316,$E$316)))+
(H329 * (IF($F$317,$F$317,$E$317)))</f>
        <v>0</v>
      </c>
      <c r="K329" s="33"/>
      <c r="L329" s="13"/>
      <c r="M329" s="33"/>
    </row>
    <row r="331" spans="3:41" ht="20.100000000000001" customHeight="1" x14ac:dyDescent="0.2">
      <c r="D331" s="272" t="s">
        <v>1314</v>
      </c>
      <c r="E331" s="90">
        <f>SUM(I320:I329)</f>
        <v>0.16553999999999999</v>
      </c>
      <c r="F331" s="89" t="str">
        <f>$E$170</f>
        <v>t CO2e</v>
      </c>
    </row>
    <row r="332" spans="3:41" ht="20.100000000000001" customHeight="1" x14ac:dyDescent="0.2">
      <c r="D332" s="272" t="s">
        <v>1317</v>
      </c>
      <c r="E332" s="90">
        <f>SUM(J320:J329)</f>
        <v>0.14399999999999999</v>
      </c>
      <c r="F332" s="89" t="str">
        <f>$E$170</f>
        <v>t CO2e</v>
      </c>
    </row>
    <row r="335" spans="3:41" ht="20.100000000000001" customHeight="1" x14ac:dyDescent="0.2">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88"/>
      <c r="AN335" s="88"/>
      <c r="AO335" s="88"/>
    </row>
    <row r="336" spans="3:41" ht="20.100000000000001" customHeight="1" x14ac:dyDescent="0.2">
      <c r="D336" s="2" t="s">
        <v>2088</v>
      </c>
    </row>
    <row r="337" spans="1:15" ht="20.100000000000001" customHeight="1" x14ac:dyDescent="0.2">
      <c r="D337" s="17" t="s">
        <v>2089</v>
      </c>
    </row>
    <row r="338" spans="1:15" ht="20.100000000000001" customHeight="1" x14ac:dyDescent="0.2">
      <c r="D338" s="118"/>
      <c r="E338" s="118"/>
    </row>
    <row r="340" spans="1:15" ht="20.100000000000001" customHeight="1" x14ac:dyDescent="0.2">
      <c r="H340" s="1" t="s">
        <v>1394</v>
      </c>
    </row>
    <row r="341" spans="1:15" ht="20.100000000000001" customHeight="1" x14ac:dyDescent="0.2">
      <c r="D341" s="76" t="s">
        <v>378</v>
      </c>
      <c r="E341" s="1" t="s">
        <v>1419</v>
      </c>
    </row>
    <row r="342" spans="1:15" ht="20.100000000000001" customHeight="1" x14ac:dyDescent="0.2">
      <c r="D342" s="76" t="s">
        <v>118</v>
      </c>
      <c r="E342" s="1" t="s">
        <v>6</v>
      </c>
    </row>
    <row r="344" spans="1:15" ht="20.100000000000001" customHeight="1" x14ac:dyDescent="0.2">
      <c r="D344" s="120" t="s">
        <v>1871</v>
      </c>
      <c r="E344" s="125" t="s">
        <v>2090</v>
      </c>
      <c r="F344" s="126"/>
      <c r="G344" s="120" t="s">
        <v>2094</v>
      </c>
      <c r="H344" s="269" t="s">
        <v>1469</v>
      </c>
    </row>
    <row r="345" spans="1:15" ht="20.100000000000001" customHeight="1" x14ac:dyDescent="0.2">
      <c r="D345" s="120" t="s">
        <v>2091</v>
      </c>
      <c r="E345" s="125" t="s">
        <v>2092</v>
      </c>
      <c r="F345" s="126"/>
      <c r="G345" s="120" t="s">
        <v>2095</v>
      </c>
      <c r="H345" s="128" t="s">
        <v>1501</v>
      </c>
    </row>
    <row r="346" spans="1:15" ht="20.100000000000001" customHeight="1" x14ac:dyDescent="0.2">
      <c r="D346" s="120" t="s">
        <v>1883</v>
      </c>
      <c r="E346" s="125" t="s">
        <v>2093</v>
      </c>
      <c r="F346" s="126"/>
      <c r="G346" s="120"/>
      <c r="H346" s="269" t="s">
        <v>1469</v>
      </c>
    </row>
    <row r="348" spans="1:15" ht="20.100000000000001" customHeight="1" x14ac:dyDescent="0.2">
      <c r="D348" s="25" t="s">
        <v>1395</v>
      </c>
    </row>
    <row r="349" spans="1:15" ht="20.100000000000001" customHeight="1" x14ac:dyDescent="0.2">
      <c r="A349" s="129" t="str">
        <f>HYPERLINK("#A1", "▲ Back to top")</f>
        <v>▲ Back to top</v>
      </c>
    </row>
    <row r="350" spans="1:15" ht="20.100000000000001" customHeight="1" x14ac:dyDescent="0.2">
      <c r="D350" s="81" t="s">
        <v>1205</v>
      </c>
      <c r="E350" s="81" t="s">
        <v>1206</v>
      </c>
      <c r="F350" s="81" t="s">
        <v>1207</v>
      </c>
      <c r="G350" s="81" t="s">
        <v>911</v>
      </c>
      <c r="H350" s="124" t="s">
        <v>1396</v>
      </c>
      <c r="I350" s="124" t="s">
        <v>1397</v>
      </c>
      <c r="J350" s="81" t="s">
        <v>1398</v>
      </c>
      <c r="K350" s="124" t="s">
        <v>1399</v>
      </c>
      <c r="L350" s="124" t="s">
        <v>1400</v>
      </c>
      <c r="M350" s="81" t="s">
        <v>1318</v>
      </c>
      <c r="N350" s="81" t="s">
        <v>1319</v>
      </c>
      <c r="O350" s="81" t="s">
        <v>1320</v>
      </c>
    </row>
    <row r="351" spans="1: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1401</v>
      </c>
      <c r="I351" s="15" t="s">
        <v>1401</v>
      </c>
      <c r="J351" s="75">
        <v>4</v>
      </c>
      <c r="K351" s="246">
        <f>((F351 * J351) * 10 ^ -3)</f>
        <v>40</v>
      </c>
      <c r="L351" s="15" t="str">
        <f>"t CO2e / " &amp; G351</f>
        <v>t CO2e / Hour</v>
      </c>
      <c r="M351" s="33"/>
      <c r="N351" s="13"/>
      <c r="O351" s="33"/>
    </row>
    <row r="352" spans="1:15" ht="20.100000000000001" customHeight="1" x14ac:dyDescent="0.2">
      <c r="D352" s="15" t="str">
        <v>Harini's Harvesting Services Pty Ltd</v>
      </c>
      <c r="E352" s="15" t="str">
        <v>Wheat harvesting</v>
      </c>
      <c r="F352" s="15">
        <v>1000</v>
      </c>
      <c r="G352" s="15" t="str">
        <v>Hectare</v>
      </c>
      <c r="H352" s="15" t="s">
        <v>1401</v>
      </c>
      <c r="I352" s="15" t="s">
        <v>1401</v>
      </c>
      <c r="J352" s="75">
        <v>2</v>
      </c>
      <c r="K352" s="246">
        <f>((F352 * J352) * 10 ^ -3)</f>
        <v>2</v>
      </c>
      <c r="L352" s="15" t="str">
        <f t="shared" ref="L352:L360" si="1">"t CO2e / " &amp; G352</f>
        <v>t CO2e / Hectare</v>
      </c>
      <c r="M352" s="33"/>
      <c r="N352" s="13"/>
      <c r="O352" s="33"/>
    </row>
    <row r="353" spans="3:41" ht="20.100000000000001" customHeight="1" x14ac:dyDescent="0.2">
      <c r="D353" s="15">
        <v>0</v>
      </c>
      <c r="E353" s="15">
        <v>0</v>
      </c>
      <c r="F353" s="15">
        <v>0</v>
      </c>
      <c r="G353" s="15">
        <v>0</v>
      </c>
      <c r="H353" s="15" t="s">
        <v>1401</v>
      </c>
      <c r="I353" s="15" t="s">
        <v>1401</v>
      </c>
      <c r="J353" s="75"/>
      <c r="K353" s="246">
        <f>((F353 * J353) * 10 ^ -3)</f>
        <v>0</v>
      </c>
      <c r="L353" s="15" t="str">
        <f t="shared" si="1"/>
        <v>t CO2e / 0</v>
      </c>
      <c r="M353" s="33"/>
      <c r="N353" s="13"/>
      <c r="O353" s="33"/>
    </row>
    <row r="354" spans="3:41" ht="20.100000000000001" customHeight="1" x14ac:dyDescent="0.2">
      <c r="D354" s="15">
        <v>0</v>
      </c>
      <c r="E354" s="15">
        <v>0</v>
      </c>
      <c r="F354" s="15">
        <v>0</v>
      </c>
      <c r="G354" s="15">
        <v>0</v>
      </c>
      <c r="H354" s="15" t="s">
        <v>1401</v>
      </c>
      <c r="I354" s="15" t="s">
        <v>1401</v>
      </c>
      <c r="J354" s="75"/>
      <c r="K354" s="246">
        <f>((F354 * J354) * 10 ^ -3)</f>
        <v>0</v>
      </c>
      <c r="L354" s="15" t="str">
        <f t="shared" si="1"/>
        <v>t CO2e / 0</v>
      </c>
      <c r="M354" s="33"/>
      <c r="N354" s="13"/>
      <c r="O354" s="33"/>
    </row>
    <row r="355" spans="3:41" ht="20.100000000000001" customHeight="1" x14ac:dyDescent="0.2">
      <c r="D355" s="15">
        <v>0</v>
      </c>
      <c r="E355" s="15">
        <v>0</v>
      </c>
      <c r="F355" s="15">
        <v>0</v>
      </c>
      <c r="G355" s="15">
        <v>0</v>
      </c>
      <c r="H355" s="15" t="s">
        <v>1401</v>
      </c>
      <c r="I355" s="15" t="s">
        <v>1401</v>
      </c>
      <c r="J355" s="75"/>
      <c r="K355" s="246">
        <f>((F355 * J355) * 10 ^ -3)</f>
        <v>0</v>
      </c>
      <c r="L355" s="15" t="str">
        <f t="shared" si="1"/>
        <v>t CO2e / 0</v>
      </c>
      <c r="M355" s="33"/>
      <c r="N355" s="13"/>
      <c r="O355" s="33"/>
    </row>
    <row r="356" spans="3:41" ht="20.100000000000001" customHeight="1" x14ac:dyDescent="0.2">
      <c r="D356" s="15">
        <v>0</v>
      </c>
      <c r="E356" s="15">
        <v>0</v>
      </c>
      <c r="F356" s="15">
        <v>0</v>
      </c>
      <c r="G356" s="15">
        <v>0</v>
      </c>
      <c r="H356" s="15" t="s">
        <v>1401</v>
      </c>
      <c r="I356" s="15" t="s">
        <v>1401</v>
      </c>
      <c r="J356" s="75"/>
      <c r="K356" s="246">
        <f>((F356 * J356) * 10 ^ -3)</f>
        <v>0</v>
      </c>
      <c r="L356" s="15" t="str">
        <f t="shared" si="1"/>
        <v>t CO2e / 0</v>
      </c>
      <c r="M356" s="33"/>
      <c r="N356" s="13"/>
      <c r="O356" s="33"/>
    </row>
    <row r="357" spans="3:41" ht="20.100000000000001" customHeight="1" x14ac:dyDescent="0.2">
      <c r="D357" s="15">
        <v>0</v>
      </c>
      <c r="E357" s="15">
        <v>0</v>
      </c>
      <c r="F357" s="15">
        <v>0</v>
      </c>
      <c r="G357" s="15">
        <v>0</v>
      </c>
      <c r="H357" s="15" t="s">
        <v>1401</v>
      </c>
      <c r="I357" s="15" t="s">
        <v>1401</v>
      </c>
      <c r="J357" s="75"/>
      <c r="K357" s="246">
        <f>((F357 * J357) * 10 ^ -3)</f>
        <v>0</v>
      </c>
      <c r="L357" s="15" t="str">
        <f t="shared" si="1"/>
        <v>t CO2e / 0</v>
      </c>
      <c r="M357" s="33"/>
      <c r="N357" s="13"/>
      <c r="O357" s="33"/>
    </row>
    <row r="358" spans="3:41" ht="20.100000000000001" customHeight="1" x14ac:dyDescent="0.2">
      <c r="D358" s="15">
        <v>0</v>
      </c>
      <c r="E358" s="15">
        <v>0</v>
      </c>
      <c r="F358" s="15">
        <v>0</v>
      </c>
      <c r="G358" s="15">
        <v>0</v>
      </c>
      <c r="H358" s="15" t="s">
        <v>1401</v>
      </c>
      <c r="I358" s="15" t="s">
        <v>1401</v>
      </c>
      <c r="J358" s="75"/>
      <c r="K358" s="246">
        <f>((F358 * J358) * 10 ^ -3)</f>
        <v>0</v>
      </c>
      <c r="L358" s="15" t="str">
        <f t="shared" si="1"/>
        <v>t CO2e / 0</v>
      </c>
      <c r="M358" s="33"/>
      <c r="N358" s="13"/>
      <c r="O358" s="33"/>
    </row>
    <row r="359" spans="3:41" ht="20.100000000000001" customHeight="1" x14ac:dyDescent="0.2">
      <c r="D359" s="15">
        <v>0</v>
      </c>
      <c r="E359" s="15">
        <v>0</v>
      </c>
      <c r="F359" s="15">
        <v>0</v>
      </c>
      <c r="G359" s="15">
        <v>0</v>
      </c>
      <c r="H359" s="15" t="s">
        <v>1401</v>
      </c>
      <c r="I359" s="15" t="s">
        <v>1401</v>
      </c>
      <c r="J359" s="75"/>
      <c r="K359" s="246">
        <f>((F359 * J359) * 10 ^ -3)</f>
        <v>0</v>
      </c>
      <c r="L359" s="15" t="str">
        <f t="shared" si="1"/>
        <v>t CO2e / 0</v>
      </c>
      <c r="M359" s="33"/>
      <c r="N359" s="13"/>
      <c r="O359" s="33"/>
    </row>
    <row r="360" spans="3:41" ht="20.100000000000001" customHeight="1" x14ac:dyDescent="0.2">
      <c r="D360" s="15">
        <v>0</v>
      </c>
      <c r="E360" s="15">
        <v>0</v>
      </c>
      <c r="F360" s="15">
        <v>0</v>
      </c>
      <c r="G360" s="15">
        <v>0</v>
      </c>
      <c r="H360" s="15" t="s">
        <v>1401</v>
      </c>
      <c r="I360" s="15" t="s">
        <v>1401</v>
      </c>
      <c r="J360" s="75"/>
      <c r="K360" s="246">
        <f>((F360 * J360) * 10 ^ -3)</f>
        <v>0</v>
      </c>
      <c r="L360" s="15" t="str">
        <f t="shared" si="1"/>
        <v>t CO2e / 0</v>
      </c>
      <c r="M360" s="33"/>
      <c r="N360" s="13"/>
      <c r="O360" s="33"/>
    </row>
    <row r="362" spans="3:41" ht="20.100000000000001" customHeight="1" x14ac:dyDescent="0.2">
      <c r="D362" s="272" t="s">
        <v>1314</v>
      </c>
      <c r="E362" s="90" t="s">
        <v>1401</v>
      </c>
      <c r="F362" s="89" t="str">
        <f>$E$170</f>
        <v>t CO2e</v>
      </c>
    </row>
    <row r="363" spans="3:41" ht="20.100000000000001" customHeight="1" x14ac:dyDescent="0.2">
      <c r="D363" s="272" t="s">
        <v>1317</v>
      </c>
      <c r="E363" s="90">
        <f>SUM(K351:K360)</f>
        <v>42</v>
      </c>
      <c r="F363" s="89" t="str">
        <f>$E$170</f>
        <v>t CO2e</v>
      </c>
    </row>
    <row r="366" spans="3:41" ht="20.100000000000001" customHeight="1" x14ac:dyDescent="0.2">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88"/>
      <c r="AN366" s="88"/>
      <c r="AO366" s="88"/>
    </row>
    <row r="367" spans="3:41" ht="20.100000000000001" customHeight="1" x14ac:dyDescent="0.2">
      <c r="D367" s="2" t="s">
        <v>2096</v>
      </c>
    </row>
    <row r="368" spans="3:41" ht="20.100000000000001" customHeight="1" x14ac:dyDescent="0.2">
      <c r="D368" s="17" t="s">
        <v>2097</v>
      </c>
    </row>
    <row r="369" spans="1:13" ht="20.100000000000001" customHeight="1" x14ac:dyDescent="0.2">
      <c r="D369" s="25" t="s">
        <v>2098</v>
      </c>
    </row>
    <row r="370" spans="1:13" ht="20.100000000000001" customHeight="1" x14ac:dyDescent="0.2">
      <c r="D370" s="118"/>
      <c r="E370" s="118"/>
    </row>
    <row r="374" spans="1:13" ht="20.100000000000001" customHeight="1" x14ac:dyDescent="0.2">
      <c r="D374" s="76" t="s">
        <v>378</v>
      </c>
      <c r="E374" s="1" t="s">
        <v>1419</v>
      </c>
    </row>
    <row r="375" spans="1:13" ht="20.100000000000001" customHeight="1" x14ac:dyDescent="0.2">
      <c r="D375" s="76" t="s">
        <v>118</v>
      </c>
      <c r="E375" s="9" t="s">
        <v>6</v>
      </c>
    </row>
    <row r="377" spans="1:13" ht="20.100000000000001" customHeight="1" x14ac:dyDescent="0.2">
      <c r="D377" s="120" t="s">
        <v>2099</v>
      </c>
      <c r="E377" s="120" t="s">
        <v>2100</v>
      </c>
      <c r="F377" s="120" t="s">
        <v>2103</v>
      </c>
      <c r="G377" s="269" t="s">
        <v>1469</v>
      </c>
    </row>
    <row r="378" spans="1:13" ht="20.100000000000001" customHeight="1" x14ac:dyDescent="0.2">
      <c r="D378" s="120" t="s">
        <v>2091</v>
      </c>
      <c r="E378" s="120" t="s">
        <v>2101</v>
      </c>
      <c r="F378" s="120" t="s">
        <v>2104</v>
      </c>
      <c r="G378" s="128" t="s">
        <v>1501</v>
      </c>
    </row>
    <row r="379" spans="1:13" ht="20.100000000000001" customHeight="1" x14ac:dyDescent="0.2">
      <c r="A379" s="129" t="str">
        <f>HYPERLINK("#A1", "▲ Back to top")</f>
        <v>▲ Back to top</v>
      </c>
      <c r="D379" s="120" t="s">
        <v>1883</v>
      </c>
      <c r="E379" s="120" t="s">
        <v>2102</v>
      </c>
      <c r="F379" s="120"/>
      <c r="G379" s="269" t="s">
        <v>1469</v>
      </c>
    </row>
    <row r="381" spans="1:13" ht="20.100000000000001" customHeight="1" x14ac:dyDescent="0.2">
      <c r="D381" s="81" t="s">
        <v>1308</v>
      </c>
      <c r="E381" s="270" t="s">
        <v>1402</v>
      </c>
      <c r="F381" s="270" t="s">
        <v>1403</v>
      </c>
      <c r="G381" s="124" t="s">
        <v>1404</v>
      </c>
      <c r="H381" s="124" t="s">
        <v>1314</v>
      </c>
      <c r="I381" s="81" t="s">
        <v>1405</v>
      </c>
      <c r="J381" s="124" t="s">
        <v>1317</v>
      </c>
      <c r="K381" s="81" t="s">
        <v>1318</v>
      </c>
      <c r="L381" s="81" t="s">
        <v>1319</v>
      </c>
      <c r="M381" s="81" t="s">
        <v>1320</v>
      </c>
    </row>
    <row r="382" spans="1: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46">
        <f>((F382 * G382) * 10 ^ -3)</f>
        <v>0</v>
      </c>
      <c r="I382" s="75">
        <v>3</v>
      </c>
      <c r="J382" s="246">
        <f>((F382 * (IF(I382,I382,G382))) * 10 ^ -3)</f>
        <v>0</v>
      </c>
      <c r="K382" s="33"/>
      <c r="L382" s="13"/>
      <c r="M382" s="33"/>
    </row>
    <row r="383" spans="1: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46">
        <f>((F383 * G383) * 10 ^ -3)</f>
        <v>0</v>
      </c>
      <c r="I383" s="75"/>
      <c r="J383" s="246">
        <f>((F383 * (IF(I383,I383,G383))) * 10 ^ -3)</f>
        <v>0</v>
      </c>
      <c r="K383" s="33"/>
      <c r="L383" s="13"/>
      <c r="M383" s="33"/>
    </row>
    <row r="384" spans="1: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46">
        <f>((F384 * G384) * 10 ^ -3)</f>
        <v>0</v>
      </c>
      <c r="I384" s="75"/>
      <c r="J384" s="246">
        <f>((F384 * (IF(I384,I384,G384))) * 10 ^ -3)</f>
        <v>0</v>
      </c>
      <c r="K384" s="33"/>
      <c r="L384" s="13"/>
      <c r="M384" s="33"/>
    </row>
    <row r="385" spans="3: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46">
        <f>((F385 * G385) * 10 ^ -3)</f>
        <v>0</v>
      </c>
      <c r="I385" s="75"/>
      <c r="J385" s="246">
        <f>((F385 * (IF(I385,I385,G385))) * 10 ^ -3)</f>
        <v>0</v>
      </c>
      <c r="K385" s="33"/>
      <c r="L385" s="13"/>
      <c r="M385" s="33"/>
    </row>
    <row r="386" spans="3: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46">
        <f>((F386 * G386) * 10 ^ -3)</f>
        <v>0</v>
      </c>
      <c r="I386" s="75"/>
      <c r="J386" s="246">
        <f>((F386 * (IF(I386,I386,G386))) * 10 ^ -3)</f>
        <v>0</v>
      </c>
      <c r="K386" s="33"/>
      <c r="L386" s="13"/>
      <c r="M386" s="33"/>
    </row>
    <row r="387" spans="3: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46">
        <f>((F387 * G387) * 10 ^ -3)</f>
        <v>0</v>
      </c>
      <c r="I387" s="75"/>
      <c r="J387" s="246">
        <f>((F387 * (IF(I387,I387,G387))) * 10 ^ -3)</f>
        <v>0</v>
      </c>
      <c r="K387" s="33"/>
      <c r="L387" s="13"/>
      <c r="M387" s="33"/>
    </row>
    <row r="388" spans="3: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46">
        <f>((F388 * G388) * 10 ^ -3)</f>
        <v>0</v>
      </c>
      <c r="I388" s="75"/>
      <c r="J388" s="246">
        <f>((F388 * (IF(I388,I388,G388))) * 10 ^ -3)</f>
        <v>0</v>
      </c>
      <c r="K388" s="33"/>
      <c r="L388" s="13"/>
      <c r="M388" s="33"/>
    </row>
    <row r="389" spans="3: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46">
        <f>((F389 * G389) * 10 ^ -3)</f>
        <v>0</v>
      </c>
      <c r="I389" s="75"/>
      <c r="J389" s="246">
        <f>((F389 * (IF(I389,I389,G389))) * 10 ^ -3)</f>
        <v>0</v>
      </c>
      <c r="K389" s="33"/>
      <c r="L389" s="13"/>
      <c r="M389" s="33"/>
    </row>
    <row r="390" spans="3: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46">
        <f>((F390 * G390) * 10 ^ -3)</f>
        <v>0</v>
      </c>
      <c r="I390" s="75"/>
      <c r="J390" s="246">
        <f>((F390 * (IF(I390,I390,G390))) * 10 ^ -3)</f>
        <v>0</v>
      </c>
      <c r="K390" s="33"/>
      <c r="L390" s="13"/>
      <c r="M390" s="33"/>
    </row>
    <row r="391" spans="3: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46">
        <f>((F391 * G391) * 10 ^ -3)</f>
        <v>0</v>
      </c>
      <c r="I391" s="75"/>
      <c r="J391" s="246">
        <f>((F391 * (IF(I391,I391,G391))) * 10 ^ -3)</f>
        <v>0</v>
      </c>
      <c r="K391" s="33"/>
      <c r="L391" s="13"/>
      <c r="M391" s="33"/>
    </row>
    <row r="393" spans="3:41" ht="20.100000000000001" customHeight="1" x14ac:dyDescent="0.2">
      <c r="D393" s="272" t="s">
        <v>1314</v>
      </c>
      <c r="E393" s="90">
        <f>SUM(H382:H391)</f>
        <v>0</v>
      </c>
      <c r="F393" s="89" t="str">
        <f>$E$170</f>
        <v>t CO2e</v>
      </c>
    </row>
    <row r="394" spans="3:41" ht="20.100000000000001" customHeight="1" x14ac:dyDescent="0.2">
      <c r="D394" s="272" t="s">
        <v>1317</v>
      </c>
      <c r="E394" s="90">
        <f>SUM(J382:J391)</f>
        <v>0</v>
      </c>
      <c r="F394" s="89" t="str">
        <f>$E$170</f>
        <v>t CO2e</v>
      </c>
    </row>
    <row r="397" spans="3:41" ht="20.100000000000001" customHeight="1" x14ac:dyDescent="0.2">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88"/>
      <c r="AN397" s="88"/>
      <c r="AO397" s="88"/>
    </row>
    <row r="398" spans="3:41" ht="20.100000000000001" customHeight="1" x14ac:dyDescent="0.2">
      <c r="D398" s="2" t="s">
        <v>2105</v>
      </c>
    </row>
    <row r="399" spans="3:41" ht="20.100000000000001" customHeight="1" x14ac:dyDescent="0.2">
      <c r="D399" s="17" t="s">
        <v>2106</v>
      </c>
    </row>
    <row r="400" spans="3:41" ht="20.100000000000001" customHeight="1" x14ac:dyDescent="0.2">
      <c r="D400" s="118"/>
      <c r="E400" s="118"/>
    </row>
    <row r="403" spans="1:14" ht="20.100000000000001" customHeight="1" x14ac:dyDescent="0.2">
      <c r="G403" s="118"/>
    </row>
    <row r="404" spans="1:14" ht="20.100000000000001" customHeight="1" x14ac:dyDescent="0.2">
      <c r="D404" s="76" t="s">
        <v>378</v>
      </c>
      <c r="E404" s="1" t="s">
        <v>1419</v>
      </c>
    </row>
    <row r="405" spans="1:14" ht="20.100000000000001" customHeight="1" x14ac:dyDescent="0.2">
      <c r="D405" s="76" t="s">
        <v>118</v>
      </c>
      <c r="E405" s="1" t="s">
        <v>6</v>
      </c>
    </row>
    <row r="407" spans="1:14" ht="20.100000000000001" customHeight="1" x14ac:dyDescent="0.2">
      <c r="D407" s="120" t="s">
        <v>2107</v>
      </c>
      <c r="E407" s="120" t="s">
        <v>2108</v>
      </c>
      <c r="F407" s="120" t="s">
        <v>2112</v>
      </c>
      <c r="G407" s="269" t="s">
        <v>1469</v>
      </c>
    </row>
    <row r="408" spans="1:14" ht="20.100000000000001" customHeight="1" x14ac:dyDescent="0.2">
      <c r="D408" s="120" t="s">
        <v>2109</v>
      </c>
      <c r="E408" s="120" t="s">
        <v>2110</v>
      </c>
      <c r="F408" s="120" t="s">
        <v>2113</v>
      </c>
      <c r="G408" s="128" t="s">
        <v>1501</v>
      </c>
    </row>
    <row r="409" spans="1:14" ht="20.100000000000001" customHeight="1" x14ac:dyDescent="0.2">
      <c r="A409" s="129" t="str">
        <f>HYPERLINK("#A1", "▲ Back to top")</f>
        <v>▲ Back to top</v>
      </c>
      <c r="D409" s="120" t="s">
        <v>1924</v>
      </c>
      <c r="E409" s="120" t="s">
        <v>2111</v>
      </c>
      <c r="F409" s="120"/>
      <c r="G409" s="269" t="s">
        <v>1469</v>
      </c>
    </row>
    <row r="411" spans="1:14" ht="20.100000000000001" customHeight="1" x14ac:dyDescent="0.2">
      <c r="D411" s="25" t="s">
        <v>1395</v>
      </c>
    </row>
    <row r="413" spans="1:14" ht="20.100000000000001" customHeight="1" x14ac:dyDescent="0.2">
      <c r="D413" s="81" t="s">
        <v>1406</v>
      </c>
      <c r="E413" s="81" t="s">
        <v>1207</v>
      </c>
      <c r="F413" s="81" t="s">
        <v>911</v>
      </c>
      <c r="G413" s="124" t="s">
        <v>1396</v>
      </c>
      <c r="H413" s="124" t="s">
        <v>1397</v>
      </c>
      <c r="I413" s="81" t="s">
        <v>1398</v>
      </c>
      <c r="J413" s="124" t="s">
        <v>1399</v>
      </c>
      <c r="K413" s="124" t="s">
        <v>1400</v>
      </c>
      <c r="L413" s="81" t="s">
        <v>1318</v>
      </c>
      <c r="M413" s="81" t="s">
        <v>1319</v>
      </c>
      <c r="N413" s="81" t="s">
        <v>1320</v>
      </c>
    </row>
    <row r="414" spans="1:14" ht="20.100000000000001" customHeight="1" x14ac:dyDescent="0.2">
      <c r="D414" s="15"/>
      <c r="E414" s="15"/>
      <c r="F414" s="15"/>
      <c r="G414" s="15" t="s">
        <v>1401</v>
      </c>
      <c r="H414" s="15" t="s">
        <v>1401</v>
      </c>
      <c r="I414" s="75">
        <v>4</v>
      </c>
      <c r="J414" s="246">
        <f>((E414 * I414) * 10 ^ -3)</f>
        <v>0</v>
      </c>
      <c r="K414" s="15" t="str">
        <f>"t CO2e / " &amp; F414</f>
        <v xml:space="preserve">t CO2e / </v>
      </c>
      <c r="L414" s="33"/>
      <c r="M414" s="13"/>
      <c r="N414" s="33"/>
    </row>
    <row r="415" spans="1:14" ht="20.100000000000001" customHeight="1" x14ac:dyDescent="0.2">
      <c r="D415" s="15"/>
      <c r="E415" s="15"/>
      <c r="F415" s="15"/>
      <c r="G415" s="15" t="s">
        <v>1401</v>
      </c>
      <c r="H415" s="15" t="s">
        <v>1401</v>
      </c>
      <c r="I415" s="75">
        <v>2</v>
      </c>
      <c r="J415" s="246">
        <f>((E415 * I415) * 10 ^ -3)</f>
        <v>0</v>
      </c>
      <c r="K415" s="15" t="str">
        <f t="shared" ref="K415:K423" si="2">"t CO2e / " &amp; F415</f>
        <v xml:space="preserve">t CO2e / </v>
      </c>
      <c r="L415" s="33"/>
      <c r="M415" s="13"/>
      <c r="N415" s="33"/>
    </row>
    <row r="416" spans="1:14" ht="20.100000000000001" customHeight="1" x14ac:dyDescent="0.2">
      <c r="D416" s="15"/>
      <c r="E416" s="15"/>
      <c r="F416" s="15"/>
      <c r="G416" s="15" t="s">
        <v>1401</v>
      </c>
      <c r="H416" s="15" t="s">
        <v>1401</v>
      </c>
      <c r="I416" s="75"/>
      <c r="J416" s="246">
        <f>((E416 * I416) * 10 ^ -3)</f>
        <v>0</v>
      </c>
      <c r="K416" s="15" t="str">
        <f t="shared" si="2"/>
        <v xml:space="preserve">t CO2e / </v>
      </c>
      <c r="L416" s="33"/>
      <c r="M416" s="13"/>
      <c r="N416" s="33"/>
    </row>
    <row r="417" spans="3:41" ht="20.100000000000001" customHeight="1" x14ac:dyDescent="0.2">
      <c r="D417" s="15"/>
      <c r="E417" s="15"/>
      <c r="F417" s="15"/>
      <c r="G417" s="15" t="s">
        <v>1401</v>
      </c>
      <c r="H417" s="15" t="s">
        <v>1401</v>
      </c>
      <c r="I417" s="75"/>
      <c r="J417" s="246">
        <f>((E417 * I417) * 10 ^ -3)</f>
        <v>0</v>
      </c>
      <c r="K417" s="15" t="str">
        <f t="shared" si="2"/>
        <v xml:space="preserve">t CO2e / </v>
      </c>
      <c r="L417" s="33"/>
      <c r="M417" s="13"/>
      <c r="N417" s="33"/>
    </row>
    <row r="418" spans="3:41" ht="20.100000000000001" customHeight="1" x14ac:dyDescent="0.2">
      <c r="D418" s="15"/>
      <c r="E418" s="15"/>
      <c r="F418" s="15"/>
      <c r="G418" s="15" t="s">
        <v>1401</v>
      </c>
      <c r="H418" s="15" t="s">
        <v>1401</v>
      </c>
      <c r="I418" s="75"/>
      <c r="J418" s="246">
        <f>((E418 * I418) * 10 ^ -3)</f>
        <v>0</v>
      </c>
      <c r="K418" s="15" t="str">
        <f t="shared" si="2"/>
        <v xml:space="preserve">t CO2e / </v>
      </c>
      <c r="L418" s="33"/>
      <c r="M418" s="13"/>
      <c r="N418" s="33"/>
    </row>
    <row r="419" spans="3:41" ht="20.100000000000001" customHeight="1" x14ac:dyDescent="0.2">
      <c r="D419" s="15"/>
      <c r="E419" s="15"/>
      <c r="F419" s="15"/>
      <c r="G419" s="15" t="s">
        <v>1401</v>
      </c>
      <c r="H419" s="15" t="s">
        <v>1401</v>
      </c>
      <c r="I419" s="75"/>
      <c r="J419" s="246">
        <f>((E419 * I419) * 10 ^ -3)</f>
        <v>0</v>
      </c>
      <c r="K419" s="15" t="str">
        <f t="shared" si="2"/>
        <v xml:space="preserve">t CO2e / </v>
      </c>
      <c r="L419" s="33"/>
      <c r="M419" s="13"/>
      <c r="N419" s="33"/>
    </row>
    <row r="420" spans="3:41" ht="20.100000000000001" customHeight="1" x14ac:dyDescent="0.2">
      <c r="D420" s="15"/>
      <c r="E420" s="15"/>
      <c r="F420" s="15"/>
      <c r="G420" s="15" t="s">
        <v>1401</v>
      </c>
      <c r="H420" s="15" t="s">
        <v>1401</v>
      </c>
      <c r="I420" s="75"/>
      <c r="J420" s="246">
        <f>((E420 * I420) * 10 ^ -3)</f>
        <v>0</v>
      </c>
      <c r="K420" s="15" t="str">
        <f t="shared" si="2"/>
        <v xml:space="preserve">t CO2e / </v>
      </c>
      <c r="L420" s="33"/>
      <c r="M420" s="13"/>
      <c r="N420" s="33"/>
    </row>
    <row r="421" spans="3:41" ht="20.100000000000001" customHeight="1" x14ac:dyDescent="0.2">
      <c r="D421" s="15"/>
      <c r="E421" s="15"/>
      <c r="F421" s="15"/>
      <c r="G421" s="15" t="s">
        <v>1401</v>
      </c>
      <c r="H421" s="15" t="s">
        <v>1401</v>
      </c>
      <c r="I421" s="75"/>
      <c r="J421" s="246">
        <f>((E421 * I421) * 10 ^ -3)</f>
        <v>0</v>
      </c>
      <c r="K421" s="15" t="str">
        <f t="shared" si="2"/>
        <v xml:space="preserve">t CO2e / </v>
      </c>
      <c r="L421" s="33"/>
      <c r="M421" s="13"/>
      <c r="N421" s="33"/>
    </row>
    <row r="422" spans="3:41" ht="20.100000000000001" customHeight="1" x14ac:dyDescent="0.2">
      <c r="D422" s="15"/>
      <c r="E422" s="15"/>
      <c r="F422" s="15"/>
      <c r="G422" s="15" t="s">
        <v>1401</v>
      </c>
      <c r="H422" s="15" t="s">
        <v>1401</v>
      </c>
      <c r="I422" s="75"/>
      <c r="J422" s="246">
        <f>((E422 * I422) * 10 ^ -3)</f>
        <v>0</v>
      </c>
      <c r="K422" s="15" t="str">
        <f t="shared" si="2"/>
        <v xml:space="preserve">t CO2e / </v>
      </c>
      <c r="L422" s="33"/>
      <c r="M422" s="13"/>
      <c r="N422" s="33"/>
    </row>
    <row r="423" spans="3:41" ht="20.100000000000001" customHeight="1" x14ac:dyDescent="0.2">
      <c r="D423" s="15"/>
      <c r="E423" s="15"/>
      <c r="F423" s="15"/>
      <c r="G423" s="15" t="s">
        <v>1401</v>
      </c>
      <c r="H423" s="15" t="s">
        <v>1401</v>
      </c>
      <c r="I423" s="75"/>
      <c r="J423" s="246">
        <f>((E423 * I423) * 10 ^ -3)</f>
        <v>0</v>
      </c>
      <c r="K423" s="15" t="str">
        <f t="shared" si="2"/>
        <v xml:space="preserve">t CO2e / </v>
      </c>
      <c r="L423" s="33"/>
      <c r="M423" s="13"/>
      <c r="N423" s="33"/>
    </row>
    <row r="425" spans="3:41" ht="20.100000000000001" customHeight="1" x14ac:dyDescent="0.2">
      <c r="D425" s="272" t="s">
        <v>1314</v>
      </c>
      <c r="E425" s="90" t="s">
        <v>1401</v>
      </c>
      <c r="F425" s="89" t="str">
        <f>$E$170</f>
        <v>t CO2e</v>
      </c>
    </row>
    <row r="426" spans="3:41" ht="20.100000000000001" customHeight="1" x14ac:dyDescent="0.2">
      <c r="D426" s="272" t="s">
        <v>1317</v>
      </c>
      <c r="E426" s="90">
        <f>SUM(J414:J423)</f>
        <v>0</v>
      </c>
      <c r="F426" s="89" t="str">
        <f>$E$170</f>
        <v>t CO2e</v>
      </c>
    </row>
    <row r="429" spans="3:41" ht="20.100000000000001" customHeight="1" x14ac:dyDescent="0.2">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88"/>
      <c r="AN429" s="88"/>
      <c r="AO429" s="88"/>
    </row>
    <row r="430" spans="3:41" ht="20.100000000000001" customHeight="1" x14ac:dyDescent="0.2">
      <c r="D430" s="2" t="s">
        <v>2114</v>
      </c>
    </row>
    <row r="431" spans="3:41" ht="20.100000000000001" customHeight="1" x14ac:dyDescent="0.2">
      <c r="D431" s="17" t="s">
        <v>2115</v>
      </c>
    </row>
    <row r="432" spans="3:41" ht="20.100000000000001" customHeight="1" x14ac:dyDescent="0.2">
      <c r="D432" s="25" t="s">
        <v>1407</v>
      </c>
    </row>
    <row r="433" spans="1:13" ht="20.100000000000001" customHeight="1" x14ac:dyDescent="0.2">
      <c r="D433" s="118"/>
      <c r="E433" s="118"/>
    </row>
    <row r="436" spans="1:13" ht="20.100000000000001" customHeight="1" x14ac:dyDescent="0.2">
      <c r="D436" s="76" t="s">
        <v>378</v>
      </c>
      <c r="E436" s="1" t="s">
        <v>2116</v>
      </c>
    </row>
    <row r="437" spans="1:13" ht="20.100000000000001" customHeight="1" x14ac:dyDescent="0.2">
      <c r="D437" s="76" t="s">
        <v>118</v>
      </c>
      <c r="E437" s="9" t="s">
        <v>6</v>
      </c>
    </row>
    <row r="439" spans="1:13" ht="20.100000000000001" customHeight="1" x14ac:dyDescent="0.2">
      <c r="A439" s="129" t="str">
        <f>HYPERLINK("#A1", "▲ Back to top")</f>
        <v>▲ Back to top</v>
      </c>
      <c r="D439" s="120" t="s">
        <v>2117</v>
      </c>
      <c r="E439" s="125" t="s">
        <v>2118</v>
      </c>
      <c r="F439" s="126"/>
      <c r="G439" s="120" t="s">
        <v>2121</v>
      </c>
      <c r="H439" s="269" t="s">
        <v>1469</v>
      </c>
    </row>
    <row r="440" spans="1:13" ht="20.100000000000001" customHeight="1" x14ac:dyDescent="0.2">
      <c r="D440" s="120" t="s">
        <v>2119</v>
      </c>
      <c r="E440" s="125" t="s">
        <v>2120</v>
      </c>
      <c r="F440" s="126"/>
      <c r="G440" s="120" t="s">
        <v>2121</v>
      </c>
      <c r="H440" s="128" t="s">
        <v>1501</v>
      </c>
    </row>
    <row r="442" spans="1:13" ht="20.100000000000001" customHeight="1" x14ac:dyDescent="0.2">
      <c r="D442" s="261" t="s">
        <v>1408</v>
      </c>
    </row>
    <row r="444" spans="1:13" ht="20.100000000000001" customHeight="1" x14ac:dyDescent="0.2">
      <c r="D444" s="81" t="s">
        <v>1308</v>
      </c>
      <c r="E444" s="270" t="s">
        <v>1409</v>
      </c>
      <c r="F444" s="270" t="s">
        <v>1410</v>
      </c>
      <c r="G444" s="124" t="s">
        <v>120</v>
      </c>
      <c r="H444" s="124" t="s">
        <v>1314</v>
      </c>
      <c r="I444" s="81" t="s">
        <v>121</v>
      </c>
      <c r="J444" s="124" t="s">
        <v>1317</v>
      </c>
      <c r="K444" s="81" t="s">
        <v>1318</v>
      </c>
      <c r="L444" s="81" t="s">
        <v>1319</v>
      </c>
      <c r="M444" s="81" t="s">
        <v>1320</v>
      </c>
    </row>
    <row r="445" spans="1: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46">
        <f>(F445 * (G445*10^-3))</f>
        <v>9.0700000000000003E-2</v>
      </c>
      <c r="I445" s="75">
        <v>1.3</v>
      </c>
      <c r="J445" s="246">
        <f>(F445 * (IF(I445,I445,G445)*10^-3))</f>
        <v>0.13</v>
      </c>
      <c r="K445" s="33"/>
      <c r="L445" s="13"/>
      <c r="M445" s="33"/>
    </row>
    <row r="446" spans="1: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46">
        <f>(F446 * (G446*10^-3))</f>
        <v>7.22E-2</v>
      </c>
      <c r="I446" s="75">
        <v>8</v>
      </c>
      <c r="J446" s="246">
        <f>(F446 * (IF(I446,I446,G446)*10^-3))</f>
        <v>0.8</v>
      </c>
      <c r="K446" s="33"/>
      <c r="L446" s="13"/>
      <c r="M446" s="33"/>
    </row>
    <row r="447" spans="1: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46">
        <f>(F447 * (G447*10^-3))</f>
        <v>8.0399999999999999E-2</v>
      </c>
      <c r="I447" s="75">
        <v>4</v>
      </c>
      <c r="J447" s="246">
        <f>(F447 * (IF(I447,I447,G447)*10^-3))</f>
        <v>0.4</v>
      </c>
      <c r="K447" s="33"/>
      <c r="L447" s="13"/>
      <c r="M447" s="33"/>
    </row>
    <row r="448" spans="1:13" ht="20.100000000000001" customHeight="1" x14ac:dyDescent="0.2">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46">
        <f>(F448 * (G448*10^-3))</f>
        <v>8.0399999999999999E-2</v>
      </c>
      <c r="I448" s="75">
        <v>3</v>
      </c>
      <c r="J448" s="246">
        <f>(F448 * (IF(I448,I448,G448)*10^-3))</f>
        <v>0.3</v>
      </c>
      <c r="K448" s="33"/>
      <c r="L448" s="13"/>
      <c r="M448" s="33"/>
    </row>
    <row r="449" spans="4: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46">
        <f>(F449 * (G449*10^-3))</f>
        <v>9.0700000000000003E-2</v>
      </c>
      <c r="I449" s="75">
        <v>6</v>
      </c>
      <c r="J449" s="246">
        <f>(F449 * (IF(I449,I449,G449)*10^-3))</f>
        <v>0.6</v>
      </c>
      <c r="K449" s="33"/>
      <c r="L449" s="13"/>
      <c r="M449" s="33"/>
    </row>
    <row r="450" spans="4: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46">
        <f>(F450 * (G450*10^-3))</f>
        <v>9.0700000000000003E-2</v>
      </c>
      <c r="I450" s="75">
        <v>5</v>
      </c>
      <c r="J450" s="246">
        <f>(F450 * (IF(I450,I450,G450)*10^-3))</f>
        <v>0.5</v>
      </c>
      <c r="K450" s="33"/>
      <c r="L450" s="13"/>
      <c r="M450" s="33"/>
    </row>
    <row r="451" spans="4: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46">
        <f>(F451 * (G451*10^-3))</f>
        <v>0</v>
      </c>
      <c r="I451" s="75"/>
      <c r="J451" s="246">
        <f>(F451 * (IF(I451,I451,G451)*10^-3))</f>
        <v>0</v>
      </c>
      <c r="K451" s="33"/>
      <c r="L451" s="13"/>
      <c r="M451" s="33"/>
    </row>
    <row r="452" spans="4: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46">
        <f>(F452 * (G452*10^-3))</f>
        <v>0</v>
      </c>
      <c r="I452" s="75"/>
      <c r="J452" s="246">
        <f>(F452 * (IF(I452,I452,G452)*10^-3))</f>
        <v>0</v>
      </c>
      <c r="K452" s="33"/>
      <c r="L452" s="13"/>
      <c r="M452" s="33"/>
    </row>
    <row r="453" spans="4: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46">
        <f>(F453 * (G453*10^-3))</f>
        <v>0</v>
      </c>
      <c r="I453" s="75"/>
      <c r="J453" s="246">
        <f>(F453 * (IF(I453,I453,G453)*10^-3))</f>
        <v>0</v>
      </c>
      <c r="K453" s="33"/>
      <c r="L453" s="13"/>
      <c r="M453" s="33"/>
    </row>
    <row r="454" spans="4: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46">
        <f>(F454 * (G454*10^-3))</f>
        <v>0</v>
      </c>
      <c r="I454" s="75"/>
      <c r="J454" s="246">
        <f>(F454 * (IF(I454,I454,G454)*10^-3))</f>
        <v>0</v>
      </c>
      <c r="K454" s="33"/>
      <c r="L454" s="13"/>
      <c r="M454" s="33"/>
    </row>
    <row r="456" spans="4:13" ht="20.100000000000001" customHeight="1" x14ac:dyDescent="0.2">
      <c r="D456" s="272" t="s">
        <v>1314</v>
      </c>
      <c r="E456" s="90">
        <f>SUM(H445:H454)</f>
        <v>0.50509999999999999</v>
      </c>
      <c r="F456" s="89" t="str">
        <f>$E$170</f>
        <v>t CO2e</v>
      </c>
    </row>
    <row r="457" spans="4:13" ht="20.100000000000001" customHeight="1" x14ac:dyDescent="0.2">
      <c r="D457" s="272" t="s">
        <v>1317</v>
      </c>
      <c r="E457" s="90">
        <f>SUM(J445:J454)</f>
        <v>2.73</v>
      </c>
      <c r="F457" s="89" t="str">
        <f>$E$170</f>
        <v>t CO2e</v>
      </c>
    </row>
    <row r="460" spans="4:13" ht="20.100000000000001" customHeight="1" x14ac:dyDescent="0.2">
      <c r="D460" s="261" t="s">
        <v>1411</v>
      </c>
    </row>
    <row r="462" spans="4:13" ht="20.100000000000001" customHeight="1" x14ac:dyDescent="0.2">
      <c r="D462" s="81" t="s">
        <v>1308</v>
      </c>
      <c r="E462" s="270" t="s">
        <v>1409</v>
      </c>
      <c r="F462" s="270" t="s">
        <v>1272</v>
      </c>
      <c r="G462" s="124" t="s">
        <v>1412</v>
      </c>
      <c r="H462" s="124" t="s">
        <v>1314</v>
      </c>
      <c r="I462" s="81" t="s">
        <v>1413</v>
      </c>
      <c r="J462" s="124" t="s">
        <v>1317</v>
      </c>
      <c r="K462" s="81" t="s">
        <v>1318</v>
      </c>
      <c r="L462" s="81" t="s">
        <v>1319</v>
      </c>
      <c r="M462" s="81" t="s">
        <v>1320</v>
      </c>
    </row>
    <row r="463" spans="4:13" ht="20.100000000000001" customHeight="1" x14ac:dyDescent="0.2">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46">
        <f>(F463 * (G463*10^-3))</f>
        <v>5.47E-3</v>
      </c>
      <c r="I463" s="75">
        <v>0.05</v>
      </c>
      <c r="J463" s="246">
        <f>(F463 * (IF(I463,I463,G463)*10^-3))</f>
        <v>5.0000000000000001E-3</v>
      </c>
      <c r="K463" s="33"/>
      <c r="L463" s="13"/>
      <c r="M463" s="33"/>
    </row>
    <row r="464" spans="4:13" ht="20.100000000000001" customHeight="1" x14ac:dyDescent="0.2">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46">
        <f>(F464 * (G464*10^-3))</f>
        <v>1.42E-3</v>
      </c>
      <c r="I464" s="75">
        <v>0.01</v>
      </c>
      <c r="J464" s="246">
        <f>(F464 * (IF(I464,I464,G464)*10^-3))</f>
        <v>1E-3</v>
      </c>
      <c r="K464" s="33"/>
      <c r="L464" s="13"/>
      <c r="M464" s="33"/>
    </row>
    <row r="465" spans="1:13" ht="20.100000000000001" customHeight="1" x14ac:dyDescent="0.2">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46">
        <f>(F465 * (G465*10^-3))</f>
        <v>1.4300000000000001E-3</v>
      </c>
      <c r="I465" s="75">
        <v>0.01</v>
      </c>
      <c r="J465" s="246">
        <f>(F465 * (IF(I465,I465,G465)*10^-3))</f>
        <v>1E-3</v>
      </c>
      <c r="K465" s="33"/>
      <c r="L465" s="13"/>
      <c r="M465" s="33"/>
    </row>
    <row r="466" spans="1:13" ht="20.100000000000001" customHeight="1" x14ac:dyDescent="0.2">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46">
        <f>(F466 * (G466*10^-3))</f>
        <v>4.26E-4</v>
      </c>
      <c r="I466" s="75">
        <v>4.0000000000000001E-3</v>
      </c>
      <c r="J466" s="246">
        <f>(F466 * (IF(I466,I466,G466)*10^-3))</f>
        <v>3.9999999999999996E-4</v>
      </c>
      <c r="K466" s="33"/>
      <c r="L466" s="13"/>
      <c r="M466" s="33"/>
    </row>
    <row r="467" spans="1:13" ht="20.100000000000001" customHeight="1" x14ac:dyDescent="0.2">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46">
        <f>(F467 * (G467*10^-3))</f>
        <v>5.47E-3</v>
      </c>
      <c r="I467" s="75">
        <v>0.05</v>
      </c>
      <c r="J467" s="246">
        <f>(F467 * (IF(I467,I467,G467)*10^-3))</f>
        <v>5.0000000000000001E-3</v>
      </c>
      <c r="K467" s="33"/>
      <c r="L467" s="13"/>
      <c r="M467" s="33"/>
    </row>
    <row r="468" spans="1:13" ht="20.100000000000001" customHeight="1" x14ac:dyDescent="0.2">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46">
        <f>(F468 * (G468*10^-3))</f>
        <v>1.42E-3</v>
      </c>
      <c r="I468" s="75">
        <v>0.01</v>
      </c>
      <c r="J468" s="246">
        <f>(F468 * (IF(I468,I468,G468)*10^-3))</f>
        <v>1E-3</v>
      </c>
      <c r="K468" s="33"/>
      <c r="L468" s="13"/>
      <c r="M468" s="33"/>
    </row>
    <row r="469" spans="1:13" ht="20.100000000000001" customHeight="1" x14ac:dyDescent="0.2">
      <c r="A469" s="129" t="str">
        <f>HYPERLINK("#A1", "▲ Back to top")</f>
        <v>▲ Back to top</v>
      </c>
      <c r="D469" s="15">
        <v>0</v>
      </c>
      <c r="E469" s="15">
        <v>0</v>
      </c>
      <c r="F469" s="15">
        <v>0</v>
      </c>
      <c r="G469" s="15" cm="1">
        <f t="array" ref="G469">Common_InputFunctions.Utility_LookupValueInTableNumber(E469,Table_SourceData_Scope3_ChemicalsPharmacy[Product],Table_SourceData_Scope3_ChemicalsPharmacy[Emissions intensity])</f>
        <v>0</v>
      </c>
      <c r="H469" s="246">
        <f>(F469 * (G469*10^-3))</f>
        <v>0</v>
      </c>
      <c r="I469" s="75"/>
      <c r="J469" s="246">
        <f>(F469 * (IF(I469,I469,G469)*10^-3))</f>
        <v>0</v>
      </c>
      <c r="K469" s="33"/>
      <c r="L469" s="13"/>
      <c r="M469" s="33"/>
    </row>
    <row r="470" spans="1:13" ht="20.100000000000001" customHeight="1" x14ac:dyDescent="0.2">
      <c r="D470" s="15">
        <v>0</v>
      </c>
      <c r="E470" s="15">
        <v>0</v>
      </c>
      <c r="F470" s="15">
        <v>0</v>
      </c>
      <c r="G470" s="15" cm="1">
        <f t="array" ref="G470">Common_InputFunctions.Utility_LookupValueInTableNumber(E470,Table_SourceData_Scope3_ChemicalsPharmacy[Product],Table_SourceData_Scope3_ChemicalsPharmacy[Emissions intensity])</f>
        <v>0</v>
      </c>
      <c r="H470" s="246">
        <f>(F470 * (G470*10^-3))</f>
        <v>0</v>
      </c>
      <c r="I470" s="75"/>
      <c r="J470" s="246">
        <f>(F470 * (IF(I470,I470,G470)*10^-3))</f>
        <v>0</v>
      </c>
      <c r="K470" s="33"/>
      <c r="L470" s="13"/>
      <c r="M470" s="33"/>
    </row>
    <row r="471" spans="1:13" ht="20.100000000000001" customHeight="1" x14ac:dyDescent="0.2">
      <c r="D471" s="15">
        <v>0</v>
      </c>
      <c r="E471" s="15">
        <v>0</v>
      </c>
      <c r="F471" s="15">
        <v>0</v>
      </c>
      <c r="G471" s="15" cm="1">
        <f t="array" ref="G471">Common_InputFunctions.Utility_LookupValueInTableNumber(E471,Table_SourceData_Scope3_ChemicalsPharmacy[Product],Table_SourceData_Scope3_ChemicalsPharmacy[Emissions intensity])</f>
        <v>0</v>
      </c>
      <c r="H471" s="246">
        <f>(F471 * (G471*10^-3))</f>
        <v>0</v>
      </c>
      <c r="I471" s="75"/>
      <c r="J471" s="246">
        <f>(F471 * (IF(I471,I471,G471)*10^-3))</f>
        <v>0</v>
      </c>
      <c r="K471" s="33"/>
      <c r="L471" s="13"/>
      <c r="M471" s="33"/>
    </row>
    <row r="472" spans="1:13" ht="20.100000000000001" customHeight="1" x14ac:dyDescent="0.2">
      <c r="D472" s="15">
        <v>0</v>
      </c>
      <c r="E472" s="15">
        <v>0</v>
      </c>
      <c r="F472" s="15">
        <v>0</v>
      </c>
      <c r="G472" s="15" cm="1">
        <f t="array" ref="G472">Common_InputFunctions.Utility_LookupValueInTableNumber(E472,Table_SourceData_Scope3_ChemicalsPharmacy[Product],Table_SourceData_Scope3_ChemicalsPharmacy[Emissions intensity])</f>
        <v>0</v>
      </c>
      <c r="H472" s="246">
        <f>(F472 * (G472*10^-3))</f>
        <v>0</v>
      </c>
      <c r="I472" s="75"/>
      <c r="J472" s="246">
        <f>(F472 * (IF(I472,I472,G472)*10^-3))</f>
        <v>0</v>
      </c>
      <c r="K472" s="33"/>
      <c r="L472" s="13"/>
      <c r="M472" s="33"/>
    </row>
    <row r="474" spans="1:13" ht="20.100000000000001" customHeight="1" x14ac:dyDescent="0.2">
      <c r="D474" s="272" t="s">
        <v>1314</v>
      </c>
      <c r="E474" s="90">
        <f>SUM(H463:H472)</f>
        <v>1.5636000000000001E-2</v>
      </c>
      <c r="F474" s="89" t="str">
        <f>$E$170</f>
        <v>t CO2e</v>
      </c>
    </row>
    <row r="475" spans="1:13" ht="20.100000000000001" customHeight="1" x14ac:dyDescent="0.2">
      <c r="D475" s="272" t="s">
        <v>1317</v>
      </c>
      <c r="E475" s="90">
        <f>SUM(J463:J472)</f>
        <v>1.3400000000000002E-2</v>
      </c>
      <c r="F475" s="89" t="str">
        <f>$E$170</f>
        <v>t CO2e</v>
      </c>
    </row>
    <row r="478" spans="1:13" ht="20.100000000000001" customHeight="1" x14ac:dyDescent="0.2">
      <c r="D478" s="261" t="s">
        <v>1245</v>
      </c>
    </row>
    <row r="480" spans="1:13" ht="20.100000000000001" customHeight="1" x14ac:dyDescent="0.2">
      <c r="D480" s="81" t="s">
        <v>1195</v>
      </c>
      <c r="E480" s="81" t="s">
        <v>1414</v>
      </c>
      <c r="F480" s="124" t="s">
        <v>1412</v>
      </c>
      <c r="G480" s="124" t="s">
        <v>1314</v>
      </c>
      <c r="H480" s="81" t="s">
        <v>1413</v>
      </c>
      <c r="I480" s="124" t="s">
        <v>1317</v>
      </c>
      <c r="J480" s="81" t="s">
        <v>1318</v>
      </c>
      <c r="K480" s="81" t="s">
        <v>1319</v>
      </c>
      <c r="L480" s="81" t="s">
        <v>1320</v>
      </c>
    </row>
    <row r="481" spans="4:12" ht="20.100000000000001" customHeight="1" x14ac:dyDescent="0.2">
      <c r="D481" s="15" t="str">
        <f>'Input - Crop pasture farm input'!D23</f>
        <v>Barley grain (for seed)</v>
      </c>
      <c r="E481" s="15">
        <f>IFERROR(X_Cell_FarmInputs_Seed_BarleyGrain, 0)</f>
        <v>500</v>
      </c>
      <c r="F481" s="15" cm="1">
        <f t="array" ref="F481">Common_InputFunctions.Utility_LookupValueInTableNumber(D481,Table_SourceData_Scope3_Other[Product],Table_SourceData_Scope3_Other[Emissions intensity])</f>
        <v>0.23899999999999999</v>
      </c>
      <c r="G481" s="246">
        <f>(E481 * (F481*10^-3))</f>
        <v>0.1195</v>
      </c>
      <c r="H481" s="75">
        <v>0.2</v>
      </c>
      <c r="I481" s="246">
        <f>(E481 * (IF(H481,H481,F481)*10^-3))</f>
        <v>0.1</v>
      </c>
      <c r="J481" s="33"/>
      <c r="K481" s="13"/>
      <c r="L481" s="33"/>
    </row>
    <row r="482" spans="4:12" ht="20.100000000000001" customHeight="1" x14ac:dyDescent="0.2">
      <c r="D482" s="15" t="str">
        <f>'Input - Crop pasture farm input'!D24</f>
        <v>Maize grain (for seed)</v>
      </c>
      <c r="E482" s="15">
        <f>IFERROR(X_Cell_FarmInputs_Seed_MaizeGrain, 0)</f>
        <v>600</v>
      </c>
      <c r="F482" s="15" cm="1">
        <f t="array" ref="F482">Common_InputFunctions.Utility_LookupValueInTableNumber(D482,Table_SourceData_Scope3_Other[Product],Table_SourceData_Scope3_Other[Emissions intensity])</f>
        <v>0.18099999999999999</v>
      </c>
      <c r="G482" s="246">
        <f>(E482 * (F482*10^-3))</f>
        <v>0.1086</v>
      </c>
      <c r="H482" s="75"/>
      <c r="I482" s="246">
        <f>(E482 * (IF(H482,H482,F482)*10^-3))</f>
        <v>0.1086</v>
      </c>
      <c r="J482" s="33"/>
      <c r="K482" s="13"/>
      <c r="L482" s="33"/>
    </row>
    <row r="483" spans="4:12" ht="20.100000000000001" customHeight="1" x14ac:dyDescent="0.2">
      <c r="D483" s="15" t="str">
        <f>'Input - Crop pasture farm input'!D25</f>
        <v>Oat grain (for seed)</v>
      </c>
      <c r="E483" s="15">
        <f>IFERROR(X_Cell_FarmInputs_Seed_OatGrain, 0)</f>
        <v>700</v>
      </c>
      <c r="F483" s="15" cm="1">
        <f t="array" ref="F483">Common_InputFunctions.Utility_LookupValueInTableNumber(D483,Table_SourceData_Scope3_Other[Product],Table_SourceData_Scope3_Other[Emissions intensity])</f>
        <v>0.27</v>
      </c>
      <c r="G483" s="246">
        <f>(E483 * (F483*10^-3))</f>
        <v>0.189</v>
      </c>
      <c r="H483" s="75">
        <v>0.2</v>
      </c>
      <c r="I483" s="246">
        <f>(E483 * (IF(H483,H483,F483)*10^-3))</f>
        <v>0.14000000000000001</v>
      </c>
      <c r="J483" s="33"/>
      <c r="K483" s="13"/>
      <c r="L483" s="33"/>
    </row>
    <row r="484" spans="4:12" ht="20.100000000000001" customHeight="1" x14ac:dyDescent="0.2">
      <c r="D484" s="15" t="str">
        <f>'Input - Crop pasture farm input'!D26</f>
        <v>Sorghum grain (for seed)</v>
      </c>
      <c r="E484" s="15">
        <f>IFERROR(X_Cell_FarmInputs_Seed_SorghumGrain, 0)</f>
        <v>800</v>
      </c>
      <c r="F484" s="15" cm="1">
        <f t="array" ref="F484">Common_InputFunctions.Utility_LookupValueInTableNumber(D484,Table_SourceData_Scope3_Other[Product],Table_SourceData_Scope3_Other[Emissions intensity])</f>
        <v>0.23200000000000001</v>
      </c>
      <c r="G484" s="246">
        <f>(E484 * (F484*10^-3))</f>
        <v>0.18560000000000001</v>
      </c>
      <c r="H484" s="75"/>
      <c r="I484" s="246">
        <f>(E484 * (IF(H484,H484,F484)*10^-3))</f>
        <v>0.18560000000000001</v>
      </c>
      <c r="J484" s="33"/>
      <c r="K484" s="13"/>
      <c r="L484" s="33"/>
    </row>
    <row r="485" spans="4:12" ht="20.100000000000001" customHeight="1" x14ac:dyDescent="0.2">
      <c r="D485" s="15" t="str">
        <f>'Input - Crop pasture farm input'!D27</f>
        <v>Wheat grain (for seed)</v>
      </c>
      <c r="E485" s="15">
        <f>IFERROR(X_Cell_FarmInputs_Seed_WheatGrain, 0)</f>
        <v>900</v>
      </c>
      <c r="F485" s="15" cm="1">
        <f t="array" ref="F485">Common_InputFunctions.Utility_LookupValueInTableNumber(D485,Table_SourceData_Scope3_Other[Product],Table_SourceData_Scope3_Other[Emissions intensity])</f>
        <v>0.26800000000000002</v>
      </c>
      <c r="G485" s="246">
        <f>(E485 * (F485*10^-3))</f>
        <v>0.2412</v>
      </c>
      <c r="H485" s="75">
        <v>0.2</v>
      </c>
      <c r="I485" s="246">
        <f>(E485 * (IF(H485,H485,F485)*10^-3))</f>
        <v>0.18000000000000002</v>
      </c>
      <c r="J485" s="33"/>
      <c r="K485" s="13"/>
      <c r="L485" s="33"/>
    </row>
    <row r="487" spans="4:12" ht="20.100000000000001" customHeight="1" x14ac:dyDescent="0.2">
      <c r="D487" s="272" t="s">
        <v>1314</v>
      </c>
      <c r="E487" s="90">
        <f>SUM(G481:G485)</f>
        <v>0.84389999999999998</v>
      </c>
      <c r="F487" s="89" t="str">
        <f>$E$170</f>
        <v>t CO2e</v>
      </c>
    </row>
    <row r="488" spans="4:12" ht="20.100000000000001" customHeight="1" x14ac:dyDescent="0.2">
      <c r="D488" s="272" t="s">
        <v>1317</v>
      </c>
      <c r="E488" s="90">
        <f>SUM(I481:I485)</f>
        <v>0.71420000000000006</v>
      </c>
      <c r="F488" s="89" t="str">
        <f>$E$170</f>
        <v>t CO2e</v>
      </c>
    </row>
    <row r="491" spans="4:12" ht="20.100000000000001" customHeight="1" x14ac:dyDescent="0.2">
      <c r="D491" s="261" t="s">
        <v>1415</v>
      </c>
    </row>
    <row r="493" spans="4:12" ht="20.100000000000001" customHeight="1" x14ac:dyDescent="0.2">
      <c r="D493" s="81" t="s">
        <v>1195</v>
      </c>
      <c r="E493" s="81" t="s">
        <v>1414</v>
      </c>
      <c r="F493" s="124" t="s">
        <v>1412</v>
      </c>
      <c r="G493" s="124" t="s">
        <v>1314</v>
      </c>
      <c r="H493" s="81" t="s">
        <v>1413</v>
      </c>
      <c r="I493" s="124" t="s">
        <v>1317</v>
      </c>
      <c r="J493" s="81" t="s">
        <v>1318</v>
      </c>
      <c r="K493" s="81" t="s">
        <v>1319</v>
      </c>
      <c r="L493" s="81" t="s">
        <v>1320</v>
      </c>
    </row>
    <row r="494" spans="4:12" ht="20.100000000000001" customHeight="1" x14ac:dyDescent="0.2">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46">
        <f>(E494 * (F494*10^-3))</f>
        <v>4.2399999999999998E-3</v>
      </c>
      <c r="H494" s="75">
        <v>0.2</v>
      </c>
      <c r="I494" s="246">
        <f>(E494 * (IF(H494,H494,F494)*10^-3))</f>
        <v>0.02</v>
      </c>
      <c r="J494" s="33"/>
      <c r="K494" s="13"/>
      <c r="L494" s="33"/>
    </row>
    <row r="495" spans="4:12" ht="20.100000000000001" customHeight="1" x14ac:dyDescent="0.2">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46">
        <f>(E495 * (F495*10^-3))</f>
        <v>5.8599999999999998E-3</v>
      </c>
      <c r="H495" s="75"/>
      <c r="I495" s="246">
        <f>(E495 * (IF(H495,H495,F495)*10^-3))</f>
        <v>5.8599999999999998E-3</v>
      </c>
      <c r="J495" s="33"/>
      <c r="K495" s="13"/>
      <c r="L495" s="33"/>
    </row>
    <row r="496" spans="4: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46">
        <f>(E496 * (F496*10^-3))</f>
        <v>0</v>
      </c>
      <c r="H496" s="75">
        <v>0.2</v>
      </c>
      <c r="I496" s="246">
        <f>(E496 * (IF(H496,H496,F496)*10^-3))</f>
        <v>0</v>
      </c>
      <c r="J496" s="33"/>
      <c r="K496" s="13"/>
      <c r="L496" s="33"/>
    </row>
    <row r="498" spans="1:14" ht="20.100000000000001" customHeight="1" x14ac:dyDescent="0.2">
      <c r="D498" s="272" t="s">
        <v>1314</v>
      </c>
      <c r="E498" s="90">
        <f>SUM(G494:G496)</f>
        <v>1.01E-2</v>
      </c>
      <c r="F498" s="89" t="str">
        <f>$E$170</f>
        <v>t CO2e</v>
      </c>
    </row>
    <row r="499" spans="1:14" ht="20.100000000000001" customHeight="1" x14ac:dyDescent="0.2">
      <c r="A499" s="129" t="str">
        <f>HYPERLINK("#A1", "▲ Back to top")</f>
        <v>▲ Back to top</v>
      </c>
      <c r="D499" s="272" t="s">
        <v>1317</v>
      </c>
      <c r="E499" s="90">
        <f>SUM(I494:I496)</f>
        <v>2.5860000000000001E-2</v>
      </c>
      <c r="F499" s="89" t="str">
        <f>$E$170</f>
        <v>t CO2e</v>
      </c>
    </row>
    <row r="502" spans="1:14" ht="20.100000000000001" customHeight="1" x14ac:dyDescent="0.2">
      <c r="D502" s="261" t="s">
        <v>1416</v>
      </c>
    </row>
    <row r="504" spans="1:14" ht="20.100000000000001" customHeight="1" x14ac:dyDescent="0.2">
      <c r="D504" s="81" t="s">
        <v>1195</v>
      </c>
      <c r="E504" s="81" t="s">
        <v>1061</v>
      </c>
      <c r="F504" s="81" t="s">
        <v>911</v>
      </c>
      <c r="G504" s="124" t="s">
        <v>1396</v>
      </c>
      <c r="H504" s="124" t="s">
        <v>1397</v>
      </c>
      <c r="I504" s="81" t="s">
        <v>1398</v>
      </c>
      <c r="J504" s="81" t="s">
        <v>1417</v>
      </c>
      <c r="K504" s="124" t="s">
        <v>1399</v>
      </c>
      <c r="L504" s="81" t="s">
        <v>1318</v>
      </c>
      <c r="M504" s="81" t="s">
        <v>1319</v>
      </c>
      <c r="N504" s="81" t="s">
        <v>1320</v>
      </c>
    </row>
    <row r="505" spans="1: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1401</v>
      </c>
      <c r="H505" s="15" t="s">
        <v>1401</v>
      </c>
      <c r="I505" s="75">
        <v>4</v>
      </c>
      <c r="J505" s="13" t="s">
        <v>1418</v>
      </c>
      <c r="K505" s="246">
        <f>(E505 * (IF(J505="kg / amount unit", I505*10^-3, I505)))</f>
        <v>4000</v>
      </c>
      <c r="L505" s="33"/>
      <c r="M505" s="13"/>
      <c r="N505" s="33"/>
    </row>
    <row r="506" spans="1:14" ht="20.100000000000001" customHeight="1" x14ac:dyDescent="0.2">
      <c r="D506" s="15">
        <v>0</v>
      </c>
      <c r="E506" s="15">
        <v>0</v>
      </c>
      <c r="F506" s="15">
        <v>0</v>
      </c>
      <c r="G506" s="15" t="s">
        <v>1401</v>
      </c>
      <c r="H506" s="15" t="s">
        <v>1401</v>
      </c>
      <c r="I506" s="75">
        <v>2</v>
      </c>
      <c r="J506" s="13" t="s">
        <v>1418</v>
      </c>
      <c r="K506" s="246">
        <f>(E506 * (IF(J506="kg / amount unit", I506*10^-3, I506)))</f>
        <v>0</v>
      </c>
      <c r="L506" s="33"/>
      <c r="M506" s="13"/>
      <c r="N506" s="33"/>
    </row>
    <row r="507" spans="1:14" ht="20.100000000000001" customHeight="1" x14ac:dyDescent="0.2">
      <c r="D507" s="15">
        <v>0</v>
      </c>
      <c r="E507" s="15">
        <v>0</v>
      </c>
      <c r="F507" s="15">
        <v>0</v>
      </c>
      <c r="G507" s="15" t="s">
        <v>1401</v>
      </c>
      <c r="H507" s="15" t="s">
        <v>1401</v>
      </c>
      <c r="I507" s="75"/>
      <c r="J507" s="13"/>
      <c r="K507" s="246">
        <f>(E507 * (IF(J507="kg / amount unit", I507*10^-3, I507)))</f>
        <v>0</v>
      </c>
      <c r="L507" s="33"/>
      <c r="M507" s="13"/>
      <c r="N507" s="33"/>
    </row>
    <row r="508" spans="1:14" ht="20.100000000000001" customHeight="1" x14ac:dyDescent="0.2">
      <c r="D508" s="15">
        <v>0</v>
      </c>
      <c r="E508" s="15">
        <v>0</v>
      </c>
      <c r="F508" s="15">
        <v>0</v>
      </c>
      <c r="G508" s="15" t="s">
        <v>1401</v>
      </c>
      <c r="H508" s="15" t="s">
        <v>1401</v>
      </c>
      <c r="I508" s="75"/>
      <c r="J508" s="13"/>
      <c r="K508" s="246">
        <f>(E508 * (IF(J508="kg / amount unit", I508*10^-3, I508)))</f>
        <v>0</v>
      </c>
      <c r="L508" s="33"/>
      <c r="M508" s="13"/>
      <c r="N508" s="33"/>
    </row>
    <row r="509" spans="1:14" ht="20.100000000000001" customHeight="1" x14ac:dyDescent="0.2">
      <c r="D509" s="15">
        <v>0</v>
      </c>
      <c r="E509" s="15">
        <v>0</v>
      </c>
      <c r="F509" s="15">
        <v>0</v>
      </c>
      <c r="G509" s="15" t="s">
        <v>1401</v>
      </c>
      <c r="H509" s="15" t="s">
        <v>1401</v>
      </c>
      <c r="I509" s="75"/>
      <c r="J509" s="13"/>
      <c r="K509" s="246">
        <f>(E509 * (IF(J509="kg / amount unit", I509*10^-3, I509)))</f>
        <v>0</v>
      </c>
      <c r="L509" s="33"/>
      <c r="M509" s="13"/>
      <c r="N509" s="33"/>
    </row>
    <row r="510" spans="1:14" ht="20.100000000000001" customHeight="1" x14ac:dyDescent="0.2">
      <c r="D510" s="15">
        <v>0</v>
      </c>
      <c r="E510" s="15">
        <v>0</v>
      </c>
      <c r="F510" s="15">
        <v>0</v>
      </c>
      <c r="G510" s="15" t="s">
        <v>1401</v>
      </c>
      <c r="H510" s="15" t="s">
        <v>1401</v>
      </c>
      <c r="I510" s="75"/>
      <c r="J510" s="13"/>
      <c r="K510" s="246">
        <f>(E510 * (IF(J510="kg / amount unit", I510*10^-3, I510)))</f>
        <v>0</v>
      </c>
      <c r="L510" s="33"/>
      <c r="M510" s="13"/>
      <c r="N510" s="33"/>
    </row>
    <row r="511" spans="1:14" ht="20.100000000000001" customHeight="1" x14ac:dyDescent="0.2">
      <c r="D511" s="15">
        <v>0</v>
      </c>
      <c r="E511" s="15">
        <v>0</v>
      </c>
      <c r="F511" s="15">
        <v>0</v>
      </c>
      <c r="G511" s="15" t="s">
        <v>1401</v>
      </c>
      <c r="H511" s="15" t="s">
        <v>1401</v>
      </c>
      <c r="I511" s="75"/>
      <c r="J511" s="13"/>
      <c r="K511" s="246">
        <f>(E511 * (IF(J511="kg / amount unit", I511*10^-3, I511)))</f>
        <v>0</v>
      </c>
      <c r="L511" s="33"/>
      <c r="M511" s="13"/>
      <c r="N511" s="33"/>
    </row>
    <row r="512" spans="1:14" ht="20.100000000000001" customHeight="1" x14ac:dyDescent="0.2">
      <c r="D512" s="15">
        <v>0</v>
      </c>
      <c r="E512" s="15">
        <v>0</v>
      </c>
      <c r="F512" s="15">
        <v>0</v>
      </c>
      <c r="G512" s="15" t="s">
        <v>1401</v>
      </c>
      <c r="H512" s="15" t="s">
        <v>1401</v>
      </c>
      <c r="I512" s="75"/>
      <c r="J512" s="13"/>
      <c r="K512" s="246">
        <f>(E512 * (IF(J512="kg / amount unit", I512*10^-3, I512)))</f>
        <v>0</v>
      </c>
      <c r="L512" s="33"/>
      <c r="M512" s="13"/>
      <c r="N512" s="33"/>
    </row>
    <row r="513" spans="3:41" ht="20.100000000000001" customHeight="1" x14ac:dyDescent="0.2">
      <c r="D513" s="15">
        <v>0</v>
      </c>
      <c r="E513" s="15">
        <v>0</v>
      </c>
      <c r="F513" s="15">
        <v>0</v>
      </c>
      <c r="G513" s="15" t="s">
        <v>1401</v>
      </c>
      <c r="H513" s="15" t="s">
        <v>1401</v>
      </c>
      <c r="I513" s="75"/>
      <c r="J513" s="13"/>
      <c r="K513" s="246">
        <f>(E513 * (IF(J513="kg / amount unit", I513*10^-3, I513)))</f>
        <v>0</v>
      </c>
      <c r="L513" s="33"/>
      <c r="M513" s="13"/>
      <c r="N513" s="33"/>
    </row>
    <row r="514" spans="3:41" ht="20.100000000000001" customHeight="1" x14ac:dyDescent="0.2">
      <c r="D514" s="15">
        <v>0</v>
      </c>
      <c r="E514" s="15">
        <v>0</v>
      </c>
      <c r="F514" s="15">
        <v>0</v>
      </c>
      <c r="G514" s="15" t="s">
        <v>1401</v>
      </c>
      <c r="H514" s="15" t="s">
        <v>1401</v>
      </c>
      <c r="I514" s="75"/>
      <c r="J514" s="13"/>
      <c r="K514" s="246">
        <f>(E514 * (IF(J514="kg / amount unit", I514*10^-3, I514)))</f>
        <v>0</v>
      </c>
      <c r="L514" s="33"/>
      <c r="M514" s="13"/>
      <c r="N514" s="33"/>
    </row>
    <row r="516" spans="3:41" ht="20.100000000000001" customHeight="1" x14ac:dyDescent="0.2">
      <c r="D516" s="272" t="s">
        <v>1314</v>
      </c>
      <c r="E516" s="90" t="s">
        <v>1401</v>
      </c>
      <c r="F516" s="89" t="str">
        <f>$E$170</f>
        <v>t CO2e</v>
      </c>
    </row>
    <row r="517" spans="3:41" ht="20.100000000000001" customHeight="1" x14ac:dyDescent="0.2">
      <c r="D517" s="272" t="s">
        <v>1317</v>
      </c>
      <c r="E517" s="90">
        <f>SUM(K505:K514)</f>
        <v>4000</v>
      </c>
      <c r="F517" s="89" t="str">
        <f>$E$170</f>
        <v>t CO2e</v>
      </c>
    </row>
    <row r="520" spans="3:41" ht="20.100000000000001" customHeight="1" x14ac:dyDescent="0.2">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c r="AD520" s="88"/>
      <c r="AE520" s="88"/>
      <c r="AF520" s="88"/>
      <c r="AG520" s="88"/>
      <c r="AH520" s="88"/>
      <c r="AI520" s="88"/>
      <c r="AJ520" s="88"/>
      <c r="AK520" s="88"/>
      <c r="AL520" s="88"/>
      <c r="AM520" s="88"/>
      <c r="AN520" s="88"/>
      <c r="AO520" s="88"/>
    </row>
    <row r="521" spans="3:41" ht="20.100000000000001" customHeight="1" x14ac:dyDescent="0.2">
      <c r="D521" s="2" t="s">
        <v>2122</v>
      </c>
    </row>
    <row r="522" spans="3:41" ht="20.100000000000001" customHeight="1" x14ac:dyDescent="0.2">
      <c r="D522" s="17" t="s">
        <v>2123</v>
      </c>
    </row>
    <row r="523" spans="3:41" ht="20.100000000000001" customHeight="1" x14ac:dyDescent="0.2">
      <c r="D523" s="118"/>
      <c r="E523" s="118"/>
    </row>
    <row r="527" spans="3:41" ht="20.100000000000001" customHeight="1" x14ac:dyDescent="0.2">
      <c r="D527" s="76" t="s">
        <v>378</v>
      </c>
      <c r="E527" s="1" t="s">
        <v>1419</v>
      </c>
    </row>
    <row r="528" spans="3:41" ht="20.100000000000001" customHeight="1" x14ac:dyDescent="0.2">
      <c r="D528" s="76" t="s">
        <v>118</v>
      </c>
      <c r="E528" s="9" t="s">
        <v>6</v>
      </c>
    </row>
    <row r="529" spans="1:41" ht="20.100000000000001" customHeight="1" x14ac:dyDescent="0.2">
      <c r="A529" s="129" t="str">
        <f>HYPERLINK("#A1", "▲ Back to top")</f>
        <v>▲ Back to top</v>
      </c>
    </row>
    <row r="530" spans="1:41" ht="20.100000000000001" customHeight="1" x14ac:dyDescent="0.2">
      <c r="D530" s="120" t="s">
        <v>1914</v>
      </c>
      <c r="E530" s="125" t="s">
        <v>2124</v>
      </c>
      <c r="F530" s="126"/>
      <c r="G530" s="120" t="s">
        <v>6</v>
      </c>
      <c r="H530" s="128" t="s">
        <v>2126</v>
      </c>
      <c r="I530" s="120">
        <f>VEERG_8_1_1_1__1_FuelCombustionTransport_Result</f>
        <v>20.5016</v>
      </c>
    </row>
    <row r="531" spans="1:41" ht="20.100000000000001" customHeight="1" x14ac:dyDescent="0.2">
      <c r="D531" s="120" t="s">
        <v>1941</v>
      </c>
      <c r="E531" s="125" t="s">
        <v>2125</v>
      </c>
      <c r="F531" s="126"/>
      <c r="G531" s="120" t="s">
        <v>6</v>
      </c>
      <c r="H531" s="128" t="s">
        <v>2127</v>
      </c>
      <c r="I531" s="120">
        <f>VEERG_8_2_1_1__1_FuelCombustionStationary_Result</f>
        <v>6.2923999999999998</v>
      </c>
    </row>
    <row r="533" spans="1:41" ht="20.100000000000001" customHeight="1" x14ac:dyDescent="0.2">
      <c r="D533" s="272" t="s">
        <v>1419</v>
      </c>
      <c r="E533" s="90">
        <f>(I530 + I531)</f>
        <v>26.794</v>
      </c>
      <c r="F533" s="89" t="str">
        <f>$E$170</f>
        <v>t CO2e</v>
      </c>
    </row>
    <row r="535" spans="1:41" ht="20.100000000000001" customHeight="1" x14ac:dyDescent="0.2">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c r="AD535" s="88"/>
      <c r="AE535" s="88"/>
      <c r="AF535" s="88"/>
      <c r="AG535" s="88"/>
      <c r="AH535" s="88"/>
      <c r="AI535" s="88"/>
      <c r="AJ535" s="88"/>
      <c r="AK535" s="88"/>
      <c r="AL535" s="88"/>
      <c r="AM535" s="88"/>
      <c r="AN535" s="88"/>
      <c r="AO535" s="88"/>
    </row>
    <row r="536" spans="1:41" ht="20.100000000000001" customHeight="1" x14ac:dyDescent="0.2">
      <c r="D536" s="2" t="s">
        <v>2128</v>
      </c>
    </row>
    <row r="537" spans="1:41" ht="20.100000000000001" customHeight="1" x14ac:dyDescent="0.2">
      <c r="D537" s="17" t="s">
        <v>2129</v>
      </c>
    </row>
    <row r="538" spans="1:41" ht="20.100000000000001" customHeight="1" x14ac:dyDescent="0.2">
      <c r="D538" s="118"/>
      <c r="E538" s="118"/>
    </row>
    <row r="541" spans="1:41" ht="20.100000000000001" customHeight="1" x14ac:dyDescent="0.2">
      <c r="D541" s="76" t="s">
        <v>378</v>
      </c>
      <c r="E541" s="1" t="s">
        <v>2130</v>
      </c>
    </row>
    <row r="542" spans="1:41" ht="20.100000000000001" customHeight="1" x14ac:dyDescent="0.2">
      <c r="D542" s="76" t="s">
        <v>118</v>
      </c>
      <c r="E542" s="1" t="s">
        <v>6</v>
      </c>
    </row>
    <row r="544" spans="1:41" ht="20.100000000000001" customHeight="1" x14ac:dyDescent="0.2">
      <c r="D544" s="120" t="s">
        <v>2008</v>
      </c>
      <c r="E544" s="120" t="s">
        <v>2009</v>
      </c>
      <c r="F544" s="120"/>
      <c r="G544" s="120" t="s">
        <v>862</v>
      </c>
      <c r="H544" s="269" t="s">
        <v>1469</v>
      </c>
      <c r="I544" s="125">
        <f>X_Cell_Electricity_Location_AmountPurchasedInkWh</f>
        <v>30000</v>
      </c>
      <c r="J544" s="126"/>
    </row>
    <row r="545" spans="1:41" ht="20.100000000000001" customHeight="1" x14ac:dyDescent="0.2">
      <c r="D545" s="120" t="s">
        <v>2131</v>
      </c>
      <c r="E545" s="120" t="s">
        <v>2132</v>
      </c>
      <c r="F545" s="120"/>
      <c r="G545" s="120" t="s">
        <v>2013</v>
      </c>
      <c r="H545" s="128" t="s">
        <v>1501</v>
      </c>
      <c r="I545" s="125" cm="1">
        <f t="array" ref="I545">Common_InputFunctions.Utility_LookupValueInTableNumber(I546,Table_SourceData_ElectricityEFs[State, Territory or grid description],Table_SourceData_ElectricityEFs[Scope 3 Emission Factors (kg CO2-e/kWh)])</f>
        <v>0.09</v>
      </c>
      <c r="J545" s="126"/>
    </row>
    <row r="546" spans="1:41" ht="20.100000000000001" customHeight="1" x14ac:dyDescent="0.2">
      <c r="D546" s="120" t="s">
        <v>1924</v>
      </c>
      <c r="E546" s="125" t="s">
        <v>2133</v>
      </c>
      <c r="F546" s="126"/>
      <c r="G546" s="120"/>
      <c r="H546" s="269" t="s">
        <v>1469</v>
      </c>
      <c r="I546" s="125" t="str">
        <f>X_Cell_Electricity_Location_GridElectricityPurchasedFrom</f>
        <v>Western Australia - North Western Interconnected System (NWIS)</v>
      </c>
      <c r="J546" s="126"/>
    </row>
    <row r="548" spans="1:41" ht="20.100000000000001" customHeight="1" x14ac:dyDescent="0.2">
      <c r="D548" s="272" t="s">
        <v>1420</v>
      </c>
      <c r="E548" s="90">
        <f>((I544 * I545) * 10 ^ -3)</f>
        <v>2.7</v>
      </c>
      <c r="F548" s="89" t="str">
        <f>$E$170</f>
        <v>t CO2e</v>
      </c>
    </row>
    <row r="551" spans="1:41" ht="20.100000000000001" customHeight="1" x14ac:dyDescent="0.2">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c r="AO551" s="88"/>
    </row>
    <row r="552" spans="1:41" ht="20.100000000000001" customHeight="1" x14ac:dyDescent="0.2">
      <c r="D552" s="2" t="s">
        <v>2134</v>
      </c>
    </row>
    <row r="553" spans="1:41" ht="20.100000000000001" customHeight="1" x14ac:dyDescent="0.2">
      <c r="D553" s="17" t="s">
        <v>2135</v>
      </c>
    </row>
    <row r="554" spans="1:41" ht="20.100000000000001" customHeight="1" x14ac:dyDescent="0.2">
      <c r="D554" s="25" t="s">
        <v>2016</v>
      </c>
    </row>
    <row r="555" spans="1:41" ht="20.100000000000001" customHeight="1" x14ac:dyDescent="0.2">
      <c r="D555" s="118"/>
      <c r="E555" s="118"/>
    </row>
    <row r="559" spans="1:41" ht="20.100000000000001" customHeight="1" x14ac:dyDescent="0.2">
      <c r="A559" s="129" t="str">
        <f>HYPERLINK("#A1", "▲ Back to top")</f>
        <v>▲ Back to top</v>
      </c>
      <c r="D559" s="76" t="s">
        <v>378</v>
      </c>
      <c r="E559" s="1" t="s">
        <v>2130</v>
      </c>
    </row>
    <row r="560" spans="1:41" ht="20.100000000000001" customHeight="1" x14ac:dyDescent="0.2">
      <c r="D560" s="76" t="s">
        <v>118</v>
      </c>
      <c r="E560" s="1" t="s">
        <v>6</v>
      </c>
    </row>
    <row r="562" spans="3:41" ht="20.100000000000001" customHeight="1" x14ac:dyDescent="0.2">
      <c r="D562" s="120" t="s">
        <v>2008</v>
      </c>
      <c r="E562" s="125" t="s">
        <v>2009</v>
      </c>
      <c r="F562" s="126"/>
      <c r="G562" s="120" t="s">
        <v>862</v>
      </c>
      <c r="H562" s="269" t="s">
        <v>1469</v>
      </c>
      <c r="I562" s="273">
        <f>X_Cell_Electricity_Market_AmountPurchasedExcludingGreenPower</f>
        <v>30000</v>
      </c>
    </row>
    <row r="563" spans="3:41" ht="20.100000000000001" customHeight="1" x14ac:dyDescent="0.2">
      <c r="D563" s="120" t="s">
        <v>2017</v>
      </c>
      <c r="E563" s="125" t="s">
        <v>2136</v>
      </c>
      <c r="F563" s="126"/>
      <c r="G563" s="120" t="s">
        <v>383</v>
      </c>
      <c r="H563" s="269" t="s">
        <v>1469</v>
      </c>
      <c r="I563" s="200">
        <f>X_Cell_Electricity_Market_RenewablePowerPercentage</f>
        <v>0.1</v>
      </c>
    </row>
    <row r="564" spans="3:41" ht="20.100000000000001" customHeight="1" x14ac:dyDescent="0.2">
      <c r="D564" s="120" t="s">
        <v>2019</v>
      </c>
      <c r="E564" s="125" t="s">
        <v>2137</v>
      </c>
      <c r="F564" s="126"/>
      <c r="G564" s="120" t="s">
        <v>383</v>
      </c>
      <c r="H564" s="269" t="s">
        <v>1469</v>
      </c>
      <c r="I564" s="200">
        <f>X_Cell_Electricity_Market_JurisdictionalRenewablePowerPercentage</f>
        <v>0.1</v>
      </c>
    </row>
    <row r="565" spans="3:41" ht="20.100000000000001" customHeight="1" x14ac:dyDescent="0.2">
      <c r="D565" s="120" t="s">
        <v>2021</v>
      </c>
      <c r="E565" s="125" t="s">
        <v>2138</v>
      </c>
      <c r="F565" s="126"/>
      <c r="G565" s="120" t="s">
        <v>878</v>
      </c>
      <c r="H565" s="269" t="s">
        <v>1469</v>
      </c>
      <c r="I565" s="120">
        <f>(X_Cell_Electricity_Market_AmountPurchasedGreenPower*10^-3)+X_Cell_TotalElegibleVoluntarilySurrenderedRECs</f>
        <v>20</v>
      </c>
    </row>
    <row r="566" spans="3:41" ht="20.100000000000001" customHeight="1" x14ac:dyDescent="0.2">
      <c r="D566" s="120" t="s">
        <v>2023</v>
      </c>
      <c r="E566" s="125" t="s">
        <v>2139</v>
      </c>
      <c r="F566" s="126"/>
      <c r="G566" s="120" t="s">
        <v>878</v>
      </c>
      <c r="H566" s="269" t="s">
        <v>1469</v>
      </c>
      <c r="I566" s="120">
        <f>X_Cell_TotalElegibleRECsForElectricityProducedOnSite</f>
        <v>11</v>
      </c>
    </row>
    <row r="567" spans="3:41" ht="20.100000000000001" customHeight="1" x14ac:dyDescent="0.2">
      <c r="D567" s="120" t="s">
        <v>2140</v>
      </c>
      <c r="E567" s="125" t="s">
        <v>2141</v>
      </c>
      <c r="F567" s="126"/>
      <c r="G567" s="120" t="s">
        <v>2013</v>
      </c>
      <c r="H567" s="128" t="s">
        <v>1501</v>
      </c>
      <c r="I567" s="120" cm="1">
        <f t="array" ref="I567">Table_SourceData_ElectricityEFsMarketBased[Scope 3 EF (kg CO2-e/kWh)]</f>
        <v>0.1</v>
      </c>
    </row>
    <row r="568" spans="3:41" ht="20.100000000000001" customHeight="1" x14ac:dyDescent="0.2">
      <c r="D568" s="120" t="s">
        <v>1577</v>
      </c>
      <c r="E568" s="125" t="s">
        <v>1578</v>
      </c>
      <c r="F568" s="126"/>
      <c r="G568" s="120"/>
      <c r="H568" s="269" t="s">
        <v>1469</v>
      </c>
      <c r="I568" s="120" t="str">
        <f>X_Cell_Site_State</f>
        <v>Western Australia</v>
      </c>
    </row>
    <row r="570" spans="3:41" ht="20.100000000000001" customHeight="1" x14ac:dyDescent="0.2">
      <c r="D570" s="272" t="s">
        <v>1420</v>
      </c>
      <c r="E570" s="90">
        <f>(((I562 * (1 - (I563 + I564))) - ((I565 - I566) * 10 ^ 3)) * I567 * 10 ^ -3)</f>
        <v>1.5</v>
      </c>
      <c r="F570" s="89" t="str">
        <f>$E$170</f>
        <v>t CO2e</v>
      </c>
    </row>
    <row r="573" spans="3:41" ht="20.100000000000001" customHeight="1" x14ac:dyDescent="0.2">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c r="AO573" s="88"/>
    </row>
    <row r="574" spans="3:41" ht="20.100000000000001" customHeight="1" x14ac:dyDescent="0.2">
      <c r="D574" s="2" t="s">
        <v>2142</v>
      </c>
    </row>
    <row r="575" spans="3:41" ht="20.100000000000001" customHeight="1" x14ac:dyDescent="0.2">
      <c r="D575" s="17" t="s">
        <v>2143</v>
      </c>
    </row>
    <row r="576" spans="3:41" ht="20.100000000000001" customHeight="1" x14ac:dyDescent="0.2">
      <c r="D576" s="118"/>
      <c r="E576" s="118"/>
    </row>
    <row r="579" spans="1:18" ht="20.100000000000001" customHeight="1" x14ac:dyDescent="0.2">
      <c r="D579" s="76" t="s">
        <v>378</v>
      </c>
      <c r="E579" s="1" t="s">
        <v>1419</v>
      </c>
    </row>
    <row r="580" spans="1:18" ht="20.100000000000001" customHeight="1" x14ac:dyDescent="0.2">
      <c r="D580" s="76" t="s">
        <v>118</v>
      </c>
      <c r="E580" s="9" t="s">
        <v>11</v>
      </c>
    </row>
    <row r="582" spans="1:18" ht="20.100000000000001" customHeight="1" x14ac:dyDescent="0.2">
      <c r="D582" s="24" t="s">
        <v>129</v>
      </c>
      <c r="L582" s="24" t="s">
        <v>130</v>
      </c>
    </row>
    <row r="584" spans="1:18" ht="20.100000000000001" customHeight="1" x14ac:dyDescent="0.2">
      <c r="D584" s="120" t="s">
        <v>1153</v>
      </c>
      <c r="E584" s="125" t="s">
        <v>2144</v>
      </c>
      <c r="F584" s="133"/>
      <c r="G584" s="126"/>
      <c r="H584" s="120" t="s">
        <v>11</v>
      </c>
      <c r="I584" s="128" t="s">
        <v>1794</v>
      </c>
      <c r="J584" s="120">
        <f>IFERROR(VEERG_5_2_1_1__1_OrganicFertiliserApplicationN2OEmissions_Result_Method1, 0)</f>
        <v>7.8571428571428577E-3</v>
      </c>
      <c r="L584" s="120" t="s">
        <v>1153</v>
      </c>
      <c r="M584" s="125" t="s">
        <v>2144</v>
      </c>
      <c r="N584" s="133"/>
      <c r="O584" s="126"/>
      <c r="P584" s="120" t="s">
        <v>11</v>
      </c>
      <c r="Q584" s="128" t="s">
        <v>1794</v>
      </c>
      <c r="R584" s="120">
        <f>IFERROR(VEERG_5_2_1_1__1_OrganicFertiliserApplicationN2OEmissions_Result_Method2, 0)</f>
        <v>1.5714285714285715E-2</v>
      </c>
    </row>
    <row r="585" spans="1:18" ht="20.100000000000001" customHeight="1" x14ac:dyDescent="0.2">
      <c r="D585" s="120" t="s">
        <v>2145</v>
      </c>
      <c r="E585" s="125" t="s">
        <v>2146</v>
      </c>
      <c r="F585" s="133"/>
      <c r="G585" s="126"/>
      <c r="H585" s="120" t="s">
        <v>11</v>
      </c>
      <c r="I585" s="128" t="s">
        <v>1794</v>
      </c>
      <c r="J585" s="120">
        <f>IFERROR(VEERG_5_4_1_3__1_OrganicFertiliserAtmosphericDepositionN2OEmissions_Result_Method1, 0)</f>
        <v>1.38237E-2</v>
      </c>
      <c r="L585" s="120" t="s">
        <v>2145</v>
      </c>
      <c r="M585" s="125" t="s">
        <v>2146</v>
      </c>
      <c r="N585" s="133"/>
      <c r="O585" s="126"/>
      <c r="P585" s="120" t="s">
        <v>11</v>
      </c>
      <c r="Q585" s="128" t="s">
        <v>1794</v>
      </c>
      <c r="R585" s="120">
        <f>IFERROR(VEERG_5_4_1_3__1_OrganicFertiliserAtmosphericDepositionN2OEmissions_Result_Method2, 0)</f>
        <v>4.62E-3</v>
      </c>
    </row>
    <row r="586" spans="1:18" ht="20.100000000000001" customHeight="1" x14ac:dyDescent="0.2">
      <c r="D586" s="120" t="s">
        <v>2147</v>
      </c>
      <c r="E586" s="125" t="s">
        <v>2148</v>
      </c>
      <c r="F586" s="133"/>
      <c r="G586" s="126"/>
      <c r="H586" s="120" t="s">
        <v>11</v>
      </c>
      <c r="I586" s="128" t="s">
        <v>1794</v>
      </c>
      <c r="J586" s="120">
        <f>IFERROR(VEERG_5_5_1_1__1_FertiliserLeachingAndRunoffN2OEmissions_result_Method1, 0)</f>
        <v>0.78791740368000007</v>
      </c>
      <c r="L586" s="120" t="s">
        <v>2147</v>
      </c>
      <c r="M586" s="125" t="s">
        <v>2148</v>
      </c>
      <c r="N586" s="133"/>
      <c r="O586" s="126"/>
      <c r="P586" s="120" t="s">
        <v>11</v>
      </c>
      <c r="Q586" s="128" t="s">
        <v>1794</v>
      </c>
      <c r="R586" s="120">
        <f>IFERROR(VEERG_5_5_1_1__1_FertiliserLeachingAndRunoffN2OEmissions_Result_Method2, 0)</f>
        <v>8.2971428571428554E-3</v>
      </c>
    </row>
    <row r="588" spans="1:18" ht="20.100000000000001" customHeight="1" x14ac:dyDescent="0.2">
      <c r="D588" s="272" t="s">
        <v>1420</v>
      </c>
      <c r="E588" s="90">
        <f>(J584 + J585 + J586)</f>
        <v>0.80959824653714296</v>
      </c>
      <c r="F588" s="89" t="str">
        <f>$E$580</f>
        <v>t N2O</v>
      </c>
      <c r="L588" s="272" t="s">
        <v>1420</v>
      </c>
      <c r="M588" s="90">
        <f>(R584 + R585 + R586)</f>
        <v>2.8631428571428572E-2</v>
      </c>
      <c r="N588" s="89" t="str">
        <f>$E$580</f>
        <v>t N2O</v>
      </c>
    </row>
    <row r="589" spans="1:18" ht="20.100000000000001" customHeight="1" x14ac:dyDescent="0.2">
      <c r="A589" s="129" t="str">
        <f>HYPERLINK("#A1", "▲ Back to top")</f>
        <v>▲ Back to top</v>
      </c>
    </row>
    <row r="590" spans="1:18" ht="20.100000000000001" customHeight="1" x14ac:dyDescent="0.2">
      <c r="D590" s="132" t="str" cm="1">
        <f t="array" ref="D590:E591">Common_Equations.Common_ConvertN2OToCO2e_Arguments()</f>
        <v>EN2O</v>
      </c>
      <c r="E590" s="135" t="str">
        <v>Nitrous oxide emissions (t N2O)</v>
      </c>
      <c r="F590" s="136"/>
      <c r="G590" s="15">
        <f>E588</f>
        <v>0.80959824653714296</v>
      </c>
      <c r="L590" s="132" t="str" cm="1">
        <f t="array" ref="L590:M591">Common_Equations.Common_ConvertN2OToCO2e_Arguments()</f>
        <v>EN2O</v>
      </c>
      <c r="M590" s="135" t="str">
        <v>Nitrous oxide emissions (t N2O)</v>
      </c>
      <c r="N590" s="136"/>
      <c r="O590" s="15">
        <f>M588</f>
        <v>2.8631428571428572E-2</v>
      </c>
    </row>
    <row r="591" spans="1:18" ht="20.100000000000001" customHeight="1" x14ac:dyDescent="0.2">
      <c r="D591" s="132" t="str">
        <v>GWPN2O</v>
      </c>
      <c r="E591" s="135" t="str">
        <v>Global warming potential for nitrous oxide (t CO2-e / t N2O)</v>
      </c>
      <c r="F591" s="136"/>
      <c r="G591" s="15">
        <f>Common_InputFunctions.Utility_LookupValueInTableNumber("N2O",Table_GWPData[Gas],Table_GWPData[CO2-e factor])</f>
        <v>265</v>
      </c>
      <c r="L591" s="132" t="str">
        <v>GWPN2O</v>
      </c>
      <c r="M591" s="135" t="str">
        <v>Global warming potential for nitrous oxide (t CO2-e / t N2O)</v>
      </c>
      <c r="N591" s="136"/>
      <c r="O591" s="15">
        <f>Common_InputFunctions.Utility_LookupValueInTableNumber("N2O",Table_GWPData[Gas],Table_GWPData[CO2-e factor])</f>
        <v>265</v>
      </c>
    </row>
    <row r="593" spans="3:41" ht="20.100000000000001" customHeight="1" x14ac:dyDescent="0.2">
      <c r="D593" s="88" t="s">
        <v>527</v>
      </c>
      <c r="E593" s="88" cm="1">
        <f t="array" ref="E593">Common_Equations.Common_ConvertN2OToCO2e(G590,G591)</f>
        <v>214.54353533234288</v>
      </c>
      <c r="F593" s="93" t="str" cm="1">
        <f t="array" ref="F593">Common_Equations.Common_ConvertN2OToCO2e_Unit()</f>
        <v>t CO2e</v>
      </c>
      <c r="L593" s="88" t="s">
        <v>527</v>
      </c>
      <c r="M593" s="88" cm="1">
        <f t="array" ref="M593">Common_Equations.Common_ConvertN2OToCO2e(O590,O591)</f>
        <v>7.5873285714285714</v>
      </c>
      <c r="N593" s="93" t="str" cm="1">
        <f t="array" ref="N593">Common_Equations.Common_ConvertN2OToCO2e_Unit()</f>
        <v>t CO2e</v>
      </c>
    </row>
    <row r="596" spans="3:41" ht="20.100000000000001" customHeight="1" x14ac:dyDescent="0.2">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c r="AO596" s="88"/>
    </row>
    <row r="597" spans="3:41" ht="20.100000000000001" customHeight="1" x14ac:dyDescent="0.2">
      <c r="D597" s="2" t="s">
        <v>2149</v>
      </c>
    </row>
    <row r="598" spans="3:41" ht="20.100000000000001" customHeight="1" x14ac:dyDescent="0.2">
      <c r="D598" s="17" t="s">
        <v>2150</v>
      </c>
    </row>
    <row r="600" spans="3:41" ht="20.100000000000001" customHeight="1" x14ac:dyDescent="0.2">
      <c r="D600" s="76" t="s">
        <v>378</v>
      </c>
      <c r="E600" s="1" t="s">
        <v>1419</v>
      </c>
    </row>
    <row r="601" spans="3:41" ht="20.100000000000001" customHeight="1" x14ac:dyDescent="0.2">
      <c r="D601" s="76" t="s">
        <v>118</v>
      </c>
      <c r="E601" s="9" t="s">
        <v>6</v>
      </c>
    </row>
    <row r="603" spans="3:41" ht="20.100000000000001" customHeight="1" x14ac:dyDescent="0.2">
      <c r="D603" s="272" t="s">
        <v>1420</v>
      </c>
      <c r="E603" s="90">
        <f>VEERG_10_1_1_1__1_EmissionsFromWasteManagement_Scope3_Result_Method1</f>
        <v>441.15000000000003</v>
      </c>
      <c r="F603" s="89" t="str">
        <f>E601</f>
        <v>t CO2e</v>
      </c>
    </row>
    <row r="606" spans="3:41" ht="20.100000000000001" customHeight="1" x14ac:dyDescent="0.2">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c r="AO606" s="88"/>
    </row>
    <row r="607" spans="3:41" ht="20.100000000000001" customHeight="1" x14ac:dyDescent="0.2">
      <c r="D607" s="2" t="s">
        <v>2151</v>
      </c>
    </row>
    <row r="608" spans="3:41" ht="20.100000000000001" customHeight="1" x14ac:dyDescent="0.2">
      <c r="D608" s="17" t="s">
        <v>2152</v>
      </c>
    </row>
    <row r="609" spans="1:13" ht="20.100000000000001" customHeight="1" x14ac:dyDescent="0.2">
      <c r="D609" s="118"/>
      <c r="E609" s="118"/>
    </row>
    <row r="613" spans="1:13" ht="20.100000000000001" customHeight="1" x14ac:dyDescent="0.2">
      <c r="D613" s="76" t="s">
        <v>378</v>
      </c>
      <c r="E613" s="1" t="s">
        <v>1419</v>
      </c>
    </row>
    <row r="614" spans="1:13" ht="20.100000000000001" customHeight="1" x14ac:dyDescent="0.2">
      <c r="D614" s="76" t="s">
        <v>118</v>
      </c>
      <c r="E614" s="9" t="s">
        <v>6</v>
      </c>
    </row>
    <row r="616" spans="1:13" ht="20.100000000000001" customHeight="1" x14ac:dyDescent="0.2">
      <c r="D616" s="120" t="s">
        <v>2153</v>
      </c>
      <c r="E616" s="125" t="s">
        <v>2154</v>
      </c>
      <c r="F616" s="126"/>
      <c r="G616" s="120" t="s">
        <v>1980</v>
      </c>
      <c r="H616" s="269" t="s">
        <v>1469</v>
      </c>
    </row>
    <row r="617" spans="1:13" ht="20.100000000000001" customHeight="1" x14ac:dyDescent="0.2">
      <c r="D617" s="120" t="s">
        <v>2155</v>
      </c>
      <c r="E617" s="125" t="s">
        <v>2156</v>
      </c>
      <c r="F617" s="126"/>
      <c r="G617" s="120" t="s">
        <v>2159</v>
      </c>
      <c r="H617" s="269" t="s">
        <v>1469</v>
      </c>
    </row>
    <row r="618" spans="1:13" ht="20.100000000000001" customHeight="1" x14ac:dyDescent="0.2">
      <c r="D618" s="120" t="s">
        <v>2056</v>
      </c>
      <c r="E618" s="125" t="s">
        <v>2157</v>
      </c>
      <c r="F618" s="126"/>
      <c r="G618" s="120" t="s">
        <v>2160</v>
      </c>
      <c r="H618" s="128" t="s">
        <v>1501</v>
      </c>
    </row>
    <row r="619" spans="1:13" ht="20.100000000000001" customHeight="1" x14ac:dyDescent="0.2">
      <c r="A619" s="129" t="str">
        <f>HYPERLINK("#A1", "▲ Back to top")</f>
        <v>▲ Back to top</v>
      </c>
      <c r="D619" s="120" t="s">
        <v>1757</v>
      </c>
      <c r="E619" s="125" t="s">
        <v>2158</v>
      </c>
      <c r="F619" s="126"/>
      <c r="G619" s="120"/>
      <c r="H619" s="269" t="s">
        <v>1469</v>
      </c>
    </row>
    <row r="621" spans="1:13" ht="20.100000000000001" customHeight="1" x14ac:dyDescent="0.2">
      <c r="D621" s="261" t="s">
        <v>1284</v>
      </c>
    </row>
    <row r="623" spans="1:13" ht="20.100000000000001" customHeight="1" x14ac:dyDescent="0.2">
      <c r="D623" s="81" t="s">
        <v>1421</v>
      </c>
      <c r="E623" s="81" t="s">
        <v>1422</v>
      </c>
      <c r="F623" s="81" t="s">
        <v>1423</v>
      </c>
      <c r="G623" s="124" t="s">
        <v>1424</v>
      </c>
      <c r="H623" s="124" t="s">
        <v>1314</v>
      </c>
      <c r="I623" s="81" t="s">
        <v>1362</v>
      </c>
      <c r="J623" s="124" t="s">
        <v>1317</v>
      </c>
      <c r="K623" s="81" t="s">
        <v>1318</v>
      </c>
      <c r="L623" s="81" t="s">
        <v>1319</v>
      </c>
      <c r="M623" s="81" t="s">
        <v>1320</v>
      </c>
    </row>
    <row r="624" spans="1: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1401</v>
      </c>
      <c r="H624" s="15" t="s">
        <v>1401</v>
      </c>
      <c r="I624" s="75">
        <v>10</v>
      </c>
      <c r="J624" s="15">
        <f>((E624 * F624) * I624)</f>
        <v>5127200</v>
      </c>
      <c r="K624" s="33"/>
      <c r="L624" s="13"/>
      <c r="M624" s="33"/>
    </row>
    <row r="625" spans="4:13" ht="20.100000000000001" customHeight="1" x14ac:dyDescent="0.2">
      <c r="D625" s="15" t="str">
        <v>Fertiliser supplier to farm</v>
      </c>
      <c r="E625" s="15">
        <v>10</v>
      </c>
      <c r="F625" s="15">
        <v>390</v>
      </c>
      <c r="G625" s="15" t="s">
        <v>1401</v>
      </c>
      <c r="H625" s="15" t="s">
        <v>1401</v>
      </c>
      <c r="I625" s="75">
        <v>5</v>
      </c>
      <c r="J625" s="15">
        <f>((E625 * F625) * I625)</f>
        <v>19500</v>
      </c>
      <c r="K625" s="33"/>
      <c r="L625" s="13"/>
      <c r="M625" s="33"/>
    </row>
    <row r="626" spans="4:13" ht="20.100000000000001" customHeight="1" x14ac:dyDescent="0.2">
      <c r="D626" s="15">
        <v>0</v>
      </c>
      <c r="E626" s="15">
        <v>0</v>
      </c>
      <c r="F626" s="15">
        <v>0</v>
      </c>
      <c r="G626" s="15" t="s">
        <v>1401</v>
      </c>
      <c r="H626" s="15" t="s">
        <v>1401</v>
      </c>
      <c r="I626" s="75"/>
      <c r="J626" s="15">
        <f>((E626 * F626) * I626)</f>
        <v>0</v>
      </c>
      <c r="K626" s="33"/>
      <c r="L626" s="13"/>
      <c r="M626" s="33"/>
    </row>
    <row r="627" spans="4:13" ht="20.100000000000001" customHeight="1" x14ac:dyDescent="0.2">
      <c r="D627" s="15">
        <v>0</v>
      </c>
      <c r="E627" s="15">
        <v>0</v>
      </c>
      <c r="F627" s="15">
        <v>0</v>
      </c>
      <c r="G627" s="15" t="s">
        <v>1401</v>
      </c>
      <c r="H627" s="15" t="s">
        <v>1401</v>
      </c>
      <c r="I627" s="75"/>
      <c r="J627" s="15">
        <f>((E627 * F627) * I627)</f>
        <v>0</v>
      </c>
      <c r="K627" s="33"/>
      <c r="L627" s="13"/>
      <c r="M627" s="33"/>
    </row>
    <row r="628" spans="4:13" ht="20.100000000000001" customHeight="1" x14ac:dyDescent="0.2">
      <c r="D628" s="15">
        <v>0</v>
      </c>
      <c r="E628" s="15">
        <v>0</v>
      </c>
      <c r="F628" s="15">
        <v>0</v>
      </c>
      <c r="G628" s="15" t="s">
        <v>1401</v>
      </c>
      <c r="H628" s="15" t="s">
        <v>1401</v>
      </c>
      <c r="I628" s="75"/>
      <c r="J628" s="15">
        <f>((E628 * F628) * I628)</f>
        <v>0</v>
      </c>
      <c r="K628" s="33"/>
      <c r="L628" s="13"/>
      <c r="M628" s="33"/>
    </row>
    <row r="629" spans="4:13" ht="20.100000000000001" customHeight="1" x14ac:dyDescent="0.2">
      <c r="D629" s="15">
        <v>0</v>
      </c>
      <c r="E629" s="15">
        <v>0</v>
      </c>
      <c r="F629" s="15">
        <v>0</v>
      </c>
      <c r="G629" s="15" t="s">
        <v>1401</v>
      </c>
      <c r="H629" s="15" t="s">
        <v>1401</v>
      </c>
      <c r="I629" s="75"/>
      <c r="J629" s="15">
        <f>((E629 * F629) * I629)</f>
        <v>0</v>
      </c>
      <c r="K629" s="33"/>
      <c r="L629" s="13"/>
      <c r="M629" s="33"/>
    </row>
    <row r="630" spans="4:13" ht="20.100000000000001" customHeight="1" x14ac:dyDescent="0.2">
      <c r="D630" s="15">
        <v>0</v>
      </c>
      <c r="E630" s="15">
        <v>0</v>
      </c>
      <c r="F630" s="15">
        <v>0</v>
      </c>
      <c r="G630" s="15" t="s">
        <v>1401</v>
      </c>
      <c r="H630" s="15" t="s">
        <v>1401</v>
      </c>
      <c r="I630" s="75"/>
      <c r="J630" s="15">
        <f>((E630 * F630) * I630)</f>
        <v>0</v>
      </c>
      <c r="K630" s="33"/>
      <c r="L630" s="13"/>
      <c r="M630" s="33"/>
    </row>
    <row r="631" spans="4:13" ht="20.100000000000001" customHeight="1" x14ac:dyDescent="0.2">
      <c r="D631" s="15">
        <v>0</v>
      </c>
      <c r="E631" s="15">
        <v>0</v>
      </c>
      <c r="F631" s="15">
        <v>0</v>
      </c>
      <c r="G631" s="15" t="s">
        <v>1401</v>
      </c>
      <c r="H631" s="15" t="s">
        <v>1401</v>
      </c>
      <c r="I631" s="75"/>
      <c r="J631" s="15">
        <f>((E631 * F631) * I631)</f>
        <v>0</v>
      </c>
      <c r="K631" s="33"/>
      <c r="L631" s="13"/>
      <c r="M631" s="33"/>
    </row>
    <row r="632" spans="4:13" ht="20.100000000000001" customHeight="1" x14ac:dyDescent="0.2">
      <c r="D632" s="15">
        <v>0</v>
      </c>
      <c r="E632" s="15">
        <v>0</v>
      </c>
      <c r="F632" s="15">
        <v>0</v>
      </c>
      <c r="G632" s="15" t="s">
        <v>1401</v>
      </c>
      <c r="H632" s="15" t="s">
        <v>1401</v>
      </c>
      <c r="I632" s="75"/>
      <c r="J632" s="15">
        <f>((E632 * F632) * I632)</f>
        <v>0</v>
      </c>
      <c r="K632" s="33"/>
      <c r="L632" s="13"/>
      <c r="M632" s="33"/>
    </row>
    <row r="633" spans="4:13" ht="20.100000000000001" customHeight="1" x14ac:dyDescent="0.2">
      <c r="D633" s="15">
        <v>0</v>
      </c>
      <c r="E633" s="15">
        <v>0</v>
      </c>
      <c r="F633" s="15">
        <v>0</v>
      </c>
      <c r="G633" s="15" t="s">
        <v>1401</v>
      </c>
      <c r="H633" s="15" t="s">
        <v>1401</v>
      </c>
      <c r="I633" s="75"/>
      <c r="J633" s="15">
        <f>((E633 * F633) * I633)</f>
        <v>0</v>
      </c>
      <c r="K633" s="33"/>
      <c r="L633" s="13"/>
      <c r="M633" s="33"/>
    </row>
    <row r="635" spans="4:13" ht="20.100000000000001" customHeight="1" x14ac:dyDescent="0.2">
      <c r="D635" s="92" t="s">
        <v>1425</v>
      </c>
      <c r="E635" s="88" t="s">
        <v>1401</v>
      </c>
      <c r="F635" s="93" t="str">
        <f>$E$105</f>
        <v>t CO2e</v>
      </c>
    </row>
    <row r="636" spans="4:13" ht="20.100000000000001" customHeight="1" x14ac:dyDescent="0.2">
      <c r="D636" s="92" t="s">
        <v>1426</v>
      </c>
      <c r="E636" s="88">
        <f>SUM(J624:J633)</f>
        <v>5146700</v>
      </c>
      <c r="F636" s="93" t="str">
        <f>$E$105</f>
        <v>t CO2e</v>
      </c>
    </row>
    <row r="639" spans="4:13" ht="20.100000000000001" customHeight="1" x14ac:dyDescent="0.2">
      <c r="D639" s="261" t="s">
        <v>1294</v>
      </c>
    </row>
    <row r="641" spans="1:13" ht="20.100000000000001" customHeight="1" x14ac:dyDescent="0.2">
      <c r="D641" s="81" t="s">
        <v>1421</v>
      </c>
      <c r="E641" s="81" t="s">
        <v>1422</v>
      </c>
      <c r="F641" s="81" t="s">
        <v>1423</v>
      </c>
      <c r="G641" s="124" t="s">
        <v>1424</v>
      </c>
      <c r="H641" s="124" t="s">
        <v>1314</v>
      </c>
      <c r="I641" s="81" t="s">
        <v>1362</v>
      </c>
      <c r="J641" s="124" t="s">
        <v>1317</v>
      </c>
      <c r="K641" s="81" t="s">
        <v>1318</v>
      </c>
      <c r="L641" s="81" t="s">
        <v>1319</v>
      </c>
      <c r="M641" s="81" t="s">
        <v>1320</v>
      </c>
    </row>
    <row r="642" spans="1: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1401</v>
      </c>
      <c r="H642" s="15" t="s">
        <v>1401</v>
      </c>
      <c r="I642" s="75">
        <v>6.4</v>
      </c>
      <c r="J642" s="15">
        <f>((E642 * F642) * I642)</f>
        <v>432640</v>
      </c>
      <c r="K642" s="33"/>
      <c r="L642" s="13"/>
      <c r="M642" s="33"/>
    </row>
    <row r="643" spans="1:13" ht="20.100000000000001" customHeight="1" x14ac:dyDescent="0.2">
      <c r="D643" s="15">
        <v>0</v>
      </c>
      <c r="E643" s="15">
        <v>0</v>
      </c>
      <c r="F643" s="15">
        <v>0</v>
      </c>
      <c r="G643" s="15" t="s">
        <v>1401</v>
      </c>
      <c r="H643" s="15" t="s">
        <v>1401</v>
      </c>
      <c r="I643" s="75"/>
      <c r="J643" s="15">
        <f>((E643 * F643) * I643)</f>
        <v>0</v>
      </c>
      <c r="K643" s="33"/>
      <c r="L643" s="13"/>
      <c r="M643" s="33"/>
    </row>
    <row r="644" spans="1:13" ht="20.100000000000001" customHeight="1" x14ac:dyDescent="0.2">
      <c r="D644" s="15">
        <v>0</v>
      </c>
      <c r="E644" s="15">
        <v>0</v>
      </c>
      <c r="F644" s="15">
        <v>0</v>
      </c>
      <c r="G644" s="15" t="s">
        <v>1401</v>
      </c>
      <c r="H644" s="15" t="s">
        <v>1401</v>
      </c>
      <c r="I644" s="75"/>
      <c r="J644" s="15">
        <f>((E644 * F644) * I644)</f>
        <v>0</v>
      </c>
      <c r="K644" s="33"/>
      <c r="L644" s="13"/>
      <c r="M644" s="33"/>
    </row>
    <row r="645" spans="1:13" ht="20.100000000000001" customHeight="1" x14ac:dyDescent="0.2">
      <c r="D645" s="15">
        <v>0</v>
      </c>
      <c r="E645" s="15">
        <v>0</v>
      </c>
      <c r="F645" s="15">
        <v>0</v>
      </c>
      <c r="G645" s="15" t="s">
        <v>1401</v>
      </c>
      <c r="H645" s="15" t="s">
        <v>1401</v>
      </c>
      <c r="I645" s="75"/>
      <c r="J645" s="15">
        <f>((E645 * F645) * I645)</f>
        <v>0</v>
      </c>
      <c r="K645" s="33"/>
      <c r="L645" s="13"/>
      <c r="M645" s="33"/>
    </row>
    <row r="646" spans="1:13" ht="20.100000000000001" customHeight="1" x14ac:dyDescent="0.2">
      <c r="D646" s="15">
        <v>0</v>
      </c>
      <c r="E646" s="15">
        <v>0</v>
      </c>
      <c r="F646" s="15">
        <v>0</v>
      </c>
      <c r="G646" s="15" t="s">
        <v>1401</v>
      </c>
      <c r="H646" s="15" t="s">
        <v>1401</v>
      </c>
      <c r="I646" s="75"/>
      <c r="J646" s="15">
        <f>((E646 * F646) * I646)</f>
        <v>0</v>
      </c>
      <c r="K646" s="33"/>
      <c r="L646" s="13"/>
      <c r="M646" s="33"/>
    </row>
    <row r="647" spans="1:13" ht="20.100000000000001" customHeight="1" x14ac:dyDescent="0.2">
      <c r="D647" s="15">
        <v>0</v>
      </c>
      <c r="E647" s="15">
        <v>0</v>
      </c>
      <c r="F647" s="15">
        <v>0</v>
      </c>
      <c r="G647" s="15" t="s">
        <v>1401</v>
      </c>
      <c r="H647" s="15" t="s">
        <v>1401</v>
      </c>
      <c r="I647" s="75"/>
      <c r="J647" s="15">
        <f>((E647 * F647) * I647)</f>
        <v>0</v>
      </c>
      <c r="K647" s="33"/>
      <c r="L647" s="13"/>
      <c r="M647" s="33"/>
    </row>
    <row r="648" spans="1:13" ht="20.100000000000001" customHeight="1" x14ac:dyDescent="0.2">
      <c r="D648" s="15">
        <v>0</v>
      </c>
      <c r="E648" s="15">
        <v>0</v>
      </c>
      <c r="F648" s="15">
        <v>0</v>
      </c>
      <c r="G648" s="15" t="s">
        <v>1401</v>
      </c>
      <c r="H648" s="15" t="s">
        <v>1401</v>
      </c>
      <c r="I648" s="75"/>
      <c r="J648" s="15">
        <f>((E648 * F648) * I648)</f>
        <v>0</v>
      </c>
      <c r="K648" s="33"/>
      <c r="L648" s="13"/>
      <c r="M648" s="33"/>
    </row>
    <row r="649" spans="1:13" ht="20.100000000000001" customHeight="1" x14ac:dyDescent="0.2">
      <c r="A649" s="129" t="str">
        <f>HYPERLINK("#A1", "▲ Back to top")</f>
        <v>▲ Back to top</v>
      </c>
      <c r="D649" s="15">
        <v>0</v>
      </c>
      <c r="E649" s="15">
        <v>0</v>
      </c>
      <c r="F649" s="15">
        <v>0</v>
      </c>
      <c r="G649" s="15" t="s">
        <v>1401</v>
      </c>
      <c r="H649" s="15" t="s">
        <v>1401</v>
      </c>
      <c r="I649" s="75"/>
      <c r="J649" s="15">
        <f>((E649 * F649) * I649)</f>
        <v>0</v>
      </c>
      <c r="K649" s="33"/>
      <c r="L649" s="13"/>
      <c r="M649" s="33"/>
    </row>
    <row r="650" spans="1:13" ht="20.100000000000001" customHeight="1" x14ac:dyDescent="0.2">
      <c r="D650" s="15">
        <v>0</v>
      </c>
      <c r="E650" s="15">
        <v>0</v>
      </c>
      <c r="F650" s="15">
        <v>0</v>
      </c>
      <c r="G650" s="15" t="s">
        <v>1401</v>
      </c>
      <c r="H650" s="15" t="s">
        <v>1401</v>
      </c>
      <c r="I650" s="75"/>
      <c r="J650" s="15">
        <f>((E650 * F650) * I650)</f>
        <v>0</v>
      </c>
      <c r="K650" s="33"/>
      <c r="L650" s="13"/>
      <c r="M650" s="33"/>
    </row>
    <row r="651" spans="1:13" ht="20.100000000000001" customHeight="1" x14ac:dyDescent="0.2">
      <c r="D651" s="15">
        <v>0</v>
      </c>
      <c r="E651" s="15">
        <v>0</v>
      </c>
      <c r="F651" s="15">
        <v>0</v>
      </c>
      <c r="G651" s="15" t="s">
        <v>1401</v>
      </c>
      <c r="H651" s="15" t="s">
        <v>1401</v>
      </c>
      <c r="I651" s="75"/>
      <c r="J651" s="15">
        <f>((E651 * F651) * I651)</f>
        <v>0</v>
      </c>
      <c r="K651" s="33"/>
      <c r="L651" s="13"/>
      <c r="M651" s="33"/>
    </row>
    <row r="653" spans="1:13" ht="20.100000000000001" customHeight="1" x14ac:dyDescent="0.2">
      <c r="D653" s="92" t="s">
        <v>1427</v>
      </c>
      <c r="E653" s="88" t="s">
        <v>1401</v>
      </c>
      <c r="F653" s="93" t="str">
        <f>$E$105</f>
        <v>t CO2e</v>
      </c>
    </row>
    <row r="654" spans="1:13" ht="20.100000000000001" customHeight="1" x14ac:dyDescent="0.2">
      <c r="D654" s="92" t="s">
        <v>1428</v>
      </c>
      <c r="E654" s="88">
        <f>SUM(J642:J651)</f>
        <v>432640</v>
      </c>
      <c r="F654" s="93" t="str">
        <f>$E$105</f>
        <v>t CO2e</v>
      </c>
    </row>
    <row r="656" spans="1:13" ht="20.100000000000001" customHeight="1" x14ac:dyDescent="0.2">
      <c r="D656" s="87" t="s">
        <v>1314</v>
      </c>
      <c r="E656" s="90" t="s">
        <v>1401</v>
      </c>
      <c r="F656" s="89" t="str">
        <f>$E$105</f>
        <v>t CO2e</v>
      </c>
    </row>
    <row r="657" spans="4:6" ht="20.100000000000001" customHeight="1" x14ac:dyDescent="0.2">
      <c r="D657" s="87" t="s">
        <v>1317</v>
      </c>
      <c r="E657" s="90">
        <f>VEERG_15_14_1_1__1_EmbeddedEmissionsFromUpstreamFreight_Incoming_Result_Method2+VEERG_15_14_1_1__1_EmbeddedEmissionsFromUpstreamFreight_Outgoing_Result_Method2</f>
        <v>5579340</v>
      </c>
      <c r="F657" s="89" t="str">
        <f>$E$105</f>
        <v>t CO2e</v>
      </c>
    </row>
  </sheetData>
  <dataValidations count="2">
    <dataValidation type="list" allowBlank="1" showInputMessage="1" showErrorMessage="1" sqref="J505:J514" xr:uid="{B54AA6DD-DDF5-4F7C-B4F7-6EB7B757656E}">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F9C9BDE1-5138-4A99-A415-4D84D74071D6}">
      <formula1>INDIRECT("Table_SourceData_DataScores_Scope3[Data source]")</formula1>
    </dataValidation>
  </dataValidation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9B08-CB54-41E7-8FF8-8267BE708498}">
  <sheetPr>
    <tabColor theme="9" tint="-0.249977111117893"/>
  </sheetPr>
  <dimension ref="A1:U90"/>
  <sheetViews>
    <sheetView showGridLines="0" zoomScaleNormal="100" workbookViewId="0">
      <pane xSplit="1" topLeftCell="B1" activePane="topRight" state="frozenSplit"/>
      <selection pane="topRight" activeCell="A199" sqref="A199"/>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 min="12" max="12" width="4.5703125" customWidth="1"/>
    <col min="13" max="13" width="4.5703125" style="1" customWidth="1"/>
    <col min="14" max="20" width="30.5703125" style="1" customWidth="1"/>
    <col min="21" max="21" width="4.5703125" style="1" customWidth="1"/>
  </cols>
  <sheetData>
    <row r="1" spans="1:21" ht="30" customHeight="1" x14ac:dyDescent="0.35">
      <c r="A1" s="10" t="e" vm="1">
        <v>#VALUE!</v>
      </c>
      <c r="C1" s="20" t="s">
        <v>1429</v>
      </c>
      <c r="D1" s="20"/>
      <c r="E1" s="20"/>
      <c r="F1" s="20"/>
      <c r="G1" s="20"/>
      <c r="H1" s="20"/>
      <c r="I1" s="20"/>
      <c r="J1" s="20"/>
      <c r="K1" s="20"/>
      <c r="M1" s="20"/>
      <c r="N1" s="20"/>
      <c r="O1" s="20"/>
      <c r="P1" s="20"/>
      <c r="Q1" s="20"/>
      <c r="R1" s="20"/>
      <c r="S1" s="20"/>
      <c r="T1" s="20"/>
      <c r="U1" s="20"/>
    </row>
    <row r="2" spans="1:21" ht="20.100000000000001" customHeight="1" x14ac:dyDescent="0.2">
      <c r="C2" s="3"/>
      <c r="D2" s="3"/>
      <c r="E2" s="3"/>
      <c r="F2" s="3"/>
      <c r="G2" s="3"/>
      <c r="H2" s="3"/>
      <c r="I2" s="3"/>
      <c r="J2" s="3"/>
      <c r="K2" s="3"/>
      <c r="M2" s="3"/>
      <c r="N2" s="3"/>
      <c r="O2" s="3"/>
      <c r="P2" s="3"/>
      <c r="Q2" s="3"/>
      <c r="R2" s="3"/>
      <c r="S2" s="3"/>
      <c r="T2" s="3"/>
      <c r="U2" s="3"/>
    </row>
    <row r="3" spans="1:21" ht="20.100000000000001" customHeight="1" x14ac:dyDescent="0.2">
      <c r="A3" s="5" t="str">
        <f>HYPERLINK("#'Home'!A1", "Home")</f>
        <v>Home</v>
      </c>
      <c r="C3" s="22"/>
      <c r="D3" s="22" t="s">
        <v>129</v>
      </c>
      <c r="E3" s="22"/>
      <c r="F3" s="22"/>
      <c r="G3" s="22"/>
      <c r="H3" s="22"/>
      <c r="I3" s="22"/>
      <c r="J3" s="22"/>
      <c r="K3" s="22"/>
      <c r="M3" s="22"/>
      <c r="N3" s="22" t="s">
        <v>130</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1803</v>
      </c>
      <c r="N5" s="2" t="s">
        <v>1803</v>
      </c>
    </row>
    <row r="6" spans="1:21" ht="20.100000000000001" customHeight="1" x14ac:dyDescent="0.2">
      <c r="A6" s="5" t="str">
        <f>HYPERLINK("#'Results'!A1", "Results")</f>
        <v>Results</v>
      </c>
      <c r="D6" s="17" t="s">
        <v>1804</v>
      </c>
      <c r="N6" s="17" t="s">
        <v>1804</v>
      </c>
    </row>
    <row r="7" spans="1:21" ht="20.100000000000001" customHeight="1" x14ac:dyDescent="0.2">
      <c r="D7" s="118"/>
      <c r="E7" s="118"/>
      <c r="N7" s="118"/>
      <c r="O7" s="118"/>
    </row>
    <row r="9" spans="1:21" ht="20.100000000000001" customHeight="1" x14ac:dyDescent="0.2">
      <c r="A9" s="7" t="s">
        <v>0</v>
      </c>
    </row>
    <row r="10" spans="1:21" ht="20.100000000000001" customHeight="1" x14ac:dyDescent="0.2">
      <c r="A10" s="5" t="str">
        <f>HYPERLINK("#'Input - Enterprise'!A1", "Enterprise")</f>
        <v>Enterprise</v>
      </c>
      <c r="D10" s="76" t="s">
        <v>378</v>
      </c>
      <c r="E10" s="1" t="s">
        <v>1153</v>
      </c>
      <c r="N10" s="76" t="s">
        <v>378</v>
      </c>
      <c r="O10" s="1" t="s">
        <v>1153</v>
      </c>
    </row>
    <row r="11" spans="1:21" ht="20.100000000000001" customHeight="1" x14ac:dyDescent="0.2">
      <c r="A11" s="5" t="str">
        <f>HYPERLINK("#'Input - Site'!A1", "Site")</f>
        <v>Site</v>
      </c>
      <c r="D11" s="76" t="s">
        <v>118</v>
      </c>
      <c r="E11" s="9" t="s">
        <v>11</v>
      </c>
      <c r="N11" s="76" t="s">
        <v>118</v>
      </c>
      <c r="O11" s="9" t="s">
        <v>11</v>
      </c>
    </row>
    <row r="12" spans="1:21" ht="20.100000000000001" customHeight="1" x14ac:dyDescent="0.2">
      <c r="A12" s="5" t="str">
        <f>HYPERLINK("#'Input - Dairy'!A1", "Dairy")</f>
        <v>Dairy</v>
      </c>
    </row>
    <row r="13" spans="1:21" ht="20.100000000000001" customHeight="1" x14ac:dyDescent="0.2">
      <c r="A13" s="5" t="str">
        <f>HYPERLINK("#'Input - Livestock sales'!A1", "Livestock sales")</f>
        <v>Livestock sales</v>
      </c>
      <c r="D13" s="120" t="s">
        <v>1798</v>
      </c>
      <c r="E13" s="125" t="s">
        <v>1805</v>
      </c>
      <c r="F13" s="133"/>
      <c r="G13" s="126"/>
      <c r="H13" s="120" t="s">
        <v>1301</v>
      </c>
      <c r="I13" s="128" t="s">
        <v>1808</v>
      </c>
      <c r="J13" s="120">
        <f>X_Cell_ManureSentOffsite_MassNitrogenManure_Method1</f>
        <v>1000</v>
      </c>
      <c r="N13" s="120" t="s">
        <v>1798</v>
      </c>
      <c r="O13" s="125" t="s">
        <v>1805</v>
      </c>
      <c r="P13" s="133"/>
      <c r="Q13" s="126"/>
      <c r="R13" s="120" t="s">
        <v>1301</v>
      </c>
      <c r="S13" s="128" t="s">
        <v>1808</v>
      </c>
      <c r="T13" s="120">
        <f>X_Cell_ManureSentOffsite_MassNitrogenManure_Method2</f>
        <v>2000</v>
      </c>
    </row>
    <row r="14" spans="1:21" ht="20.100000000000001" customHeight="1" x14ac:dyDescent="0.2">
      <c r="A14" s="5" t="str">
        <f>HYPERLINK("#'Input - Dairy cattle purchases'!A1", "Dairy cattle purchases")</f>
        <v>Dairy cattle purchases</v>
      </c>
      <c r="D14" s="120" t="s">
        <v>1806</v>
      </c>
      <c r="E14" s="125" t="s">
        <v>1807</v>
      </c>
      <c r="F14" s="133"/>
      <c r="G14" s="126"/>
      <c r="H14" s="120" t="s">
        <v>1663</v>
      </c>
      <c r="I14" s="128" t="s">
        <v>1785</v>
      </c>
      <c r="J14" s="120">
        <f>Common_InputFunctions.Utility_LookupValueInTableNumber(J17, Table_SourceData_Common_EFOrganicFertCropResidues[Climate Zone],Table_SourceData_Common_EFOrganicFertCropResidues[EFNi &amp; EFN2Oi])</f>
        <v>5.0000000000000001E-3</v>
      </c>
      <c r="N14" s="120" t="s">
        <v>1806</v>
      </c>
      <c r="O14" s="125" t="s">
        <v>1807</v>
      </c>
      <c r="P14" s="133"/>
      <c r="Q14" s="126"/>
      <c r="R14" s="120" t="s">
        <v>1663</v>
      </c>
      <c r="S14" s="128" t="s">
        <v>1785</v>
      </c>
      <c r="T14" s="120"/>
    </row>
    <row r="15" spans="1:21" ht="20.100000000000001" customHeight="1" x14ac:dyDescent="0.2">
      <c r="A15" s="5" t="str">
        <f>HYPERLINK("#'Input - Pasture'!A1", "Pasture")</f>
        <v>Pasture</v>
      </c>
      <c r="D15" s="120" t="s">
        <v>1660</v>
      </c>
      <c r="E15" s="125" t="s">
        <v>1763</v>
      </c>
      <c r="F15" s="133"/>
      <c r="G15" s="126"/>
      <c r="H15" s="120"/>
      <c r="I15" s="128" t="s">
        <v>1501</v>
      </c>
      <c r="J15" s="120">
        <f>Common_InputFunctions.Utility_LookupValueInTableNumber("N2O",Table_GasToMolecularConversionFactor[Gas],Table_GasToMolecularConversionFactor[Conversion factor combined])</f>
        <v>1.5714285714285714</v>
      </c>
      <c r="N15" s="120" t="s">
        <v>1660</v>
      </c>
      <c r="O15" s="125" t="s">
        <v>1763</v>
      </c>
      <c r="P15" s="133"/>
      <c r="Q15" s="126"/>
      <c r="R15" s="120"/>
      <c r="S15" s="128" t="s">
        <v>1501</v>
      </c>
      <c r="T15" s="120"/>
    </row>
    <row r="16" spans="1:21" ht="20.100000000000001" customHeight="1" x14ac:dyDescent="0.2">
      <c r="A16" s="5" t="str">
        <f>HYPERLINK("#'Input - Fert Prod System'!A1", "Fert Prod System")</f>
        <v>Fert Prod System</v>
      </c>
      <c r="D16" s="120" t="s">
        <v>1675</v>
      </c>
      <c r="E16" s="125" t="s">
        <v>159</v>
      </c>
      <c r="F16" s="133"/>
      <c r="G16" s="126"/>
      <c r="H16" s="120"/>
      <c r="I16" s="269" t="s">
        <v>1469</v>
      </c>
      <c r="J16" s="120" t="str">
        <f>X_Cell_ManureSentOffsite_ManureProductionSystem</f>
        <v>Crop</v>
      </c>
      <c r="N16" s="120" t="s">
        <v>1675</v>
      </c>
      <c r="O16" s="125" t="s">
        <v>159</v>
      </c>
      <c r="P16" s="133"/>
      <c r="Q16" s="126"/>
      <c r="R16" s="120"/>
      <c r="S16" s="269" t="s">
        <v>1469</v>
      </c>
      <c r="T16" s="120"/>
    </row>
    <row r="17" spans="1:20" ht="20.100000000000001" customHeight="1" x14ac:dyDescent="0.2">
      <c r="A17" s="5" t="str">
        <f>HYPERLINK("#'Input - Fertiliser'!A1", "Fertiliser")</f>
        <v>Fertiliser</v>
      </c>
      <c r="D17" s="120" t="s">
        <v>1577</v>
      </c>
      <c r="E17" s="125" t="s">
        <v>114</v>
      </c>
      <c r="F17" s="133"/>
      <c r="G17" s="126"/>
      <c r="H17" s="120"/>
      <c r="I17" s="269" t="s">
        <v>1469</v>
      </c>
      <c r="J17" s="120" t="str">
        <f>X_Cell_Site_WetOrDryClimateZone</f>
        <v>Dry climate zone</v>
      </c>
      <c r="N17" s="120" t="s">
        <v>1577</v>
      </c>
      <c r="O17" s="125" t="s">
        <v>114</v>
      </c>
      <c r="P17" s="133"/>
      <c r="Q17" s="126"/>
      <c r="R17" s="120"/>
      <c r="S17" s="269" t="s">
        <v>1469</v>
      </c>
      <c r="T17" s="120"/>
    </row>
    <row r="18" spans="1:20" ht="20.100000000000001" customHeight="1" x14ac:dyDescent="0.2">
      <c r="A18" s="5" t="str">
        <f>HYPERLINK("#'Input - Fuel'!A1", "Fuel")</f>
        <v>Fuel</v>
      </c>
    </row>
    <row r="19" spans="1:20" ht="20.100000000000001" customHeight="1" x14ac:dyDescent="0.2">
      <c r="A19" s="5" t="str">
        <f>HYPERLINK("#'Input - Electricity'!A1", "Electricity")</f>
        <v>Electricity</v>
      </c>
      <c r="D19" s="87" t="s">
        <v>761</v>
      </c>
      <c r="E19" s="90">
        <f>((J13 * J14 * J15) * 10 ^ -3)</f>
        <v>7.8571428571428577E-3</v>
      </c>
      <c r="F19" s="89" t="str">
        <f>$E$11</f>
        <v>t N2O</v>
      </c>
      <c r="N19" s="87" t="s">
        <v>761</v>
      </c>
      <c r="O19" s="90">
        <f>((T13 * J14 * J15) * 10 ^ -3)</f>
        <v>1.5714285714285715E-2</v>
      </c>
      <c r="P19" s="89" t="str">
        <f>$E$11</f>
        <v>t N2O</v>
      </c>
    </row>
    <row r="20" spans="1:20" ht="20.100000000000001" customHeight="1" x14ac:dyDescent="0.2">
      <c r="A20" s="5" t="str">
        <f>HYPERLINK("#'Input - Common farm inputs'!A1", "Common farm inputs")</f>
        <v>Common farm inputs</v>
      </c>
    </row>
    <row r="21" spans="1:20" ht="20.100000000000001" customHeight="1" x14ac:dyDescent="0.2">
      <c r="A21" s="5" t="str">
        <f>HYPERLINK("#'Input - Crop pasture farm input'!A1", "Crop pasture farm input")</f>
        <v>Crop pasture farm input</v>
      </c>
    </row>
    <row r="22" spans="1:20" ht="20.100000000000001" customHeight="1" x14ac:dyDescent="0.2">
      <c r="A22" s="5" t="str">
        <f>HYPERLINK("#'Input - Livestock farm Inputs'!A1", "Livestock farm Inputs")</f>
        <v>Livestock farm Inputs</v>
      </c>
    </row>
    <row r="23" spans="1:20" ht="20.100000000000001" customHeight="1" x14ac:dyDescent="0.2">
      <c r="A23" s="5" t="str">
        <f>HYPERLINK("#'Input - Freight'!A1", "Freight")</f>
        <v>Freight</v>
      </c>
    </row>
    <row r="24" spans="1:20" ht="20.100000000000001" customHeight="1" x14ac:dyDescent="0.2">
      <c r="A24" s="5" t="str">
        <f>HYPERLINK("#'Input - Solid waste'!A1", "Solid waste")</f>
        <v>Solid waste</v>
      </c>
      <c r="D24" s="2" t="s">
        <v>1840</v>
      </c>
      <c r="N24" s="2" t="s">
        <v>1840</v>
      </c>
    </row>
    <row r="25" spans="1:20" ht="20.100000000000001" customHeight="1" x14ac:dyDescent="0.2">
      <c r="A25" s="5" t="str">
        <f>HYPERLINK("#'Input - Manure sent off-site'!A1", "Manure sent off-site")</f>
        <v>Manure sent off-site</v>
      </c>
      <c r="D25" s="17" t="s">
        <v>1841</v>
      </c>
      <c r="N25" s="17" t="s">
        <v>1841</v>
      </c>
    </row>
    <row r="26" spans="1:20" ht="20.100000000000001" customHeight="1" x14ac:dyDescent="0.2">
      <c r="A26" s="5" t="str">
        <f>HYPERLINK("#'Input - Refrigerants'!A1", "Refrigerants")</f>
        <v>Refrigerants</v>
      </c>
      <c r="D26" s="118"/>
      <c r="E26" s="118"/>
      <c r="N26" s="118"/>
      <c r="O26" s="118"/>
    </row>
    <row r="27" spans="1:20" ht="20.100000000000001" customHeight="1" x14ac:dyDescent="0.2">
      <c r="A27" s="5" t="str">
        <f>HYPERLINK("#'Input - Data quality'!A1", "Data quality")</f>
        <v>Data quality</v>
      </c>
    </row>
    <row r="29" spans="1:20" ht="20.100000000000001" customHeight="1" x14ac:dyDescent="0.2">
      <c r="D29" s="76" t="s">
        <v>378</v>
      </c>
      <c r="E29" s="1" t="s">
        <v>1842</v>
      </c>
      <c r="N29" s="76" t="s">
        <v>378</v>
      </c>
      <c r="O29" s="1" t="s">
        <v>1842</v>
      </c>
    </row>
    <row r="30" spans="1:20" ht="20.100000000000001" customHeight="1" x14ac:dyDescent="0.2">
      <c r="A30" s="6" t="s">
        <v>2</v>
      </c>
      <c r="D30" s="76" t="s">
        <v>118</v>
      </c>
      <c r="E30" s="9" t="s">
        <v>1301</v>
      </c>
      <c r="N30" s="76" t="s">
        <v>118</v>
      </c>
      <c r="O30" s="9" t="s">
        <v>1301</v>
      </c>
    </row>
    <row r="31" spans="1:20" ht="20.100000000000001" customHeight="1" x14ac:dyDescent="0.2">
      <c r="A31" s="5" t="str">
        <f>HYPERLINK("#'3.3.1.1-2 Enteric Methane'!A1", "3.3.1.1-2 Enteric methane")</f>
        <v>3.3.1.1-2 Enteric methane</v>
      </c>
    </row>
    <row r="32" spans="1:20" ht="20.100000000000001" customHeight="1" x14ac:dyDescent="0.2">
      <c r="A32" s="5" t="str">
        <f>HYPERLINK("#'4.3.1.1-2 Methane'!A1", "4.3.1.1-2 Manure methane")</f>
        <v>4.3.1.1-2 Manure methane</v>
      </c>
      <c r="D32" s="120" t="s">
        <v>1798</v>
      </c>
      <c r="E32" s="120" t="s">
        <v>1805</v>
      </c>
      <c r="F32" s="120"/>
      <c r="G32" s="120" t="s">
        <v>1301</v>
      </c>
      <c r="H32" s="128" t="s">
        <v>1808</v>
      </c>
      <c r="I32" s="120">
        <f>X_Cell_ManureSentOffsite_MassNitrogenManure_Method1</f>
        <v>1000</v>
      </c>
      <c r="N32" s="120" t="s">
        <v>1798</v>
      </c>
      <c r="O32" s="120" t="s">
        <v>1805</v>
      </c>
      <c r="P32" s="120"/>
      <c r="Q32" s="120" t="s">
        <v>1301</v>
      </c>
      <c r="R32" s="128" t="s">
        <v>1808</v>
      </c>
      <c r="S32" s="120">
        <f>X_Cell_ManureSentOffsite_MassNitrogenManure_Method2</f>
        <v>2000</v>
      </c>
    </row>
    <row r="33" spans="1:19" ht="20.100000000000001" customHeight="1" x14ac:dyDescent="0.2">
      <c r="A33" s="5" t="str">
        <f>HYPERLINK("#'4.3.1.3-4 Direct N20'!A1", "4.3.1.3-4 Direct N20")</f>
        <v>4.3.1.3-4 Direct N20</v>
      </c>
      <c r="D33" s="120" t="s">
        <v>1843</v>
      </c>
      <c r="E33" s="120" t="s">
        <v>1844</v>
      </c>
      <c r="F33" s="120"/>
      <c r="G33" s="120" t="s">
        <v>1832</v>
      </c>
      <c r="H33" s="128" t="s">
        <v>1501</v>
      </c>
      <c r="I33" s="120">
        <f>Fertiliser_FracGASMSoil_Data</f>
        <v>0.21</v>
      </c>
      <c r="N33" s="120" t="s">
        <v>1843</v>
      </c>
      <c r="O33" s="120" t="s">
        <v>1844</v>
      </c>
      <c r="P33" s="120"/>
      <c r="Q33" s="120" t="s">
        <v>1832</v>
      </c>
      <c r="R33" s="128" t="s">
        <v>1501</v>
      </c>
      <c r="S33" s="120"/>
    </row>
    <row r="34" spans="1:19" ht="20.100000000000001" customHeight="1" x14ac:dyDescent="0.2">
      <c r="A34" s="5" t="str">
        <f>HYPERLINK("#'4.3.1.5 Atmos deposition'!A1", "4.3.1.5 Atmos deposition")</f>
        <v>4.3.1.5 Atmos deposition</v>
      </c>
    </row>
    <row r="35" spans="1:19" ht="20.100000000000001" customHeight="1" x14ac:dyDescent="0.2">
      <c r="A35" s="5" t="str">
        <f>HYPERLINK("#'4.3.1.6-7 Leaching and runoff'!A1", "4.3.1.6-7 Leaching &amp; runoff")</f>
        <v>4.3.1.6-7 Leaching &amp; runoff</v>
      </c>
      <c r="D35" s="92" t="s">
        <v>1430</v>
      </c>
      <c r="E35" s="88">
        <f>(I32 * I33)</f>
        <v>210</v>
      </c>
      <c r="F35" s="93" t="str">
        <f>E30</f>
        <v>kg N</v>
      </c>
      <c r="N35" s="92" t="s">
        <v>1430</v>
      </c>
      <c r="O35" s="88">
        <f>(S32 * I33)</f>
        <v>420</v>
      </c>
      <c r="P35" s="93" t="str">
        <f>O30</f>
        <v>kg N</v>
      </c>
    </row>
    <row r="36" spans="1:19" ht="20.100000000000001" customHeight="1" x14ac:dyDescent="0.2">
      <c r="A36" s="5" t="str">
        <f>HYPERLINK("#'4.3.1.8 Manure applied to soils'!A1", "4.3.1.8 Manure applied to soils")</f>
        <v>4.3.1.8 Manure applied to soils</v>
      </c>
    </row>
    <row r="37" spans="1:19" ht="20.100000000000001" customHeight="1" x14ac:dyDescent="0.2">
      <c r="A37" s="5" t="str">
        <f>HYPERLINK("#'4.3.1.9 Soil direct N2O'!A1", "4.3.1.9 Soil direct N2O")</f>
        <v>4.3.1.9 Soil direct N2O</v>
      </c>
    </row>
    <row r="38" spans="1:19" ht="20.100000000000001" customHeight="1" x14ac:dyDescent="0.2">
      <c r="A38" s="5" t="str">
        <f>HYPERLINK("#'4.3.1.10-11 Soil Atmos Dep'!A1", "4.3.1.10-11 Soil Atmos Deposition")</f>
        <v>4.3.1.10-11 Soil Atmos Deposition</v>
      </c>
    </row>
    <row r="39" spans="1:19" ht="20.100000000000001" customHeight="1" x14ac:dyDescent="0.2">
      <c r="A39" s="5" t="str">
        <f>HYPERLINK("#'4.3.1.12-13 Soil leach runoff'!A1", "4.3.1.12-13 Soil leach &amp; runoff")</f>
        <v>4.3.1.12-13 Soil leach &amp; runoff</v>
      </c>
    </row>
    <row r="40" spans="1:19" ht="20.100000000000001" customHeight="1" x14ac:dyDescent="0.2">
      <c r="A40" s="5" t="str">
        <f>HYPERLINK("#'5.1.1.1-2 Inorganic fert N2O'!A1", "5.1.1.1-2 Inorganic fert N2O")</f>
        <v>5.1.1.1-2 Inorganic fert N2O</v>
      </c>
      <c r="D40" s="2" t="s">
        <v>1845</v>
      </c>
      <c r="N40" s="2" t="s">
        <v>1845</v>
      </c>
    </row>
    <row r="41" spans="1:19" ht="20.100000000000001" customHeight="1" x14ac:dyDescent="0.2">
      <c r="A41" s="5" t="str">
        <f>HYPERLINK("#'5.1.1.3-4 Inorganic fert CO2'!A1", "5.1.1.3-4 Inorganic fert CO2")</f>
        <v>5.1.1.3-4 Inorganic fert CO2</v>
      </c>
      <c r="D41" s="17" t="s">
        <v>1846</v>
      </c>
      <c r="N41" s="17" t="s">
        <v>1846</v>
      </c>
    </row>
    <row r="42" spans="1:19" ht="20.100000000000001" customHeight="1" x14ac:dyDescent="0.2">
      <c r="A42" s="5" t="str">
        <f>HYPERLINK("#'5.2.1.1-2 Organic Fert N2O'!A1", "5.2.1.1-2 Organic fert N2O")</f>
        <v>5.2.1.1-2 Organic fert N2O</v>
      </c>
      <c r="D42" s="118"/>
      <c r="E42" s="118"/>
      <c r="N42" s="118"/>
      <c r="O42" s="118"/>
    </row>
    <row r="43" spans="1:19" ht="20.100000000000001" customHeight="1" x14ac:dyDescent="0.2">
      <c r="A43" s="5" t="str">
        <f>HYPERLINK("#'5.3.1.1-2 Lime CO2'!A1", "5.3.1.1-2 Lime CO2")</f>
        <v>5.3.1.1-2 Lime CO2</v>
      </c>
    </row>
    <row r="44" spans="1:19" ht="20.100000000000001" customHeight="1" x14ac:dyDescent="0.2">
      <c r="A44" s="5" t="str">
        <f>HYPERLINK("#'5.4.1.1-4 Atmos deposition'!A1", "5.4.1.1-4 Atmos. deposition")</f>
        <v>5.4.1.1-4 Atmos. deposition</v>
      </c>
    </row>
    <row r="45" spans="1:19" ht="20.100000000000001" customHeight="1" x14ac:dyDescent="0.2">
      <c r="A45" s="5" t="str">
        <f>HYPERLINK("#'5.5.1.1-2 Leaching and runoff'!A1", "5.5.1.1-2 Leaching &amp; runoff")</f>
        <v>5.5.1.1-2 Leaching &amp; runoff</v>
      </c>
      <c r="D45" s="76" t="s">
        <v>378</v>
      </c>
      <c r="E45" s="1" t="s">
        <v>1847</v>
      </c>
      <c r="N45" s="76" t="s">
        <v>378</v>
      </c>
      <c r="O45" s="1" t="s">
        <v>1847</v>
      </c>
    </row>
    <row r="46" spans="1:19" ht="20.100000000000001" customHeight="1" x14ac:dyDescent="0.2">
      <c r="A46" s="5" t="str">
        <f>HYPERLINK("#'6.2.1.1-2 Pasture residue N2O'!A1", "6.2.1.1-2 Pasture residue N2O")</f>
        <v>6.2.1.1-2 Pasture residue N2O</v>
      </c>
      <c r="D46" s="76" t="s">
        <v>118</v>
      </c>
      <c r="E46" s="9" t="s">
        <v>11</v>
      </c>
      <c r="N46" s="76" t="s">
        <v>118</v>
      </c>
      <c r="O46" s="9" t="s">
        <v>11</v>
      </c>
    </row>
    <row r="47" spans="1:19" ht="20.100000000000001" customHeight="1" x14ac:dyDescent="0.2">
      <c r="A47" s="5" t="str">
        <f>HYPERLINK("#'6.3.1.1-2 Leach runoff pasture'!A1", "6.3.1.1-2 Leach &amp; runoff (pasture)")</f>
        <v>6.3.1.1-2 Leach &amp; runoff (pasture)</v>
      </c>
    </row>
    <row r="48" spans="1:19" ht="20.100000000000001" customHeight="1" x14ac:dyDescent="0.2">
      <c r="A48" s="5" t="str">
        <f>HYPERLINK("#'8.1.1.1-2 Transport fuel'!A1", "8.1.1.1-2 Transport fuel")</f>
        <v>8.1.1.1-2 Transport fuel</v>
      </c>
      <c r="D48" s="120" t="s">
        <v>1842</v>
      </c>
      <c r="E48" s="125" t="s">
        <v>1848</v>
      </c>
      <c r="F48" s="126"/>
      <c r="G48" s="120" t="s">
        <v>1301</v>
      </c>
      <c r="H48" s="128" t="s">
        <v>1850</v>
      </c>
      <c r="I48" s="120">
        <f>E35</f>
        <v>210</v>
      </c>
      <c r="N48" s="120" t="s">
        <v>1842</v>
      </c>
      <c r="O48" s="125" t="s">
        <v>1848</v>
      </c>
      <c r="P48" s="126"/>
      <c r="Q48" s="120" t="s">
        <v>1301</v>
      </c>
      <c r="R48" s="128" t="s">
        <v>1850</v>
      </c>
      <c r="S48" s="120">
        <f>O35</f>
        <v>420</v>
      </c>
    </row>
    <row r="49" spans="1:19" ht="20.100000000000001" customHeight="1" x14ac:dyDescent="0.2">
      <c r="A49" s="5" t="str">
        <f>HYPERLINK("#'8.2.1.1-2 Stationary fuel'!A1", "8.2.1.1-2 Stationary fuel")</f>
        <v>8.2.1.1-2 Stationary fuel</v>
      </c>
      <c r="D49" s="120" t="s">
        <v>1837</v>
      </c>
      <c r="E49" s="125" t="s">
        <v>1849</v>
      </c>
      <c r="F49" s="126"/>
      <c r="G49" s="120" t="s">
        <v>1663</v>
      </c>
      <c r="H49" s="128" t="s">
        <v>1501</v>
      </c>
      <c r="I49" s="120">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20" t="s">
        <v>1837</v>
      </c>
      <c r="O49" s="125" t="s">
        <v>1849</v>
      </c>
      <c r="P49" s="126"/>
      <c r="Q49" s="120" t="s">
        <v>1663</v>
      </c>
      <c r="R49" s="128" t="s">
        <v>1501</v>
      </c>
      <c r="S49" s="120"/>
    </row>
    <row r="50" spans="1:19" ht="20.100000000000001" customHeight="1" x14ac:dyDescent="0.2">
      <c r="A50" s="5" t="str">
        <f>HYPERLINK("#'9.1.1.1-2 Refrigerant use'!A1", "9.1.1.1-2 Refrigerant use")</f>
        <v>9.1.1.1-2 Refrigerant use</v>
      </c>
      <c r="D50" s="120" t="s">
        <v>1660</v>
      </c>
      <c r="E50" s="125" t="s">
        <v>1763</v>
      </c>
      <c r="F50" s="126"/>
      <c r="G50" s="120"/>
      <c r="H50" s="128" t="s">
        <v>1501</v>
      </c>
      <c r="I50" s="132">
        <f>Common_InputFunctions.Utility_LookupValueInTableNumber("N2O",Table_GasToMolecularConversionFactor[Gas],Table_GasToMolecularConversionFactor[Conversion factor combined])</f>
        <v>1.5714285714285714</v>
      </c>
      <c r="N50" s="120" t="s">
        <v>1660</v>
      </c>
      <c r="O50" s="125" t="s">
        <v>1763</v>
      </c>
      <c r="P50" s="126"/>
      <c r="Q50" s="120"/>
      <c r="R50" s="128" t="s">
        <v>1501</v>
      </c>
      <c r="S50" s="132"/>
    </row>
    <row r="51" spans="1:19" ht="20.100000000000001" customHeight="1" x14ac:dyDescent="0.2">
      <c r="A51" s="5" t="str">
        <f>HYPERLINK("#'10.1.1-2 Solid waste treatment'!A1", "10.1.1.1-2 Solid waste")</f>
        <v>10.1.1.1-2 Solid waste</v>
      </c>
      <c r="D51" s="120" t="s">
        <v>1675</v>
      </c>
      <c r="E51" s="125" t="s">
        <v>159</v>
      </c>
      <c r="F51" s="126"/>
      <c r="G51" s="120"/>
      <c r="H51" s="269" t="s">
        <v>1469</v>
      </c>
      <c r="I51" s="120" t="str">
        <f>IF(ISBLANK(X_Cell_ManureSentOffsite_ManureProductionSystem), "Pasture", X_Cell_ManureSentOffsite_ManureProductionSystem)</f>
        <v>Crop</v>
      </c>
      <c r="N51" s="120" t="s">
        <v>1675</v>
      </c>
      <c r="O51" s="125" t="s">
        <v>159</v>
      </c>
      <c r="P51" s="126"/>
      <c r="Q51" s="120"/>
      <c r="R51" s="269" t="s">
        <v>1469</v>
      </c>
      <c r="S51" s="120"/>
    </row>
    <row r="52" spans="1:19" ht="20.100000000000001" customHeight="1" x14ac:dyDescent="0.2">
      <c r="A52" s="5" t="str">
        <f>HYPERLINK("#'14.1.1-2 Purchased electricity'!A1", "14.1.1-2 Purchased electricity")</f>
        <v>14.1.1-2 Purchased electricity</v>
      </c>
      <c r="D52" s="120" t="s">
        <v>1677</v>
      </c>
      <c r="E52" s="125" t="s">
        <v>1678</v>
      </c>
      <c r="F52" s="126"/>
      <c r="G52" s="120"/>
      <c r="H52" s="269" t="s">
        <v>1469</v>
      </c>
      <c r="I52" s="120" t="str">
        <f>IF(ISBLANK(X_Cell_ManureSentOffsite_ManureIrrigationMethod), "Not irrigated", X_Cell_ManureSentOffsite_ManureIrrigationMethod)</f>
        <v>Sprinkler irrigation</v>
      </c>
      <c r="N52" s="120" t="s">
        <v>1677</v>
      </c>
      <c r="O52" s="125" t="s">
        <v>1678</v>
      </c>
      <c r="P52" s="126"/>
      <c r="Q52" s="120"/>
      <c r="R52" s="269" t="s">
        <v>1469</v>
      </c>
      <c r="S52" s="120"/>
    </row>
    <row r="53" spans="1:19" ht="20.100000000000001" customHeight="1" x14ac:dyDescent="0.2">
      <c r="A53" s="5" t="str">
        <f>HYPERLINK("#'15 Scope 3'!A1", "15 Scope 3")</f>
        <v>15 Scope 3</v>
      </c>
      <c r="D53" s="120" t="s">
        <v>1679</v>
      </c>
      <c r="E53" s="125" t="s">
        <v>1680</v>
      </c>
      <c r="F53" s="126"/>
      <c r="G53" s="120"/>
      <c r="H53" s="269" t="s">
        <v>1469</v>
      </c>
      <c r="I53" s="120" t="str">
        <f>IF(ISBLANK(X_Cell_Site_RainfallZone), "Low rainfall", X_Cell_Site_RainfallZone)</f>
        <v>High rainfall</v>
      </c>
      <c r="N53" s="120" t="s">
        <v>1679</v>
      </c>
      <c r="O53" s="125" t="s">
        <v>1680</v>
      </c>
      <c r="P53" s="126"/>
      <c r="Q53" s="120"/>
      <c r="R53" s="269" t="s">
        <v>1469</v>
      </c>
      <c r="S53" s="120"/>
    </row>
    <row r="54" spans="1:19" ht="20.100000000000001" customHeight="1" x14ac:dyDescent="0.2">
      <c r="A54" s="119" t="str">
        <f>HYPERLINK("#'Calcs - Manure sent off-site'!A1", "Calcs - Manure sent off-site")</f>
        <v>Calcs - Manure sent off-site</v>
      </c>
    </row>
    <row r="55" spans="1:19" ht="20.100000000000001" customHeight="1" x14ac:dyDescent="0.2">
      <c r="D55" s="87" t="s">
        <v>807</v>
      </c>
      <c r="E55" s="90">
        <f>((I48 * I49) * I50 * 10 ^ -3)</f>
        <v>2.31E-3</v>
      </c>
      <c r="F55" s="89" t="str">
        <f>$E$46</f>
        <v>t N2O</v>
      </c>
      <c r="N55" s="87" t="s">
        <v>807</v>
      </c>
      <c r="O55" s="90">
        <f>((S48 * I49) * I50 * 10 ^ -3)</f>
        <v>4.62E-3</v>
      </c>
      <c r="P55" s="89" t="str">
        <f>$E$46</f>
        <v>t N2O</v>
      </c>
    </row>
    <row r="57" spans="1:19" ht="20.100000000000001" customHeight="1" x14ac:dyDescent="0.2">
      <c r="A57" s="82" t="s">
        <v>1</v>
      </c>
    </row>
    <row r="58" spans="1:19" ht="20.100000000000001" customHeight="1" x14ac:dyDescent="0.2">
      <c r="A58" s="5" t="str">
        <f>HYPERLINK("#'Constants - Dairy'!A1", "Constants - Dairy")</f>
        <v>Constants - Dairy</v>
      </c>
    </row>
    <row r="59" spans="1:19" ht="20.100000000000001" customHeight="1" x14ac:dyDescent="0.2">
      <c r="A59" s="5" t="str">
        <f>HYPERLINK("#'Constants - Ag Residue'!A1", "Constants - Ag residue")</f>
        <v>Constants - Ag residue</v>
      </c>
      <c r="D59" s="2" t="s">
        <v>1856</v>
      </c>
      <c r="N59" s="2" t="s">
        <v>1856</v>
      </c>
    </row>
    <row r="60" spans="1:19" ht="20.100000000000001" customHeight="1" x14ac:dyDescent="0.2">
      <c r="A60" s="5" t="str">
        <f>HYPERLINK("#'Constants - Common Livestock'!A1", "Constants - Common Livestock")</f>
        <v>Constants - Common Livestock</v>
      </c>
      <c r="D60" s="17" t="s">
        <v>1857</v>
      </c>
      <c r="N60" s="17" t="s">
        <v>1857</v>
      </c>
    </row>
    <row r="61" spans="1:19" ht="20.100000000000001" customHeight="1" x14ac:dyDescent="0.2">
      <c r="A61" s="5" t="str">
        <f>HYPERLINK("#'Constants - Electricity'!A1", "Constants - Electricity")</f>
        <v>Constants - Electricity</v>
      </c>
      <c r="D61" s="118"/>
      <c r="E61" s="118"/>
      <c r="N61" s="118"/>
      <c r="O61" s="118"/>
    </row>
    <row r="62" spans="1:19" ht="20.100000000000001" customHeight="1" x14ac:dyDescent="0.2">
      <c r="A62" s="5" t="str">
        <f>HYPERLINK("#'Constants - Fertiliser'!A1", "Constants - Fertiliser")</f>
        <v>Constants - Fertiliser</v>
      </c>
    </row>
    <row r="63" spans="1:19" ht="20.100000000000001" customHeight="1" x14ac:dyDescent="0.2">
      <c r="A63" s="5" t="str">
        <f>HYPERLINK("#'Constants - Fuel'!A1", "Constants - Fuel")</f>
        <v>Constants - Fuel</v>
      </c>
    </row>
    <row r="64" spans="1:19" ht="20.100000000000001" customHeight="1" x14ac:dyDescent="0.2">
      <c r="A64" s="5" t="str">
        <f>HYPERLINK("#'Constants - Scope 3'!A1", "Constants - Scope 3")</f>
        <v>Constants - Scope 3</v>
      </c>
      <c r="D64" s="76" t="s">
        <v>378</v>
      </c>
      <c r="E64" s="1" t="s">
        <v>1858</v>
      </c>
      <c r="N64" s="76" t="s">
        <v>378</v>
      </c>
      <c r="O64" s="1" t="s">
        <v>1858</v>
      </c>
    </row>
    <row r="65" spans="1:19" ht="20.100000000000001" customHeight="1" x14ac:dyDescent="0.2">
      <c r="A65" s="5" t="str">
        <f>HYPERLINK("#'Constants - Common'!A1", "Constants - Common")</f>
        <v>Constants - Common</v>
      </c>
      <c r="D65" s="76" t="s">
        <v>118</v>
      </c>
      <c r="E65" s="9" t="s">
        <v>1301</v>
      </c>
      <c r="N65" s="76" t="s">
        <v>118</v>
      </c>
      <c r="O65" s="9" t="s">
        <v>1301</v>
      </c>
    </row>
    <row r="66" spans="1:19" ht="20.100000000000001" customHeight="1" x14ac:dyDescent="0.2">
      <c r="A66" s="5" t="str">
        <f>HYPERLINK("#'Constants - Refrigerants'!A1", "Constants - Refrigerants")</f>
        <v>Constants - Refrigerants</v>
      </c>
    </row>
    <row r="67" spans="1:19" ht="20.100000000000001" customHeight="1" x14ac:dyDescent="0.2">
      <c r="A67" s="5" t="str">
        <f>HYPERLINK("#'Constants - Solid Waste'!A1", "Constants - Solid Waste")</f>
        <v>Constants - Solid Waste</v>
      </c>
      <c r="D67" s="120" t="s">
        <v>1798</v>
      </c>
      <c r="E67" s="125" t="s">
        <v>1859</v>
      </c>
      <c r="F67" s="126"/>
      <c r="G67" s="120" t="s">
        <v>1301</v>
      </c>
      <c r="H67" s="128" t="s">
        <v>1808</v>
      </c>
      <c r="I67" s="120">
        <f>X_Cell_ManureSentOffsite_MassNitrogenManure_Method1</f>
        <v>1000</v>
      </c>
      <c r="N67" s="120" t="s">
        <v>1798</v>
      </c>
      <c r="O67" s="125" t="s">
        <v>1859</v>
      </c>
      <c r="P67" s="126"/>
      <c r="Q67" s="120" t="s">
        <v>1301</v>
      </c>
      <c r="R67" s="128" t="s">
        <v>1808</v>
      </c>
      <c r="S67" s="120">
        <f>X_Cell_ManureSentOffsite_MassNitrogenManure_Method2</f>
        <v>2000</v>
      </c>
    </row>
    <row r="68" spans="1:19" ht="20.100000000000001" customHeight="1" x14ac:dyDescent="0.2">
      <c r="A68" s="5" t="str">
        <f>HYPERLINK("#'Acknowledgements'!A1", "Acknowledgements")</f>
        <v>Acknowledgements</v>
      </c>
      <c r="D68" s="120" t="s">
        <v>1855</v>
      </c>
      <c r="E68" s="125" t="s">
        <v>1734</v>
      </c>
      <c r="F68" s="126"/>
      <c r="G68" s="120" t="s">
        <v>383</v>
      </c>
      <c r="H68" s="128" t="s">
        <v>1501</v>
      </c>
      <c r="I68" s="120">
        <f>Common_InputFunctions.CommonCropping_GetFracWET(I70,I72,Table_SourceData_FracWET[Is in leaching zone],Table_SourceData_FracWET[FracWET],Table_SourceData_FracWETIrrigation[Irrigation type i],Table_SourceData_FracWETIrrigation[FracWET])</f>
        <v>1</v>
      </c>
      <c r="N68" s="120" t="s">
        <v>1855</v>
      </c>
      <c r="O68" s="125" t="s">
        <v>1734</v>
      </c>
      <c r="P68" s="126"/>
      <c r="Q68" s="120" t="s">
        <v>383</v>
      </c>
      <c r="R68" s="128" t="s">
        <v>1501</v>
      </c>
      <c r="S68" s="120"/>
    </row>
    <row r="69" spans="1:19" ht="20.100000000000001" customHeight="1" x14ac:dyDescent="0.2">
      <c r="D69" s="120" t="s">
        <v>1735</v>
      </c>
      <c r="E69" s="125" t="s">
        <v>1690</v>
      </c>
      <c r="F69" s="126"/>
      <c r="G69" s="120" t="s">
        <v>383</v>
      </c>
      <c r="H69" s="128" t="s">
        <v>1501</v>
      </c>
      <c r="I69" s="120">
        <f>Fertiliser_FracLEACH_Data</f>
        <v>0.24</v>
      </c>
      <c r="N69" s="120" t="s">
        <v>1735</v>
      </c>
      <c r="O69" s="125" t="s">
        <v>1690</v>
      </c>
      <c r="P69" s="126"/>
      <c r="Q69" s="120" t="s">
        <v>383</v>
      </c>
      <c r="R69" s="128" t="s">
        <v>1501</v>
      </c>
      <c r="S69" s="120"/>
    </row>
    <row r="70" spans="1:19" ht="20.100000000000001" customHeight="1" x14ac:dyDescent="0.2">
      <c r="D70" s="120" t="s">
        <v>1691</v>
      </c>
      <c r="E70" s="125" t="s">
        <v>1692</v>
      </c>
      <c r="F70" s="126"/>
      <c r="G70" s="120"/>
      <c r="H70" s="269" t="s">
        <v>1469</v>
      </c>
      <c r="I70" s="120" t="str">
        <f>X_Cell_Site_LeachingZone</f>
        <v>NO - Not in leaching zone</v>
      </c>
      <c r="N70" s="120" t="s">
        <v>1691</v>
      </c>
      <c r="O70" s="125" t="s">
        <v>1692</v>
      </c>
      <c r="P70" s="126"/>
      <c r="Q70" s="120"/>
      <c r="R70" s="269" t="s">
        <v>1469</v>
      </c>
      <c r="S70" s="120"/>
    </row>
    <row r="71" spans="1:19" ht="20.100000000000001" customHeight="1" x14ac:dyDescent="0.2">
      <c r="D71" s="120" t="s">
        <v>1675</v>
      </c>
      <c r="E71" s="125" t="s">
        <v>1676</v>
      </c>
      <c r="F71" s="126"/>
      <c r="G71" s="120"/>
      <c r="H71" s="269" t="s">
        <v>1469</v>
      </c>
      <c r="I71" s="120" t="str">
        <f>IF(ISBLANK(X_Cell_ManureSentOffsite_ManureProductionSystem), "Pasture", X_Cell_ManureSentOffsite_ManureProductionSystem)</f>
        <v>Crop</v>
      </c>
      <c r="N71" s="120" t="s">
        <v>1675</v>
      </c>
      <c r="O71" s="125" t="s">
        <v>1676</v>
      </c>
      <c r="P71" s="126"/>
      <c r="Q71" s="120"/>
      <c r="R71" s="269" t="s">
        <v>1469</v>
      </c>
      <c r="S71" s="120"/>
    </row>
    <row r="72" spans="1:19" ht="20.100000000000001" customHeight="1" x14ac:dyDescent="0.2">
      <c r="D72" s="120" t="s">
        <v>1677</v>
      </c>
      <c r="E72" s="125" t="s">
        <v>1678</v>
      </c>
      <c r="F72" s="126"/>
      <c r="G72" s="120"/>
      <c r="H72" s="269" t="s">
        <v>1469</v>
      </c>
      <c r="I72" s="120" t="str">
        <f>IF(ISBLANK(X_Cell_ManureSentOffsite_ManureIrrigationMethod), "Not irrigated", X_Cell_ManureSentOffsite_ManureIrrigationMethod)</f>
        <v>Sprinkler irrigation</v>
      </c>
      <c r="N72" s="120" t="s">
        <v>1677</v>
      </c>
      <c r="O72" s="125" t="s">
        <v>1678</v>
      </c>
      <c r="P72" s="126"/>
      <c r="Q72" s="120"/>
      <c r="R72" s="269" t="s">
        <v>1469</v>
      </c>
      <c r="S72" s="120"/>
    </row>
    <row r="74" spans="1:19" ht="20.100000000000001" customHeight="1" x14ac:dyDescent="0.2">
      <c r="D74" s="92" t="s">
        <v>1431</v>
      </c>
      <c r="E74" s="88">
        <f>(I67 * I68 * I69)</f>
        <v>240</v>
      </c>
      <c r="F74" s="93" t="str">
        <f>$E$65</f>
        <v>kg N</v>
      </c>
      <c r="N74" s="92" t="s">
        <v>1431</v>
      </c>
      <c r="O74" s="88">
        <f>(S67 * I68 * I69)</f>
        <v>480</v>
      </c>
      <c r="P74" s="93" t="str">
        <f>$E$65</f>
        <v>kg N</v>
      </c>
    </row>
    <row r="77" spans="1:19" ht="20.100000000000001" customHeight="1" x14ac:dyDescent="0.2">
      <c r="D77" s="2" t="s">
        <v>1860</v>
      </c>
      <c r="N77" s="2" t="s">
        <v>1860</v>
      </c>
    </row>
    <row r="78" spans="1:19" ht="20.100000000000001" customHeight="1" x14ac:dyDescent="0.2">
      <c r="D78" s="17" t="s">
        <v>1861</v>
      </c>
      <c r="N78" s="17" t="s">
        <v>1861</v>
      </c>
    </row>
    <row r="79" spans="1:19" ht="20.100000000000001" customHeight="1" x14ac:dyDescent="0.2">
      <c r="A79" s="129" t="str">
        <f>HYPERLINK("#A1", "▲ Back to top")</f>
        <v>▲ Back to top</v>
      </c>
      <c r="D79" s="118"/>
      <c r="E79" s="118"/>
      <c r="N79" s="118"/>
      <c r="O79" s="118"/>
    </row>
    <row r="82" spans="4:20" ht="20.100000000000001" customHeight="1" x14ac:dyDescent="0.2">
      <c r="D82" s="76" t="s">
        <v>378</v>
      </c>
      <c r="E82" s="1" t="s">
        <v>1862</v>
      </c>
      <c r="N82" s="76" t="s">
        <v>378</v>
      </c>
      <c r="O82" s="1" t="s">
        <v>1862</v>
      </c>
    </row>
    <row r="83" spans="4:20" ht="20.100000000000001" customHeight="1" x14ac:dyDescent="0.2">
      <c r="D83" s="76" t="s">
        <v>118</v>
      </c>
      <c r="E83" s="9" t="s">
        <v>11</v>
      </c>
      <c r="N83" s="76" t="s">
        <v>118</v>
      </c>
      <c r="O83" s="9" t="s">
        <v>11</v>
      </c>
    </row>
    <row r="85" spans="4:20" ht="20.100000000000001" customHeight="1" x14ac:dyDescent="0.2">
      <c r="D85" s="120" t="s">
        <v>1853</v>
      </c>
      <c r="E85" s="125" t="s">
        <v>1863</v>
      </c>
      <c r="F85" s="133"/>
      <c r="G85" s="126"/>
      <c r="H85" s="120" t="s">
        <v>1301</v>
      </c>
      <c r="I85" s="128" t="s">
        <v>1866</v>
      </c>
      <c r="J85" s="120">
        <v>0</v>
      </c>
      <c r="N85" s="120" t="s">
        <v>1853</v>
      </c>
      <c r="O85" s="125" t="s">
        <v>1863</v>
      </c>
      <c r="P85" s="133"/>
      <c r="Q85" s="126"/>
      <c r="R85" s="120" t="s">
        <v>1301</v>
      </c>
      <c r="S85" s="128" t="s">
        <v>1866</v>
      </c>
      <c r="T85" s="120"/>
    </row>
    <row r="86" spans="4:20" ht="20.100000000000001" customHeight="1" x14ac:dyDescent="0.2">
      <c r="D86" s="120" t="s">
        <v>1858</v>
      </c>
      <c r="E86" s="125" t="s">
        <v>1864</v>
      </c>
      <c r="F86" s="133"/>
      <c r="G86" s="126"/>
      <c r="H86" s="120" t="s">
        <v>1301</v>
      </c>
      <c r="I86" s="128" t="s">
        <v>1867</v>
      </c>
      <c r="J86" s="120">
        <f>E74</f>
        <v>240</v>
      </c>
      <c r="N86" s="120" t="s">
        <v>1858</v>
      </c>
      <c r="O86" s="125" t="s">
        <v>1864</v>
      </c>
      <c r="P86" s="133"/>
      <c r="Q86" s="126"/>
      <c r="R86" s="120" t="s">
        <v>1301</v>
      </c>
      <c r="S86" s="128" t="s">
        <v>1867</v>
      </c>
      <c r="T86" s="120">
        <f>O74</f>
        <v>480</v>
      </c>
    </row>
    <row r="87" spans="4:20" ht="20.100000000000001" customHeight="1" x14ac:dyDescent="0.2">
      <c r="D87" s="120" t="s">
        <v>1698</v>
      </c>
      <c r="E87" s="125" t="s">
        <v>1865</v>
      </c>
      <c r="F87" s="133"/>
      <c r="G87" s="126"/>
      <c r="H87" s="120" t="s">
        <v>1663</v>
      </c>
      <c r="I87" s="128" t="s">
        <v>1501</v>
      </c>
      <c r="J87" s="120">
        <f>Fertiliser_EFLeach_Data</f>
        <v>1.0999999999999999E-2</v>
      </c>
      <c r="N87" s="120" t="s">
        <v>1698</v>
      </c>
      <c r="O87" s="125" t="s">
        <v>1865</v>
      </c>
      <c r="P87" s="133"/>
      <c r="Q87" s="126"/>
      <c r="R87" s="120" t="s">
        <v>1663</v>
      </c>
      <c r="S87" s="128" t="s">
        <v>1501</v>
      </c>
      <c r="T87" s="120"/>
    </row>
    <row r="88" spans="4:20" ht="20.100000000000001" customHeight="1" x14ac:dyDescent="0.2">
      <c r="D88" s="120" t="s">
        <v>1660</v>
      </c>
      <c r="E88" s="125" t="s">
        <v>1763</v>
      </c>
      <c r="F88" s="133"/>
      <c r="G88" s="126"/>
      <c r="H88" s="120"/>
      <c r="I88" s="128" t="s">
        <v>1501</v>
      </c>
      <c r="J88" s="132">
        <f>Common_InputFunctions.Utility_LookupValueInTableNumber("N2O",Table_GasToMolecularConversionFactor[Gas],Table_GasToMolecularConversionFactor[Conversion factor combined])</f>
        <v>1.5714285714285714</v>
      </c>
      <c r="N88" s="120" t="s">
        <v>1660</v>
      </c>
      <c r="O88" s="125" t="s">
        <v>1763</v>
      </c>
      <c r="P88" s="133"/>
      <c r="Q88" s="126"/>
      <c r="R88" s="120"/>
      <c r="S88" s="128" t="s">
        <v>1501</v>
      </c>
      <c r="T88" s="132"/>
    </row>
    <row r="90" spans="4:20" ht="20.100000000000001" customHeight="1" x14ac:dyDescent="0.2">
      <c r="D90" s="87" t="s">
        <v>824</v>
      </c>
      <c r="E90" s="90">
        <f>((J85 + J86) * J87 * J88 * 10 ^ -3)</f>
        <v>4.1485714285714277E-3</v>
      </c>
      <c r="F90" s="89" t="str">
        <f>$E$83</f>
        <v>t N2O</v>
      </c>
      <c r="N90" s="87" t="s">
        <v>824</v>
      </c>
      <c r="O90" s="90">
        <f>((J85 + T86) * J87 * J88 * 10 ^ -3)</f>
        <v>8.2971428571428554E-3</v>
      </c>
      <c r="P90" s="89" t="str">
        <f>$E$83</f>
        <v>t N2O</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8DF87-D2EA-4C78-AF1E-A2CBFFA6BFB5}">
  <sheetPr>
    <tabColor theme="2" tint="-0.499984740745262"/>
  </sheetPr>
  <dimension ref="A1:V288"/>
  <sheetViews>
    <sheetView showGridLines="0" zoomScaleNormal="100" workbookViewId="0">
      <pane xSplit="1" topLeftCell="B1" activePane="topRight" state="frozenSplit"/>
      <selection pane="topRight" activeCell="A199" sqref="A199"/>
    </sheetView>
  </sheetViews>
  <sheetFormatPr defaultRowHeight="20.100000000000001" customHeight="1" x14ac:dyDescent="0.2"/>
  <cols>
    <col min="1" max="1" width="36.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0" customFormat="1" ht="30" customHeight="1" x14ac:dyDescent="0.35">
      <c r="A1" s="10" t="e" vm="1">
        <v>#VALUE!</v>
      </c>
      <c r="C1" s="20" t="s">
        <v>609</v>
      </c>
    </row>
    <row r="2" spans="1:21" s="3" customFormat="1" ht="20.100000000000001" customHeight="1" x14ac:dyDescent="0.2">
      <c r="A2"/>
    </row>
    <row r="3" spans="1:2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row>
    <row r="4" spans="1:21" ht="20.100000000000001" customHeight="1" x14ac:dyDescent="0.2">
      <c r="A4" s="5" t="str">
        <f>HYPERLINK("#'Results - Activity period'!A1", "Results - Activity period")</f>
        <v>Results - Activity period</v>
      </c>
      <c r="M4" s="8"/>
    </row>
    <row r="5" spans="1:21" ht="20.100000000000001" customHeight="1" x14ac:dyDescent="0.2">
      <c r="A5" s="5" t="str">
        <f>HYPERLINK("#'Results - Product EI'!A1", "Results - Product Emissions Intensity")</f>
        <v>Results - Product Emissions Intensity</v>
      </c>
      <c r="D5" s="2" t="s">
        <v>610</v>
      </c>
      <c r="G5" s="2" t="s">
        <v>611</v>
      </c>
      <c r="J5" s="2" t="s">
        <v>612</v>
      </c>
      <c r="L5" s="2" t="s">
        <v>613</v>
      </c>
      <c r="M5" s="1"/>
    </row>
    <row r="6" spans="1:21" ht="20.100000000000001" customHeight="1" x14ac:dyDescent="0.2">
      <c r="A6" s="5" t="str">
        <f>HYPERLINK("#'Results'!A1", "Results")</f>
        <v>Results</v>
      </c>
      <c r="L6" s="1" t="s">
        <v>614</v>
      </c>
      <c r="M6" s="1"/>
    </row>
    <row r="7" spans="1:21" ht="20.100000000000001" customHeight="1" x14ac:dyDescent="0.2">
      <c r="D7" s="142" t="s">
        <v>422</v>
      </c>
      <c r="E7" s="19" t="s">
        <v>615</v>
      </c>
      <c r="G7" s="19" t="s">
        <v>159</v>
      </c>
      <c r="J7" s="19" t="s">
        <v>63</v>
      </c>
      <c r="L7" s="19" t="s">
        <v>616</v>
      </c>
      <c r="M7" s="1"/>
    </row>
    <row r="8" spans="1:21" ht="20.100000000000001" customHeight="1" x14ac:dyDescent="0.2">
      <c r="D8" s="19" t="str">
        <f>'Constants - Common Livestock'!$E$10</f>
        <v>Anaerobic lagoon</v>
      </c>
      <c r="E8" s="19" t="str">
        <f>'Constants - Common Livestock'!$F$10</f>
        <v>Anaerobic lagoon (m=1)</v>
      </c>
      <c r="G8" s="19" t="str">
        <f>'Constants - Common'!$F$187</f>
        <v>Pasture</v>
      </c>
      <c r="J8" s="19" t="s">
        <v>617</v>
      </c>
      <c r="L8" s="19" t="s">
        <v>330</v>
      </c>
      <c r="M8" s="1"/>
    </row>
    <row r="9" spans="1:21" ht="20.100000000000001" customHeight="1" x14ac:dyDescent="0.2">
      <c r="A9" s="7" t="s">
        <v>0</v>
      </c>
      <c r="D9" s="19" t="str">
        <f>'Constants - Common Livestock'!$E$13</f>
        <v>Sump and dispersal system</v>
      </c>
      <c r="E9" s="19" t="str">
        <f>'Constants - Common Livestock'!$F$13</f>
        <v>Sump and dispersal system (m=3a)</v>
      </c>
      <c r="G9" s="1" t="str">
        <f>'Constants - Common'!$F$188</f>
        <v>Crop</v>
      </c>
      <c r="J9" s="19" t="s">
        <v>618</v>
      </c>
      <c r="L9" s="19" t="s">
        <v>331</v>
      </c>
      <c r="M9" s="1"/>
    </row>
    <row r="10" spans="1:21" ht="20.100000000000001" customHeight="1" x14ac:dyDescent="0.2">
      <c r="A10" s="5" t="str">
        <f>HYPERLINK("#'Input - Enterprise'!A1", "Enterprise")</f>
        <v>Enterprise</v>
      </c>
      <c r="D10" s="19" t="str">
        <f>'Constants - Common Livestock'!$E$14</f>
        <v>Drains to paddock</v>
      </c>
      <c r="E10" s="19" t="str">
        <f>'Constants - Common Livestock'!$F$14</f>
        <v>Drains to paddock (m=3b)</v>
      </c>
      <c r="J10" s="1" t="s">
        <v>376</v>
      </c>
      <c r="L10" s="19" t="s">
        <v>332</v>
      </c>
      <c r="M10" s="1"/>
    </row>
    <row r="11" spans="1:21" ht="20.100000000000001" customHeight="1" x14ac:dyDescent="0.2">
      <c r="A11" s="5" t="str">
        <f>HYPERLINK("#'Input - Site'!A1", "Site")</f>
        <v>Site</v>
      </c>
      <c r="D11" s="19" t="str">
        <f>'Constants - Common Livestock'!$E$15</f>
        <v>Solid storage</v>
      </c>
      <c r="E11" s="19" t="str">
        <f>'Constants - Common Livestock'!$F$15</f>
        <v>Solid storage (m=4)</v>
      </c>
      <c r="J11" s="1" t="s">
        <v>619</v>
      </c>
      <c r="L11" s="19" t="s">
        <v>333</v>
      </c>
      <c r="M11" s="1"/>
    </row>
    <row r="12" spans="1:21" ht="20.100000000000001" customHeight="1" x14ac:dyDescent="0.2">
      <c r="A12" s="5" t="str">
        <f>HYPERLINK("#'Input - Dairy'!A1", "Dairy")</f>
        <v>Dairy</v>
      </c>
      <c r="J12" s="1" t="s">
        <v>620</v>
      </c>
      <c r="L12" s="19" t="s">
        <v>334</v>
      </c>
      <c r="M12" s="1"/>
    </row>
    <row r="13" spans="1:21" ht="20.100000000000001" customHeight="1" x14ac:dyDescent="0.2">
      <c r="A13" s="5" t="str">
        <f>HYPERLINK("#'Input - Livestock sales'!A1", "Livestock sales")</f>
        <v>Livestock sales</v>
      </c>
      <c r="M13" s="1"/>
    </row>
    <row r="14" spans="1:21" ht="20.100000000000001" customHeight="1" x14ac:dyDescent="0.2">
      <c r="A14" s="5" t="str">
        <f>HYPERLINK("#'Input - Dairy cattle purchases'!A1", "Dairy cattle purchases")</f>
        <v>Dairy cattle purchases</v>
      </c>
      <c r="M14" s="1"/>
    </row>
    <row r="15" spans="1:21" ht="20.100000000000001" customHeight="1" x14ac:dyDescent="0.2">
      <c r="A15" s="5" t="str">
        <f>HYPERLINK("#'Input - Pasture'!A1", "Pasture")</f>
        <v>Pasture</v>
      </c>
      <c r="M15" s="1"/>
    </row>
    <row r="16" spans="1:21" ht="20.100000000000001" customHeight="1" x14ac:dyDescent="0.2">
      <c r="A16" s="5" t="str">
        <f>HYPERLINK("#'Input - Fert Prod System'!A1", "Fert Prod System")</f>
        <v>Fert Prod System</v>
      </c>
      <c r="D16" s="2" t="s">
        <v>2161</v>
      </c>
      <c r="M16" s="1"/>
    </row>
    <row r="17" spans="1:13" ht="20.100000000000001" customHeight="1" x14ac:dyDescent="0.2">
      <c r="A17" s="5" t="str">
        <f>HYPERLINK("#'Input - Fertiliser'!A1", "Fertiliser")</f>
        <v>Fertiliser</v>
      </c>
      <c r="D17" s="17" t="s">
        <v>2162</v>
      </c>
      <c r="M17" s="1"/>
    </row>
    <row r="18" spans="1:13" ht="20.100000000000001" customHeight="1" x14ac:dyDescent="0.2">
      <c r="A18" s="5" t="str">
        <f>HYPERLINK("#'Input - Fuel'!A1", "Fuel")</f>
        <v>Fuel</v>
      </c>
      <c r="D18" s="1" t="s">
        <v>2163</v>
      </c>
      <c r="M18" s="1"/>
    </row>
    <row r="19" spans="1:13" ht="20.100000000000001" customHeight="1" x14ac:dyDescent="0.2">
      <c r="A19" s="5" t="str">
        <f>HYPERLINK("#'Input - Electricity'!A1", "Electricity")</f>
        <v>Electricity</v>
      </c>
      <c r="D19" s="9" t="s">
        <v>738</v>
      </c>
      <c r="M19" s="1"/>
    </row>
    <row r="20" spans="1:13" ht="20.100000000000001" customHeight="1" x14ac:dyDescent="0.2">
      <c r="A20" s="5" t="str">
        <f>HYPERLINK("#'Input - Common farm inputs'!A1", "Common farm inputs")</f>
        <v>Common farm inputs</v>
      </c>
      <c r="D20" s="25">
        <v>-2146826259</v>
      </c>
      <c r="M20" s="1"/>
    </row>
    <row r="21" spans="1:13" ht="20.100000000000001" customHeight="1" x14ac:dyDescent="0.2">
      <c r="A21" s="5" t="str">
        <f>HYPERLINK("#'Input - Crop pasture farm input'!A1", "Crop pasture farm input")</f>
        <v>Crop pasture farm input</v>
      </c>
      <c r="D21" s="19" t="s">
        <v>328</v>
      </c>
      <c r="E21" s="19" t="s">
        <v>330</v>
      </c>
      <c r="F21" s="19" t="s">
        <v>621</v>
      </c>
      <c r="G21" s="19" t="s">
        <v>622</v>
      </c>
      <c r="M21" s="1"/>
    </row>
    <row r="22" spans="1:13" ht="20.100000000000001" customHeight="1" x14ac:dyDescent="0.2">
      <c r="A22" s="5" t="str">
        <f>HYPERLINK("#'Input - Livestock farm Inputs'!A1", "Livestock farm Inputs")</f>
        <v>Livestock farm Inputs</v>
      </c>
      <c r="D22" s="19" t="s">
        <v>329</v>
      </c>
      <c r="E22" s="19">
        <v>550</v>
      </c>
      <c r="F22" s="19">
        <v>380</v>
      </c>
      <c r="G22" s="19">
        <v>155</v>
      </c>
      <c r="M22" s="1"/>
    </row>
    <row r="23" spans="1:13" ht="20.100000000000001" customHeight="1" x14ac:dyDescent="0.2">
      <c r="A23" s="5" t="str">
        <f>HYPERLINK("#'Input - Freight'!A1", "Freight")</f>
        <v>Freight</v>
      </c>
      <c r="D23" s="19" t="s">
        <v>2164</v>
      </c>
      <c r="E23" s="19">
        <v>600</v>
      </c>
      <c r="F23" s="19">
        <v>415</v>
      </c>
      <c r="G23" s="19">
        <v>170</v>
      </c>
      <c r="M23" s="1"/>
    </row>
    <row r="24" spans="1:13" ht="20.100000000000001" customHeight="1" x14ac:dyDescent="0.2">
      <c r="A24" s="5" t="str">
        <f>HYPERLINK("#'Input - Solid waste'!A1", "Solid waste")</f>
        <v>Solid waste</v>
      </c>
      <c r="D24" s="19" t="s">
        <v>2165</v>
      </c>
      <c r="E24" s="19">
        <v>650</v>
      </c>
      <c r="F24" s="19">
        <v>450</v>
      </c>
      <c r="G24" s="19">
        <v>185</v>
      </c>
      <c r="M24" s="1"/>
    </row>
    <row r="25" spans="1:13" ht="20.100000000000001" customHeight="1" x14ac:dyDescent="0.2">
      <c r="A25" s="5" t="str">
        <f>HYPERLINK("#'Input - Manure sent off-site'!A1", "Manure sent off-site")</f>
        <v>Manure sent off-site</v>
      </c>
      <c r="D25" s="19" t="s">
        <v>2166</v>
      </c>
      <c r="E25" s="19">
        <v>500</v>
      </c>
      <c r="F25" s="19">
        <v>350</v>
      </c>
      <c r="G25" s="19">
        <v>145</v>
      </c>
      <c r="M25" s="1"/>
    </row>
    <row r="26" spans="1:13" ht="20.100000000000001" customHeight="1" x14ac:dyDescent="0.2">
      <c r="A26" s="5" t="str">
        <f>HYPERLINK("#'Input - Refrigerants'!A1", "Refrigerants")</f>
        <v>Refrigerants</v>
      </c>
      <c r="D26" s="19" t="s">
        <v>2167</v>
      </c>
      <c r="E26" s="19">
        <v>400</v>
      </c>
      <c r="F26" s="19">
        <v>275</v>
      </c>
      <c r="G26" s="19">
        <v>115</v>
      </c>
      <c r="M26" s="1"/>
    </row>
    <row r="27" spans="1:13" ht="20.100000000000001" customHeight="1" x14ac:dyDescent="0.2">
      <c r="A27" s="5" t="str">
        <f>HYPERLINK("#'Input - Data quality'!A1", "Data quality")</f>
        <v>Data quality</v>
      </c>
      <c r="D27" s="19" t="s">
        <v>1191</v>
      </c>
      <c r="E27" s="19">
        <v>450</v>
      </c>
      <c r="F27" s="19">
        <v>315</v>
      </c>
      <c r="G27" s="19">
        <v>130</v>
      </c>
      <c r="M27" s="1"/>
    </row>
    <row r="28" spans="1:13" ht="20.100000000000001" customHeight="1" x14ac:dyDescent="0.2">
      <c r="D28" s="19" t="s">
        <v>1192</v>
      </c>
      <c r="E28" s="19">
        <v>540</v>
      </c>
      <c r="F28" s="19">
        <v>375</v>
      </c>
      <c r="G28" s="19">
        <v>150</v>
      </c>
      <c r="M28" s="1"/>
    </row>
    <row r="29" spans="1:13" ht="20.100000000000001" customHeight="1" x14ac:dyDescent="0.2">
      <c r="D29" s="19" t="s">
        <v>2168</v>
      </c>
      <c r="E29" s="19">
        <v>480</v>
      </c>
      <c r="F29" s="19">
        <v>335</v>
      </c>
      <c r="G29" s="19">
        <v>140</v>
      </c>
      <c r="M29" s="1"/>
    </row>
    <row r="30" spans="1:13" ht="20.100000000000001" customHeight="1" x14ac:dyDescent="0.2">
      <c r="A30" s="6" t="s">
        <v>2</v>
      </c>
      <c r="D30" s="19" t="s">
        <v>2169</v>
      </c>
      <c r="E30" s="19">
        <v>600</v>
      </c>
      <c r="F30" s="19">
        <v>415</v>
      </c>
      <c r="G30" s="19">
        <v>170</v>
      </c>
      <c r="M30" s="1"/>
    </row>
    <row r="31" spans="1:13" ht="20.100000000000001" customHeight="1" x14ac:dyDescent="0.2">
      <c r="A31" s="5" t="str">
        <f>HYPERLINK("#'3.3.1.1-2 Enteric Methane'!A1", "3.3.1.1-2 Enteric methane")</f>
        <v>3.3.1.1-2 Enteric methane</v>
      </c>
      <c r="D31" s="19" t="s">
        <v>2170</v>
      </c>
      <c r="E31" s="19">
        <v>550</v>
      </c>
      <c r="F31" s="19">
        <v>375</v>
      </c>
      <c r="G31" s="19">
        <v>150</v>
      </c>
      <c r="M31" s="1"/>
    </row>
    <row r="32" spans="1:13" ht="20.100000000000001" customHeight="1" x14ac:dyDescent="0.2">
      <c r="A32" s="5" t="str">
        <f>HYPERLINK("#'4.3.1.1-2 Methane'!A1", "4.3.1.1-2 Manure methane")</f>
        <v>4.3.1.1-2 Manure methane</v>
      </c>
      <c r="M32" s="1"/>
    </row>
    <row r="33" spans="1:13" ht="20.100000000000001" customHeight="1" x14ac:dyDescent="0.2">
      <c r="A33" s="5" t="str">
        <f>HYPERLINK("#'4.3.1.3-4 Direct N20'!A1", "4.3.1.3-4 Direct N20")</f>
        <v>4.3.1.3-4 Direct N20</v>
      </c>
      <c r="M33" s="1"/>
    </row>
    <row r="34" spans="1:13" ht="20.100000000000001" customHeight="1" x14ac:dyDescent="0.2">
      <c r="A34" s="5" t="str">
        <f>HYPERLINK("#'4.3.1.5 Atmos deposition'!A1", "4.3.1.5 Atmos deposition")</f>
        <v>4.3.1.5 Atmos deposition</v>
      </c>
      <c r="D34" s="2" t="s">
        <v>2171</v>
      </c>
      <c r="M34" s="1"/>
    </row>
    <row r="35" spans="1:13" ht="20.100000000000001" customHeight="1" x14ac:dyDescent="0.2">
      <c r="A35" s="5" t="str">
        <f>HYPERLINK("#'4.3.1.6-7 Leaching and runoff'!A1", "4.3.1.6-7 Leaching &amp; runoff")</f>
        <v>4.3.1.6-7 Leaching &amp; runoff</v>
      </c>
      <c r="D35" s="17" t="s">
        <v>2172</v>
      </c>
      <c r="M35" s="1"/>
    </row>
    <row r="36" spans="1:13" ht="20.100000000000001" customHeight="1" x14ac:dyDescent="0.2">
      <c r="A36" s="5" t="str">
        <f>HYPERLINK("#'4.3.1.8 Manure applied to soils'!A1", "4.3.1.8 Manure applied to soils")</f>
        <v>4.3.1.8 Manure applied to soils</v>
      </c>
      <c r="D36" s="1" t="s">
        <v>2163</v>
      </c>
      <c r="M36" s="1"/>
    </row>
    <row r="37" spans="1:13" ht="20.100000000000001" customHeight="1" x14ac:dyDescent="0.2">
      <c r="A37" s="5" t="str">
        <f>HYPERLINK("#'4.3.1.9 Soil direct N2O'!A1", "4.3.1.9 Soil direct N2O")</f>
        <v>4.3.1.9 Soil direct N2O</v>
      </c>
      <c r="D37" s="9" t="s">
        <v>738</v>
      </c>
      <c r="M37" s="1"/>
    </row>
    <row r="38" spans="1:13" ht="20.100000000000001" customHeight="1" x14ac:dyDescent="0.2">
      <c r="A38" s="5" t="str">
        <f>HYPERLINK("#'4.3.1.10-11 Soil Atmos Dep'!A1", "4.3.1.10-11 Soil Atmos Deposition")</f>
        <v>4.3.1.10-11 Soil Atmos Deposition</v>
      </c>
      <c r="D38" s="19" t="s">
        <v>328</v>
      </c>
      <c r="E38" s="19" t="s">
        <v>623</v>
      </c>
      <c r="F38" s="19" t="s">
        <v>624</v>
      </c>
      <c r="M38" s="1"/>
    </row>
    <row r="39" spans="1:13" ht="20.100000000000001" customHeight="1" x14ac:dyDescent="0.2">
      <c r="A39" s="5" t="str">
        <f>HYPERLINK("#'4.3.1.12-13 Soil leach runoff'!A1", "4.3.1.12-13 Soil leach &amp; runoff")</f>
        <v>4.3.1.12-13 Soil leach &amp; runoff</v>
      </c>
      <c r="D39" s="19" t="s">
        <v>2173</v>
      </c>
      <c r="E39" s="19">
        <v>600</v>
      </c>
      <c r="F39" s="19">
        <v>225</v>
      </c>
      <c r="M39" s="1"/>
    </row>
    <row r="40" spans="1:13" ht="20.100000000000001" customHeight="1" x14ac:dyDescent="0.2">
      <c r="A40" s="5" t="str">
        <f>HYPERLINK("#'5.1.1.1-2 Inorganic fert N2O'!A1", "5.1.1.1-2 Inorganic fert N2O")</f>
        <v>5.1.1.1-2 Inorganic fert N2O</v>
      </c>
      <c r="M40" s="1"/>
    </row>
    <row r="41" spans="1:13" ht="20.100000000000001" customHeight="1" x14ac:dyDescent="0.2">
      <c r="A41" s="5" t="str">
        <f>HYPERLINK("#'5.1.1.3-4 Inorganic fert CO2'!A1", "5.1.1.3-4 Inorganic fert CO2")</f>
        <v>5.1.1.3-4 Inorganic fert CO2</v>
      </c>
      <c r="M41" s="1"/>
    </row>
    <row r="42" spans="1:13" ht="20.100000000000001" customHeight="1" x14ac:dyDescent="0.2">
      <c r="A42" s="5" t="str">
        <f>HYPERLINK("#'5.2.1.1-2 Organic Fert N2O'!A1", "5.2.1.1-2 Organic fert N2O")</f>
        <v>5.2.1.1-2 Organic fert N2O</v>
      </c>
      <c r="D42" s="2" t="s">
        <v>2174</v>
      </c>
      <c r="M42" s="1"/>
    </row>
    <row r="43" spans="1:13" ht="20.100000000000001" customHeight="1" x14ac:dyDescent="0.2">
      <c r="A43" s="5" t="str">
        <f>HYPERLINK("#'5.3.1.1-2 Lime CO2'!A1", "5.3.1.1-2 Lime CO2")</f>
        <v>5.3.1.1-2 Lime CO2</v>
      </c>
      <c r="D43" s="17" t="s">
        <v>2175</v>
      </c>
      <c r="M43" s="1"/>
    </row>
    <row r="44" spans="1:13" ht="20.100000000000001" customHeight="1" x14ac:dyDescent="0.2">
      <c r="A44" s="5" t="str">
        <f>HYPERLINK("#'5.4.1.1-4 Atmos deposition'!A1", "5.4.1.1-4 Atmos. deposition")</f>
        <v>5.4.1.1-4 Atmos. deposition</v>
      </c>
      <c r="D44" s="1" t="s">
        <v>2176</v>
      </c>
      <c r="M44" s="1"/>
    </row>
    <row r="45" spans="1:13" ht="20.100000000000001" customHeight="1" x14ac:dyDescent="0.2">
      <c r="A45" s="5" t="str">
        <f>HYPERLINK("#'5.5.1.1-2 Leaching and runoff'!A1", "5.5.1.1-2 Leaching &amp; runoff")</f>
        <v>5.5.1.1-2 Leaching &amp; runoff</v>
      </c>
      <c r="D45" s="9" t="s">
        <v>738</v>
      </c>
      <c r="M45" s="1"/>
    </row>
    <row r="46" spans="1:13" ht="20.100000000000001" customHeight="1" x14ac:dyDescent="0.2">
      <c r="A46" s="5" t="str">
        <f>HYPERLINK("#'6.2.1.1-2 Pasture residue N2O'!A1", "6.2.1.1-2 Pasture residue N2O")</f>
        <v>6.2.1.1-2 Pasture residue N2O</v>
      </c>
      <c r="D46" s="19" t="s">
        <v>330</v>
      </c>
      <c r="E46" s="19" t="s">
        <v>621</v>
      </c>
      <c r="F46" s="19" t="s">
        <v>622</v>
      </c>
      <c r="G46" s="19" t="s">
        <v>623</v>
      </c>
      <c r="H46" s="19" t="s">
        <v>624</v>
      </c>
      <c r="M46" s="1"/>
    </row>
    <row r="47" spans="1:13" ht="20.100000000000001" customHeight="1" x14ac:dyDescent="0.2">
      <c r="A47" s="5" t="str">
        <f>HYPERLINK("#'6.3.1.1-2 Leach runoff pasture'!A1", "6.3.1.1-2 Leach &amp; runoff (pasture)")</f>
        <v>6.3.1.1-2 Leach &amp; runoff (pasture)</v>
      </c>
      <c r="D47" s="19">
        <v>1.6E-2</v>
      </c>
      <c r="E47" s="19">
        <v>0.6</v>
      </c>
      <c r="F47" s="19">
        <v>0.56999999999999995</v>
      </c>
      <c r="G47" s="19">
        <v>0.1</v>
      </c>
      <c r="H47" s="19">
        <v>0.8</v>
      </c>
      <c r="M47" s="1"/>
    </row>
    <row r="48" spans="1:13" ht="20.100000000000001" customHeight="1" x14ac:dyDescent="0.2">
      <c r="A48" s="5" t="str">
        <f>HYPERLINK("#'8.1.1.1-2 Transport fuel'!A1", "8.1.1.1-2 Transport fuel")</f>
        <v>8.1.1.1-2 Transport fuel</v>
      </c>
      <c r="M48" s="1"/>
    </row>
    <row r="49" spans="1:13" ht="20.100000000000001" customHeight="1" x14ac:dyDescent="0.2">
      <c r="A49" s="5" t="str">
        <f>HYPERLINK("#'8.2.1.1-2 Stationary fuel'!A1", "8.2.1.1-2 Stationary fuel")</f>
        <v>8.2.1.1-2 Stationary fuel</v>
      </c>
      <c r="M49" s="1"/>
    </row>
    <row r="50" spans="1:13" ht="20.100000000000001" customHeight="1" x14ac:dyDescent="0.2">
      <c r="A50" s="5" t="str">
        <f>HYPERLINK("#'9.1.1.1-2 Refrigerant use'!A1", "9.1.1.1-2 Refrigerant use")</f>
        <v>9.1.1.1-2 Refrigerant use</v>
      </c>
      <c r="D50" s="2" t="s">
        <v>2177</v>
      </c>
      <c r="M50" s="1"/>
    </row>
    <row r="51" spans="1:13" ht="20.100000000000001" customHeight="1" x14ac:dyDescent="0.2">
      <c r="A51" s="5" t="str">
        <f>HYPERLINK("#'10.1.1-2 Solid waste treatment'!A1", "10.1.1.1-2 Solid waste")</f>
        <v>10.1.1.1-2 Solid waste</v>
      </c>
      <c r="D51" s="17" t="s">
        <v>2178</v>
      </c>
      <c r="M51" s="1"/>
    </row>
    <row r="52" spans="1:13" ht="20.100000000000001" customHeight="1" x14ac:dyDescent="0.2">
      <c r="A52" s="5" t="str">
        <f>HYPERLINK("#'14.1.1-2 Purchased electricity'!A1", "14.1.1-2 Purchased electricity")</f>
        <v>14.1.1-2 Purchased electricity</v>
      </c>
      <c r="D52" s="1" t="s">
        <v>2179</v>
      </c>
      <c r="M52" s="1"/>
    </row>
    <row r="53" spans="1:13" ht="20.100000000000001" customHeight="1" x14ac:dyDescent="0.2">
      <c r="A53" s="5" t="str">
        <f>HYPERLINK("#'15 Scope 3'!A1", "15 Scope 3")</f>
        <v>15 Scope 3</v>
      </c>
      <c r="D53" s="9" t="s">
        <v>738</v>
      </c>
      <c r="M53" s="1"/>
    </row>
    <row r="54" spans="1:13" ht="20.100000000000001" customHeight="1" x14ac:dyDescent="0.2">
      <c r="A54" s="5" t="str">
        <f>HYPERLINK("#'Calcs - Manure sent off-site'!A1", "Calcs - Manure sent off-site")</f>
        <v>Calcs - Manure sent off-site</v>
      </c>
      <c r="D54" s="143" t="s">
        <v>330</v>
      </c>
      <c r="E54" s="143" t="s">
        <v>621</v>
      </c>
      <c r="F54" s="143" t="s">
        <v>622</v>
      </c>
      <c r="G54" s="143" t="s">
        <v>623</v>
      </c>
      <c r="H54" s="143" t="s">
        <v>624</v>
      </c>
      <c r="M54" s="1"/>
    </row>
    <row r="55" spans="1:13" ht="20.100000000000001" customHeight="1" x14ac:dyDescent="0.2">
      <c r="D55" s="1">
        <v>590</v>
      </c>
      <c r="E55" s="1">
        <v>590</v>
      </c>
      <c r="F55" s="1">
        <v>590</v>
      </c>
      <c r="G55" s="1">
        <v>770</v>
      </c>
      <c r="H55" s="1">
        <v>770</v>
      </c>
      <c r="M55" s="1"/>
    </row>
    <row r="56" spans="1:13" ht="20.100000000000001" customHeight="1" x14ac:dyDescent="0.2">
      <c r="M56" s="1"/>
    </row>
    <row r="57" spans="1:13" ht="20.100000000000001" customHeight="1" x14ac:dyDescent="0.2">
      <c r="A57" s="82" t="s">
        <v>1</v>
      </c>
      <c r="M57" s="1"/>
    </row>
    <row r="58" spans="1:13" ht="20.100000000000001" customHeight="1" x14ac:dyDescent="0.2">
      <c r="A58" s="83" t="str">
        <f>HYPERLINK("#'Constants - Dairy'!A1", "Constants - Dairy")</f>
        <v>Constants - Dairy</v>
      </c>
      <c r="D58" s="2" t="s">
        <v>2180</v>
      </c>
      <c r="M58" s="1"/>
    </row>
    <row r="59" spans="1:13" ht="20.100000000000001" customHeight="1" x14ac:dyDescent="0.2">
      <c r="A59" s="5" t="str">
        <f>HYPERLINK("#'Constants - Ag Residue'!A1", "Constants - Ag residue")</f>
        <v>Constants - Ag residue</v>
      </c>
      <c r="D59" s="17" t="s">
        <v>2181</v>
      </c>
      <c r="M59" s="1"/>
    </row>
    <row r="60" spans="1:13" ht="20.100000000000001" customHeight="1" x14ac:dyDescent="0.2">
      <c r="A60" s="5" t="str">
        <f>HYPERLINK("#'Constants - Common Livestock'!A1", "Constants - Common Livestock")</f>
        <v>Constants - Common Livestock</v>
      </c>
      <c r="D60" s="1" t="s">
        <v>2182</v>
      </c>
      <c r="M60" s="1"/>
    </row>
    <row r="61" spans="1:13" ht="20.100000000000001" customHeight="1" x14ac:dyDescent="0.2">
      <c r="A61" s="5" t="str">
        <f>HYPERLINK("#'Constants - Electricity'!A1", "Constants - Electricity")</f>
        <v>Constants - Electricity</v>
      </c>
      <c r="D61" s="9" t="s">
        <v>2183</v>
      </c>
      <c r="M61" s="1"/>
    </row>
    <row r="62" spans="1:13" ht="20.100000000000001" customHeight="1" x14ac:dyDescent="0.2">
      <c r="A62" s="5" t="str">
        <f>HYPERLINK("#'Constants - Fertiliser'!A1", "Constants - Fertiliser")</f>
        <v>Constants - Fertiliser</v>
      </c>
      <c r="D62" s="19" t="s">
        <v>625</v>
      </c>
      <c r="E62" s="19" t="s">
        <v>626</v>
      </c>
      <c r="F62" s="19" t="s">
        <v>627</v>
      </c>
      <c r="G62" s="19" t="s">
        <v>628</v>
      </c>
      <c r="M62" s="1"/>
    </row>
    <row r="63" spans="1:13" ht="20.100000000000001" customHeight="1" x14ac:dyDescent="0.2">
      <c r="A63" s="5" t="str">
        <f>HYPERLINK("#'Constants - Fuel'!A1", "Constants - Fuel")</f>
        <v>Constants - Fuel</v>
      </c>
      <c r="D63" s="19" t="s">
        <v>2184</v>
      </c>
      <c r="E63" s="19">
        <v>1.7600000000000001E-2</v>
      </c>
      <c r="F63" s="19">
        <v>0.26850000000000002</v>
      </c>
      <c r="G63" s="19">
        <v>1.37E-2</v>
      </c>
      <c r="M63" s="1"/>
    </row>
    <row r="64" spans="1:13" ht="20.100000000000001" customHeight="1" x14ac:dyDescent="0.2">
      <c r="A64" s="5" t="str">
        <f>HYPERLINK("#'Constants - Scope 3'!A1", "Constants - Scope 3")</f>
        <v>Constants - Scope 3</v>
      </c>
      <c r="D64" s="19" t="s">
        <v>2185</v>
      </c>
      <c r="E64" s="19">
        <v>2.0400000000000001E-2</v>
      </c>
      <c r="F64" s="19">
        <v>0.30030000000000001</v>
      </c>
      <c r="G64" s="19">
        <v>9.1999999999999998E-3</v>
      </c>
      <c r="M64" s="1"/>
    </row>
    <row r="65" spans="1:22" ht="20.100000000000001" customHeight="1" x14ac:dyDescent="0.2">
      <c r="A65" s="5" t="str">
        <f>HYPERLINK("#'Constants - Common'!A1", "Constants - Common")</f>
        <v>Constants - Common</v>
      </c>
      <c r="M65" s="1"/>
    </row>
    <row r="66" spans="1:22" ht="20.100000000000001" customHeight="1" x14ac:dyDescent="0.2">
      <c r="A66" s="5" t="str">
        <f>HYPERLINK("#'Constants - Refrigerants'!A1", "Constants - Refrigerants")</f>
        <v>Constants - Refrigerants</v>
      </c>
      <c r="M66" s="1"/>
    </row>
    <row r="67" spans="1:22" ht="20.100000000000001" customHeight="1" x14ac:dyDescent="0.2">
      <c r="A67" s="5" t="str">
        <f>HYPERLINK("#'Constants - Solid Waste'!A1", "Constants - Solid Waste")</f>
        <v>Constants - Solid Waste</v>
      </c>
      <c r="D67" s="2" t="s">
        <v>2186</v>
      </c>
      <c r="M67" s="1"/>
    </row>
    <row r="68" spans="1:22" ht="20.100000000000001" customHeight="1" x14ac:dyDescent="0.2">
      <c r="A68" s="5" t="str">
        <f>HYPERLINK("#'Acknowledgements'!A1", "Acknowledgements")</f>
        <v>Acknowledgements</v>
      </c>
      <c r="D68" s="17" t="s">
        <v>2187</v>
      </c>
      <c r="M68" s="1"/>
    </row>
    <row r="69" spans="1:22" ht="20.100000000000001" customHeight="1" x14ac:dyDescent="0.2">
      <c r="D69" s="1" t="s">
        <v>2188</v>
      </c>
      <c r="M69" s="1"/>
    </row>
    <row r="70" spans="1:22" ht="20.100000000000001" customHeight="1" x14ac:dyDescent="0.2">
      <c r="D70" s="9" t="s">
        <v>383</v>
      </c>
      <c r="M70" s="1"/>
    </row>
    <row r="71" spans="1:22" ht="20.100000000000001" customHeight="1" x14ac:dyDescent="0.2">
      <c r="D71" s="25" t="s">
        <v>2189</v>
      </c>
      <c r="M71" s="1"/>
      <c r="V71" s="1"/>
    </row>
    <row r="72" spans="1:22" ht="20.100000000000001" customHeight="1" x14ac:dyDescent="0.2">
      <c r="D72" s="19" t="s">
        <v>629</v>
      </c>
      <c r="E72" s="19" t="s">
        <v>630</v>
      </c>
      <c r="F72" s="19" t="s">
        <v>631</v>
      </c>
      <c r="G72" s="19" t="s">
        <v>632</v>
      </c>
      <c r="H72" s="19" t="s">
        <v>633</v>
      </c>
      <c r="I72" s="19" t="s">
        <v>634</v>
      </c>
      <c r="J72" s="19" t="s">
        <v>635</v>
      </c>
      <c r="K72" s="19" t="s">
        <v>636</v>
      </c>
      <c r="L72" s="19" t="s">
        <v>637</v>
      </c>
      <c r="M72" s="19" t="s">
        <v>638</v>
      </c>
      <c r="V72" s="1"/>
    </row>
    <row r="73" spans="1:22" ht="20.100000000000001" customHeight="1" x14ac:dyDescent="0.2">
      <c r="D73" s="19" t="s">
        <v>162</v>
      </c>
      <c r="E73" s="19">
        <v>0.01</v>
      </c>
      <c r="F73" s="19">
        <v>0.01</v>
      </c>
      <c r="G73" s="19">
        <v>0.02</v>
      </c>
      <c r="H73" s="19">
        <v>0.01</v>
      </c>
      <c r="I73" s="19">
        <v>0.01</v>
      </c>
      <c r="J73" s="19">
        <v>0.01</v>
      </c>
      <c r="K73" s="19">
        <v>0.01</v>
      </c>
      <c r="L73" s="19">
        <v>0.01</v>
      </c>
      <c r="M73" s="19" t="s">
        <v>82</v>
      </c>
      <c r="V73" s="1"/>
    </row>
    <row r="74" spans="1:22" ht="20.100000000000001" customHeight="1" x14ac:dyDescent="0.2">
      <c r="D74" s="1" t="s">
        <v>70</v>
      </c>
      <c r="E74" s="19">
        <v>0.72</v>
      </c>
      <c r="F74" s="19">
        <v>0.76</v>
      </c>
      <c r="G74" s="19">
        <v>0.8</v>
      </c>
      <c r="H74" s="19">
        <v>0.78</v>
      </c>
      <c r="I74" s="19">
        <v>0.74</v>
      </c>
      <c r="J74" s="19">
        <v>0.69</v>
      </c>
      <c r="K74" s="19">
        <v>0.73</v>
      </c>
      <c r="L74" s="19">
        <v>0.76</v>
      </c>
      <c r="M74" s="19" t="s">
        <v>70</v>
      </c>
      <c r="V74" s="1"/>
    </row>
    <row r="75" spans="1:22" ht="20.100000000000001" customHeight="1" x14ac:dyDescent="0.2">
      <c r="D75" s="1" t="s">
        <v>2190</v>
      </c>
      <c r="E75" s="19">
        <v>5.0000000000000001E-3</v>
      </c>
      <c r="F75" s="19">
        <v>5.0000000000000001E-3</v>
      </c>
      <c r="G75" s="19">
        <v>0.01</v>
      </c>
      <c r="H75" s="19">
        <v>5.0000000000000001E-3</v>
      </c>
      <c r="I75" s="19">
        <v>5.0000000000000001E-3</v>
      </c>
      <c r="J75" s="19">
        <v>1E-3</v>
      </c>
      <c r="K75" s="19">
        <v>5.0000000000000001E-3</v>
      </c>
      <c r="L75" s="19">
        <v>5.0000000000000001E-3</v>
      </c>
      <c r="M75" s="19" t="s">
        <v>2191</v>
      </c>
      <c r="V75" s="1"/>
    </row>
    <row r="76" spans="1:22" ht="20.100000000000001" customHeight="1" x14ac:dyDescent="0.2">
      <c r="D76" s="1" t="s">
        <v>2192</v>
      </c>
      <c r="E76" s="19">
        <v>0.15</v>
      </c>
      <c r="F76" s="19">
        <v>0.18</v>
      </c>
      <c r="G76" s="19">
        <v>0.5</v>
      </c>
      <c r="H76" s="19">
        <v>0.24</v>
      </c>
      <c r="I76" s="19">
        <v>0.17</v>
      </c>
      <c r="J76" s="19">
        <v>0.13</v>
      </c>
      <c r="K76" s="19">
        <v>0.17</v>
      </c>
      <c r="L76" s="19">
        <v>0.18</v>
      </c>
      <c r="M76" s="19" t="s">
        <v>2193</v>
      </c>
      <c r="V76" s="1"/>
    </row>
    <row r="77" spans="1:22" ht="20.100000000000001" customHeight="1" x14ac:dyDescent="0.2">
      <c r="D77" s="1" t="s">
        <v>2194</v>
      </c>
      <c r="E77" s="19">
        <v>0.02</v>
      </c>
      <c r="F77" s="19">
        <v>0.02</v>
      </c>
      <c r="G77" s="19">
        <v>0.02</v>
      </c>
      <c r="H77" s="19">
        <v>0.02</v>
      </c>
      <c r="I77" s="19">
        <v>0.02</v>
      </c>
      <c r="J77" s="19">
        <v>0.02</v>
      </c>
      <c r="K77" s="19">
        <v>0.02</v>
      </c>
      <c r="L77" s="19">
        <v>0.02</v>
      </c>
      <c r="M77" s="19" t="s">
        <v>75</v>
      </c>
      <c r="V77" s="1"/>
    </row>
    <row r="78" spans="1:22" ht="20.100000000000001" customHeight="1" x14ac:dyDescent="0.2">
      <c r="D78" s="1" t="s">
        <v>2195</v>
      </c>
      <c r="E78" s="19">
        <v>0</v>
      </c>
      <c r="F78" s="19">
        <v>0</v>
      </c>
      <c r="G78" s="19">
        <v>0</v>
      </c>
      <c r="H78" s="19">
        <v>0</v>
      </c>
      <c r="I78" s="19">
        <v>0</v>
      </c>
      <c r="J78" s="19">
        <v>0</v>
      </c>
      <c r="K78" s="19">
        <v>0</v>
      </c>
      <c r="L78" s="19">
        <v>0</v>
      </c>
      <c r="M78" s="19" t="s">
        <v>81</v>
      </c>
    </row>
    <row r="79" spans="1:22" ht="20.100000000000001" customHeight="1" x14ac:dyDescent="0.2">
      <c r="A79" s="129" t="str">
        <f>HYPERLINK("#A1", "▲ Back to top")</f>
        <v>▲ Back to top</v>
      </c>
      <c r="M79" s="1"/>
    </row>
    <row r="80" spans="1:22" ht="20.100000000000001" customHeight="1" x14ac:dyDescent="0.2">
      <c r="M80" s="1"/>
    </row>
    <row r="81" spans="4:22" ht="20.100000000000001" customHeight="1" x14ac:dyDescent="0.2">
      <c r="D81" s="2" t="s">
        <v>2196</v>
      </c>
      <c r="M81" s="1"/>
    </row>
    <row r="82" spans="4:22" ht="20.100000000000001" customHeight="1" x14ac:dyDescent="0.2">
      <c r="D82" s="17" t="s">
        <v>2197</v>
      </c>
      <c r="M82" s="1"/>
    </row>
    <row r="83" spans="4:22" ht="20.100000000000001" customHeight="1" x14ac:dyDescent="0.2">
      <c r="D83" s="1" t="s">
        <v>2198</v>
      </c>
      <c r="M83" s="1"/>
    </row>
    <row r="84" spans="4:22" ht="20.100000000000001" customHeight="1" x14ac:dyDescent="0.2">
      <c r="D84" s="9" t="s">
        <v>2199</v>
      </c>
      <c r="M84" s="1"/>
    </row>
    <row r="85" spans="4:22" ht="20.100000000000001" customHeight="1" x14ac:dyDescent="0.2">
      <c r="D85" s="25" t="s">
        <v>2189</v>
      </c>
      <c r="M85" s="1"/>
      <c r="V85" s="1"/>
    </row>
    <row r="86" spans="4:22" ht="20.100000000000001" customHeight="1" x14ac:dyDescent="0.2">
      <c r="D86" s="19" t="s">
        <v>629</v>
      </c>
      <c r="E86" s="19" t="s">
        <v>639</v>
      </c>
      <c r="F86" s="19" t="s">
        <v>640</v>
      </c>
      <c r="G86" s="19" t="s">
        <v>638</v>
      </c>
      <c r="M86" s="1"/>
      <c r="V86" s="1"/>
    </row>
    <row r="87" spans="4:22" ht="20.100000000000001" customHeight="1" x14ac:dyDescent="0.2">
      <c r="D87" s="19" t="s">
        <v>2200</v>
      </c>
      <c r="E87" s="19">
        <v>0</v>
      </c>
      <c r="F87" s="19">
        <v>0</v>
      </c>
      <c r="G87" s="19" t="s">
        <v>82</v>
      </c>
      <c r="M87" s="1"/>
      <c r="V87" s="1"/>
    </row>
    <row r="88" spans="4:22" ht="20.100000000000001" customHeight="1" x14ac:dyDescent="0.2">
      <c r="D88" s="1" t="s">
        <v>2201</v>
      </c>
      <c r="E88" s="19">
        <v>0</v>
      </c>
      <c r="F88" s="19">
        <v>0.35</v>
      </c>
      <c r="G88" s="19" t="s">
        <v>70</v>
      </c>
      <c r="M88" s="1"/>
      <c r="V88" s="1"/>
    </row>
    <row r="89" spans="4:22" ht="20.100000000000001" customHeight="1" x14ac:dyDescent="0.2">
      <c r="D89" s="1" t="s">
        <v>2202</v>
      </c>
      <c r="E89" s="19">
        <v>0</v>
      </c>
      <c r="F89" s="19">
        <v>7.0000000000000007E-2</v>
      </c>
      <c r="G89" s="19" t="s">
        <v>2191</v>
      </c>
      <c r="M89" s="1"/>
      <c r="V89" s="1"/>
    </row>
    <row r="90" spans="4:22" ht="20.100000000000001" customHeight="1" x14ac:dyDescent="0.2">
      <c r="D90" s="1" t="s">
        <v>2203</v>
      </c>
      <c r="E90" s="19">
        <v>0</v>
      </c>
      <c r="F90" s="19">
        <v>0.2</v>
      </c>
      <c r="G90" s="19" t="s">
        <v>2193</v>
      </c>
      <c r="M90" s="1"/>
      <c r="V90" s="1"/>
    </row>
    <row r="91" spans="4:22" ht="20.100000000000001" customHeight="1" x14ac:dyDescent="0.2">
      <c r="D91" s="1" t="s">
        <v>2204</v>
      </c>
      <c r="E91" s="19">
        <v>5.0000000000000001E-3</v>
      </c>
      <c r="F91" s="19">
        <v>0.3</v>
      </c>
      <c r="G91" s="19" t="s">
        <v>75</v>
      </c>
      <c r="M91" s="1"/>
    </row>
    <row r="92" spans="4:22" ht="20.100000000000001" customHeight="1" x14ac:dyDescent="0.2">
      <c r="M92" s="1"/>
    </row>
    <row r="93" spans="4:22" ht="20.100000000000001" customHeight="1" x14ac:dyDescent="0.2">
      <c r="M93" s="1"/>
    </row>
    <row r="94" spans="4:22" ht="20.100000000000001" customHeight="1" x14ac:dyDescent="0.2">
      <c r="D94" s="2" t="s">
        <v>2205</v>
      </c>
      <c r="M94" s="1"/>
    </row>
    <row r="95" spans="4:22" ht="20.100000000000001" customHeight="1" x14ac:dyDescent="0.2">
      <c r="D95" s="17" t="s">
        <v>2206</v>
      </c>
      <c r="M95" s="1"/>
    </row>
    <row r="96" spans="4:22" ht="20.100000000000001" customHeight="1" x14ac:dyDescent="0.2">
      <c r="D96" s="1" t="s">
        <v>2207</v>
      </c>
      <c r="M96" s="1"/>
    </row>
    <row r="97" spans="1:13" ht="20.100000000000001" customHeight="1" x14ac:dyDescent="0.2">
      <c r="D97" s="9" t="s">
        <v>1518</v>
      </c>
      <c r="M97" s="1"/>
    </row>
    <row r="98" spans="1:13" ht="20.100000000000001" customHeight="1" x14ac:dyDescent="0.2">
      <c r="D98" s="19" t="s">
        <v>625</v>
      </c>
      <c r="E98" s="19" t="s">
        <v>641</v>
      </c>
      <c r="M98" s="1"/>
    </row>
    <row r="99" spans="1:13" ht="20.100000000000001" customHeight="1" x14ac:dyDescent="0.2">
      <c r="D99" s="19" t="s">
        <v>332</v>
      </c>
      <c r="E99" s="19">
        <v>1.7600000000000001E-2</v>
      </c>
      <c r="M99" s="1"/>
    </row>
    <row r="100" spans="1:13" ht="20.100000000000001" customHeight="1" x14ac:dyDescent="0.2">
      <c r="D100" s="1" t="s">
        <v>334</v>
      </c>
      <c r="E100" s="19">
        <v>2.0400000000000001E-2</v>
      </c>
      <c r="M100" s="1"/>
    </row>
    <row r="101" spans="1:13" ht="20.100000000000001" customHeight="1" x14ac:dyDescent="0.2">
      <c r="M101" s="1"/>
    </row>
    <row r="102" spans="1:13" ht="20.100000000000001" customHeight="1" x14ac:dyDescent="0.2">
      <c r="M102" s="1"/>
    </row>
    <row r="103" spans="1:13" ht="20.100000000000001" customHeight="1" x14ac:dyDescent="0.2">
      <c r="D103" s="2" t="s">
        <v>2208</v>
      </c>
      <c r="M103" s="1"/>
    </row>
    <row r="104" spans="1:13" ht="20.100000000000001" customHeight="1" x14ac:dyDescent="0.2">
      <c r="D104" s="17" t="s">
        <v>2209</v>
      </c>
      <c r="M104" s="1"/>
    </row>
    <row r="105" spans="1:13" ht="20.100000000000001" customHeight="1" x14ac:dyDescent="0.2">
      <c r="D105" s="1" t="s">
        <v>642</v>
      </c>
      <c r="M105" s="1"/>
    </row>
    <row r="106" spans="1:13" ht="20.100000000000001" customHeight="1" x14ac:dyDescent="0.2">
      <c r="D106" s="9"/>
      <c r="M106" s="1"/>
    </row>
    <row r="107" spans="1:13" ht="20.100000000000001" customHeight="1" x14ac:dyDescent="0.2">
      <c r="D107" s="19" t="s">
        <v>625</v>
      </c>
      <c r="E107" s="19" t="s">
        <v>642</v>
      </c>
      <c r="M107" s="1"/>
    </row>
    <row r="108" spans="1:13" ht="20.100000000000001" customHeight="1" x14ac:dyDescent="0.2">
      <c r="D108" s="19" t="s">
        <v>2210</v>
      </c>
      <c r="E108" s="19">
        <v>1.1000000000000001</v>
      </c>
      <c r="M108" s="1"/>
    </row>
    <row r="109" spans="1:13" ht="20.100000000000001" customHeight="1" x14ac:dyDescent="0.2">
      <c r="A109" s="129" t="str">
        <f>HYPERLINK("#A1", "▲ Back to top")</f>
        <v>▲ Back to top</v>
      </c>
      <c r="D109" s="1" t="s">
        <v>2211</v>
      </c>
      <c r="E109" s="19">
        <v>1</v>
      </c>
      <c r="M109" s="1"/>
    </row>
    <row r="110" spans="1:13" ht="20.100000000000001" customHeight="1" x14ac:dyDescent="0.2">
      <c r="M110" s="1"/>
    </row>
    <row r="111" spans="1:13" ht="20.100000000000001" customHeight="1" x14ac:dyDescent="0.2">
      <c r="M111" s="1"/>
    </row>
    <row r="112" spans="1:13" ht="20.100000000000001" customHeight="1" x14ac:dyDescent="0.2">
      <c r="D112" s="2" t="s">
        <v>2212</v>
      </c>
      <c r="M112" s="1"/>
    </row>
    <row r="113" spans="4:22" ht="20.100000000000001" customHeight="1" x14ac:dyDescent="0.2">
      <c r="D113" s="17" t="s">
        <v>2213</v>
      </c>
      <c r="M113" s="1"/>
    </row>
    <row r="114" spans="4:22" ht="20.100000000000001" customHeight="1" x14ac:dyDescent="0.2">
      <c r="D114" s="1" t="s">
        <v>2214</v>
      </c>
      <c r="M114" s="1"/>
    </row>
    <row r="115" spans="4:22" ht="20.100000000000001" customHeight="1" x14ac:dyDescent="0.2">
      <c r="D115" s="9" t="s">
        <v>383</v>
      </c>
      <c r="M115" s="1"/>
      <c r="V115" s="1"/>
    </row>
    <row r="116" spans="4:22" ht="20.100000000000001" customHeight="1" x14ac:dyDescent="0.2">
      <c r="D116" s="19" t="s">
        <v>643</v>
      </c>
      <c r="E116" s="19" t="s">
        <v>162</v>
      </c>
      <c r="F116" s="19" t="s">
        <v>362</v>
      </c>
      <c r="G116" s="19" t="s">
        <v>644</v>
      </c>
      <c r="M116" s="1"/>
      <c r="V116" s="1"/>
    </row>
    <row r="117" spans="4:22" ht="20.100000000000001" customHeight="1" x14ac:dyDescent="0.2">
      <c r="D117" s="19" t="s">
        <v>2215</v>
      </c>
      <c r="E117" s="19">
        <v>0.89</v>
      </c>
      <c r="F117" s="19">
        <v>0.11</v>
      </c>
      <c r="G117" s="19">
        <v>0</v>
      </c>
      <c r="M117" s="1"/>
      <c r="V117" s="1"/>
    </row>
    <row r="118" spans="4:22" ht="20.100000000000001" customHeight="1" x14ac:dyDescent="0.2">
      <c r="D118" s="1" t="s">
        <v>2216</v>
      </c>
      <c r="E118" s="19">
        <v>0.79</v>
      </c>
      <c r="F118" s="19">
        <v>0.11</v>
      </c>
      <c r="G118" s="19">
        <v>0.1</v>
      </c>
      <c r="M118" s="1"/>
    </row>
    <row r="119" spans="4:22" ht="20.100000000000001" customHeight="1" x14ac:dyDescent="0.2">
      <c r="D119" s="1" t="s">
        <v>360</v>
      </c>
      <c r="E119" s="19">
        <v>0.53400000000000003</v>
      </c>
      <c r="F119" s="19">
        <v>0.11</v>
      </c>
      <c r="G119" s="19">
        <v>0.35599999999999998</v>
      </c>
      <c r="M119" s="1"/>
    </row>
    <row r="120" spans="4:22" ht="20.100000000000001" customHeight="1" x14ac:dyDescent="0.2">
      <c r="D120" s="1" t="s">
        <v>2217</v>
      </c>
      <c r="E120" s="19">
        <v>0</v>
      </c>
      <c r="F120" s="19">
        <v>0.11</v>
      </c>
      <c r="G120" s="19">
        <v>0.89</v>
      </c>
      <c r="M120" s="1"/>
    </row>
    <row r="121" spans="4:22" ht="20.100000000000001" customHeight="1" x14ac:dyDescent="0.2">
      <c r="M121" s="1"/>
    </row>
    <row r="122" spans="4:22" ht="20.100000000000001" customHeight="1" x14ac:dyDescent="0.2">
      <c r="M122" s="1"/>
    </row>
    <row r="123" spans="4:22" ht="20.100000000000001" customHeight="1" x14ac:dyDescent="0.2">
      <c r="D123" s="2" t="s">
        <v>2218</v>
      </c>
      <c r="M123" s="1"/>
    </row>
    <row r="124" spans="4:22" ht="20.100000000000001" customHeight="1" x14ac:dyDescent="0.2">
      <c r="D124" s="17" t="s">
        <v>2219</v>
      </c>
      <c r="M124" s="1"/>
    </row>
    <row r="125" spans="4:22" ht="20.100000000000001" customHeight="1" x14ac:dyDescent="0.2">
      <c r="D125" s="1" t="s">
        <v>639</v>
      </c>
      <c r="M125" s="1"/>
      <c r="V125" s="1"/>
    </row>
    <row r="126" spans="4:22" ht="20.100000000000001" customHeight="1" x14ac:dyDescent="0.2">
      <c r="D126" s="9" t="s">
        <v>1663</v>
      </c>
      <c r="M126" s="1"/>
      <c r="V126" s="1"/>
    </row>
    <row r="127" spans="4:22" ht="20.100000000000001" customHeight="1" x14ac:dyDescent="0.2">
      <c r="D127" s="25" t="s">
        <v>2189</v>
      </c>
      <c r="M127" s="1"/>
      <c r="V127" s="1"/>
    </row>
    <row r="128" spans="4:22" ht="20.100000000000001" customHeight="1" x14ac:dyDescent="0.2">
      <c r="D128" s="19" t="s">
        <v>629</v>
      </c>
      <c r="E128" s="19" t="s">
        <v>639</v>
      </c>
      <c r="F128" s="19" t="s">
        <v>638</v>
      </c>
      <c r="G128" s="144" t="s">
        <v>645</v>
      </c>
      <c r="M128" s="1"/>
      <c r="N128" s="8"/>
      <c r="V128" s="1"/>
    </row>
    <row r="129" spans="1:22" ht="20.100000000000001" customHeight="1" x14ac:dyDescent="0.2">
      <c r="D129" s="19" t="s">
        <v>2220</v>
      </c>
      <c r="E129" s="19">
        <v>0</v>
      </c>
      <c r="F129" s="19" t="s">
        <v>82</v>
      </c>
      <c r="M129" s="1"/>
      <c r="N129" s="8"/>
      <c r="V129" s="1"/>
    </row>
    <row r="130" spans="1:22" ht="20.100000000000001" customHeight="1" x14ac:dyDescent="0.2">
      <c r="D130" s="1" t="s">
        <v>2221</v>
      </c>
      <c r="E130" s="19">
        <v>0</v>
      </c>
      <c r="F130" s="19" t="s">
        <v>70</v>
      </c>
      <c r="M130" s="1"/>
      <c r="N130" s="8"/>
      <c r="V130" s="1"/>
    </row>
    <row r="131" spans="1:22" ht="20.100000000000001" customHeight="1" x14ac:dyDescent="0.2">
      <c r="D131" s="1" t="s">
        <v>2222</v>
      </c>
      <c r="E131" s="19">
        <v>0</v>
      </c>
      <c r="F131" s="19" t="s">
        <v>2191</v>
      </c>
      <c r="M131" s="1"/>
      <c r="N131" s="8"/>
    </row>
    <row r="132" spans="1:22" ht="20.100000000000001" customHeight="1" x14ac:dyDescent="0.2">
      <c r="D132" s="1" t="s">
        <v>2223</v>
      </c>
      <c r="E132" s="19">
        <v>0</v>
      </c>
      <c r="F132" s="19" t="s">
        <v>2193</v>
      </c>
      <c r="M132" s="8"/>
    </row>
    <row r="133" spans="1:22" ht="20.100000000000001" customHeight="1" x14ac:dyDescent="0.2">
      <c r="D133" s="1" t="s">
        <v>2224</v>
      </c>
      <c r="E133" s="19">
        <v>5.0000000000000001E-3</v>
      </c>
      <c r="F133" s="19" t="s">
        <v>75</v>
      </c>
      <c r="M133" s="8"/>
    </row>
    <row r="134" spans="1:22" ht="20.100000000000001" customHeight="1" x14ac:dyDescent="0.2">
      <c r="M134" s="8"/>
    </row>
    <row r="135" spans="1:22" ht="20.100000000000001" customHeight="1" x14ac:dyDescent="0.2">
      <c r="M135" s="8"/>
    </row>
    <row r="136" spans="1:22" ht="20.100000000000001" customHeight="1" x14ac:dyDescent="0.2">
      <c r="D136" s="2" t="s">
        <v>2225</v>
      </c>
      <c r="M136" s="8"/>
    </row>
    <row r="137" spans="1:22" ht="20.100000000000001" customHeight="1" x14ac:dyDescent="0.2">
      <c r="D137" s="17" t="s">
        <v>2226</v>
      </c>
      <c r="M137" s="8"/>
    </row>
    <row r="138" spans="1:22" ht="20.100000000000001" customHeight="1" x14ac:dyDescent="0.2">
      <c r="D138" s="1" t="s">
        <v>2227</v>
      </c>
      <c r="M138" s="8"/>
    </row>
    <row r="139" spans="1:22" ht="20.100000000000001" customHeight="1" x14ac:dyDescent="0.2">
      <c r="A139" s="129" t="str">
        <f>HYPERLINK("#A1", "▲ Back to top")</f>
        <v>▲ Back to top</v>
      </c>
      <c r="D139" s="9" t="s">
        <v>1540</v>
      </c>
      <c r="M139" s="8"/>
    </row>
    <row r="140" spans="1:22" ht="20.100000000000001" customHeight="1" x14ac:dyDescent="0.2">
      <c r="D140" s="25" t="s">
        <v>2228</v>
      </c>
      <c r="M140" s="8"/>
    </row>
    <row r="141" spans="1:22" ht="20.100000000000001" customHeight="1" x14ac:dyDescent="0.2">
      <c r="D141" s="19" t="s">
        <v>625</v>
      </c>
      <c r="E141" s="19" t="s">
        <v>646</v>
      </c>
      <c r="F141" s="19" t="s">
        <v>647</v>
      </c>
      <c r="M141" s="8"/>
    </row>
    <row r="142" spans="1:22" ht="20.100000000000001" customHeight="1" x14ac:dyDescent="0.2">
      <c r="D142" s="19" t="s">
        <v>330</v>
      </c>
      <c r="E142" s="19">
        <v>365</v>
      </c>
      <c r="F142" s="19">
        <v>0</v>
      </c>
      <c r="M142" s="8"/>
    </row>
    <row r="143" spans="1:22" ht="20.100000000000001" customHeight="1" x14ac:dyDescent="0.2">
      <c r="D143" s="1" t="s">
        <v>331</v>
      </c>
      <c r="E143" s="19">
        <v>365</v>
      </c>
      <c r="F143" s="19">
        <v>0</v>
      </c>
      <c r="M143" s="8"/>
    </row>
    <row r="144" spans="1:22" ht="20.100000000000001" customHeight="1" x14ac:dyDescent="0.2">
      <c r="D144" s="1" t="s">
        <v>332</v>
      </c>
      <c r="E144" s="19">
        <v>281</v>
      </c>
      <c r="F144" s="19">
        <v>84</v>
      </c>
      <c r="M144" s="8"/>
    </row>
    <row r="145" spans="4:13" ht="20.100000000000001" customHeight="1" x14ac:dyDescent="0.2">
      <c r="D145" s="1" t="s">
        <v>333</v>
      </c>
      <c r="E145" s="19">
        <v>365</v>
      </c>
      <c r="F145" s="19">
        <v>0</v>
      </c>
      <c r="M145" s="8"/>
    </row>
    <row r="146" spans="4:13" ht="20.100000000000001" customHeight="1" x14ac:dyDescent="0.2">
      <c r="D146" s="1" t="s">
        <v>334</v>
      </c>
      <c r="E146" s="19">
        <v>281</v>
      </c>
      <c r="F146" s="19">
        <v>84</v>
      </c>
      <c r="M146" s="8"/>
    </row>
    <row r="147" spans="4:13" ht="20.100000000000001" customHeight="1" x14ac:dyDescent="0.2">
      <c r="M147" s="8"/>
    </row>
    <row r="148" spans="4:13" ht="20.100000000000001" customHeight="1" x14ac:dyDescent="0.2">
      <c r="M148" s="8"/>
    </row>
    <row r="149" spans="4:13" ht="20.100000000000001" customHeight="1" x14ac:dyDescent="0.2">
      <c r="D149" s="2" t="s">
        <v>2229</v>
      </c>
      <c r="M149" s="8"/>
    </row>
    <row r="150" spans="4:13" ht="20.100000000000001" customHeight="1" x14ac:dyDescent="0.2">
      <c r="D150" s="17" t="s">
        <v>2226</v>
      </c>
      <c r="M150" s="8"/>
    </row>
    <row r="151" spans="4:13" ht="20.100000000000001" customHeight="1" x14ac:dyDescent="0.2">
      <c r="D151" s="1" t="s">
        <v>2230</v>
      </c>
      <c r="M151" s="8"/>
    </row>
    <row r="152" spans="4:13" ht="20.100000000000001" customHeight="1" x14ac:dyDescent="0.2">
      <c r="D152" s="9" t="s">
        <v>383</v>
      </c>
      <c r="M152" s="8"/>
    </row>
    <row r="153" spans="4:13" ht="20.100000000000001" customHeight="1" x14ac:dyDescent="0.2">
      <c r="D153" s="76">
        <v>0.2</v>
      </c>
      <c r="M153" s="8"/>
    </row>
    <row r="154" spans="4:13" ht="20.100000000000001" customHeight="1" x14ac:dyDescent="0.2">
      <c r="M154" s="8"/>
    </row>
    <row r="155" spans="4:13" ht="20.100000000000001" customHeight="1" x14ac:dyDescent="0.2">
      <c r="M155" s="8"/>
    </row>
    <row r="156" spans="4:13" ht="20.100000000000001" customHeight="1" x14ac:dyDescent="0.2">
      <c r="D156" s="2" t="s">
        <v>345</v>
      </c>
      <c r="M156" s="8"/>
    </row>
    <row r="157" spans="4:13" ht="20.100000000000001" customHeight="1" x14ac:dyDescent="0.2">
      <c r="D157" s="17" t="s">
        <v>2231</v>
      </c>
      <c r="M157" s="8"/>
    </row>
    <row r="158" spans="4:13" ht="20.100000000000001" customHeight="1" x14ac:dyDescent="0.2">
      <c r="D158" s="1" t="s">
        <v>2232</v>
      </c>
      <c r="M158" s="8"/>
    </row>
    <row r="159" spans="4:13" ht="20.100000000000001" customHeight="1" x14ac:dyDescent="0.2">
      <c r="D159" s="9" t="s">
        <v>383</v>
      </c>
      <c r="M159" s="8"/>
    </row>
    <row r="160" spans="4:13" ht="20.100000000000001" customHeight="1" x14ac:dyDescent="0.2">
      <c r="D160" s="76">
        <v>0.75</v>
      </c>
      <c r="M160" s="8"/>
    </row>
    <row r="161" spans="1:13" ht="20.100000000000001" customHeight="1" x14ac:dyDescent="0.2">
      <c r="M161" s="8"/>
    </row>
    <row r="162" spans="1:13" ht="20.100000000000001" customHeight="1" x14ac:dyDescent="0.2">
      <c r="M162" s="8"/>
    </row>
    <row r="163" spans="1:13" ht="20.100000000000001" customHeight="1" x14ac:dyDescent="0.2">
      <c r="D163" s="2" t="s">
        <v>2233</v>
      </c>
      <c r="M163" s="8"/>
    </row>
    <row r="164" spans="1:13" ht="20.100000000000001" customHeight="1" x14ac:dyDescent="0.2">
      <c r="D164" s="17" t="s">
        <v>2234</v>
      </c>
      <c r="M164" s="8"/>
    </row>
    <row r="165" spans="1:13" ht="20.100000000000001" customHeight="1" x14ac:dyDescent="0.2">
      <c r="D165" s="1" t="s">
        <v>1492</v>
      </c>
      <c r="M165" s="8"/>
    </row>
    <row r="166" spans="1:13" ht="20.100000000000001" customHeight="1" x14ac:dyDescent="0.2">
      <c r="D166" s="9" t="s">
        <v>2235</v>
      </c>
      <c r="M166" s="8"/>
    </row>
    <row r="167" spans="1:13" ht="20.100000000000001" customHeight="1" x14ac:dyDescent="0.2">
      <c r="D167" s="76">
        <v>3.0539999999999998</v>
      </c>
      <c r="M167" s="8"/>
    </row>
    <row r="168" spans="1:13" ht="20.100000000000001" customHeight="1" x14ac:dyDescent="0.2">
      <c r="M168" s="8"/>
    </row>
    <row r="169" spans="1:13" ht="20.100000000000001" customHeight="1" x14ac:dyDescent="0.2">
      <c r="A169" s="129" t="str">
        <f>HYPERLINK("#A1", "▲ Back to top")</f>
        <v>▲ Back to top</v>
      </c>
      <c r="M169" s="8"/>
    </row>
    <row r="170" spans="1:13" ht="20.100000000000001" customHeight="1" x14ac:dyDescent="0.2">
      <c r="D170" s="2" t="s">
        <v>2236</v>
      </c>
      <c r="M170" s="8"/>
    </row>
    <row r="171" spans="1:13" ht="20.100000000000001" customHeight="1" x14ac:dyDescent="0.2">
      <c r="D171" s="17" t="s">
        <v>2234</v>
      </c>
      <c r="M171" s="8"/>
    </row>
    <row r="172" spans="1:13" ht="20.100000000000001" customHeight="1" x14ac:dyDescent="0.2">
      <c r="D172" s="1" t="s">
        <v>1494</v>
      </c>
      <c r="M172" s="8"/>
    </row>
    <row r="173" spans="1:13" ht="20.100000000000001" customHeight="1" x14ac:dyDescent="0.2">
      <c r="D173" s="9" t="s">
        <v>2237</v>
      </c>
      <c r="M173" s="8"/>
    </row>
    <row r="174" spans="1:13" ht="20.100000000000001" customHeight="1" x14ac:dyDescent="0.2">
      <c r="D174" s="76">
        <v>18.399999999999999</v>
      </c>
      <c r="M174" s="8"/>
    </row>
    <row r="175" spans="1:13" ht="20.100000000000001" customHeight="1" x14ac:dyDescent="0.2">
      <c r="M175" s="8"/>
    </row>
    <row r="176" spans="1:13" ht="20.100000000000001" customHeight="1" x14ac:dyDescent="0.2">
      <c r="M176" s="8"/>
    </row>
    <row r="177" spans="4:13" ht="20.100000000000001" customHeight="1" x14ac:dyDescent="0.2">
      <c r="D177" s="2" t="s">
        <v>2238</v>
      </c>
      <c r="M177" s="8"/>
    </row>
    <row r="178" spans="4:13" ht="20.100000000000001" customHeight="1" x14ac:dyDescent="0.2">
      <c r="D178" s="17" t="s">
        <v>2234</v>
      </c>
      <c r="M178" s="8"/>
    </row>
    <row r="179" spans="4:13" ht="20.100000000000001" customHeight="1" x14ac:dyDescent="0.2">
      <c r="D179" s="1" t="s">
        <v>1496</v>
      </c>
      <c r="M179" s="8"/>
    </row>
    <row r="180" spans="4:13" ht="20.100000000000001" customHeight="1" x14ac:dyDescent="0.2">
      <c r="D180" s="9" t="s">
        <v>383</v>
      </c>
      <c r="M180" s="8"/>
    </row>
    <row r="181" spans="4:13" ht="20.100000000000001" customHeight="1" x14ac:dyDescent="0.2">
      <c r="D181" s="76">
        <v>0.6</v>
      </c>
      <c r="M181" s="8"/>
    </row>
    <row r="182" spans="4:13" ht="20.100000000000001" customHeight="1" x14ac:dyDescent="0.2">
      <c r="M182" s="8"/>
    </row>
    <row r="183" spans="4:13" ht="20.100000000000001" customHeight="1" x14ac:dyDescent="0.2">
      <c r="M183" s="8"/>
    </row>
    <row r="184" spans="4:13" ht="20.100000000000001" customHeight="1" x14ac:dyDescent="0.2">
      <c r="D184" s="2" t="s">
        <v>2239</v>
      </c>
      <c r="M184" s="8"/>
    </row>
    <row r="185" spans="4:13" ht="20.100000000000001" customHeight="1" x14ac:dyDescent="0.2">
      <c r="D185" s="17" t="s">
        <v>2240</v>
      </c>
      <c r="M185" s="8"/>
    </row>
    <row r="186" spans="4:13" ht="20.100000000000001" customHeight="1" x14ac:dyDescent="0.2">
      <c r="D186" s="1" t="s">
        <v>1546</v>
      </c>
      <c r="M186" s="8"/>
    </row>
    <row r="187" spans="4:13" ht="20.100000000000001" customHeight="1" x14ac:dyDescent="0.2">
      <c r="D187" s="9" t="s">
        <v>383</v>
      </c>
      <c r="M187" s="8"/>
    </row>
    <row r="188" spans="4:13" ht="20.100000000000001" customHeight="1" x14ac:dyDescent="0.2">
      <c r="D188" s="76">
        <v>0.08</v>
      </c>
      <c r="M188" s="8"/>
    </row>
    <row r="189" spans="4:13" ht="20.100000000000001" customHeight="1" x14ac:dyDescent="0.2">
      <c r="M189" s="8"/>
    </row>
    <row r="190" spans="4:13" ht="20.100000000000001" customHeight="1" x14ac:dyDescent="0.2">
      <c r="M190" s="8"/>
    </row>
    <row r="191" spans="4:13" ht="20.100000000000001" customHeight="1" x14ac:dyDescent="0.2">
      <c r="D191" s="2" t="s">
        <v>2241</v>
      </c>
      <c r="M191" s="8"/>
    </row>
    <row r="192" spans="4:13" ht="20.100000000000001" customHeight="1" x14ac:dyDescent="0.2">
      <c r="D192" s="17" t="s">
        <v>2240</v>
      </c>
      <c r="M192" s="8"/>
    </row>
    <row r="193" spans="1:13" ht="20.100000000000001" customHeight="1" x14ac:dyDescent="0.2">
      <c r="D193" s="1" t="s">
        <v>1573</v>
      </c>
      <c r="M193" s="8"/>
    </row>
    <row r="194" spans="1:13" ht="20.100000000000001" customHeight="1" x14ac:dyDescent="0.2">
      <c r="D194" s="9" t="s">
        <v>1581</v>
      </c>
      <c r="M194" s="8"/>
    </row>
    <row r="195" spans="1:13" ht="20.100000000000001" customHeight="1" x14ac:dyDescent="0.2">
      <c r="D195" s="76">
        <v>0.24</v>
      </c>
      <c r="M195" s="8"/>
    </row>
    <row r="196" spans="1:13" ht="20.100000000000001" customHeight="1" x14ac:dyDescent="0.2">
      <c r="M196" s="8"/>
    </row>
    <row r="197" spans="1:13" ht="20.100000000000001" customHeight="1" x14ac:dyDescent="0.2">
      <c r="M197" s="8"/>
    </row>
    <row r="198" spans="1:13" ht="20.100000000000001" customHeight="1" x14ac:dyDescent="0.2">
      <c r="D198" s="2" t="s">
        <v>2242</v>
      </c>
      <c r="M198" s="8"/>
    </row>
    <row r="199" spans="1:13" ht="20.100000000000001" customHeight="1" x14ac:dyDescent="0.2">
      <c r="A199" s="129" t="str">
        <f>HYPERLINK("#A1", "▲ Back to top")</f>
        <v>▲ Back to top</v>
      </c>
      <c r="D199" s="17" t="s">
        <v>2240</v>
      </c>
      <c r="M199" s="8"/>
    </row>
    <row r="200" spans="1:13" ht="20.100000000000001" customHeight="1" x14ac:dyDescent="0.2">
      <c r="D200" s="1" t="s">
        <v>1698</v>
      </c>
      <c r="M200" s="8"/>
    </row>
    <row r="201" spans="1:13" ht="20.100000000000001" customHeight="1" x14ac:dyDescent="0.2">
      <c r="D201" s="9" t="s">
        <v>1663</v>
      </c>
      <c r="M201" s="8"/>
    </row>
    <row r="202" spans="1:13" ht="20.100000000000001" customHeight="1" x14ac:dyDescent="0.2">
      <c r="D202" s="76">
        <v>1.0999999999999999E-2</v>
      </c>
      <c r="M202" s="8"/>
    </row>
    <row r="203" spans="1:13" ht="20.100000000000001" customHeight="1" x14ac:dyDescent="0.2">
      <c r="M203" s="8"/>
    </row>
    <row r="204" spans="1:13" ht="20.100000000000001" customHeight="1" x14ac:dyDescent="0.2">
      <c r="M204" s="8"/>
    </row>
    <row r="205" spans="1:13" ht="20.100000000000001" customHeight="1" x14ac:dyDescent="0.2">
      <c r="D205" s="2" t="s">
        <v>2243</v>
      </c>
      <c r="M205" s="8"/>
    </row>
    <row r="206" spans="1:13" ht="20.100000000000001" customHeight="1" x14ac:dyDescent="0.2">
      <c r="D206" s="17" t="s">
        <v>2240</v>
      </c>
      <c r="M206" s="8"/>
    </row>
    <row r="207" spans="1:13" ht="20.100000000000001" customHeight="1" x14ac:dyDescent="0.2">
      <c r="D207" s="1" t="s">
        <v>2244</v>
      </c>
      <c r="M207" s="8"/>
    </row>
    <row r="208" spans="1:13" ht="20.100000000000001" customHeight="1" x14ac:dyDescent="0.2">
      <c r="D208" s="9" t="s">
        <v>346</v>
      </c>
      <c r="M208" s="8"/>
    </row>
    <row r="209" spans="4:13" ht="20.100000000000001" customHeight="1" x14ac:dyDescent="0.2">
      <c r="D209" s="76">
        <v>0.24</v>
      </c>
      <c r="M209" s="8"/>
    </row>
    <row r="210" spans="4:13" ht="20.100000000000001" customHeight="1" x14ac:dyDescent="0.2">
      <c r="M210" s="8"/>
    </row>
    <row r="211" spans="4:13" ht="20.100000000000001" customHeight="1" x14ac:dyDescent="0.2">
      <c r="D211" s="2" t="s">
        <v>2245</v>
      </c>
      <c r="M211" s="8"/>
    </row>
    <row r="212" spans="4:13" ht="20.100000000000001" customHeight="1" x14ac:dyDescent="0.2">
      <c r="D212" s="17" t="s">
        <v>2240</v>
      </c>
      <c r="M212" s="8"/>
    </row>
    <row r="213" spans="4:13" ht="20.100000000000001" customHeight="1" x14ac:dyDescent="0.2">
      <c r="D213" s="1" t="s">
        <v>2244</v>
      </c>
      <c r="M213" s="8"/>
    </row>
    <row r="214" spans="4:13" ht="20.100000000000001" customHeight="1" x14ac:dyDescent="0.2">
      <c r="D214" s="9" t="s">
        <v>346</v>
      </c>
      <c r="M214" s="8"/>
    </row>
    <row r="215" spans="4:13" ht="20.100000000000001" customHeight="1" x14ac:dyDescent="0.2">
      <c r="D215" s="76">
        <v>0.02</v>
      </c>
      <c r="M215" s="8"/>
    </row>
    <row r="216" spans="4:13" ht="20.100000000000001" customHeight="1" x14ac:dyDescent="0.2">
      <c r="M216" s="8"/>
    </row>
    <row r="217" spans="4:13" ht="20.100000000000001" customHeight="1" x14ac:dyDescent="0.2">
      <c r="D217" s="2" t="s">
        <v>2246</v>
      </c>
      <c r="M217" s="8"/>
    </row>
    <row r="218" spans="4:13" ht="20.100000000000001" customHeight="1" x14ac:dyDescent="0.2">
      <c r="D218" s="17" t="s">
        <v>2240</v>
      </c>
      <c r="M218" s="8"/>
    </row>
    <row r="219" spans="4:13" ht="20.100000000000001" customHeight="1" x14ac:dyDescent="0.2">
      <c r="D219" s="1" t="s">
        <v>1722</v>
      </c>
      <c r="M219" s="8"/>
    </row>
    <row r="220" spans="4:13" ht="20.100000000000001" customHeight="1" x14ac:dyDescent="0.2">
      <c r="D220" s="9" t="s">
        <v>1832</v>
      </c>
      <c r="M220" s="8"/>
    </row>
    <row r="221" spans="4:13" ht="20.100000000000001" customHeight="1" x14ac:dyDescent="0.2">
      <c r="D221" s="76">
        <v>0.21</v>
      </c>
      <c r="M221" s="8"/>
    </row>
    <row r="222" spans="4:13" ht="20.100000000000001" customHeight="1" x14ac:dyDescent="0.2">
      <c r="M222" s="8"/>
    </row>
    <row r="223" spans="4:13" ht="20.100000000000001" customHeight="1" x14ac:dyDescent="0.2">
      <c r="D223" s="2" t="s">
        <v>355</v>
      </c>
      <c r="M223" s="8"/>
    </row>
    <row r="224" spans="4:13" ht="20.100000000000001" customHeight="1" x14ac:dyDescent="0.2">
      <c r="D224" s="17" t="s">
        <v>2247</v>
      </c>
      <c r="M224" s="8"/>
    </row>
    <row r="225" spans="1:13" ht="20.100000000000001" customHeight="1" x14ac:dyDescent="0.2">
      <c r="D225" s="1" t="s">
        <v>1478</v>
      </c>
      <c r="M225" s="8"/>
    </row>
    <row r="226" spans="1:13" ht="20.100000000000001" customHeight="1" x14ac:dyDescent="0.2">
      <c r="D226" s="9" t="s">
        <v>147</v>
      </c>
      <c r="M226" s="8"/>
    </row>
    <row r="227" spans="1:13" ht="20.100000000000001" customHeight="1" x14ac:dyDescent="0.2">
      <c r="D227" s="76">
        <v>4</v>
      </c>
      <c r="M227" s="8"/>
    </row>
    <row r="228" spans="1:13" ht="20.100000000000001" customHeight="1" x14ac:dyDescent="0.2">
      <c r="M228" s="8"/>
    </row>
    <row r="229" spans="1:13" ht="20.100000000000001" customHeight="1" x14ac:dyDescent="0.2">
      <c r="A229" s="129" t="str">
        <f>HYPERLINK("#A1", "▲ Back to top")</f>
        <v>▲ Back to top</v>
      </c>
      <c r="D229" s="2" t="s">
        <v>356</v>
      </c>
      <c r="M229" s="8"/>
    </row>
    <row r="230" spans="1:13" ht="20.100000000000001" customHeight="1" x14ac:dyDescent="0.2">
      <c r="D230" s="17" t="s">
        <v>2247</v>
      </c>
      <c r="M230" s="8"/>
    </row>
    <row r="231" spans="1:13" ht="20.100000000000001" customHeight="1" x14ac:dyDescent="0.2">
      <c r="D231" s="1" t="s">
        <v>1480</v>
      </c>
      <c r="M231" s="8"/>
    </row>
    <row r="232" spans="1:13" ht="20.100000000000001" customHeight="1" x14ac:dyDescent="0.2">
      <c r="D232" s="9" t="s">
        <v>147</v>
      </c>
      <c r="M232" s="8"/>
    </row>
    <row r="233" spans="1:13" ht="20.100000000000001" customHeight="1" x14ac:dyDescent="0.2">
      <c r="D233" s="76">
        <v>3.3</v>
      </c>
      <c r="M233" s="8"/>
    </row>
    <row r="234" spans="1:13" ht="20.100000000000001" customHeight="1" x14ac:dyDescent="0.2">
      <c r="M234" s="8"/>
    </row>
    <row r="235" spans="1:13" ht="20.100000000000001" customHeight="1" x14ac:dyDescent="0.2">
      <c r="M235" s="8"/>
    </row>
    <row r="236" spans="1:13" ht="20.100000000000001" customHeight="1" x14ac:dyDescent="0.2">
      <c r="M236" s="8"/>
    </row>
    <row r="237" spans="1:13" ht="20.100000000000001" customHeight="1" x14ac:dyDescent="0.2">
      <c r="M237" s="8"/>
    </row>
    <row r="238" spans="1:13" ht="20.100000000000001" customHeight="1" x14ac:dyDescent="0.2">
      <c r="M238" s="8"/>
    </row>
    <row r="239" spans="1:13" ht="20.100000000000001" customHeight="1" x14ac:dyDescent="0.2">
      <c r="M239" s="8"/>
    </row>
    <row r="240" spans="1:13" ht="20.100000000000001" customHeight="1" x14ac:dyDescent="0.2">
      <c r="M240" s="8"/>
    </row>
    <row r="241" spans="13:13" ht="20.100000000000001" customHeight="1" x14ac:dyDescent="0.2">
      <c r="M241" s="8"/>
    </row>
    <row r="242" spans="13:13" ht="20.100000000000001" customHeight="1" x14ac:dyDescent="0.2">
      <c r="M242" s="8"/>
    </row>
    <row r="243" spans="13:13" ht="20.100000000000001" customHeight="1" x14ac:dyDescent="0.2">
      <c r="M243" s="8"/>
    </row>
    <row r="244" spans="13:13" ht="20.100000000000001" customHeight="1" x14ac:dyDescent="0.2">
      <c r="M244" s="8"/>
    </row>
    <row r="245" spans="13:13" ht="20.100000000000001" customHeight="1" x14ac:dyDescent="0.2">
      <c r="M245" s="8"/>
    </row>
    <row r="246" spans="13:13" ht="20.100000000000001" customHeight="1" x14ac:dyDescent="0.2">
      <c r="M246" s="8"/>
    </row>
    <row r="247" spans="13:13" ht="20.100000000000001" customHeight="1" x14ac:dyDescent="0.2">
      <c r="M247" s="8"/>
    </row>
    <row r="248" spans="13:13" ht="20.100000000000001" customHeight="1" x14ac:dyDescent="0.2">
      <c r="M248" s="8"/>
    </row>
    <row r="249" spans="13:13" ht="20.100000000000001" customHeight="1" x14ac:dyDescent="0.2">
      <c r="M249" s="8"/>
    </row>
    <row r="250" spans="13:13" ht="20.100000000000001" customHeight="1" x14ac:dyDescent="0.2">
      <c r="M250" s="8"/>
    </row>
    <row r="251" spans="13:13" ht="20.100000000000001" customHeight="1" x14ac:dyDescent="0.2">
      <c r="M251" s="8"/>
    </row>
    <row r="252" spans="13:13" ht="20.100000000000001" customHeight="1" x14ac:dyDescent="0.2">
      <c r="M252" s="8"/>
    </row>
    <row r="253" spans="13:13" ht="20.100000000000001" customHeight="1" x14ac:dyDescent="0.2">
      <c r="M253" s="8"/>
    </row>
    <row r="254" spans="13:13" ht="20.100000000000001" customHeight="1" x14ac:dyDescent="0.2">
      <c r="M254" s="8"/>
    </row>
    <row r="255" spans="13:13" ht="20.100000000000001" customHeight="1" x14ac:dyDescent="0.2">
      <c r="M255" s="8"/>
    </row>
    <row r="256" spans="13:13" ht="20.100000000000001" customHeight="1" x14ac:dyDescent="0.2">
      <c r="M256" s="8"/>
    </row>
    <row r="257" spans="13:13" ht="20.100000000000001" customHeight="1" x14ac:dyDescent="0.2">
      <c r="M257" s="8"/>
    </row>
    <row r="258" spans="13:13" ht="20.100000000000001" customHeight="1" x14ac:dyDescent="0.2">
      <c r="M258" s="8"/>
    </row>
    <row r="259" spans="13:13" ht="20.100000000000001" customHeight="1" x14ac:dyDescent="0.2">
      <c r="M259" s="8"/>
    </row>
    <row r="260" spans="13:13" ht="20.100000000000001" customHeight="1" x14ac:dyDescent="0.2">
      <c r="M260" s="8"/>
    </row>
    <row r="261" spans="13:13" ht="20.100000000000001" customHeight="1" x14ac:dyDescent="0.2">
      <c r="M261" s="8"/>
    </row>
    <row r="262" spans="13:13" ht="20.100000000000001" customHeight="1" x14ac:dyDescent="0.2">
      <c r="M262" s="8"/>
    </row>
    <row r="263" spans="13:13" ht="20.100000000000001" customHeight="1" x14ac:dyDescent="0.2">
      <c r="M263" s="8"/>
    </row>
    <row r="264" spans="13:13" ht="20.100000000000001" customHeight="1" x14ac:dyDescent="0.2">
      <c r="M264" s="8"/>
    </row>
    <row r="265" spans="13:13" ht="20.100000000000001" customHeight="1" x14ac:dyDescent="0.2">
      <c r="M265" s="8"/>
    </row>
    <row r="266" spans="13:13" ht="20.100000000000001" customHeight="1" x14ac:dyDescent="0.2">
      <c r="M266" s="8"/>
    </row>
    <row r="267" spans="13:13" ht="20.100000000000001" customHeight="1" x14ac:dyDescent="0.2">
      <c r="M267" s="8"/>
    </row>
    <row r="268" spans="13:13" ht="20.100000000000001" customHeight="1" x14ac:dyDescent="0.2">
      <c r="M268" s="8"/>
    </row>
    <row r="269" spans="13:13" ht="20.100000000000001" customHeight="1" x14ac:dyDescent="0.2">
      <c r="M269" s="8"/>
    </row>
    <row r="270" spans="13:13" ht="20.100000000000001" customHeight="1" x14ac:dyDescent="0.2">
      <c r="M270" s="8"/>
    </row>
    <row r="271" spans="13:13" ht="20.100000000000001" customHeight="1" x14ac:dyDescent="0.2">
      <c r="M271" s="8"/>
    </row>
    <row r="272" spans="13:13" ht="20.100000000000001" customHeight="1" x14ac:dyDescent="0.2">
      <c r="M272" s="8"/>
    </row>
    <row r="273" spans="13:13" ht="20.100000000000001" customHeight="1" x14ac:dyDescent="0.2">
      <c r="M273" s="8"/>
    </row>
    <row r="274" spans="13:13" ht="20.100000000000001" customHeight="1" x14ac:dyDescent="0.2">
      <c r="M274" s="8"/>
    </row>
    <row r="275" spans="13:13" ht="20.100000000000001" customHeight="1" x14ac:dyDescent="0.2">
      <c r="M275" s="8"/>
    </row>
    <row r="276" spans="13:13" ht="20.100000000000001" customHeight="1" x14ac:dyDescent="0.2">
      <c r="M276" s="8"/>
    </row>
    <row r="277" spans="13:13" ht="20.100000000000001" customHeight="1" x14ac:dyDescent="0.2">
      <c r="M277" s="8"/>
    </row>
    <row r="278" spans="13:13" ht="20.100000000000001" customHeight="1" x14ac:dyDescent="0.2">
      <c r="M278" s="8"/>
    </row>
    <row r="279" spans="13:13" ht="20.100000000000001" customHeight="1" x14ac:dyDescent="0.2">
      <c r="M279" s="8"/>
    </row>
    <row r="280" spans="13:13" ht="20.100000000000001" customHeight="1" x14ac:dyDescent="0.2">
      <c r="M280" s="8"/>
    </row>
    <row r="281" spans="13:13" ht="20.100000000000001" customHeight="1" x14ac:dyDescent="0.2">
      <c r="M281" s="8"/>
    </row>
    <row r="282" spans="13:13" ht="20.100000000000001" customHeight="1" x14ac:dyDescent="0.2">
      <c r="M282" s="8"/>
    </row>
    <row r="283" spans="13:13" ht="20.100000000000001" customHeight="1" x14ac:dyDescent="0.2">
      <c r="M283" s="8"/>
    </row>
    <row r="284" spans="13:13" ht="20.100000000000001" customHeight="1" x14ac:dyDescent="0.2">
      <c r="M284" s="8"/>
    </row>
    <row r="285" spans="13:13" ht="20.100000000000001" customHeight="1" x14ac:dyDescent="0.2">
      <c r="M285" s="8"/>
    </row>
    <row r="286" spans="13:13" ht="20.100000000000001" customHeight="1" x14ac:dyDescent="0.2">
      <c r="M286" s="8"/>
    </row>
    <row r="287" spans="13:13" ht="20.100000000000001" customHeight="1" x14ac:dyDescent="0.2">
      <c r="M287" s="8"/>
    </row>
    <row r="288" spans="13:13" ht="20.100000000000001" customHeight="1" x14ac:dyDescent="0.2">
      <c r="M288" s="8"/>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78E00-84D3-4CA7-8AA9-249187CBB4A5}">
  <sheetPr>
    <tabColor theme="2" tint="-0.499984740745262"/>
  </sheetPr>
  <dimension ref="A1:AI235"/>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0" customFormat="1" ht="30" customHeight="1" x14ac:dyDescent="0.35">
      <c r="A1" s="10" t="e" vm="1">
        <v>#VALUE!</v>
      </c>
      <c r="C1" s="20" t="s">
        <v>1155</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2248</v>
      </c>
    </row>
    <row r="6" spans="1:35" ht="20.100000000000001" customHeight="1" x14ac:dyDescent="0.2">
      <c r="A6" s="5" t="str">
        <f>HYPERLINK("#'Results'!A1", "Results")</f>
        <v>Results</v>
      </c>
    </row>
    <row r="7" spans="1:35" ht="20.100000000000001" customHeight="1" x14ac:dyDescent="0.2">
      <c r="D7" s="256" t="s">
        <v>1156</v>
      </c>
      <c r="E7" s="256" t="s">
        <v>1157</v>
      </c>
      <c r="F7" s="256" t="s">
        <v>1158</v>
      </c>
      <c r="G7" s="256" t="s">
        <v>1159</v>
      </c>
      <c r="H7" s="256" t="s">
        <v>1160</v>
      </c>
      <c r="I7" s="256" t="s">
        <v>1161</v>
      </c>
      <c r="J7" s="256" t="s">
        <v>1162</v>
      </c>
      <c r="K7" s="256" t="s">
        <v>1163</v>
      </c>
      <c r="AG7" s="1"/>
      <c r="AH7" s="1"/>
      <c r="AI7" s="1"/>
    </row>
    <row r="8" spans="1:35" ht="20.100000000000001" customHeight="1" x14ac:dyDescent="0.2">
      <c r="D8" t="s">
        <v>2249</v>
      </c>
      <c r="E8" t="s">
        <v>2250</v>
      </c>
      <c r="F8" t="s">
        <v>2251</v>
      </c>
      <c r="G8" t="s">
        <v>2252</v>
      </c>
      <c r="H8" t="s">
        <v>2250</v>
      </c>
      <c r="I8" t="s">
        <v>2253</v>
      </c>
      <c r="J8" t="s">
        <v>2254</v>
      </c>
      <c r="K8" t="s">
        <v>2255</v>
      </c>
      <c r="AG8" s="1"/>
      <c r="AH8" s="1"/>
      <c r="AI8" s="1"/>
    </row>
    <row r="9" spans="1:35" ht="20.100000000000001" customHeight="1" x14ac:dyDescent="0.2">
      <c r="A9" s="7" t="s">
        <v>0</v>
      </c>
      <c r="D9" t="s">
        <v>2256</v>
      </c>
      <c r="E9" t="s">
        <v>2257</v>
      </c>
      <c r="F9" t="s">
        <v>2251</v>
      </c>
      <c r="G9" t="s">
        <v>2252</v>
      </c>
      <c r="H9" t="s">
        <v>2258</v>
      </c>
      <c r="I9" t="s">
        <v>2259</v>
      </c>
      <c r="J9" t="s">
        <v>2260</v>
      </c>
      <c r="K9" t="s">
        <v>2261</v>
      </c>
      <c r="AG9" s="1"/>
      <c r="AH9" s="1"/>
      <c r="AI9" s="1"/>
    </row>
    <row r="10" spans="1:35" ht="20.100000000000001" customHeight="1" x14ac:dyDescent="0.2">
      <c r="A10" s="5" t="str">
        <f>HYPERLINK("#'Input - Enterprise'!A1", "Enterprise")</f>
        <v>Enterprise</v>
      </c>
      <c r="D10" t="s">
        <v>2262</v>
      </c>
      <c r="E10" t="s">
        <v>2257</v>
      </c>
      <c r="F10" t="s">
        <v>2263</v>
      </c>
      <c r="G10" t="s">
        <v>2264</v>
      </c>
      <c r="H10" t="s">
        <v>2257</v>
      </c>
      <c r="I10" t="s">
        <v>2265</v>
      </c>
      <c r="J10" t="s">
        <v>2266</v>
      </c>
      <c r="K10" t="s">
        <v>2267</v>
      </c>
      <c r="AG10" s="1"/>
      <c r="AH10" s="1"/>
      <c r="AI10" s="1"/>
    </row>
    <row r="11" spans="1:35" ht="20.100000000000001" customHeight="1" x14ac:dyDescent="0.2">
      <c r="A11" s="5" t="str">
        <f>HYPERLINK("#'Input - Site'!A1", "Site")</f>
        <v>Site</v>
      </c>
    </row>
    <row r="12" spans="1:35" ht="20.100000000000001" customHeight="1" x14ac:dyDescent="0.2">
      <c r="A12" s="5" t="str">
        <f>HYPERLINK("#'Input - Dairy'!A1", "Dairy")</f>
        <v>Dairy</v>
      </c>
    </row>
    <row r="13" spans="1:35" ht="20.100000000000001" customHeight="1" x14ac:dyDescent="0.2">
      <c r="A13" s="5" t="str">
        <f>HYPERLINK("#'Input - Livestock sales'!A1", "Livestock sales")</f>
        <v>Livestock sales</v>
      </c>
    </row>
    <row r="14" spans="1:35" ht="20.100000000000001" customHeight="1" x14ac:dyDescent="0.2">
      <c r="A14" s="5" t="str">
        <f>HYPERLINK("#'Input - Dairy cattle purchases'!A1", "Dairy cattle purchases")</f>
        <v>Dairy cattle purchases</v>
      </c>
    </row>
    <row r="15" spans="1:35" ht="20.100000000000001" customHeight="1" x14ac:dyDescent="0.2">
      <c r="A15" s="5" t="str">
        <f>HYPERLINK("#'Input - Pasture'!A1", "Pasture")</f>
        <v>Pasture</v>
      </c>
      <c r="D15" s="2" t="s">
        <v>2268</v>
      </c>
      <c r="E15" s="8"/>
      <c r="F15" s="8"/>
      <c r="G15" s="8"/>
      <c r="H15" s="8"/>
      <c r="I15" s="8"/>
      <c r="J15" s="8"/>
      <c r="K15" s="8"/>
      <c r="L15" s="8"/>
    </row>
    <row r="16" spans="1:35" ht="20.100000000000001" customHeight="1" x14ac:dyDescent="0.2">
      <c r="A16" s="5" t="str">
        <f>HYPERLINK("#'Input - Fert Prod System'!A1", "Fert Prod System")</f>
        <v>Fert Prod System</v>
      </c>
      <c r="D16" s="17" t="s">
        <v>2269</v>
      </c>
      <c r="E16" s="8"/>
      <c r="F16" s="8"/>
      <c r="G16" s="8"/>
      <c r="H16" s="8"/>
      <c r="I16" s="8"/>
      <c r="J16" s="8"/>
      <c r="K16" s="8"/>
      <c r="L16" s="8"/>
    </row>
    <row r="17" spans="1:14" ht="20.100000000000001" customHeight="1" x14ac:dyDescent="0.2">
      <c r="A17" s="5" t="str">
        <f>HYPERLINK("#'Input - Fertiliser'!A1", "Fertiliser")</f>
        <v>Fertiliser</v>
      </c>
      <c r="D17" s="25"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
      <c r="A18" s="5" t="str">
        <f>HYPERLINK("#'Input - Fuel'!A1", "Fuel")</f>
        <v>Fuel</v>
      </c>
      <c r="D18" s="8"/>
      <c r="E18" s="8"/>
      <c r="F18" s="8"/>
      <c r="G18" s="8"/>
      <c r="H18" s="8"/>
      <c r="I18" s="8"/>
      <c r="J18" s="8"/>
      <c r="K18" s="8"/>
      <c r="L18" s="8"/>
    </row>
    <row r="19" spans="1:14" ht="20.100000000000001" customHeight="1" x14ac:dyDescent="0.2">
      <c r="A19" s="5" t="str">
        <f>HYPERLINK("#'Input - Electricity'!A1", "Electricity")</f>
        <v>Electricity</v>
      </c>
      <c r="D19" t="s">
        <v>160</v>
      </c>
      <c r="E19" t="s">
        <v>1164</v>
      </c>
      <c r="F19" t="s">
        <v>1165</v>
      </c>
      <c r="G19" t="s">
        <v>1166</v>
      </c>
      <c r="H19" t="s">
        <v>1167</v>
      </c>
      <c r="I19" t="s">
        <v>1168</v>
      </c>
      <c r="J19" t="s">
        <v>1169</v>
      </c>
      <c r="K19" t="s">
        <v>1170</v>
      </c>
      <c r="L19" t="s">
        <v>1171</v>
      </c>
      <c r="N19" s="2" t="s">
        <v>612</v>
      </c>
    </row>
    <row r="20" spans="1:14" ht="20.100000000000001" customHeight="1" x14ac:dyDescent="0.2">
      <c r="A20" s="5" t="str">
        <f>HYPERLINK("#'Input - Common farm inputs'!A1", "Common farm inputs")</f>
        <v>Common farm inputs</v>
      </c>
      <c r="D20" t="s">
        <v>2270</v>
      </c>
      <c r="E20">
        <v>1.5</v>
      </c>
      <c r="F20">
        <v>0.28999999999999998</v>
      </c>
      <c r="G20">
        <v>0.88</v>
      </c>
      <c r="H20">
        <v>0.4</v>
      </c>
      <c r="I20">
        <v>6.0000000000000001E-3</v>
      </c>
      <c r="J20">
        <v>0.01</v>
      </c>
      <c r="K20">
        <v>0.5</v>
      </c>
      <c r="L20">
        <v>0.9</v>
      </c>
    </row>
    <row r="21" spans="1:14" ht="20.100000000000001" customHeight="1" x14ac:dyDescent="0.2">
      <c r="A21" s="5" t="str">
        <f>HYPERLINK("#'Input - Crop pasture farm input'!A1", "Crop pasture farm input")</f>
        <v>Crop pasture farm input</v>
      </c>
      <c r="D21" t="s">
        <v>2271</v>
      </c>
      <c r="E21">
        <v>1.24</v>
      </c>
      <c r="F21">
        <v>0.32</v>
      </c>
      <c r="G21">
        <v>0.88</v>
      </c>
      <c r="H21">
        <v>0.4</v>
      </c>
      <c r="I21">
        <v>7.0000000000000001E-3</v>
      </c>
      <c r="J21">
        <v>0.01</v>
      </c>
      <c r="K21">
        <v>0.5</v>
      </c>
      <c r="L21">
        <v>0.85</v>
      </c>
      <c r="N21" s="19" t="s">
        <v>63</v>
      </c>
    </row>
    <row r="22" spans="1:14" ht="20.100000000000001" customHeight="1" x14ac:dyDescent="0.2">
      <c r="A22" s="5" t="str">
        <f>HYPERLINK("#'Input - Livestock farm Inputs'!A1", "Livestock farm Inputs")</f>
        <v>Livestock farm Inputs</v>
      </c>
      <c r="D22" t="s">
        <v>836</v>
      </c>
      <c r="E22">
        <v>0.81</v>
      </c>
      <c r="F22">
        <v>0.39</v>
      </c>
      <c r="G22">
        <v>0.85</v>
      </c>
      <c r="H22">
        <v>0.42</v>
      </c>
      <c r="I22">
        <v>5.0000000000000001E-3</v>
      </c>
      <c r="J22">
        <v>7.0000000000000001E-3</v>
      </c>
      <c r="K22">
        <v>1</v>
      </c>
      <c r="L22">
        <v>0.8</v>
      </c>
      <c r="N22" s="19" t="s">
        <v>617</v>
      </c>
    </row>
    <row r="23" spans="1:14" ht="20.100000000000001" customHeight="1" x14ac:dyDescent="0.2">
      <c r="A23" s="5" t="str">
        <f>HYPERLINK("#'Input - Freight'!A1", "Freight")</f>
        <v>Freight</v>
      </c>
      <c r="D23" t="s">
        <v>2272</v>
      </c>
      <c r="E23">
        <v>1.42</v>
      </c>
      <c r="F23">
        <v>0.43</v>
      </c>
      <c r="G23">
        <v>0.88</v>
      </c>
      <c r="H23">
        <v>0.4</v>
      </c>
      <c r="I23">
        <v>6.0000000000000001E-3</v>
      </c>
      <c r="J23">
        <v>0.01</v>
      </c>
      <c r="K23">
        <v>0.5</v>
      </c>
      <c r="L23">
        <v>0.85</v>
      </c>
      <c r="N23" s="19" t="s">
        <v>618</v>
      </c>
    </row>
    <row r="24" spans="1:14" ht="20.100000000000001" customHeight="1" x14ac:dyDescent="0.2">
      <c r="A24" s="5" t="str">
        <f>HYPERLINK("#'Input - Solid waste'!A1", "Solid waste")</f>
        <v>Solid waste</v>
      </c>
      <c r="D24" t="s">
        <v>2273</v>
      </c>
      <c r="E24">
        <v>1.31</v>
      </c>
      <c r="F24">
        <v>0.16</v>
      </c>
      <c r="G24">
        <v>0.8</v>
      </c>
      <c r="H24">
        <v>0.42</v>
      </c>
      <c r="I24">
        <v>7.0000000000000001E-3</v>
      </c>
      <c r="J24">
        <v>0.01</v>
      </c>
      <c r="K24">
        <v>1</v>
      </c>
      <c r="L24">
        <v>0.8</v>
      </c>
      <c r="N24" s="1" t="s">
        <v>376</v>
      </c>
    </row>
    <row r="25" spans="1:14" ht="20.100000000000001" customHeight="1" x14ac:dyDescent="0.2">
      <c r="A25" s="5" t="str">
        <f>HYPERLINK("#'Input - Manure sent off-site'!A1", "Manure sent off-site")</f>
        <v>Manure sent off-site</v>
      </c>
      <c r="D25" t="s">
        <v>2274</v>
      </c>
      <c r="E25">
        <v>1.5</v>
      </c>
      <c r="F25">
        <v>0.22</v>
      </c>
      <c r="G25">
        <v>0.8</v>
      </c>
      <c r="H25">
        <v>0.4</v>
      </c>
      <c r="I25">
        <v>8.0000000000000002E-3</v>
      </c>
      <c r="J25">
        <v>7.0000000000000001E-3</v>
      </c>
      <c r="K25">
        <v>0.5</v>
      </c>
      <c r="L25">
        <v>0.85</v>
      </c>
      <c r="N25" s="1" t="s">
        <v>619</v>
      </c>
    </row>
    <row r="26" spans="1:14" ht="20.100000000000001" customHeight="1" x14ac:dyDescent="0.2">
      <c r="A26" s="5" t="str">
        <f>HYPERLINK("#'Input - Refrigerants'!A1", "Refrigerants")</f>
        <v>Refrigerants</v>
      </c>
      <c r="D26" t="s">
        <v>2275</v>
      </c>
      <c r="E26">
        <v>1.5</v>
      </c>
      <c r="F26">
        <v>0.42</v>
      </c>
      <c r="G26">
        <v>0.88</v>
      </c>
      <c r="H26">
        <v>0.4</v>
      </c>
      <c r="I26">
        <v>6.0000000000000001E-3</v>
      </c>
      <c r="J26">
        <v>0.01</v>
      </c>
      <c r="K26">
        <v>0.5</v>
      </c>
      <c r="L26">
        <v>0.85</v>
      </c>
      <c r="N26" s="1" t="s">
        <v>620</v>
      </c>
    </row>
    <row r="27" spans="1:14" ht="20.100000000000001" customHeight="1" x14ac:dyDescent="0.2">
      <c r="A27" s="5" t="str">
        <f>HYPERLINK("#'Input - Data quality'!A1", "Data quality")</f>
        <v>Data quality</v>
      </c>
      <c r="D27" t="s">
        <v>2276</v>
      </c>
      <c r="E27">
        <v>1.46</v>
      </c>
      <c r="F27">
        <v>0.36</v>
      </c>
      <c r="G27">
        <v>0.88</v>
      </c>
      <c r="H27">
        <v>0.4</v>
      </c>
      <c r="I27">
        <v>6.0000000000000001E-3</v>
      </c>
      <c r="J27">
        <v>0.01</v>
      </c>
      <c r="K27">
        <v>0.5</v>
      </c>
      <c r="L27">
        <v>0.85</v>
      </c>
    </row>
    <row r="28" spans="1:14" ht="20.100000000000001" customHeight="1" x14ac:dyDescent="0.2">
      <c r="D28" t="s">
        <v>2277</v>
      </c>
      <c r="E28">
        <v>1.37</v>
      </c>
      <c r="F28">
        <v>0.51</v>
      </c>
      <c r="G28">
        <v>0.87</v>
      </c>
      <c r="H28">
        <v>0.4</v>
      </c>
      <c r="I28">
        <v>8.9999999999999993E-3</v>
      </c>
      <c r="J28">
        <v>0.01</v>
      </c>
      <c r="K28">
        <v>0.5</v>
      </c>
      <c r="L28">
        <v>0.85</v>
      </c>
    </row>
    <row r="29" spans="1:14" ht="20.100000000000001" customHeight="1" x14ac:dyDescent="0.2">
      <c r="D29" t="s">
        <v>2278</v>
      </c>
      <c r="E29">
        <v>0.34</v>
      </c>
      <c r="F29">
        <v>0.43</v>
      </c>
      <c r="G29">
        <v>0.25</v>
      </c>
      <c r="H29">
        <v>0.4</v>
      </c>
      <c r="I29">
        <v>0.02</v>
      </c>
      <c r="J29">
        <v>0.01</v>
      </c>
      <c r="K29" t="s">
        <v>2279</v>
      </c>
      <c r="L29">
        <v>0.85</v>
      </c>
    </row>
    <row r="30" spans="1:14" ht="20.100000000000001" customHeight="1" x14ac:dyDescent="0.2">
      <c r="A30" s="6" t="s">
        <v>2</v>
      </c>
      <c r="D30" t="s">
        <v>2280</v>
      </c>
      <c r="E30">
        <v>1.07</v>
      </c>
      <c r="F30">
        <v>0.2</v>
      </c>
      <c r="G30">
        <v>0.8</v>
      </c>
      <c r="H30">
        <v>0.42</v>
      </c>
      <c r="I30">
        <v>1.6E-2</v>
      </c>
      <c r="J30">
        <v>1.4E-2</v>
      </c>
      <c r="K30">
        <v>0.5</v>
      </c>
      <c r="L30">
        <v>0.85</v>
      </c>
    </row>
    <row r="31" spans="1:14" ht="20.100000000000001" customHeight="1" x14ac:dyDescent="0.2">
      <c r="A31" s="5" t="str">
        <f>HYPERLINK("#'3.3.1.1-2 Enteric Methane'!A1", "3.3.1.1-2 Enteric methane")</f>
        <v>3.3.1.1-2 Enteric methane</v>
      </c>
      <c r="D31" t="s">
        <v>2281</v>
      </c>
      <c r="E31">
        <v>0.25</v>
      </c>
      <c r="F31">
        <v>0.45</v>
      </c>
      <c r="G31">
        <v>0.2</v>
      </c>
      <c r="H31">
        <v>0.4</v>
      </c>
      <c r="I31">
        <v>5.0000000000000001E-3</v>
      </c>
      <c r="J31">
        <v>7.0000000000000001E-3</v>
      </c>
      <c r="K31">
        <v>1</v>
      </c>
      <c r="L31">
        <v>0.8</v>
      </c>
    </row>
    <row r="32" spans="1:14" ht="20.100000000000001" customHeight="1" x14ac:dyDescent="0.2">
      <c r="A32" s="5" t="str">
        <f>HYPERLINK("#'4.3.1.1-2 Methane'!A1", "4.3.1.1-2 Manure methane")</f>
        <v>4.3.1.1-2 Manure methane</v>
      </c>
      <c r="D32" t="s">
        <v>769</v>
      </c>
      <c r="E32">
        <v>1.9</v>
      </c>
      <c r="F32">
        <v>0.3</v>
      </c>
      <c r="G32">
        <v>0.9</v>
      </c>
      <c r="H32">
        <v>0.4</v>
      </c>
      <c r="I32">
        <v>0.01</v>
      </c>
      <c r="J32">
        <v>0.01</v>
      </c>
      <c r="K32" t="s">
        <v>2279</v>
      </c>
      <c r="L32">
        <v>0.85</v>
      </c>
    </row>
    <row r="33" spans="1:13" ht="20.100000000000001" customHeight="1" x14ac:dyDescent="0.2">
      <c r="A33" s="5" t="str">
        <f>HYPERLINK("#'4.3.1.3-4 Direct N20'!A1", "4.3.1.3-4 Direct N20")</f>
        <v>4.3.1.3-4 Direct N20</v>
      </c>
      <c r="D33" t="s">
        <v>2282</v>
      </c>
      <c r="E33">
        <v>1.5</v>
      </c>
      <c r="F33">
        <v>0.28999999999999998</v>
      </c>
      <c r="G33">
        <v>0.88</v>
      </c>
      <c r="H33">
        <v>0.4</v>
      </c>
      <c r="I33">
        <v>6.0000000000000001E-3</v>
      </c>
      <c r="J33" t="s">
        <v>2279</v>
      </c>
      <c r="K33" t="s">
        <v>2279</v>
      </c>
      <c r="L33">
        <v>0.85</v>
      </c>
    </row>
    <row r="34" spans="1:13" ht="20.100000000000001" customHeight="1" x14ac:dyDescent="0.2">
      <c r="A34" s="5" t="str">
        <f>HYPERLINK("#'4.3.1.5 Atmos deposition'!A1", "4.3.1.5 Atmos deposition")</f>
        <v>4.3.1.5 Atmos deposition</v>
      </c>
      <c r="D34" t="s">
        <v>2283</v>
      </c>
      <c r="E34">
        <v>2.08</v>
      </c>
      <c r="F34">
        <v>0.33</v>
      </c>
      <c r="G34">
        <v>0.96</v>
      </c>
      <c r="H34">
        <v>0.4</v>
      </c>
      <c r="I34">
        <v>8.9999999999999993E-3</v>
      </c>
      <c r="J34">
        <v>0.01</v>
      </c>
      <c r="K34">
        <v>0.5</v>
      </c>
      <c r="L34">
        <v>0.85</v>
      </c>
    </row>
    <row r="35" spans="1:13" ht="20.100000000000001" customHeight="1" x14ac:dyDescent="0.2">
      <c r="A35" s="5" t="str">
        <f>HYPERLINK("#'4.3.1.6-7 Leaching and runoff'!A1", "4.3.1.6-7 Leaching &amp; runoff")</f>
        <v>4.3.1.6-7 Leaching &amp; runoff</v>
      </c>
      <c r="D35" t="s">
        <v>2284</v>
      </c>
      <c r="E35">
        <v>1.34</v>
      </c>
      <c r="F35">
        <v>0.37</v>
      </c>
      <c r="G35">
        <v>0.88</v>
      </c>
      <c r="H35">
        <v>0.4</v>
      </c>
      <c r="I35">
        <v>6.0000000000000001E-3</v>
      </c>
      <c r="J35">
        <v>0.01</v>
      </c>
      <c r="K35" t="s">
        <v>2279</v>
      </c>
      <c r="L35">
        <v>0.85</v>
      </c>
    </row>
    <row r="36" spans="1:13" ht="20.100000000000001" customHeight="1" x14ac:dyDescent="0.2">
      <c r="A36" s="5" t="str">
        <f>HYPERLINK("#'4.3.1.8 Manure applied to soils'!A1", "4.3.1.8 Manure applied to soils")</f>
        <v>4.3.1.8 Manure applied to soils</v>
      </c>
      <c r="D36" t="s">
        <v>2285</v>
      </c>
      <c r="E36">
        <v>1</v>
      </c>
      <c r="F36">
        <v>0.22</v>
      </c>
      <c r="G36">
        <v>0.85</v>
      </c>
      <c r="H36">
        <v>0.4</v>
      </c>
      <c r="I36">
        <v>8.0000000000000002E-3</v>
      </c>
      <c r="J36">
        <v>8.9999999999999993E-3</v>
      </c>
      <c r="K36" t="s">
        <v>2279</v>
      </c>
      <c r="L36" t="s">
        <v>2279</v>
      </c>
    </row>
    <row r="37" spans="1:13" ht="20.100000000000001" customHeight="1" x14ac:dyDescent="0.2">
      <c r="A37" s="5" t="str">
        <f>HYPERLINK("#'4.3.1.9 Soil direct N2O'!A1", "4.3.1.9 Soil direct N2O")</f>
        <v>4.3.1.9 Soil direct N2O</v>
      </c>
      <c r="D37" t="s">
        <v>2286</v>
      </c>
      <c r="E37">
        <v>1.5</v>
      </c>
      <c r="F37">
        <v>0.28999999999999998</v>
      </c>
      <c r="G37">
        <v>0.88</v>
      </c>
      <c r="H37">
        <v>0.4</v>
      </c>
      <c r="I37">
        <v>6.0000000000000001E-3</v>
      </c>
      <c r="J37" t="s">
        <v>2279</v>
      </c>
      <c r="K37" t="s">
        <v>2279</v>
      </c>
      <c r="L37" t="s">
        <v>2279</v>
      </c>
    </row>
    <row r="38" spans="1:13" ht="20.100000000000001" customHeight="1" x14ac:dyDescent="0.2">
      <c r="A38" s="5" t="str">
        <f>HYPERLINK("#'4.3.1.10-11 Soil Atmos Dep'!A1", "4.3.1.10-11 Soil Atmos Deposition")</f>
        <v>4.3.1.10-11 Soil Atmos Deposition</v>
      </c>
      <c r="D38" s="8"/>
      <c r="E38" s="8"/>
      <c r="F38" s="8"/>
      <c r="G38" s="8"/>
      <c r="H38" s="8"/>
      <c r="I38" s="8"/>
      <c r="J38" s="8"/>
      <c r="K38" s="8"/>
      <c r="L38" s="8"/>
    </row>
    <row r="39" spans="1:13" ht="20.100000000000001" customHeight="1" x14ac:dyDescent="0.2">
      <c r="A39" s="5" t="str">
        <f>HYPERLINK("#'4.3.1.12-13 Soil leach runoff'!A1", "4.3.1.12-13 Soil leach &amp; runoff")</f>
        <v>4.3.1.12-13 Soil leach &amp; runoff</v>
      </c>
      <c r="D39" s="8"/>
      <c r="E39" s="8"/>
      <c r="F39" s="8"/>
      <c r="G39" s="8"/>
      <c r="H39" s="8"/>
      <c r="I39" s="8"/>
      <c r="J39" s="8"/>
      <c r="K39" s="8"/>
      <c r="L39" s="8"/>
    </row>
    <row r="40" spans="1:13" ht="20.100000000000001" customHeight="1" x14ac:dyDescent="0.2">
      <c r="A40" s="5" t="str">
        <f>HYPERLINK("#'5.1.1.1-2 Inorganic fert N2O'!A1", "5.1.1.1-2 Inorganic fert N2O")</f>
        <v>5.1.1.1-2 Inorganic fert N2O</v>
      </c>
      <c r="D40" s="2" t="s">
        <v>2287</v>
      </c>
      <c r="E40" s="24"/>
      <c r="F40" s="24"/>
      <c r="G40" s="8"/>
      <c r="H40" s="8"/>
      <c r="I40" s="8"/>
      <c r="J40" s="8"/>
      <c r="K40" s="8"/>
      <c r="L40" s="8"/>
    </row>
    <row r="41" spans="1:13" ht="20.100000000000001" customHeight="1" x14ac:dyDescent="0.2">
      <c r="A41" s="5" t="str">
        <f>HYPERLINK("#'5.1.1.3-4 Inorganic fert CO2'!A1", "5.1.1.3-4 Inorganic fert CO2")</f>
        <v>5.1.1.3-4 Inorganic fert CO2</v>
      </c>
      <c r="D41" s="17" t="s">
        <v>2288</v>
      </c>
      <c r="E41" s="24"/>
      <c r="F41" s="24"/>
      <c r="G41" s="8"/>
      <c r="H41" s="8"/>
      <c r="I41" s="8"/>
      <c r="J41" s="8"/>
      <c r="K41" s="8"/>
      <c r="L41" s="8"/>
    </row>
    <row r="42" spans="1:13" ht="20.100000000000001" customHeight="1" x14ac:dyDescent="0.2">
      <c r="A42" s="5" t="str">
        <f>HYPERLINK("#'5.2.1.1-2 Organic Fert N2O'!A1", "5.2.1.1-2 Organic fert N2O")</f>
        <v>5.2.1.1-2 Organic fert N2O</v>
      </c>
      <c r="D42" s="17"/>
      <c r="E42" s="24"/>
      <c r="F42" s="24"/>
      <c r="H42" s="8"/>
      <c r="I42" s="8"/>
      <c r="M42" s="24"/>
    </row>
    <row r="43" spans="1:13" ht="20.100000000000001" customHeight="1" x14ac:dyDescent="0.2">
      <c r="A43" s="5" t="str">
        <f>HYPERLINK("#'5.3.1.1-2 Lime CO2'!A1", "5.3.1.1-2 Lime CO2")</f>
        <v>5.3.1.1-2 Lime CO2</v>
      </c>
      <c r="D43" s="192" t="s">
        <v>1172</v>
      </c>
      <c r="E43" s="192" t="s">
        <v>1173</v>
      </c>
      <c r="F43" s="24"/>
      <c r="H43" s="8"/>
      <c r="I43" s="8"/>
      <c r="M43" s="24"/>
    </row>
    <row r="44" spans="1:13" ht="20.100000000000001" customHeight="1" x14ac:dyDescent="0.2">
      <c r="A44" s="5" t="str">
        <f>HYPERLINK("#'5.4.1.1-4 Atmos deposition'!A1", "5.4.1.1-4 Atmos. deposition")</f>
        <v>5.4.1.1-4 Atmos. deposition</v>
      </c>
      <c r="D44" s="26" t="s">
        <v>2289</v>
      </c>
      <c r="E44" s="26">
        <v>6.0000000000000001E-3</v>
      </c>
      <c r="F44" s="24"/>
      <c r="H44" s="8"/>
      <c r="I44" s="8"/>
      <c r="M44" s="24"/>
    </row>
    <row r="45" spans="1:13" ht="20.100000000000001" customHeight="1" x14ac:dyDescent="0.2">
      <c r="A45" s="5" t="str">
        <f>HYPERLINK("#'5.5.1.1-2 Leaching and runoff'!A1", "5.5.1.1-2 Leaching &amp; runoff")</f>
        <v>5.5.1.1-2 Leaching &amp; runoff</v>
      </c>
      <c r="D45" s="26" t="s">
        <v>2290</v>
      </c>
      <c r="E45" s="26">
        <v>5.0000000000000001E-3</v>
      </c>
      <c r="F45" s="24"/>
      <c r="H45" s="8"/>
      <c r="I45" s="8"/>
      <c r="M45" s="24"/>
    </row>
    <row r="46" spans="1:13" ht="20.100000000000001" customHeight="1" x14ac:dyDescent="0.2">
      <c r="A46" s="5" t="str">
        <f>HYPERLINK("#'6.2.1.1-2 Pasture residue N2O'!A1", "6.2.1.1-2 Pasture residue N2O")</f>
        <v>6.2.1.1-2 Pasture residue N2O</v>
      </c>
      <c r="H46" s="8"/>
      <c r="I46" s="8"/>
      <c r="M46" s="24"/>
    </row>
    <row r="47" spans="1:13" ht="20.100000000000001" customHeight="1" x14ac:dyDescent="0.2">
      <c r="A47" s="5" t="str">
        <f>HYPERLINK("#'6.3.1.1-2 Leach runoff pasture'!A1", "6.3.1.1-2 Leach &amp; runoff (pasture)")</f>
        <v>6.3.1.1-2 Leach &amp; runoff (pasture)</v>
      </c>
      <c r="M47" s="24"/>
    </row>
    <row r="48" spans="1:13" ht="20.100000000000001" customHeight="1" x14ac:dyDescent="0.2">
      <c r="A48" s="5" t="str">
        <f>HYPERLINK("#'8.1.1.1-2 Transport fuel'!A1", "8.1.1.1-2 Transport fuel")</f>
        <v>8.1.1.1-2 Transport fuel</v>
      </c>
      <c r="D48" s="2" t="s">
        <v>2291</v>
      </c>
      <c r="K48" s="8"/>
      <c r="L48" s="8"/>
    </row>
    <row r="49" spans="1:12" ht="20.100000000000001" customHeight="1" x14ac:dyDescent="0.2">
      <c r="A49" s="5" t="str">
        <f>HYPERLINK("#'8.2.1.1-2 Stationary fuel'!A1", "8.2.1.1-2 Stationary fuel")</f>
        <v>8.2.1.1-2 Stationary fuel</v>
      </c>
      <c r="D49" s="17" t="s">
        <v>2292</v>
      </c>
      <c r="K49" s="8"/>
      <c r="L49" s="8"/>
    </row>
    <row r="50" spans="1:12" ht="20.100000000000001" customHeight="1" x14ac:dyDescent="0.2">
      <c r="A50" s="5" t="str">
        <f>HYPERLINK("#'9.1.1.1-2 Refrigerant use'!A1", "9.1.1.1-2 Refrigerant use")</f>
        <v>9.1.1.1-2 Refrigerant use</v>
      </c>
      <c r="K50" s="8"/>
      <c r="L50" s="8"/>
    </row>
    <row r="51" spans="1:12" ht="20.100000000000001" customHeight="1" x14ac:dyDescent="0.2">
      <c r="A51" s="5" t="str">
        <f>HYPERLINK("#'10.1.1-2 Solid waste treatment'!A1", "10.1.1.1-2 Solid waste")</f>
        <v>10.1.1.1-2 Solid waste</v>
      </c>
      <c r="D51" s="19" t="s">
        <v>1125</v>
      </c>
      <c r="E51" s="19" t="s">
        <v>1174</v>
      </c>
      <c r="F51" s="19" t="s">
        <v>1175</v>
      </c>
      <c r="G51" s="19" t="s">
        <v>1176</v>
      </c>
      <c r="H51" s="19" t="s">
        <v>1177</v>
      </c>
      <c r="I51" s="19" t="s">
        <v>1178</v>
      </c>
      <c r="K51" s="8"/>
      <c r="L51" s="8"/>
    </row>
    <row r="52" spans="1:12" ht="20.100000000000001" customHeight="1" x14ac:dyDescent="0.2">
      <c r="A52" s="5" t="str">
        <f>HYPERLINK("#'14.1.1-2 Purchased electricity'!A1", "14.1.1-2 Purchased electricity")</f>
        <v>14.1.1-2 Purchased electricity</v>
      </c>
      <c r="D52" s="19" t="s">
        <v>2293</v>
      </c>
      <c r="E52" s="19">
        <v>4.41</v>
      </c>
      <c r="F52" s="19">
        <v>0.4</v>
      </c>
      <c r="G52" s="19">
        <v>1.4999999999999999E-2</v>
      </c>
      <c r="H52" s="19">
        <v>1.2E-2</v>
      </c>
      <c r="I52" s="19">
        <v>0.8</v>
      </c>
      <c r="L52" s="8"/>
    </row>
    <row r="53" spans="1:12" ht="20.100000000000001" customHeight="1" x14ac:dyDescent="0.2">
      <c r="A53" s="5" t="str">
        <f>HYPERLINK("#'15 Scope 3'!A1", "15 Scope 3")</f>
        <v>15 Scope 3</v>
      </c>
      <c r="D53" s="19" t="s">
        <v>1126</v>
      </c>
      <c r="E53" s="19">
        <v>8.34</v>
      </c>
      <c r="F53" s="19">
        <v>0.8</v>
      </c>
      <c r="G53" s="19">
        <v>2.5000000000000001E-2</v>
      </c>
      <c r="H53" s="19">
        <v>1.6E-2</v>
      </c>
      <c r="I53" s="19">
        <v>0.8</v>
      </c>
      <c r="L53" s="8"/>
    </row>
    <row r="54" spans="1:12" ht="20.100000000000001" customHeight="1" x14ac:dyDescent="0.2">
      <c r="A54" s="5" t="str">
        <f>HYPERLINK("#'Calcs - Manure sent off-site'!A1", "Calcs - Manure sent off-site")</f>
        <v>Calcs - Manure sent off-site</v>
      </c>
      <c r="D54" s="19" t="s">
        <v>2294</v>
      </c>
      <c r="E54" s="19">
        <v>8.6199999999999992</v>
      </c>
      <c r="F54" s="19">
        <v>0.4</v>
      </c>
      <c r="G54" s="19">
        <v>2.7E-2</v>
      </c>
      <c r="H54" s="19">
        <v>1.9E-2</v>
      </c>
      <c r="I54" s="19">
        <v>0.8</v>
      </c>
    </row>
    <row r="55" spans="1:12" ht="20.100000000000001" customHeight="1" x14ac:dyDescent="0.2">
      <c r="D55" s="19" t="s">
        <v>2295</v>
      </c>
      <c r="E55" s="19">
        <v>5.62</v>
      </c>
      <c r="F55" s="19">
        <v>0.4</v>
      </c>
      <c r="G55" s="19">
        <v>2.7E-2</v>
      </c>
      <c r="H55" s="19">
        <v>2.1999999999999999E-2</v>
      </c>
      <c r="I55" s="19">
        <v>0.8</v>
      </c>
    </row>
    <row r="56" spans="1:12" ht="20.100000000000001" customHeight="1" x14ac:dyDescent="0.2">
      <c r="D56" s="19" t="s">
        <v>2296</v>
      </c>
      <c r="E56" s="19">
        <v>8.35</v>
      </c>
      <c r="F56" s="19">
        <v>0.8</v>
      </c>
      <c r="G56" s="19">
        <v>1.4999999999999999E-2</v>
      </c>
      <c r="H56" s="19">
        <v>1.2E-2</v>
      </c>
      <c r="I56" s="19">
        <v>0.8</v>
      </c>
    </row>
    <row r="57" spans="1:12" ht="20.100000000000001" customHeight="1" x14ac:dyDescent="0.2">
      <c r="A57" s="82" t="s">
        <v>1</v>
      </c>
      <c r="H57" s="8"/>
    </row>
    <row r="58" spans="1:12" ht="20.100000000000001" customHeight="1" x14ac:dyDescent="0.2">
      <c r="A58" s="5" t="str">
        <f>HYPERLINK("#'Constants - Dairy'!A1", "Constants - Dairy")</f>
        <v>Constants - Dairy</v>
      </c>
    </row>
    <row r="59" spans="1:12" ht="20.100000000000001" customHeight="1" x14ac:dyDescent="0.2">
      <c r="A59" s="83" t="str">
        <f>HYPERLINK("#'Constants - Ag Residue'!A1", "Constants - Ag residue")</f>
        <v>Constants - Ag residue</v>
      </c>
      <c r="D59" s="2" t="s">
        <v>2297</v>
      </c>
    </row>
    <row r="60" spans="1:12" ht="20.100000000000001" customHeight="1" x14ac:dyDescent="0.2">
      <c r="A60" s="5" t="str">
        <f>HYPERLINK("#'Constants - Common Livestock'!A1", "Constants - Common Livestock")</f>
        <v>Constants - Common Livestock</v>
      </c>
      <c r="D60" s="17" t="s">
        <v>2298</v>
      </c>
    </row>
    <row r="61" spans="1:12" ht="20.100000000000001" customHeight="1" x14ac:dyDescent="0.2">
      <c r="A61" s="5" t="str">
        <f>HYPERLINK("#'Constants - Electricity'!A1", "Constants - Electricity")</f>
        <v>Constants - Electricity</v>
      </c>
    </row>
    <row r="62" spans="1:12" ht="20.100000000000001" customHeight="1" x14ac:dyDescent="0.2">
      <c r="A62" s="5" t="str">
        <f>HYPERLINK("#'Constants - Fertiliser'!A1", "Constants - Fertiliser")</f>
        <v>Constants - Fertiliser</v>
      </c>
      <c r="D62" s="19" t="s">
        <v>1179</v>
      </c>
      <c r="E62" s="19" t="s">
        <v>1180</v>
      </c>
      <c r="F62" s="19" t="s">
        <v>1181</v>
      </c>
    </row>
    <row r="63" spans="1:12" ht="20.100000000000001" customHeight="1" x14ac:dyDescent="0.2">
      <c r="A63" s="5" t="str">
        <f>HYPERLINK("#'Constants - Fuel'!A1", "Constants - Fuel")</f>
        <v>Constants - Fuel</v>
      </c>
      <c r="D63" s="19" t="s">
        <v>941</v>
      </c>
      <c r="E63" s="19">
        <v>3.5000000000000001E-3</v>
      </c>
      <c r="F63" s="19" t="s">
        <v>2299</v>
      </c>
      <c r="K63" s="8"/>
      <c r="L63" s="8"/>
    </row>
    <row r="64" spans="1:12" ht="20.100000000000001" customHeight="1" x14ac:dyDescent="0.2">
      <c r="A64" s="5" t="str">
        <f>HYPERLINK("#'Constants - Scope 3'!A1", "Constants - Scope 3")</f>
        <v>Constants - Scope 3</v>
      </c>
      <c r="D64" s="1" t="s">
        <v>942</v>
      </c>
      <c r="E64" s="19">
        <v>7.6E-3</v>
      </c>
      <c r="F64" s="19" t="s">
        <v>2300</v>
      </c>
      <c r="K64" s="8"/>
      <c r="L64" s="8"/>
    </row>
    <row r="65" spans="1:12" ht="20.100000000000001" customHeight="1" x14ac:dyDescent="0.2">
      <c r="A65" s="5" t="str">
        <f>HYPERLINK("#'Constants - Common'!A1", "Constants - Common")</f>
        <v>Constants - Common</v>
      </c>
      <c r="D65" s="1" t="s">
        <v>2301</v>
      </c>
      <c r="E65" s="19">
        <v>0.21</v>
      </c>
      <c r="F65" s="19" t="s">
        <v>2302</v>
      </c>
      <c r="K65" s="8"/>
      <c r="L65" s="8"/>
    </row>
    <row r="66" spans="1:12" ht="20.100000000000001" customHeight="1" x14ac:dyDescent="0.2">
      <c r="A66" s="5" t="str">
        <f>HYPERLINK("#'Constants - Refrigerants'!A1", "Constants - Refrigerants")</f>
        <v>Constants - Refrigerants</v>
      </c>
      <c r="D66" s="1" t="s">
        <v>2303</v>
      </c>
      <c r="E66" s="19">
        <v>7.8E-2</v>
      </c>
      <c r="F66" s="19" t="s">
        <v>2304</v>
      </c>
      <c r="K66" s="8"/>
      <c r="L66" s="8"/>
    </row>
    <row r="67" spans="1:12" ht="20.100000000000001" customHeight="1" x14ac:dyDescent="0.2">
      <c r="A67" s="5" t="str">
        <f>HYPERLINK("#'Constants - Solid Waste'!A1", "Constants - Solid Waste")</f>
        <v>Constants - Solid Waste</v>
      </c>
      <c r="D67" s="1" t="s">
        <v>2305</v>
      </c>
      <c r="E67" s="19">
        <v>9.1000000000000004E-3</v>
      </c>
      <c r="F67" s="19" t="s">
        <v>2306</v>
      </c>
      <c r="K67" s="8"/>
      <c r="L67" s="8"/>
    </row>
    <row r="68" spans="1:12" ht="20.100000000000001" customHeight="1" x14ac:dyDescent="0.2">
      <c r="A68" s="5" t="str">
        <f>HYPERLINK("#'Acknowledgements'!A1", "Acknowledgements")</f>
        <v>Acknowledgements</v>
      </c>
      <c r="K68" s="8"/>
      <c r="L68" s="8"/>
    </row>
    <row r="69" spans="1:12" ht="20.100000000000001" customHeight="1" x14ac:dyDescent="0.2">
      <c r="K69" s="8"/>
      <c r="L69" s="8"/>
    </row>
    <row r="70" spans="1:12" ht="20.100000000000001" customHeight="1" x14ac:dyDescent="0.2">
      <c r="D70" s="2" t="s">
        <v>2307</v>
      </c>
      <c r="E70" s="8"/>
      <c r="F70" s="8"/>
      <c r="G70" s="8"/>
      <c r="K70" s="8"/>
      <c r="L70" s="8"/>
    </row>
    <row r="71" spans="1:12" ht="20.100000000000001" customHeight="1" x14ac:dyDescent="0.2">
      <c r="D71" s="17" t="s">
        <v>2308</v>
      </c>
      <c r="E71" s="8"/>
      <c r="F71" s="8"/>
      <c r="G71" s="8"/>
      <c r="K71" s="8"/>
      <c r="L71" s="8"/>
    </row>
    <row r="72" spans="1:12" ht="20.100000000000001" customHeight="1" x14ac:dyDescent="0.2">
      <c r="D72" s="8"/>
      <c r="E72" s="8"/>
      <c r="F72" s="8"/>
      <c r="G72" s="8"/>
      <c r="K72" s="8"/>
      <c r="L72" s="8"/>
    </row>
    <row r="73" spans="1:12" ht="20.100000000000001" customHeight="1" x14ac:dyDescent="0.2">
      <c r="D73" t="s">
        <v>1182</v>
      </c>
      <c r="E73" t="s">
        <v>98</v>
      </c>
      <c r="F73" t="s">
        <v>1183</v>
      </c>
      <c r="G73" s="8"/>
      <c r="K73" s="8"/>
      <c r="L73" s="8"/>
    </row>
    <row r="74" spans="1:12" ht="20.100000000000001" customHeight="1" x14ac:dyDescent="0.2">
      <c r="D74" t="s">
        <v>2273</v>
      </c>
      <c r="E74" t="s">
        <v>2309</v>
      </c>
      <c r="F74">
        <v>0.06</v>
      </c>
      <c r="G74" s="8"/>
      <c r="K74" s="8"/>
      <c r="L74" s="8"/>
    </row>
    <row r="75" spans="1:12" ht="20.100000000000001" customHeight="1" x14ac:dyDescent="0.2">
      <c r="D75" s="8" t="s">
        <v>2278</v>
      </c>
      <c r="E75" t="s">
        <v>2309</v>
      </c>
      <c r="F75">
        <v>1</v>
      </c>
      <c r="G75" s="8"/>
      <c r="H75" s="8"/>
      <c r="K75" s="8"/>
      <c r="L75" s="8"/>
    </row>
    <row r="76" spans="1:12" ht="20.100000000000001" customHeight="1" x14ac:dyDescent="0.2">
      <c r="D76" s="8" t="s">
        <v>769</v>
      </c>
      <c r="E76" t="s">
        <v>2309</v>
      </c>
      <c r="F76">
        <v>0</v>
      </c>
      <c r="G76" s="8"/>
      <c r="H76" s="8"/>
      <c r="K76" s="8"/>
      <c r="L76" s="8"/>
    </row>
    <row r="77" spans="1:12" ht="20.100000000000001" customHeight="1" x14ac:dyDescent="0.2">
      <c r="D77" s="8" t="s">
        <v>2282</v>
      </c>
      <c r="E77" t="s">
        <v>2309</v>
      </c>
      <c r="F77">
        <v>0</v>
      </c>
      <c r="G77" s="8"/>
      <c r="H77" s="8"/>
      <c r="I77" s="8"/>
      <c r="J77" s="8"/>
      <c r="K77" s="8"/>
      <c r="L77" s="8"/>
    </row>
    <row r="78" spans="1:12" ht="20.100000000000001" customHeight="1" x14ac:dyDescent="0.2">
      <c r="D78" s="8" t="s">
        <v>2284</v>
      </c>
      <c r="E78" t="s">
        <v>2309</v>
      </c>
      <c r="F78">
        <v>0.8</v>
      </c>
      <c r="G78" s="8"/>
      <c r="H78" s="8"/>
      <c r="I78" s="8"/>
      <c r="J78" s="8"/>
      <c r="K78" s="8"/>
      <c r="L78" s="8"/>
    </row>
    <row r="79" spans="1:12" ht="20.100000000000001" customHeight="1" x14ac:dyDescent="0.2">
      <c r="A79" s="129" t="str">
        <f>HYPERLINK("#A1", "▲ Back to top")</f>
        <v>▲ Back to top</v>
      </c>
      <c r="D79" s="8" t="s">
        <v>2310</v>
      </c>
      <c r="E79" t="s">
        <v>631</v>
      </c>
      <c r="F79">
        <v>0</v>
      </c>
      <c r="G79" s="8"/>
      <c r="H79" s="8"/>
      <c r="I79" s="8"/>
      <c r="J79" s="8"/>
      <c r="K79" s="8"/>
      <c r="L79" s="8"/>
    </row>
    <row r="80" spans="1:12" ht="20.100000000000001" customHeight="1" x14ac:dyDescent="0.2">
      <c r="D80" s="8" t="s">
        <v>2310</v>
      </c>
      <c r="E80" t="s">
        <v>633</v>
      </c>
      <c r="F80">
        <v>0.03</v>
      </c>
      <c r="G80" s="8"/>
      <c r="H80" s="8"/>
      <c r="I80" s="8"/>
      <c r="J80" s="8"/>
      <c r="K80" s="8"/>
      <c r="L80" s="8"/>
    </row>
    <row r="81" spans="4:12" ht="20.100000000000001" customHeight="1" x14ac:dyDescent="0.2">
      <c r="D81" s="8" t="s">
        <v>2310</v>
      </c>
      <c r="E81" t="s">
        <v>637</v>
      </c>
      <c r="F81">
        <v>0</v>
      </c>
      <c r="G81" s="8"/>
      <c r="H81" s="8"/>
      <c r="I81" s="8"/>
      <c r="J81" s="8"/>
      <c r="K81" s="8"/>
      <c r="L81" s="8"/>
    </row>
    <row r="82" spans="4:12" ht="20.100000000000001" customHeight="1" x14ac:dyDescent="0.2">
      <c r="D82" s="8" t="s">
        <v>2311</v>
      </c>
      <c r="E82" t="s">
        <v>631</v>
      </c>
      <c r="F82">
        <v>0.05</v>
      </c>
      <c r="G82" s="8"/>
      <c r="H82" s="8"/>
      <c r="I82" s="8"/>
      <c r="J82" s="8"/>
      <c r="K82" s="8"/>
      <c r="L82" s="8"/>
    </row>
    <row r="83" spans="4:12" ht="20.100000000000001" customHeight="1" x14ac:dyDescent="0.2">
      <c r="D83" s="8" t="s">
        <v>2311</v>
      </c>
      <c r="E83" t="s">
        <v>636</v>
      </c>
      <c r="F83">
        <v>7.0000000000000007E-2</v>
      </c>
      <c r="G83" s="8"/>
      <c r="H83" s="8"/>
      <c r="I83" s="8"/>
      <c r="J83" s="8"/>
      <c r="K83" s="8"/>
      <c r="L83" s="8"/>
    </row>
    <row r="84" spans="4:12" ht="20.100000000000001" customHeight="1" x14ac:dyDescent="0.2">
      <c r="D84" s="8" t="s">
        <v>2311</v>
      </c>
      <c r="E84" t="s">
        <v>633</v>
      </c>
      <c r="F84">
        <v>0.04</v>
      </c>
      <c r="G84" s="8"/>
      <c r="H84" s="8"/>
      <c r="I84" s="8"/>
      <c r="J84" s="8"/>
      <c r="K84" s="8"/>
      <c r="L84" s="8"/>
    </row>
    <row r="85" spans="4:12" ht="20.100000000000001" customHeight="1" x14ac:dyDescent="0.2">
      <c r="D85" s="8" t="s">
        <v>2311</v>
      </c>
      <c r="E85" t="s">
        <v>634</v>
      </c>
      <c r="F85">
        <v>0.09</v>
      </c>
      <c r="G85" s="8"/>
      <c r="H85" s="8"/>
      <c r="I85" s="8"/>
      <c r="J85" s="8"/>
      <c r="K85" s="8"/>
      <c r="L85" s="8"/>
    </row>
    <row r="86" spans="4:12" ht="20.100000000000001" customHeight="1" x14ac:dyDescent="0.2">
      <c r="D86" s="8" t="s">
        <v>2311</v>
      </c>
      <c r="E86" t="s">
        <v>637</v>
      </c>
      <c r="F86">
        <v>0.11</v>
      </c>
      <c r="G86" s="8"/>
      <c r="H86" s="8"/>
      <c r="I86" s="8"/>
      <c r="J86" s="8"/>
      <c r="K86" s="8"/>
      <c r="L86" s="8"/>
    </row>
    <row r="87" spans="4:12" ht="20.100000000000001" customHeight="1" x14ac:dyDescent="0.2">
      <c r="D87" s="8" t="s">
        <v>2311</v>
      </c>
      <c r="E87" t="s">
        <v>635</v>
      </c>
      <c r="F87">
        <v>0.16</v>
      </c>
      <c r="G87" s="8"/>
      <c r="H87" s="8"/>
      <c r="I87" s="8"/>
      <c r="J87" s="8"/>
      <c r="K87" s="8"/>
      <c r="L87" s="8"/>
    </row>
    <row r="88" spans="4:12" ht="20.100000000000001" customHeight="1" x14ac:dyDescent="0.2">
      <c r="D88" s="8" t="s">
        <v>2311</v>
      </c>
      <c r="E88" t="s">
        <v>632</v>
      </c>
      <c r="F88">
        <v>0.01</v>
      </c>
      <c r="G88" s="8"/>
      <c r="H88" s="8"/>
      <c r="I88" s="8"/>
      <c r="J88" s="8"/>
      <c r="K88" s="8"/>
      <c r="L88" s="8"/>
    </row>
    <row r="89" spans="4:12" ht="20.100000000000001" customHeight="1" x14ac:dyDescent="0.2">
      <c r="D89" s="8" t="s">
        <v>2311</v>
      </c>
      <c r="E89" t="s">
        <v>630</v>
      </c>
      <c r="F89">
        <v>0</v>
      </c>
      <c r="G89" s="8"/>
      <c r="H89" s="8"/>
      <c r="I89" s="8"/>
      <c r="J89" s="8"/>
      <c r="K89" s="8"/>
      <c r="L89" s="8"/>
    </row>
    <row r="90" spans="4:12" ht="20.100000000000001" customHeight="1" x14ac:dyDescent="0.2">
      <c r="D90" s="8"/>
      <c r="E90" s="8"/>
      <c r="F90" s="8"/>
      <c r="G90" s="8"/>
      <c r="H90" s="8"/>
      <c r="I90" s="8"/>
      <c r="J90" s="8"/>
      <c r="K90" s="8"/>
      <c r="L90" s="8"/>
    </row>
    <row r="91" spans="4:12" ht="20.100000000000001" customHeight="1" x14ac:dyDescent="0.2">
      <c r="D91" s="25"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
      <c r="D92" t="s">
        <v>1182</v>
      </c>
      <c r="E92" t="s">
        <v>98</v>
      </c>
      <c r="F92" t="s">
        <v>1183</v>
      </c>
      <c r="G92" s="8"/>
      <c r="H92" s="8"/>
      <c r="I92" s="8"/>
      <c r="J92" s="8"/>
      <c r="K92" s="8"/>
      <c r="L92" s="8"/>
    </row>
    <row r="93" spans="4:12" ht="20.100000000000001" customHeight="1" x14ac:dyDescent="0.2">
      <c r="D93" t="s">
        <v>2273</v>
      </c>
      <c r="E93" t="s">
        <v>631</v>
      </c>
      <c r="F93">
        <v>0.06</v>
      </c>
      <c r="G93" s="8"/>
      <c r="H93" s="8"/>
      <c r="I93" s="8"/>
      <c r="J93" s="8"/>
      <c r="K93" s="8"/>
      <c r="L93" s="8"/>
    </row>
    <row r="94" spans="4:12" ht="20.100000000000001" customHeight="1" x14ac:dyDescent="0.2">
      <c r="D94" s="8" t="s">
        <v>2273</v>
      </c>
      <c r="E94" t="s">
        <v>636</v>
      </c>
      <c r="F94">
        <v>0.06</v>
      </c>
      <c r="G94" s="8"/>
      <c r="H94" s="8"/>
      <c r="I94" s="8"/>
      <c r="J94" s="8"/>
      <c r="K94" s="8"/>
      <c r="L94" s="8"/>
    </row>
    <row r="95" spans="4:12" ht="20.100000000000001" customHeight="1" x14ac:dyDescent="0.2">
      <c r="D95" s="8" t="s">
        <v>2273</v>
      </c>
      <c r="E95" t="s">
        <v>633</v>
      </c>
      <c r="F95">
        <v>0.06</v>
      </c>
      <c r="G95" s="8"/>
      <c r="H95" s="8"/>
      <c r="I95" s="8"/>
      <c r="J95" s="8"/>
      <c r="K95" s="8"/>
      <c r="L95" s="8"/>
    </row>
    <row r="96" spans="4:12" ht="20.100000000000001" customHeight="1" x14ac:dyDescent="0.2">
      <c r="D96" s="8" t="s">
        <v>2273</v>
      </c>
      <c r="E96" t="s">
        <v>634</v>
      </c>
      <c r="F96">
        <v>0.06</v>
      </c>
      <c r="G96" s="8"/>
      <c r="H96" s="8"/>
      <c r="I96" s="8"/>
      <c r="J96" s="8"/>
      <c r="K96" s="8"/>
      <c r="L96" s="8"/>
    </row>
    <row r="97" spans="1:12" ht="20.100000000000001" customHeight="1" x14ac:dyDescent="0.2">
      <c r="D97" s="8" t="s">
        <v>2273</v>
      </c>
      <c r="E97" t="s">
        <v>637</v>
      </c>
      <c r="F97">
        <v>0.06</v>
      </c>
      <c r="G97" s="8"/>
      <c r="H97" s="8"/>
      <c r="I97" s="8"/>
      <c r="J97" s="8"/>
      <c r="K97" s="8"/>
      <c r="L97" s="8"/>
    </row>
    <row r="98" spans="1:12" ht="20.100000000000001" customHeight="1" x14ac:dyDescent="0.2">
      <c r="D98" s="8" t="s">
        <v>2273</v>
      </c>
      <c r="E98" t="s">
        <v>635</v>
      </c>
      <c r="F98">
        <v>0.06</v>
      </c>
      <c r="G98" s="8"/>
      <c r="H98" s="8"/>
      <c r="I98" s="8"/>
      <c r="J98" s="8"/>
      <c r="K98" s="8"/>
      <c r="L98" s="8"/>
    </row>
    <row r="99" spans="1:12" ht="20.100000000000001" customHeight="1" x14ac:dyDescent="0.2">
      <c r="D99" s="8" t="s">
        <v>2273</v>
      </c>
      <c r="E99" t="s">
        <v>632</v>
      </c>
      <c r="F99">
        <v>0.06</v>
      </c>
      <c r="G99" s="8"/>
      <c r="H99" s="8"/>
      <c r="I99" s="8"/>
      <c r="J99" s="8"/>
      <c r="K99" s="8"/>
      <c r="L99" s="8"/>
    </row>
    <row r="100" spans="1:12" ht="20.100000000000001" customHeight="1" x14ac:dyDescent="0.2">
      <c r="D100" s="8" t="s">
        <v>2273</v>
      </c>
      <c r="E100" t="s">
        <v>630</v>
      </c>
      <c r="F100">
        <v>0.06</v>
      </c>
      <c r="G100" s="8"/>
      <c r="H100" s="8"/>
      <c r="I100" s="8"/>
      <c r="J100" s="8"/>
      <c r="K100" s="8"/>
      <c r="L100" s="8"/>
    </row>
    <row r="101" spans="1:12" ht="20.100000000000001" customHeight="1" x14ac:dyDescent="0.2">
      <c r="D101" s="8" t="s">
        <v>2278</v>
      </c>
      <c r="E101" t="s">
        <v>631</v>
      </c>
      <c r="F101">
        <v>1</v>
      </c>
      <c r="G101" s="8"/>
      <c r="H101" s="8"/>
      <c r="I101" s="8"/>
      <c r="J101" s="8"/>
      <c r="K101" s="8"/>
      <c r="L101" s="8"/>
    </row>
    <row r="102" spans="1:12" ht="20.100000000000001" customHeight="1" x14ac:dyDescent="0.2">
      <c r="D102" s="8" t="s">
        <v>2278</v>
      </c>
      <c r="E102" t="s">
        <v>636</v>
      </c>
      <c r="F102">
        <v>1</v>
      </c>
      <c r="G102" s="8"/>
      <c r="H102" s="8"/>
      <c r="I102" s="8"/>
      <c r="J102" s="8"/>
      <c r="K102" s="8"/>
      <c r="L102" s="8"/>
    </row>
    <row r="103" spans="1:12" ht="20.100000000000001" customHeight="1" x14ac:dyDescent="0.2">
      <c r="D103" s="8" t="s">
        <v>2278</v>
      </c>
      <c r="E103" t="s">
        <v>633</v>
      </c>
      <c r="F103">
        <v>1</v>
      </c>
      <c r="G103" s="8"/>
      <c r="H103" s="8"/>
      <c r="I103" s="8"/>
      <c r="J103" s="8"/>
      <c r="K103" s="8"/>
      <c r="L103" s="8"/>
    </row>
    <row r="104" spans="1:12" ht="20.100000000000001" customHeight="1" x14ac:dyDescent="0.2">
      <c r="D104" s="8" t="s">
        <v>2278</v>
      </c>
      <c r="E104" t="s">
        <v>634</v>
      </c>
      <c r="F104">
        <v>1</v>
      </c>
      <c r="G104" s="8"/>
      <c r="H104" s="8"/>
      <c r="I104" s="8"/>
      <c r="J104" s="8"/>
      <c r="K104" s="8"/>
      <c r="L104" s="8"/>
    </row>
    <row r="105" spans="1:12" ht="20.100000000000001" customHeight="1" x14ac:dyDescent="0.2">
      <c r="D105" s="8" t="s">
        <v>2278</v>
      </c>
      <c r="E105" t="s">
        <v>637</v>
      </c>
      <c r="F105">
        <v>1</v>
      </c>
      <c r="G105" s="8"/>
      <c r="H105" s="8"/>
      <c r="I105" s="8"/>
      <c r="J105" s="8"/>
      <c r="K105" s="8"/>
      <c r="L105" s="8"/>
    </row>
    <row r="106" spans="1:12" ht="20.100000000000001" customHeight="1" x14ac:dyDescent="0.2">
      <c r="D106" s="8" t="s">
        <v>2278</v>
      </c>
      <c r="E106" t="s">
        <v>635</v>
      </c>
      <c r="F106">
        <v>1</v>
      </c>
      <c r="G106" s="8"/>
      <c r="H106" s="8"/>
      <c r="I106" s="8"/>
      <c r="J106" s="8"/>
      <c r="K106" s="8"/>
      <c r="L106" s="8"/>
    </row>
    <row r="107" spans="1:12" ht="20.100000000000001" customHeight="1" x14ac:dyDescent="0.2">
      <c r="D107" s="8" t="s">
        <v>2278</v>
      </c>
      <c r="E107" t="s">
        <v>632</v>
      </c>
      <c r="F107">
        <v>1</v>
      </c>
      <c r="G107" s="8"/>
      <c r="H107" s="8"/>
      <c r="I107" s="8"/>
      <c r="J107" s="8"/>
      <c r="K107" s="8"/>
      <c r="L107" s="8"/>
    </row>
    <row r="108" spans="1:12" ht="20.100000000000001" customHeight="1" x14ac:dyDescent="0.2">
      <c r="D108" s="8" t="s">
        <v>2278</v>
      </c>
      <c r="E108" t="s">
        <v>630</v>
      </c>
      <c r="F108">
        <v>1</v>
      </c>
      <c r="G108" s="8"/>
      <c r="H108" s="8"/>
      <c r="I108" s="8"/>
      <c r="J108" s="8"/>
      <c r="K108" s="8"/>
      <c r="L108" s="8"/>
    </row>
    <row r="109" spans="1:12" ht="20.100000000000001" customHeight="1" x14ac:dyDescent="0.2">
      <c r="A109" s="129" t="str">
        <f>HYPERLINK("#A1", "▲ Back to top")</f>
        <v>▲ Back to top</v>
      </c>
      <c r="D109" s="8" t="s">
        <v>769</v>
      </c>
      <c r="E109" t="s">
        <v>631</v>
      </c>
      <c r="F109">
        <v>0</v>
      </c>
      <c r="G109" s="8"/>
      <c r="H109" s="8"/>
      <c r="I109" s="8"/>
      <c r="J109" s="8"/>
      <c r="K109" s="8"/>
      <c r="L109" s="8"/>
    </row>
    <row r="110" spans="1:12" ht="20.100000000000001" customHeight="1" x14ac:dyDescent="0.2">
      <c r="D110" s="8" t="s">
        <v>769</v>
      </c>
      <c r="E110" t="s">
        <v>636</v>
      </c>
      <c r="F110">
        <v>0</v>
      </c>
      <c r="G110" s="8"/>
      <c r="H110" s="8"/>
      <c r="I110" s="8"/>
      <c r="J110" s="8"/>
      <c r="K110" s="8"/>
      <c r="L110" s="8"/>
    </row>
    <row r="111" spans="1:12" ht="20.100000000000001" customHeight="1" x14ac:dyDescent="0.2">
      <c r="D111" s="8" t="s">
        <v>769</v>
      </c>
      <c r="E111" t="s">
        <v>633</v>
      </c>
      <c r="F111">
        <v>0</v>
      </c>
      <c r="G111" s="8"/>
      <c r="H111" s="8"/>
      <c r="I111" s="8"/>
      <c r="J111" s="8"/>
      <c r="K111" s="8"/>
      <c r="L111" s="8"/>
    </row>
    <row r="112" spans="1:12" ht="20.100000000000001" customHeight="1" x14ac:dyDescent="0.2">
      <c r="D112" s="8" t="s">
        <v>769</v>
      </c>
      <c r="E112" t="s">
        <v>634</v>
      </c>
      <c r="F112">
        <v>0</v>
      </c>
      <c r="G112" s="8"/>
      <c r="H112" s="8"/>
      <c r="I112" s="8"/>
      <c r="J112" s="8"/>
      <c r="K112" s="8"/>
      <c r="L112" s="8"/>
    </row>
    <row r="113" spans="4:12" ht="20.100000000000001" customHeight="1" x14ac:dyDescent="0.2">
      <c r="D113" s="8" t="s">
        <v>769</v>
      </c>
      <c r="E113" t="s">
        <v>637</v>
      </c>
      <c r="F113">
        <v>0</v>
      </c>
      <c r="G113" s="8"/>
      <c r="H113" s="8"/>
      <c r="I113" s="8"/>
      <c r="J113" s="8"/>
      <c r="K113" s="8"/>
      <c r="L113" s="8"/>
    </row>
    <row r="114" spans="4:12" ht="20.100000000000001" customHeight="1" x14ac:dyDescent="0.2">
      <c r="D114" s="8" t="s">
        <v>769</v>
      </c>
      <c r="E114" t="s">
        <v>635</v>
      </c>
      <c r="F114">
        <v>0</v>
      </c>
      <c r="G114" s="8"/>
      <c r="H114" s="8"/>
      <c r="I114" s="8"/>
      <c r="J114" s="8"/>
      <c r="K114" s="8"/>
      <c r="L114" s="8"/>
    </row>
    <row r="115" spans="4:12" ht="20.100000000000001" customHeight="1" x14ac:dyDescent="0.2">
      <c r="D115" s="8" t="s">
        <v>769</v>
      </c>
      <c r="E115" t="s">
        <v>632</v>
      </c>
      <c r="F115">
        <v>0</v>
      </c>
      <c r="G115" s="8"/>
      <c r="H115" s="8"/>
      <c r="I115" s="8"/>
      <c r="J115" s="8"/>
      <c r="K115" s="8"/>
      <c r="L115" s="8"/>
    </row>
    <row r="116" spans="4:12" ht="20.100000000000001" customHeight="1" x14ac:dyDescent="0.2">
      <c r="D116" s="8" t="s">
        <v>769</v>
      </c>
      <c r="E116" t="s">
        <v>630</v>
      </c>
      <c r="F116">
        <v>0</v>
      </c>
      <c r="G116" s="8"/>
      <c r="H116" s="8"/>
      <c r="I116" s="8"/>
      <c r="J116" s="8"/>
      <c r="K116" s="8"/>
      <c r="L116" s="8"/>
    </row>
    <row r="117" spans="4:12" ht="20.100000000000001" customHeight="1" x14ac:dyDescent="0.2">
      <c r="D117" s="8" t="s">
        <v>2282</v>
      </c>
      <c r="E117" t="s">
        <v>631</v>
      </c>
      <c r="F117">
        <v>0</v>
      </c>
      <c r="G117" s="8"/>
      <c r="H117" s="8"/>
      <c r="I117" s="8"/>
      <c r="J117" s="8"/>
      <c r="K117" s="8"/>
      <c r="L117" s="8"/>
    </row>
    <row r="118" spans="4:12" ht="20.100000000000001" customHeight="1" x14ac:dyDescent="0.2">
      <c r="D118" s="8" t="s">
        <v>2282</v>
      </c>
      <c r="E118" t="s">
        <v>636</v>
      </c>
      <c r="F118">
        <v>0</v>
      </c>
      <c r="G118" s="8"/>
      <c r="H118" s="8"/>
      <c r="I118" s="8"/>
      <c r="J118" s="8"/>
      <c r="K118" s="8"/>
      <c r="L118" s="8"/>
    </row>
    <row r="119" spans="4:12" ht="20.100000000000001" customHeight="1" x14ac:dyDescent="0.2">
      <c r="D119" s="8" t="s">
        <v>2282</v>
      </c>
      <c r="E119" t="s">
        <v>633</v>
      </c>
      <c r="F119">
        <v>0</v>
      </c>
      <c r="G119" s="8"/>
      <c r="H119" s="8"/>
      <c r="I119" s="8"/>
      <c r="J119" s="8"/>
      <c r="K119" s="8"/>
      <c r="L119" s="8"/>
    </row>
    <row r="120" spans="4:12" ht="20.100000000000001" customHeight="1" x14ac:dyDescent="0.2">
      <c r="D120" s="8" t="s">
        <v>2282</v>
      </c>
      <c r="E120" t="s">
        <v>634</v>
      </c>
      <c r="F120">
        <v>0</v>
      </c>
      <c r="G120" s="8"/>
      <c r="H120" s="8"/>
      <c r="I120" s="8"/>
      <c r="J120" s="8"/>
      <c r="K120" s="8"/>
      <c r="L120" s="8"/>
    </row>
    <row r="121" spans="4:12" ht="20.100000000000001" customHeight="1" x14ac:dyDescent="0.2">
      <c r="D121" s="8" t="s">
        <v>2282</v>
      </c>
      <c r="E121" t="s">
        <v>637</v>
      </c>
      <c r="F121">
        <v>0</v>
      </c>
      <c r="G121" s="8"/>
      <c r="H121" s="8"/>
      <c r="I121" s="8"/>
      <c r="J121" s="8"/>
      <c r="K121" s="8"/>
      <c r="L121" s="8"/>
    </row>
    <row r="122" spans="4:12" ht="20.100000000000001" customHeight="1" x14ac:dyDescent="0.2">
      <c r="D122" s="8" t="s">
        <v>2282</v>
      </c>
      <c r="E122" t="s">
        <v>635</v>
      </c>
      <c r="F122">
        <v>0</v>
      </c>
      <c r="G122" s="8"/>
      <c r="H122" s="8"/>
      <c r="I122" s="8"/>
      <c r="J122" s="8"/>
      <c r="K122" s="8"/>
      <c r="L122" s="8"/>
    </row>
    <row r="123" spans="4:12" ht="20.100000000000001" customHeight="1" x14ac:dyDescent="0.2">
      <c r="D123" s="8" t="s">
        <v>2282</v>
      </c>
      <c r="E123" t="s">
        <v>632</v>
      </c>
      <c r="F123">
        <v>0</v>
      </c>
      <c r="G123" s="8"/>
      <c r="H123" s="8"/>
      <c r="I123" s="8"/>
      <c r="J123" s="8"/>
      <c r="K123" s="8"/>
      <c r="L123" s="8"/>
    </row>
    <row r="124" spans="4:12" ht="20.100000000000001" customHeight="1" x14ac:dyDescent="0.2">
      <c r="D124" s="8" t="s">
        <v>2282</v>
      </c>
      <c r="E124" t="s">
        <v>630</v>
      </c>
      <c r="F124">
        <v>0</v>
      </c>
      <c r="G124" s="8"/>
      <c r="H124" s="8"/>
      <c r="I124" s="8"/>
      <c r="J124" s="8"/>
      <c r="K124" s="8"/>
      <c r="L124" s="8"/>
    </row>
    <row r="125" spans="4:12" ht="20.100000000000001" customHeight="1" x14ac:dyDescent="0.2">
      <c r="D125" s="8" t="s">
        <v>2284</v>
      </c>
      <c r="E125" t="s">
        <v>631</v>
      </c>
      <c r="F125">
        <v>0.8</v>
      </c>
      <c r="G125" s="8"/>
      <c r="H125" s="8"/>
      <c r="I125" s="8"/>
      <c r="J125" s="8"/>
      <c r="K125" s="8"/>
      <c r="L125" s="8"/>
    </row>
    <row r="126" spans="4:12" ht="20.100000000000001" customHeight="1" x14ac:dyDescent="0.2">
      <c r="D126" s="8" t="s">
        <v>2284</v>
      </c>
      <c r="E126" t="s">
        <v>636</v>
      </c>
      <c r="F126">
        <v>0.8</v>
      </c>
      <c r="G126" s="8"/>
      <c r="H126" s="8"/>
      <c r="I126" s="8"/>
      <c r="J126" s="8"/>
      <c r="K126" s="8"/>
      <c r="L126" s="8"/>
    </row>
    <row r="127" spans="4:12" ht="20.100000000000001" customHeight="1" x14ac:dyDescent="0.2">
      <c r="D127" s="8" t="s">
        <v>2284</v>
      </c>
      <c r="E127" t="s">
        <v>633</v>
      </c>
      <c r="F127">
        <v>0.8</v>
      </c>
      <c r="G127" s="8"/>
      <c r="H127" s="8"/>
      <c r="I127" s="8"/>
      <c r="J127" s="8"/>
      <c r="K127" s="8"/>
      <c r="L127" s="8"/>
    </row>
    <row r="128" spans="4:12" ht="20.100000000000001" customHeight="1" x14ac:dyDescent="0.2">
      <c r="D128" s="8" t="s">
        <v>2284</v>
      </c>
      <c r="E128" t="s">
        <v>634</v>
      </c>
      <c r="F128">
        <v>0.8</v>
      </c>
      <c r="G128" s="8"/>
      <c r="H128" s="8"/>
      <c r="I128" s="8"/>
      <c r="J128" s="8"/>
      <c r="K128" s="8"/>
      <c r="L128" s="8"/>
    </row>
    <row r="129" spans="1:12" ht="20.100000000000001" customHeight="1" x14ac:dyDescent="0.2">
      <c r="D129" s="8" t="s">
        <v>2284</v>
      </c>
      <c r="E129" t="s">
        <v>637</v>
      </c>
      <c r="F129">
        <v>0.8</v>
      </c>
      <c r="G129" s="8"/>
      <c r="H129" s="8"/>
      <c r="I129" s="8"/>
      <c r="J129" s="8"/>
      <c r="K129" s="8"/>
      <c r="L129" s="8"/>
    </row>
    <row r="130" spans="1:12" ht="20.100000000000001" customHeight="1" x14ac:dyDescent="0.2">
      <c r="D130" s="8" t="s">
        <v>2284</v>
      </c>
      <c r="E130" t="s">
        <v>635</v>
      </c>
      <c r="F130">
        <v>0.8</v>
      </c>
      <c r="G130" s="8"/>
      <c r="H130" s="8"/>
      <c r="I130" s="8"/>
      <c r="J130" s="8"/>
      <c r="K130" s="8"/>
      <c r="L130" s="8"/>
    </row>
    <row r="131" spans="1:12" ht="20.100000000000001" customHeight="1" x14ac:dyDescent="0.2">
      <c r="D131" s="8" t="s">
        <v>2284</v>
      </c>
      <c r="E131" t="s">
        <v>632</v>
      </c>
      <c r="F131">
        <v>0.8</v>
      </c>
      <c r="G131" s="8"/>
      <c r="H131" s="8"/>
      <c r="I131" s="8"/>
      <c r="J131" s="8"/>
      <c r="K131" s="8"/>
      <c r="L131" s="8"/>
    </row>
    <row r="132" spans="1:12" ht="20.100000000000001" customHeight="1" x14ac:dyDescent="0.2">
      <c r="D132" s="8" t="s">
        <v>2284</v>
      </c>
      <c r="E132" t="s">
        <v>630</v>
      </c>
      <c r="F132">
        <v>0.8</v>
      </c>
      <c r="G132" s="8"/>
      <c r="H132" s="8"/>
      <c r="I132" s="8"/>
      <c r="J132" s="8"/>
      <c r="K132" s="8"/>
      <c r="L132" s="8"/>
    </row>
    <row r="133" spans="1:12" ht="20.100000000000001" customHeight="1" x14ac:dyDescent="0.2">
      <c r="D133" s="8" t="s">
        <v>2310</v>
      </c>
      <c r="E133" t="s">
        <v>631</v>
      </c>
      <c r="F133">
        <v>0</v>
      </c>
      <c r="G133" s="8"/>
      <c r="H133" s="8"/>
      <c r="I133" s="8"/>
      <c r="J133" s="8"/>
      <c r="K133" s="8"/>
      <c r="L133" s="8"/>
    </row>
    <row r="134" spans="1:12" ht="20.100000000000001" customHeight="1" x14ac:dyDescent="0.2">
      <c r="D134" s="8" t="s">
        <v>2310</v>
      </c>
      <c r="E134" t="s">
        <v>636</v>
      </c>
      <c r="F134" t="s">
        <v>277</v>
      </c>
      <c r="G134" s="8"/>
      <c r="H134" s="8"/>
      <c r="I134" s="8"/>
      <c r="J134" s="8"/>
      <c r="K134" s="8"/>
      <c r="L134" s="8"/>
    </row>
    <row r="135" spans="1:12" ht="20.100000000000001" customHeight="1" x14ac:dyDescent="0.2">
      <c r="D135" s="8" t="s">
        <v>2310</v>
      </c>
      <c r="E135" t="s">
        <v>633</v>
      </c>
      <c r="F135">
        <v>0.03</v>
      </c>
      <c r="G135" s="8"/>
      <c r="H135" s="8"/>
      <c r="I135" s="8"/>
      <c r="J135" s="8"/>
      <c r="K135" s="8"/>
      <c r="L135" s="8"/>
    </row>
    <row r="136" spans="1:12" ht="20.100000000000001" customHeight="1" x14ac:dyDescent="0.2">
      <c r="D136" s="8" t="s">
        <v>2310</v>
      </c>
      <c r="E136" t="s">
        <v>634</v>
      </c>
      <c r="F136" t="s">
        <v>277</v>
      </c>
      <c r="G136" s="8"/>
      <c r="H136" s="8"/>
      <c r="I136" s="8"/>
      <c r="J136" s="8"/>
      <c r="K136" s="8"/>
      <c r="L136" s="8"/>
    </row>
    <row r="137" spans="1:12" ht="20.100000000000001" customHeight="1" x14ac:dyDescent="0.2">
      <c r="D137" s="8" t="s">
        <v>2310</v>
      </c>
      <c r="E137" t="s">
        <v>637</v>
      </c>
      <c r="F137">
        <v>0</v>
      </c>
      <c r="G137" s="8"/>
      <c r="H137" s="8"/>
      <c r="I137" s="8"/>
      <c r="J137" s="8"/>
      <c r="K137" s="8"/>
      <c r="L137" s="8"/>
    </row>
    <row r="138" spans="1:12" ht="20.100000000000001" customHeight="1" x14ac:dyDescent="0.2">
      <c r="D138" s="8" t="s">
        <v>2310</v>
      </c>
      <c r="E138" t="s">
        <v>635</v>
      </c>
      <c r="F138" t="s">
        <v>277</v>
      </c>
      <c r="G138" s="8"/>
      <c r="H138" s="8"/>
      <c r="I138" s="8"/>
      <c r="J138" s="8"/>
      <c r="K138" s="8"/>
      <c r="L138" s="8"/>
    </row>
    <row r="139" spans="1:12" ht="20.100000000000001" customHeight="1" x14ac:dyDescent="0.2">
      <c r="A139" s="129" t="str">
        <f>HYPERLINK("#A1", "▲ Back to top")</f>
        <v>▲ Back to top</v>
      </c>
      <c r="D139" s="8" t="s">
        <v>2310</v>
      </c>
      <c r="E139" t="s">
        <v>632</v>
      </c>
      <c r="F139" t="s">
        <v>277</v>
      </c>
      <c r="G139" s="8"/>
      <c r="H139" s="8"/>
      <c r="I139" s="8"/>
      <c r="J139" s="8"/>
      <c r="K139" s="8"/>
      <c r="L139" s="8"/>
    </row>
    <row r="140" spans="1:12" ht="20.100000000000001" customHeight="1" x14ac:dyDescent="0.2">
      <c r="D140" s="8" t="s">
        <v>2310</v>
      </c>
      <c r="E140" t="s">
        <v>630</v>
      </c>
      <c r="F140" t="s">
        <v>277</v>
      </c>
      <c r="G140" s="8"/>
      <c r="H140" s="8"/>
      <c r="I140" s="8"/>
      <c r="J140" s="8"/>
      <c r="K140" s="8"/>
      <c r="L140" s="8"/>
    </row>
    <row r="141" spans="1:12" ht="20.100000000000001" customHeight="1" x14ac:dyDescent="0.2">
      <c r="D141" s="8" t="s">
        <v>2270</v>
      </c>
      <c r="E141" t="s">
        <v>631</v>
      </c>
      <c r="F141">
        <v>0.05</v>
      </c>
      <c r="G141" s="8"/>
      <c r="H141" s="8"/>
      <c r="I141" s="8"/>
      <c r="J141" s="8"/>
      <c r="K141" s="8"/>
      <c r="L141" s="8"/>
    </row>
    <row r="142" spans="1:12" ht="20.100000000000001" customHeight="1" x14ac:dyDescent="0.2">
      <c r="D142" s="8" t="s">
        <v>2270</v>
      </c>
      <c r="E142" t="s">
        <v>636</v>
      </c>
      <c r="F142">
        <v>7.0000000000000007E-2</v>
      </c>
      <c r="G142" s="8"/>
      <c r="H142" s="8"/>
      <c r="I142" s="8"/>
      <c r="J142" s="8"/>
      <c r="K142" s="8"/>
      <c r="L142" s="8"/>
    </row>
    <row r="143" spans="1:12" ht="20.100000000000001" customHeight="1" x14ac:dyDescent="0.2">
      <c r="D143" s="8" t="s">
        <v>2270</v>
      </c>
      <c r="E143" t="s">
        <v>633</v>
      </c>
      <c r="F143">
        <v>0.04</v>
      </c>
      <c r="G143" s="8"/>
      <c r="H143" s="8"/>
      <c r="I143" s="8"/>
      <c r="J143" s="8"/>
      <c r="K143" s="8"/>
      <c r="L143" s="8"/>
    </row>
    <row r="144" spans="1:12" ht="20.100000000000001" customHeight="1" x14ac:dyDescent="0.2">
      <c r="D144" s="8" t="s">
        <v>2270</v>
      </c>
      <c r="E144" t="s">
        <v>634</v>
      </c>
      <c r="F144">
        <v>0.09</v>
      </c>
      <c r="G144" s="8"/>
      <c r="H144" s="8"/>
      <c r="I144" s="8"/>
      <c r="J144" s="8"/>
      <c r="K144" s="8"/>
      <c r="L144" s="8"/>
    </row>
    <row r="145" spans="4:12" ht="20.100000000000001" customHeight="1" x14ac:dyDescent="0.2">
      <c r="D145" s="8" t="s">
        <v>2270</v>
      </c>
      <c r="E145" t="s">
        <v>637</v>
      </c>
      <c r="F145">
        <v>0.11</v>
      </c>
      <c r="G145" s="8"/>
      <c r="H145" s="8"/>
      <c r="I145" s="8"/>
      <c r="J145" s="8"/>
      <c r="K145" s="8"/>
      <c r="L145" s="8"/>
    </row>
    <row r="146" spans="4:12" ht="20.100000000000001" customHeight="1" x14ac:dyDescent="0.2">
      <c r="D146" s="8" t="s">
        <v>2270</v>
      </c>
      <c r="E146" t="s">
        <v>635</v>
      </c>
      <c r="F146">
        <v>0.16</v>
      </c>
      <c r="G146" s="8"/>
      <c r="H146" s="8"/>
      <c r="I146" s="8"/>
      <c r="J146" s="8"/>
      <c r="K146" s="8"/>
      <c r="L146" s="8"/>
    </row>
    <row r="147" spans="4:12" ht="20.100000000000001" customHeight="1" x14ac:dyDescent="0.2">
      <c r="D147" s="8" t="s">
        <v>2270</v>
      </c>
      <c r="E147" t="s">
        <v>632</v>
      </c>
      <c r="F147">
        <v>0.01</v>
      </c>
      <c r="G147" s="8"/>
      <c r="H147" s="8"/>
      <c r="I147" s="8"/>
      <c r="J147" s="8"/>
      <c r="K147" s="8"/>
      <c r="L147" s="8"/>
    </row>
    <row r="148" spans="4:12" ht="20.100000000000001" customHeight="1" x14ac:dyDescent="0.2">
      <c r="D148" s="8" t="s">
        <v>2270</v>
      </c>
      <c r="E148" t="s">
        <v>630</v>
      </c>
      <c r="F148">
        <v>0</v>
      </c>
      <c r="G148" s="8"/>
      <c r="H148" s="8"/>
      <c r="I148" s="8"/>
      <c r="J148" s="8"/>
      <c r="K148" s="8"/>
      <c r="L148" s="8"/>
    </row>
    <row r="149" spans="4:12" ht="20.100000000000001" customHeight="1" x14ac:dyDescent="0.2">
      <c r="D149" s="8" t="s">
        <v>2271</v>
      </c>
      <c r="E149" t="s">
        <v>631</v>
      </c>
      <c r="F149">
        <v>0.05</v>
      </c>
      <c r="G149" s="8"/>
      <c r="H149" s="8"/>
      <c r="I149" s="8"/>
      <c r="J149" s="8"/>
      <c r="K149" s="8"/>
      <c r="L149" s="8"/>
    </row>
    <row r="150" spans="4:12" ht="20.100000000000001" customHeight="1" x14ac:dyDescent="0.2">
      <c r="D150" s="8" t="s">
        <v>2271</v>
      </c>
      <c r="E150" t="s">
        <v>636</v>
      </c>
      <c r="F150">
        <v>7.0000000000000007E-2</v>
      </c>
      <c r="G150" s="8"/>
      <c r="H150" s="8"/>
      <c r="I150" s="8"/>
      <c r="J150" s="8"/>
      <c r="K150" s="8"/>
      <c r="L150" s="8"/>
    </row>
    <row r="151" spans="4:12" ht="20.100000000000001" customHeight="1" x14ac:dyDescent="0.2">
      <c r="D151" s="8" t="s">
        <v>2271</v>
      </c>
      <c r="E151" t="s">
        <v>633</v>
      </c>
      <c r="F151">
        <v>0.04</v>
      </c>
      <c r="G151" s="8"/>
      <c r="H151" s="8"/>
      <c r="I151" s="8"/>
      <c r="J151" s="8"/>
      <c r="K151" s="8"/>
      <c r="L151" s="8"/>
    </row>
    <row r="152" spans="4:12" ht="20.100000000000001" customHeight="1" x14ac:dyDescent="0.2">
      <c r="D152" s="8" t="s">
        <v>2271</v>
      </c>
      <c r="E152" t="s">
        <v>634</v>
      </c>
      <c r="F152">
        <v>0.09</v>
      </c>
      <c r="G152" s="8"/>
      <c r="H152" s="8"/>
      <c r="I152" s="8"/>
      <c r="J152" s="8"/>
      <c r="K152" s="8"/>
      <c r="L152" s="8"/>
    </row>
    <row r="153" spans="4:12" ht="20.100000000000001" customHeight="1" x14ac:dyDescent="0.2">
      <c r="D153" s="8" t="s">
        <v>2271</v>
      </c>
      <c r="E153" t="s">
        <v>637</v>
      </c>
      <c r="F153">
        <v>0.11</v>
      </c>
      <c r="G153" s="8"/>
      <c r="H153" s="8"/>
      <c r="I153" s="8"/>
      <c r="J153" s="8"/>
      <c r="K153" s="8"/>
      <c r="L153" s="8"/>
    </row>
    <row r="154" spans="4:12" ht="20.100000000000001" customHeight="1" x14ac:dyDescent="0.2">
      <c r="D154" s="8" t="s">
        <v>2271</v>
      </c>
      <c r="E154" t="s">
        <v>635</v>
      </c>
      <c r="F154">
        <v>0.16</v>
      </c>
      <c r="G154" s="8"/>
      <c r="H154" s="8"/>
      <c r="I154" s="8"/>
      <c r="J154" s="8"/>
      <c r="K154" s="8"/>
      <c r="L154" s="8"/>
    </row>
    <row r="155" spans="4:12" ht="20.100000000000001" customHeight="1" x14ac:dyDescent="0.2">
      <c r="D155" s="8" t="s">
        <v>2271</v>
      </c>
      <c r="E155" t="s">
        <v>632</v>
      </c>
      <c r="F155">
        <v>0.01</v>
      </c>
      <c r="G155" s="8"/>
      <c r="H155" s="8"/>
      <c r="I155" s="8"/>
      <c r="J155" s="8"/>
      <c r="K155" s="8"/>
      <c r="L155" s="8"/>
    </row>
    <row r="156" spans="4:12" ht="20.100000000000001" customHeight="1" x14ac:dyDescent="0.2">
      <c r="D156" s="8" t="s">
        <v>2271</v>
      </c>
      <c r="E156" t="s">
        <v>630</v>
      </c>
      <c r="F156">
        <v>0</v>
      </c>
      <c r="G156" s="8"/>
      <c r="H156" s="8"/>
      <c r="I156" s="8"/>
      <c r="J156" s="8"/>
      <c r="K156" s="8"/>
      <c r="L156" s="8"/>
    </row>
    <row r="157" spans="4:12" ht="20.100000000000001" customHeight="1" x14ac:dyDescent="0.2">
      <c r="D157" s="8" t="s">
        <v>836</v>
      </c>
      <c r="E157" t="s">
        <v>631</v>
      </c>
      <c r="F157">
        <v>0.05</v>
      </c>
      <c r="G157" s="8"/>
      <c r="H157" s="8"/>
      <c r="I157" s="8"/>
      <c r="J157" s="8"/>
      <c r="K157" s="8"/>
      <c r="L157" s="8"/>
    </row>
    <row r="158" spans="4:12" ht="20.100000000000001" customHeight="1" x14ac:dyDescent="0.2">
      <c r="D158" s="8" t="s">
        <v>836</v>
      </c>
      <c r="E158" t="s">
        <v>636</v>
      </c>
      <c r="F158">
        <v>7.0000000000000007E-2</v>
      </c>
      <c r="G158" s="8"/>
      <c r="H158" s="8"/>
      <c r="I158" s="8"/>
      <c r="J158" s="8"/>
      <c r="K158" s="8"/>
      <c r="L158" s="8"/>
    </row>
    <row r="159" spans="4:12" ht="20.100000000000001" customHeight="1" x14ac:dyDescent="0.2">
      <c r="D159" s="8" t="s">
        <v>836</v>
      </c>
      <c r="E159" t="s">
        <v>633</v>
      </c>
      <c r="F159">
        <v>0.04</v>
      </c>
      <c r="G159" s="8"/>
      <c r="H159" s="8"/>
      <c r="I159" s="8"/>
      <c r="J159" s="8"/>
      <c r="K159" s="8"/>
      <c r="L159" s="8"/>
    </row>
    <row r="160" spans="4:12" ht="20.100000000000001" customHeight="1" x14ac:dyDescent="0.2">
      <c r="D160" s="8" t="s">
        <v>836</v>
      </c>
      <c r="E160" t="s">
        <v>634</v>
      </c>
      <c r="F160">
        <v>0.09</v>
      </c>
      <c r="G160" s="8"/>
      <c r="H160" s="8"/>
      <c r="I160" s="8"/>
      <c r="J160" s="8"/>
      <c r="K160" s="8"/>
      <c r="L160" s="8"/>
    </row>
    <row r="161" spans="1:12" ht="20.100000000000001" customHeight="1" x14ac:dyDescent="0.2">
      <c r="D161" s="8" t="s">
        <v>836</v>
      </c>
      <c r="E161" t="s">
        <v>637</v>
      </c>
      <c r="F161">
        <v>0.11</v>
      </c>
      <c r="G161" s="8"/>
      <c r="H161" s="8"/>
      <c r="I161" s="8"/>
      <c r="J161" s="8"/>
      <c r="K161" s="8"/>
      <c r="L161" s="8"/>
    </row>
    <row r="162" spans="1:12" ht="20.100000000000001" customHeight="1" x14ac:dyDescent="0.2">
      <c r="D162" s="8" t="s">
        <v>836</v>
      </c>
      <c r="E162" t="s">
        <v>635</v>
      </c>
      <c r="F162">
        <v>0.16</v>
      </c>
      <c r="G162" s="8"/>
      <c r="H162" s="8"/>
      <c r="I162" s="8"/>
      <c r="J162" s="8"/>
      <c r="K162" s="8"/>
      <c r="L162" s="8"/>
    </row>
    <row r="163" spans="1:12" ht="20.100000000000001" customHeight="1" x14ac:dyDescent="0.2">
      <c r="D163" s="8" t="s">
        <v>836</v>
      </c>
      <c r="E163" t="s">
        <v>632</v>
      </c>
      <c r="F163">
        <v>0.01</v>
      </c>
      <c r="G163" s="8"/>
      <c r="H163" s="8"/>
      <c r="I163" s="8"/>
      <c r="J163" s="8"/>
      <c r="K163" s="8"/>
      <c r="L163" s="8"/>
    </row>
    <row r="164" spans="1:12" ht="20.100000000000001" customHeight="1" x14ac:dyDescent="0.2">
      <c r="D164" s="8" t="s">
        <v>836</v>
      </c>
      <c r="E164" t="s">
        <v>630</v>
      </c>
      <c r="F164">
        <v>0</v>
      </c>
      <c r="G164" s="8"/>
      <c r="H164" s="8"/>
      <c r="I164" s="8"/>
      <c r="J164" s="8"/>
      <c r="K164" s="8"/>
      <c r="L164" s="8"/>
    </row>
    <row r="165" spans="1:12" ht="20.100000000000001" customHeight="1" x14ac:dyDescent="0.2">
      <c r="D165" s="8" t="s">
        <v>2272</v>
      </c>
      <c r="E165" t="s">
        <v>631</v>
      </c>
      <c r="F165">
        <v>0.05</v>
      </c>
      <c r="G165" s="8"/>
      <c r="H165" s="8"/>
      <c r="I165" s="8"/>
      <c r="J165" s="8"/>
      <c r="K165" s="8"/>
      <c r="L165" s="8"/>
    </row>
    <row r="166" spans="1:12" ht="20.100000000000001" customHeight="1" x14ac:dyDescent="0.2">
      <c r="D166" s="8" t="s">
        <v>2272</v>
      </c>
      <c r="E166" t="s">
        <v>636</v>
      </c>
      <c r="F166">
        <v>7.0000000000000007E-2</v>
      </c>
      <c r="G166" s="8"/>
      <c r="H166" s="8"/>
      <c r="I166" s="8"/>
      <c r="J166" s="8"/>
      <c r="K166" s="8"/>
      <c r="L166" s="8"/>
    </row>
    <row r="167" spans="1:12" ht="20.100000000000001" customHeight="1" x14ac:dyDescent="0.2">
      <c r="D167" s="8" t="s">
        <v>2272</v>
      </c>
      <c r="E167" t="s">
        <v>633</v>
      </c>
      <c r="F167">
        <v>0.04</v>
      </c>
      <c r="G167" s="8"/>
      <c r="H167" s="8"/>
      <c r="I167" s="8"/>
      <c r="J167" s="8"/>
      <c r="K167" s="8"/>
      <c r="L167" s="8"/>
    </row>
    <row r="168" spans="1:12" ht="20.100000000000001" customHeight="1" x14ac:dyDescent="0.2">
      <c r="D168" s="8" t="s">
        <v>2272</v>
      </c>
      <c r="E168" t="s">
        <v>634</v>
      </c>
      <c r="F168">
        <v>0.09</v>
      </c>
      <c r="G168" s="8"/>
      <c r="H168" s="8"/>
      <c r="I168" s="8"/>
      <c r="J168" s="8"/>
      <c r="K168" s="8"/>
      <c r="L168" s="8"/>
    </row>
    <row r="169" spans="1:12" ht="20.100000000000001" customHeight="1" x14ac:dyDescent="0.2">
      <c r="A169" s="129" t="str">
        <f>HYPERLINK("#A1", "▲ Back to top")</f>
        <v>▲ Back to top</v>
      </c>
      <c r="D169" s="8" t="s">
        <v>2272</v>
      </c>
      <c r="E169" t="s">
        <v>637</v>
      </c>
      <c r="F169">
        <v>0.11</v>
      </c>
      <c r="G169" s="8"/>
      <c r="H169" s="8"/>
      <c r="I169" s="8"/>
      <c r="J169" s="8"/>
      <c r="K169" s="8"/>
      <c r="L169" s="8"/>
    </row>
    <row r="170" spans="1:12" ht="20.100000000000001" customHeight="1" x14ac:dyDescent="0.2">
      <c r="D170" s="8" t="s">
        <v>2272</v>
      </c>
      <c r="E170" t="s">
        <v>635</v>
      </c>
      <c r="F170">
        <v>0.16</v>
      </c>
      <c r="G170" s="8"/>
      <c r="H170" s="8"/>
      <c r="I170" s="8"/>
      <c r="J170" s="8"/>
      <c r="K170" s="8"/>
      <c r="L170" s="8"/>
    </row>
    <row r="171" spans="1:12" ht="20.100000000000001" customHeight="1" x14ac:dyDescent="0.2">
      <c r="D171" s="8" t="s">
        <v>2272</v>
      </c>
      <c r="E171" t="s">
        <v>632</v>
      </c>
      <c r="F171">
        <v>0.01</v>
      </c>
      <c r="G171" s="8"/>
      <c r="H171" s="8"/>
      <c r="I171" s="8"/>
      <c r="J171" s="8"/>
      <c r="K171" s="8"/>
      <c r="L171" s="8"/>
    </row>
    <row r="172" spans="1:12" ht="20.100000000000001" customHeight="1" x14ac:dyDescent="0.2">
      <c r="D172" s="8" t="s">
        <v>2272</v>
      </c>
      <c r="E172" t="s">
        <v>630</v>
      </c>
      <c r="F172">
        <v>0</v>
      </c>
      <c r="G172" s="8"/>
      <c r="H172" s="8"/>
      <c r="I172" s="8"/>
      <c r="J172" s="8"/>
      <c r="K172" s="8"/>
      <c r="L172" s="8"/>
    </row>
    <row r="173" spans="1:12" ht="20.100000000000001" customHeight="1" x14ac:dyDescent="0.2">
      <c r="D173" s="8" t="s">
        <v>2274</v>
      </c>
      <c r="E173" t="s">
        <v>631</v>
      </c>
      <c r="F173">
        <v>0.05</v>
      </c>
      <c r="G173" s="8"/>
      <c r="H173" s="8"/>
      <c r="I173" s="8"/>
      <c r="J173" s="8"/>
      <c r="K173" s="8"/>
      <c r="L173" s="8"/>
    </row>
    <row r="174" spans="1:12" ht="20.100000000000001" customHeight="1" x14ac:dyDescent="0.2">
      <c r="D174" s="8" t="s">
        <v>2274</v>
      </c>
      <c r="E174" t="s">
        <v>636</v>
      </c>
      <c r="F174">
        <v>7.0000000000000007E-2</v>
      </c>
      <c r="G174" s="8"/>
      <c r="H174" s="8"/>
      <c r="I174" s="8"/>
      <c r="J174" s="8"/>
      <c r="K174" s="8"/>
      <c r="L174" s="8"/>
    </row>
    <row r="175" spans="1:12" ht="20.100000000000001" customHeight="1" x14ac:dyDescent="0.2">
      <c r="D175" s="8" t="s">
        <v>2274</v>
      </c>
      <c r="E175" t="s">
        <v>633</v>
      </c>
      <c r="F175">
        <v>0.04</v>
      </c>
      <c r="G175" s="8"/>
      <c r="H175" s="8"/>
      <c r="I175" s="8"/>
      <c r="J175" s="8"/>
      <c r="K175" s="8"/>
      <c r="L175" s="8"/>
    </row>
    <row r="176" spans="1:12" ht="20.100000000000001" customHeight="1" x14ac:dyDescent="0.2">
      <c r="D176" s="8" t="s">
        <v>2274</v>
      </c>
      <c r="E176" t="s">
        <v>634</v>
      </c>
      <c r="F176">
        <v>0.09</v>
      </c>
      <c r="G176" s="8"/>
      <c r="H176" s="8"/>
      <c r="I176" s="8"/>
      <c r="J176" s="8"/>
      <c r="K176" s="8"/>
      <c r="L176" s="8"/>
    </row>
    <row r="177" spans="4:12" ht="20.100000000000001" customHeight="1" x14ac:dyDescent="0.2">
      <c r="D177" s="8" t="s">
        <v>2274</v>
      </c>
      <c r="E177" t="s">
        <v>637</v>
      </c>
      <c r="F177">
        <v>0.11</v>
      </c>
      <c r="G177" s="8"/>
      <c r="H177" s="8"/>
      <c r="I177" s="8"/>
      <c r="J177" s="8"/>
      <c r="K177" s="8"/>
      <c r="L177" s="8"/>
    </row>
    <row r="178" spans="4:12" ht="20.100000000000001" customHeight="1" x14ac:dyDescent="0.2">
      <c r="D178" s="8" t="s">
        <v>2274</v>
      </c>
      <c r="E178" t="s">
        <v>635</v>
      </c>
      <c r="F178">
        <v>0.16</v>
      </c>
      <c r="G178" s="8"/>
      <c r="H178" s="8"/>
      <c r="I178" s="8"/>
      <c r="J178" s="8"/>
      <c r="K178" s="8"/>
      <c r="L178" s="8"/>
    </row>
    <row r="179" spans="4:12" ht="20.100000000000001" customHeight="1" x14ac:dyDescent="0.2">
      <c r="D179" s="8" t="s">
        <v>2274</v>
      </c>
      <c r="E179" t="s">
        <v>632</v>
      </c>
      <c r="F179">
        <v>0.01</v>
      </c>
      <c r="G179" s="8"/>
      <c r="H179" s="8"/>
      <c r="I179" s="8"/>
      <c r="J179" s="8"/>
      <c r="K179" s="8"/>
      <c r="L179" s="8"/>
    </row>
    <row r="180" spans="4:12" ht="20.100000000000001" customHeight="1" x14ac:dyDescent="0.2">
      <c r="D180" s="8" t="s">
        <v>2274</v>
      </c>
      <c r="E180" t="s">
        <v>630</v>
      </c>
      <c r="F180">
        <v>0</v>
      </c>
      <c r="G180" s="8"/>
      <c r="H180" s="8"/>
      <c r="I180" s="8"/>
      <c r="J180" s="8"/>
      <c r="K180" s="8"/>
      <c r="L180" s="8"/>
    </row>
    <row r="181" spans="4:12" ht="20.100000000000001" customHeight="1" x14ac:dyDescent="0.2">
      <c r="D181" s="8" t="s">
        <v>2275</v>
      </c>
      <c r="E181" t="s">
        <v>631</v>
      </c>
      <c r="F181">
        <v>0.05</v>
      </c>
      <c r="G181" s="8"/>
      <c r="H181" s="8"/>
      <c r="I181" s="8"/>
      <c r="J181" s="8"/>
      <c r="K181" s="8"/>
      <c r="L181" s="8"/>
    </row>
    <row r="182" spans="4:12" ht="20.100000000000001" customHeight="1" x14ac:dyDescent="0.2">
      <c r="D182" s="8" t="s">
        <v>2275</v>
      </c>
      <c r="E182" t="s">
        <v>636</v>
      </c>
      <c r="F182">
        <v>7.0000000000000007E-2</v>
      </c>
      <c r="G182" s="8"/>
      <c r="H182" s="8"/>
      <c r="I182" s="8"/>
      <c r="J182" s="8"/>
      <c r="K182" s="8"/>
      <c r="L182" s="8"/>
    </row>
    <row r="183" spans="4:12" ht="20.100000000000001" customHeight="1" x14ac:dyDescent="0.2">
      <c r="D183" s="8" t="s">
        <v>2275</v>
      </c>
      <c r="E183" t="s">
        <v>633</v>
      </c>
      <c r="F183">
        <v>0.04</v>
      </c>
      <c r="G183" s="8"/>
      <c r="H183" s="8"/>
      <c r="I183" s="8"/>
      <c r="J183" s="8"/>
      <c r="K183" s="8"/>
      <c r="L183" s="8"/>
    </row>
    <row r="184" spans="4:12" ht="20.100000000000001" customHeight="1" x14ac:dyDescent="0.2">
      <c r="D184" s="8" t="s">
        <v>2275</v>
      </c>
      <c r="E184" t="s">
        <v>634</v>
      </c>
      <c r="F184">
        <v>0.09</v>
      </c>
      <c r="G184" s="8"/>
      <c r="H184" s="8"/>
      <c r="I184" s="8"/>
      <c r="J184" s="8"/>
      <c r="K184" s="8"/>
      <c r="L184" s="8"/>
    </row>
    <row r="185" spans="4:12" ht="20.100000000000001" customHeight="1" x14ac:dyDescent="0.2">
      <c r="D185" s="8" t="s">
        <v>2275</v>
      </c>
      <c r="E185" t="s">
        <v>637</v>
      </c>
      <c r="F185">
        <v>0.11</v>
      </c>
      <c r="G185" s="8"/>
      <c r="H185" s="8"/>
      <c r="I185" s="8"/>
      <c r="J185" s="8"/>
      <c r="K185" s="8"/>
      <c r="L185" s="8"/>
    </row>
    <row r="186" spans="4:12" ht="20.100000000000001" customHeight="1" x14ac:dyDescent="0.2">
      <c r="D186" s="8" t="s">
        <v>2275</v>
      </c>
      <c r="E186" t="s">
        <v>635</v>
      </c>
      <c r="F186">
        <v>0.16</v>
      </c>
      <c r="G186" s="8"/>
      <c r="H186" s="8"/>
      <c r="I186" s="8"/>
      <c r="J186" s="8"/>
      <c r="K186" s="8"/>
      <c r="L186" s="8"/>
    </row>
    <row r="187" spans="4:12" ht="20.100000000000001" customHeight="1" x14ac:dyDescent="0.2">
      <c r="D187" s="8" t="s">
        <v>2275</v>
      </c>
      <c r="E187" t="s">
        <v>632</v>
      </c>
      <c r="F187">
        <v>0.01</v>
      </c>
      <c r="G187" s="8"/>
      <c r="H187" s="8"/>
      <c r="I187" s="8"/>
      <c r="J187" s="8"/>
      <c r="K187" s="8"/>
      <c r="L187" s="8"/>
    </row>
    <row r="188" spans="4:12" ht="20.100000000000001" customHeight="1" x14ac:dyDescent="0.2">
      <c r="D188" s="8" t="s">
        <v>2275</v>
      </c>
      <c r="E188" t="s">
        <v>630</v>
      </c>
      <c r="F188">
        <v>0</v>
      </c>
      <c r="G188" s="8"/>
      <c r="H188" s="8"/>
      <c r="I188" s="8"/>
      <c r="J188" s="8"/>
      <c r="K188" s="8"/>
      <c r="L188" s="8"/>
    </row>
    <row r="189" spans="4:12" ht="20.100000000000001" customHeight="1" x14ac:dyDescent="0.2">
      <c r="D189" s="8" t="s">
        <v>2276</v>
      </c>
      <c r="E189" t="s">
        <v>631</v>
      </c>
      <c r="F189">
        <v>0.05</v>
      </c>
      <c r="G189" s="8"/>
      <c r="H189" s="8"/>
      <c r="I189" s="8"/>
      <c r="J189" s="8"/>
      <c r="K189" s="8"/>
      <c r="L189" s="8"/>
    </row>
    <row r="190" spans="4:12" ht="20.100000000000001" customHeight="1" x14ac:dyDescent="0.2">
      <c r="D190" s="8" t="s">
        <v>2276</v>
      </c>
      <c r="E190" t="s">
        <v>636</v>
      </c>
      <c r="F190">
        <v>7.0000000000000007E-2</v>
      </c>
      <c r="G190" s="8"/>
      <c r="H190" s="8"/>
      <c r="I190" s="8"/>
      <c r="J190" s="8"/>
      <c r="K190" s="8"/>
      <c r="L190" s="8"/>
    </row>
    <row r="191" spans="4:12" ht="20.100000000000001" customHeight="1" x14ac:dyDescent="0.2">
      <c r="D191" s="8" t="s">
        <v>2276</v>
      </c>
      <c r="E191" t="s">
        <v>633</v>
      </c>
      <c r="F191">
        <v>0.04</v>
      </c>
      <c r="G191" s="8"/>
      <c r="H191" s="8"/>
      <c r="I191" s="8"/>
      <c r="J191" s="8"/>
      <c r="K191" s="8"/>
      <c r="L191" s="8"/>
    </row>
    <row r="192" spans="4:12" ht="20.100000000000001" customHeight="1" x14ac:dyDescent="0.2">
      <c r="D192" s="8" t="s">
        <v>2276</v>
      </c>
      <c r="E192" t="s">
        <v>634</v>
      </c>
      <c r="F192">
        <v>0.09</v>
      </c>
      <c r="G192" s="8"/>
      <c r="H192" s="8"/>
      <c r="I192" s="8"/>
      <c r="J192" s="8"/>
      <c r="K192" s="8"/>
      <c r="L192" s="8"/>
    </row>
    <row r="193" spans="1:12" ht="20.100000000000001" customHeight="1" x14ac:dyDescent="0.2">
      <c r="D193" s="8" t="s">
        <v>2276</v>
      </c>
      <c r="E193" t="s">
        <v>637</v>
      </c>
      <c r="F193">
        <v>0.11</v>
      </c>
      <c r="G193" s="8"/>
      <c r="H193" s="8"/>
      <c r="I193" s="8"/>
      <c r="J193" s="8"/>
      <c r="K193" s="8"/>
      <c r="L193" s="8"/>
    </row>
    <row r="194" spans="1:12" ht="20.100000000000001" customHeight="1" x14ac:dyDescent="0.2">
      <c r="D194" s="8" t="s">
        <v>2276</v>
      </c>
      <c r="E194" t="s">
        <v>635</v>
      </c>
      <c r="F194">
        <v>0.16</v>
      </c>
      <c r="G194" s="8"/>
      <c r="H194" s="8"/>
      <c r="I194" s="8"/>
      <c r="J194" s="8"/>
      <c r="K194" s="8"/>
      <c r="L194" s="8"/>
    </row>
    <row r="195" spans="1:12" ht="20.100000000000001" customHeight="1" x14ac:dyDescent="0.2">
      <c r="D195" s="8" t="s">
        <v>2276</v>
      </c>
      <c r="E195" t="s">
        <v>632</v>
      </c>
      <c r="F195">
        <v>0.01</v>
      </c>
      <c r="G195" s="8"/>
      <c r="H195" s="8"/>
      <c r="I195" s="8"/>
      <c r="J195" s="8"/>
      <c r="K195" s="8"/>
      <c r="L195" s="8"/>
    </row>
    <row r="196" spans="1:12" ht="20.100000000000001" customHeight="1" x14ac:dyDescent="0.2">
      <c r="D196" s="8" t="s">
        <v>2276</v>
      </c>
      <c r="E196" t="s">
        <v>630</v>
      </c>
      <c r="F196">
        <v>0</v>
      </c>
      <c r="G196" s="8"/>
      <c r="H196" s="8"/>
      <c r="I196" s="8"/>
      <c r="J196" s="8"/>
      <c r="K196" s="8"/>
      <c r="L196" s="8"/>
    </row>
    <row r="197" spans="1:12" ht="20.100000000000001" customHeight="1" x14ac:dyDescent="0.2">
      <c r="D197" s="8" t="s">
        <v>2277</v>
      </c>
      <c r="E197" t="s">
        <v>631</v>
      </c>
      <c r="F197">
        <v>0.05</v>
      </c>
      <c r="G197" s="8"/>
      <c r="H197" s="8"/>
      <c r="I197" s="8"/>
      <c r="J197" s="8"/>
      <c r="K197" s="8"/>
      <c r="L197" s="8"/>
    </row>
    <row r="198" spans="1:12" ht="20.100000000000001" customHeight="1" x14ac:dyDescent="0.2">
      <c r="D198" s="8" t="s">
        <v>2277</v>
      </c>
      <c r="E198" t="s">
        <v>636</v>
      </c>
      <c r="F198">
        <v>7.0000000000000007E-2</v>
      </c>
      <c r="G198" s="8"/>
      <c r="H198" s="8"/>
      <c r="I198" s="8"/>
      <c r="J198" s="8"/>
      <c r="K198" s="8"/>
      <c r="L198" s="8"/>
    </row>
    <row r="199" spans="1:12" ht="20.100000000000001" customHeight="1" x14ac:dyDescent="0.2">
      <c r="A199" s="129" t="str">
        <f>HYPERLINK("#A1", "▲ Back to top")</f>
        <v>▲ Back to top</v>
      </c>
      <c r="D199" s="8" t="s">
        <v>2277</v>
      </c>
      <c r="E199" t="s">
        <v>633</v>
      </c>
      <c r="F199">
        <v>0.04</v>
      </c>
      <c r="G199" s="8"/>
      <c r="H199" s="8"/>
      <c r="I199" s="8"/>
      <c r="J199" s="8"/>
      <c r="K199" s="8"/>
      <c r="L199" s="8"/>
    </row>
    <row r="200" spans="1:12" ht="20.100000000000001" customHeight="1" x14ac:dyDescent="0.2">
      <c r="D200" s="8" t="s">
        <v>2277</v>
      </c>
      <c r="E200" t="s">
        <v>634</v>
      </c>
      <c r="F200">
        <v>0.09</v>
      </c>
      <c r="G200" s="8"/>
      <c r="H200" s="8"/>
      <c r="I200" s="8"/>
      <c r="J200" s="8"/>
      <c r="K200" s="8"/>
      <c r="L200" s="8"/>
    </row>
    <row r="201" spans="1:12" ht="20.100000000000001" customHeight="1" x14ac:dyDescent="0.2">
      <c r="D201" s="8" t="s">
        <v>2277</v>
      </c>
      <c r="E201" t="s">
        <v>637</v>
      </c>
      <c r="F201">
        <v>0.11</v>
      </c>
      <c r="G201" s="8"/>
      <c r="H201" s="8"/>
      <c r="I201" s="8"/>
      <c r="J201" s="8"/>
      <c r="K201" s="8"/>
      <c r="L201" s="8"/>
    </row>
    <row r="202" spans="1:12" ht="20.100000000000001" customHeight="1" x14ac:dyDescent="0.2">
      <c r="D202" s="8" t="s">
        <v>2277</v>
      </c>
      <c r="E202" t="s">
        <v>635</v>
      </c>
      <c r="F202">
        <v>0.16</v>
      </c>
      <c r="G202" s="8"/>
      <c r="H202" s="8"/>
      <c r="I202" s="8"/>
      <c r="J202" s="8"/>
      <c r="K202" s="8"/>
      <c r="L202" s="8"/>
    </row>
    <row r="203" spans="1:12" ht="20.100000000000001" customHeight="1" x14ac:dyDescent="0.2">
      <c r="D203" s="8" t="s">
        <v>2277</v>
      </c>
      <c r="E203" t="s">
        <v>632</v>
      </c>
      <c r="F203">
        <v>0.01</v>
      </c>
      <c r="G203" s="8"/>
      <c r="H203" s="8"/>
      <c r="I203" s="8"/>
      <c r="J203" s="8"/>
      <c r="K203" s="8"/>
      <c r="L203" s="8"/>
    </row>
    <row r="204" spans="1:12" ht="20.100000000000001" customHeight="1" x14ac:dyDescent="0.2">
      <c r="D204" s="8" t="s">
        <v>2277</v>
      </c>
      <c r="E204" t="s">
        <v>630</v>
      </c>
      <c r="F204">
        <v>0</v>
      </c>
      <c r="G204" s="8"/>
      <c r="H204" s="8"/>
      <c r="I204" s="8"/>
      <c r="J204" s="8"/>
      <c r="K204" s="8"/>
      <c r="L204" s="8"/>
    </row>
    <row r="205" spans="1:12" ht="20.100000000000001" customHeight="1" x14ac:dyDescent="0.2">
      <c r="D205" s="8" t="s">
        <v>2280</v>
      </c>
      <c r="E205" t="s">
        <v>631</v>
      </c>
      <c r="F205">
        <v>0.05</v>
      </c>
      <c r="G205" s="8"/>
      <c r="H205" s="8"/>
      <c r="I205" s="8"/>
      <c r="J205" s="8"/>
      <c r="K205" s="8"/>
      <c r="L205" s="8"/>
    </row>
    <row r="206" spans="1:12" ht="20.100000000000001" customHeight="1" x14ac:dyDescent="0.2">
      <c r="D206" s="8" t="s">
        <v>2280</v>
      </c>
      <c r="E206" t="s">
        <v>636</v>
      </c>
      <c r="F206">
        <v>7.0000000000000007E-2</v>
      </c>
      <c r="G206" s="8"/>
      <c r="H206" s="8"/>
      <c r="I206" s="8"/>
      <c r="J206" s="8"/>
      <c r="K206" s="8"/>
      <c r="L206" s="8"/>
    </row>
    <row r="207" spans="1:12" ht="20.100000000000001" customHeight="1" x14ac:dyDescent="0.2">
      <c r="D207" s="8" t="s">
        <v>2280</v>
      </c>
      <c r="E207" t="s">
        <v>633</v>
      </c>
      <c r="F207">
        <v>0.04</v>
      </c>
      <c r="G207" s="8"/>
      <c r="H207" s="8"/>
      <c r="I207" s="8"/>
      <c r="J207" s="8"/>
      <c r="K207" s="8"/>
      <c r="L207" s="8"/>
    </row>
    <row r="208" spans="1:12" ht="20.100000000000001" customHeight="1" x14ac:dyDescent="0.2">
      <c r="D208" s="8" t="s">
        <v>2280</v>
      </c>
      <c r="E208" t="s">
        <v>634</v>
      </c>
      <c r="F208">
        <v>0.09</v>
      </c>
      <c r="G208" s="8"/>
      <c r="H208" s="8"/>
      <c r="I208" s="8"/>
      <c r="J208" s="8"/>
      <c r="K208" s="8"/>
      <c r="L208" s="8"/>
    </row>
    <row r="209" spans="4:12" ht="20.100000000000001" customHeight="1" x14ac:dyDescent="0.2">
      <c r="D209" s="8" t="s">
        <v>2280</v>
      </c>
      <c r="E209" t="s">
        <v>637</v>
      </c>
      <c r="F209">
        <v>0.11</v>
      </c>
      <c r="G209" s="8"/>
      <c r="H209" s="8"/>
      <c r="I209" s="8"/>
      <c r="J209" s="8"/>
      <c r="K209" s="8"/>
      <c r="L209" s="8"/>
    </row>
    <row r="210" spans="4:12" ht="20.100000000000001" customHeight="1" x14ac:dyDescent="0.2">
      <c r="D210" s="8" t="s">
        <v>2280</v>
      </c>
      <c r="E210" t="s">
        <v>635</v>
      </c>
      <c r="F210">
        <v>0.16</v>
      </c>
      <c r="G210" s="8"/>
      <c r="H210" s="8"/>
      <c r="I210" s="8"/>
      <c r="J210" s="8"/>
      <c r="K210" s="8"/>
      <c r="L210" s="8"/>
    </row>
    <row r="211" spans="4:12" ht="20.100000000000001" customHeight="1" x14ac:dyDescent="0.2">
      <c r="D211" s="8" t="s">
        <v>2280</v>
      </c>
      <c r="E211" t="s">
        <v>632</v>
      </c>
      <c r="F211">
        <v>0.01</v>
      </c>
      <c r="G211" s="8"/>
      <c r="H211" s="8"/>
      <c r="I211" s="8"/>
      <c r="J211" s="8"/>
      <c r="K211" s="8"/>
      <c r="L211" s="8"/>
    </row>
    <row r="212" spans="4:12" ht="20.100000000000001" customHeight="1" x14ac:dyDescent="0.2">
      <c r="D212" s="8" t="s">
        <v>2280</v>
      </c>
      <c r="E212" t="s">
        <v>630</v>
      </c>
      <c r="F212">
        <v>0</v>
      </c>
      <c r="G212" s="8"/>
      <c r="H212" s="8"/>
      <c r="I212" s="8"/>
      <c r="J212" s="8"/>
      <c r="K212" s="8"/>
      <c r="L212" s="8"/>
    </row>
    <row r="213" spans="4:12" ht="20.100000000000001" customHeight="1" x14ac:dyDescent="0.2">
      <c r="D213" s="8" t="s">
        <v>2283</v>
      </c>
      <c r="E213" t="s">
        <v>631</v>
      </c>
      <c r="F213">
        <v>0.05</v>
      </c>
      <c r="G213" s="8"/>
      <c r="H213" s="8"/>
      <c r="I213" s="8"/>
      <c r="J213" s="8"/>
      <c r="K213" s="8"/>
      <c r="L213" s="8"/>
    </row>
    <row r="214" spans="4:12" ht="20.100000000000001" customHeight="1" x14ac:dyDescent="0.2">
      <c r="D214" s="8" t="s">
        <v>2283</v>
      </c>
      <c r="E214" t="s">
        <v>636</v>
      </c>
      <c r="F214">
        <v>7.0000000000000007E-2</v>
      </c>
      <c r="G214" s="8"/>
      <c r="H214" s="8"/>
      <c r="I214" s="8"/>
      <c r="J214" s="8"/>
    </row>
    <row r="215" spans="4:12" ht="20.100000000000001" customHeight="1" x14ac:dyDescent="0.2">
      <c r="D215" s="8" t="s">
        <v>2283</v>
      </c>
      <c r="E215" t="s">
        <v>633</v>
      </c>
      <c r="F215">
        <v>0.04</v>
      </c>
      <c r="G215" s="8"/>
      <c r="H215" s="8"/>
      <c r="I215" s="8"/>
      <c r="J215" s="8"/>
    </row>
    <row r="216" spans="4:12" ht="20.100000000000001" customHeight="1" x14ac:dyDescent="0.2">
      <c r="D216" s="8" t="s">
        <v>2283</v>
      </c>
      <c r="E216" t="s">
        <v>634</v>
      </c>
      <c r="F216">
        <v>0.09</v>
      </c>
      <c r="G216" s="8"/>
      <c r="H216" s="8"/>
      <c r="I216" s="8"/>
      <c r="J216" s="8"/>
    </row>
    <row r="217" spans="4:12" ht="20.100000000000001" customHeight="1" x14ac:dyDescent="0.2">
      <c r="D217" s="8" t="s">
        <v>2283</v>
      </c>
      <c r="E217" t="s">
        <v>637</v>
      </c>
      <c r="F217">
        <v>0.11</v>
      </c>
      <c r="G217" s="8"/>
      <c r="H217" s="8"/>
      <c r="I217" s="8"/>
      <c r="J217" s="8"/>
    </row>
    <row r="218" spans="4:12" ht="20.100000000000001" customHeight="1" x14ac:dyDescent="0.2">
      <c r="D218" s="8" t="s">
        <v>2283</v>
      </c>
      <c r="E218" t="s">
        <v>635</v>
      </c>
      <c r="F218">
        <v>0.16</v>
      </c>
      <c r="G218" s="8"/>
      <c r="H218" s="8"/>
      <c r="I218" s="8"/>
      <c r="J218" s="8"/>
    </row>
    <row r="219" spans="4:12" ht="20.100000000000001" customHeight="1" x14ac:dyDescent="0.2">
      <c r="D219" s="8" t="s">
        <v>2283</v>
      </c>
      <c r="E219" t="s">
        <v>632</v>
      </c>
      <c r="F219">
        <v>0.01</v>
      </c>
      <c r="G219" s="8"/>
      <c r="H219" s="8"/>
      <c r="I219" s="8"/>
      <c r="J219" s="8"/>
    </row>
    <row r="220" spans="4:12" ht="20.100000000000001" customHeight="1" x14ac:dyDescent="0.2">
      <c r="D220" s="8" t="s">
        <v>2283</v>
      </c>
      <c r="E220" t="s">
        <v>630</v>
      </c>
      <c r="F220">
        <v>0</v>
      </c>
      <c r="G220" s="8"/>
      <c r="H220" s="8"/>
      <c r="I220" s="8"/>
      <c r="J220" s="8"/>
    </row>
    <row r="221" spans="4:12" ht="20.100000000000001" customHeight="1" x14ac:dyDescent="0.2">
      <c r="D221" s="8" t="s">
        <v>2285</v>
      </c>
      <c r="E221" t="s">
        <v>631</v>
      </c>
      <c r="F221">
        <v>0.05</v>
      </c>
      <c r="G221" s="8"/>
      <c r="H221" s="8"/>
      <c r="I221" s="8"/>
      <c r="J221" s="8"/>
    </row>
    <row r="222" spans="4:12" ht="20.100000000000001" customHeight="1" x14ac:dyDescent="0.2">
      <c r="D222" s="8" t="s">
        <v>2285</v>
      </c>
      <c r="E222" t="s">
        <v>636</v>
      </c>
      <c r="F222">
        <v>7.0000000000000007E-2</v>
      </c>
      <c r="G222" s="8"/>
      <c r="H222" s="8"/>
      <c r="I222" s="8"/>
      <c r="J222" s="8"/>
    </row>
    <row r="223" spans="4:12" ht="20.100000000000001" customHeight="1" x14ac:dyDescent="0.2">
      <c r="D223" s="8" t="s">
        <v>2285</v>
      </c>
      <c r="E223" t="s">
        <v>633</v>
      </c>
      <c r="F223">
        <v>0.04</v>
      </c>
      <c r="G223" s="8"/>
      <c r="H223" s="8"/>
      <c r="I223" s="8"/>
      <c r="J223" s="8"/>
    </row>
    <row r="224" spans="4:12" ht="20.100000000000001" customHeight="1" x14ac:dyDescent="0.2">
      <c r="D224" s="8" t="s">
        <v>2285</v>
      </c>
      <c r="E224" t="s">
        <v>634</v>
      </c>
      <c r="F224">
        <v>0.09</v>
      </c>
      <c r="G224" s="8"/>
      <c r="H224" s="8"/>
      <c r="I224" s="8"/>
      <c r="J224" s="8"/>
    </row>
    <row r="225" spans="1:10" ht="20.100000000000001" customHeight="1" x14ac:dyDescent="0.2">
      <c r="D225" s="8" t="s">
        <v>2285</v>
      </c>
      <c r="E225" t="s">
        <v>637</v>
      </c>
      <c r="F225">
        <v>0.11</v>
      </c>
      <c r="G225" s="8"/>
      <c r="H225" s="8"/>
      <c r="I225" s="8"/>
      <c r="J225" s="8"/>
    </row>
    <row r="226" spans="1:10" ht="20.100000000000001" customHeight="1" x14ac:dyDescent="0.2">
      <c r="D226" s="8" t="s">
        <v>2285</v>
      </c>
      <c r="E226" t="s">
        <v>635</v>
      </c>
      <c r="F226">
        <v>0.16</v>
      </c>
      <c r="G226" s="8"/>
      <c r="H226" s="8"/>
      <c r="I226" s="8"/>
      <c r="J226" s="8"/>
    </row>
    <row r="227" spans="1:10" ht="20.100000000000001" customHeight="1" x14ac:dyDescent="0.2">
      <c r="D227" s="8" t="s">
        <v>2285</v>
      </c>
      <c r="E227" t="s">
        <v>632</v>
      </c>
      <c r="F227">
        <v>0.01</v>
      </c>
      <c r="G227" s="8"/>
      <c r="H227" s="8"/>
      <c r="I227" s="8"/>
      <c r="J227" s="8"/>
    </row>
    <row r="228" spans="1:10" ht="20.100000000000001" customHeight="1" x14ac:dyDescent="0.2">
      <c r="D228" s="8" t="s">
        <v>2285</v>
      </c>
      <c r="E228" t="s">
        <v>630</v>
      </c>
      <c r="F228">
        <v>0</v>
      </c>
      <c r="G228" s="8"/>
      <c r="H228" s="8"/>
    </row>
    <row r="229" spans="1:10" ht="20.100000000000001" customHeight="1" x14ac:dyDescent="0.2">
      <c r="A229" s="129" t="str">
        <f>HYPERLINK("#A1", "▲ Back to top")</f>
        <v>▲ Back to top</v>
      </c>
      <c r="D229" s="8" t="s">
        <v>2286</v>
      </c>
      <c r="E229" t="s">
        <v>631</v>
      </c>
      <c r="F229">
        <v>0.05</v>
      </c>
      <c r="G229" s="8"/>
    </row>
    <row r="230" spans="1:10" ht="20.100000000000001" customHeight="1" x14ac:dyDescent="0.2">
      <c r="D230" s="8" t="s">
        <v>2286</v>
      </c>
      <c r="E230" t="s">
        <v>636</v>
      </c>
      <c r="F230">
        <v>7.0000000000000007E-2</v>
      </c>
      <c r="G230" s="8"/>
    </row>
    <row r="231" spans="1:10" ht="20.100000000000001" customHeight="1" x14ac:dyDescent="0.2">
      <c r="D231" s="8" t="s">
        <v>2286</v>
      </c>
      <c r="E231" t="s">
        <v>633</v>
      </c>
      <c r="F231">
        <v>0.04</v>
      </c>
      <c r="G231" s="8"/>
    </row>
    <row r="232" spans="1:10" ht="20.100000000000001" customHeight="1" x14ac:dyDescent="0.2">
      <c r="D232" s="8" t="s">
        <v>2286</v>
      </c>
      <c r="E232" t="s">
        <v>634</v>
      </c>
      <c r="F232">
        <v>0.09</v>
      </c>
      <c r="G232" s="8"/>
    </row>
    <row r="233" spans="1:10" ht="20.100000000000001" customHeight="1" x14ac:dyDescent="0.2">
      <c r="D233" s="8" t="s">
        <v>2286</v>
      </c>
      <c r="E233" t="s">
        <v>637</v>
      </c>
      <c r="F233">
        <v>0.11</v>
      </c>
      <c r="G233" s="8"/>
    </row>
    <row r="234" spans="1:10" ht="20.100000000000001" customHeight="1" x14ac:dyDescent="0.2">
      <c r="D234" s="8" t="s">
        <v>2286</v>
      </c>
      <c r="E234" t="s">
        <v>635</v>
      </c>
      <c r="F234">
        <v>0.16</v>
      </c>
      <c r="G234" s="8"/>
    </row>
    <row r="235" spans="1:10" ht="20.100000000000001" customHeight="1" x14ac:dyDescent="0.2">
      <c r="D235" s="8" t="s">
        <v>2286</v>
      </c>
      <c r="E235" t="s">
        <v>632</v>
      </c>
      <c r="F235">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296AF-786F-459F-BCC0-7A4A21858C78}">
  <sheetPr>
    <tabColor theme="2" tint="-0.499984740745262"/>
  </sheetPr>
  <dimension ref="A1:M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0" t="s">
        <v>1460</v>
      </c>
      <c r="D1" s="20"/>
      <c r="E1" s="20"/>
      <c r="F1" s="20"/>
      <c r="G1" s="20"/>
      <c r="H1" s="20"/>
      <c r="I1" s="20"/>
      <c r="J1" s="20"/>
      <c r="K1" s="20"/>
      <c r="L1" s="20"/>
      <c r="M1" s="20"/>
    </row>
    <row r="2" spans="1:13" ht="20.100000000000001" customHeight="1" x14ac:dyDescent="0.2">
      <c r="C2" s="3"/>
      <c r="D2" s="3"/>
      <c r="E2" s="3"/>
      <c r="F2" s="3"/>
      <c r="G2" s="3"/>
      <c r="H2" s="3"/>
      <c r="I2" s="3"/>
      <c r="J2" s="3"/>
      <c r="K2" s="3"/>
      <c r="L2" s="3"/>
      <c r="M2" s="3"/>
    </row>
    <row r="3" spans="1:13" ht="20.100000000000001" customHeight="1" x14ac:dyDescent="0.2">
      <c r="A3" s="5" t="str">
        <f>HYPERLINK("#'Home'!A1", "Home")</f>
        <v>Home</v>
      </c>
      <c r="C3" s="22"/>
      <c r="D3" s="22"/>
      <c r="E3" s="22"/>
      <c r="F3" s="22"/>
      <c r="G3" s="22"/>
      <c r="H3" s="22"/>
      <c r="I3" s="22"/>
      <c r="J3" s="22"/>
      <c r="K3" s="22"/>
      <c r="L3" s="22"/>
      <c r="M3" s="22"/>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row>
    <row r="6" spans="1:13" ht="20.100000000000001" customHeight="1" x14ac:dyDescent="0.2">
      <c r="A6" s="5" t="str">
        <f>HYPERLINK("#'Results'!A1", "Results")</f>
        <v>Results</v>
      </c>
      <c r="D6" s="2" t="s">
        <v>2312</v>
      </c>
      <c r="E6" s="24"/>
      <c r="F6" s="24"/>
      <c r="G6" s="24"/>
      <c r="H6" s="24"/>
    </row>
    <row r="7" spans="1:13" ht="20.100000000000001" customHeight="1" x14ac:dyDescent="0.2">
      <c r="D7" s="24" t="s">
        <v>422</v>
      </c>
      <c r="E7" s="24"/>
      <c r="F7" s="24"/>
      <c r="G7" s="24"/>
      <c r="H7" s="24"/>
    </row>
    <row r="8" spans="1:13" ht="20.100000000000001" customHeight="1" x14ac:dyDescent="0.2">
      <c r="D8" s="17" t="s">
        <v>2313</v>
      </c>
      <c r="E8" s="24"/>
      <c r="F8" s="24"/>
      <c r="G8" s="24"/>
      <c r="H8" s="24"/>
    </row>
    <row r="9" spans="1:13" ht="20.100000000000001" customHeight="1" x14ac:dyDescent="0.2">
      <c r="A9" s="7" t="s">
        <v>0</v>
      </c>
      <c r="D9" s="26" t="s">
        <v>1461</v>
      </c>
      <c r="E9" s="19" t="s">
        <v>1462</v>
      </c>
      <c r="F9" s="19" t="s">
        <v>615</v>
      </c>
      <c r="G9" s="24"/>
    </row>
    <row r="10" spans="1:13" ht="20.100000000000001" customHeight="1" x14ac:dyDescent="0.2">
      <c r="A10" s="5" t="str">
        <f>HYPERLINK("#'Input - Enterprise'!A1", "Enterprise")</f>
        <v>Enterprise</v>
      </c>
      <c r="D10" s="26">
        <v>1</v>
      </c>
      <c r="E10" s="26" t="s">
        <v>70</v>
      </c>
      <c r="F10" s="26" t="s">
        <v>2314</v>
      </c>
      <c r="G10" s="24"/>
    </row>
    <row r="11" spans="1:13" ht="20.100000000000001" customHeight="1" x14ac:dyDescent="0.2">
      <c r="A11" s="5" t="str">
        <f>HYPERLINK("#'Input - Site'!A1", "Site")</f>
        <v>Site</v>
      </c>
      <c r="D11" s="26">
        <v>2</v>
      </c>
      <c r="E11" s="26" t="s">
        <v>72</v>
      </c>
      <c r="F11" s="26" t="s">
        <v>2315</v>
      </c>
      <c r="G11" s="24"/>
    </row>
    <row r="12" spans="1:13" ht="20.100000000000001" customHeight="1" x14ac:dyDescent="0.2">
      <c r="A12" s="5" t="str">
        <f>HYPERLINK("#'Input - Dairy'!A1", "Dairy")</f>
        <v>Dairy</v>
      </c>
      <c r="D12" s="19">
        <v>3</v>
      </c>
      <c r="E12" s="19" t="s">
        <v>73</v>
      </c>
      <c r="F12" s="19" t="s">
        <v>2316</v>
      </c>
      <c r="G12" s="24"/>
    </row>
    <row r="13" spans="1:13" ht="20.100000000000001" customHeight="1" x14ac:dyDescent="0.2">
      <c r="A13" s="5" t="str">
        <f>HYPERLINK("#'Input - Livestock sales'!A1", "Livestock sales")</f>
        <v>Livestock sales</v>
      </c>
      <c r="D13" s="19" t="s">
        <v>2317</v>
      </c>
      <c r="E13" s="19" t="s">
        <v>2191</v>
      </c>
      <c r="F13" s="19" t="s">
        <v>2318</v>
      </c>
      <c r="G13" s="24"/>
    </row>
    <row r="14" spans="1:13" ht="20.100000000000001" customHeight="1" x14ac:dyDescent="0.2">
      <c r="A14" s="5" t="str">
        <f>HYPERLINK("#'Input - Dairy cattle purchases'!A1", "Dairy cattle purchases")</f>
        <v>Dairy cattle purchases</v>
      </c>
      <c r="D14" s="19" t="s">
        <v>2319</v>
      </c>
      <c r="E14" s="19" t="s">
        <v>2193</v>
      </c>
      <c r="F14" s="19" t="s">
        <v>2320</v>
      </c>
      <c r="G14" s="24"/>
    </row>
    <row r="15" spans="1:13" ht="20.100000000000001" customHeight="1" x14ac:dyDescent="0.2">
      <c r="A15" s="5" t="str">
        <f>HYPERLINK("#'Input - Pasture'!A1", "Pasture")</f>
        <v>Pasture</v>
      </c>
      <c r="D15" s="19">
        <v>4</v>
      </c>
      <c r="E15" s="19" t="s">
        <v>75</v>
      </c>
      <c r="F15" s="19" t="s">
        <v>2321</v>
      </c>
      <c r="G15" s="24"/>
    </row>
    <row r="16" spans="1:13" ht="20.100000000000001" customHeight="1" x14ac:dyDescent="0.2">
      <c r="A16" s="5" t="str">
        <f>HYPERLINK("#'Input - Fert Prod System'!A1", "Fert Prod System")</f>
        <v>Fert Prod System</v>
      </c>
      <c r="D16" s="19">
        <v>5</v>
      </c>
      <c r="E16" s="19" t="s">
        <v>2322</v>
      </c>
      <c r="F16" s="19" t="s">
        <v>2323</v>
      </c>
      <c r="G16" s="24"/>
    </row>
    <row r="17" spans="1:8" ht="20.100000000000001" customHeight="1" x14ac:dyDescent="0.2">
      <c r="A17" s="5" t="str">
        <f>HYPERLINK("#'Input - Fertiliser'!A1", "Fertiliser")</f>
        <v>Fertiliser</v>
      </c>
      <c r="D17" s="19">
        <v>6</v>
      </c>
      <c r="E17" s="19" t="s">
        <v>74</v>
      </c>
      <c r="F17" s="19" t="s">
        <v>2324</v>
      </c>
      <c r="G17" s="24"/>
    </row>
    <row r="18" spans="1:8" ht="20.100000000000001" customHeight="1" x14ac:dyDescent="0.2">
      <c r="A18" s="5" t="str">
        <f>HYPERLINK("#'Input - Fuel'!A1", "Fuel")</f>
        <v>Fuel</v>
      </c>
      <c r="D18" s="19">
        <v>7</v>
      </c>
      <c r="E18" s="19" t="s">
        <v>71</v>
      </c>
      <c r="F18" s="19" t="s">
        <v>2325</v>
      </c>
      <c r="G18" s="24"/>
    </row>
    <row r="19" spans="1:8" ht="20.100000000000001" customHeight="1" x14ac:dyDescent="0.2">
      <c r="A19" s="5" t="str">
        <f>HYPERLINK("#'Input - Electricity'!A1", "Electricity")</f>
        <v>Electricity</v>
      </c>
      <c r="D19" s="19">
        <v>8</v>
      </c>
      <c r="E19" s="19" t="s">
        <v>77</v>
      </c>
      <c r="F19" s="19" t="s">
        <v>2326</v>
      </c>
      <c r="G19" s="24"/>
    </row>
    <row r="20" spans="1:8" ht="20.100000000000001" customHeight="1" x14ac:dyDescent="0.2">
      <c r="A20" s="5" t="str">
        <f>HYPERLINK("#'Input - Common farm inputs'!A1", "Common farm inputs")</f>
        <v>Common farm inputs</v>
      </c>
      <c r="D20" s="19">
        <v>9</v>
      </c>
      <c r="E20" s="19" t="s">
        <v>76</v>
      </c>
      <c r="F20" s="19" t="s">
        <v>2327</v>
      </c>
      <c r="G20" s="24"/>
    </row>
    <row r="21" spans="1:8" ht="20.100000000000001" customHeight="1" x14ac:dyDescent="0.2">
      <c r="A21" s="5" t="str">
        <f>HYPERLINK("#'Input - Crop pasture farm input'!A1", "Crop pasture farm input")</f>
        <v>Crop pasture farm input</v>
      </c>
      <c r="D21" s="19">
        <v>10</v>
      </c>
      <c r="E21" s="19" t="s">
        <v>78</v>
      </c>
      <c r="F21" s="19" t="s">
        <v>2328</v>
      </c>
      <c r="G21" s="24"/>
    </row>
    <row r="22" spans="1:8" ht="20.100000000000001" customHeight="1" x14ac:dyDescent="0.2">
      <c r="A22" s="5" t="str">
        <f>HYPERLINK("#'Input - Livestock farm Inputs'!A1", "Livestock farm Inputs")</f>
        <v>Livestock farm Inputs</v>
      </c>
      <c r="D22" s="19">
        <v>11</v>
      </c>
      <c r="E22" s="19" t="s">
        <v>79</v>
      </c>
      <c r="F22" s="19" t="s">
        <v>2329</v>
      </c>
      <c r="G22" s="24"/>
    </row>
    <row r="23" spans="1:8" ht="20.100000000000001" customHeight="1" x14ac:dyDescent="0.2">
      <c r="A23" s="5" t="str">
        <f>HYPERLINK("#'Input - Freight'!A1", "Freight")</f>
        <v>Freight</v>
      </c>
      <c r="D23" s="19" t="s">
        <v>2330</v>
      </c>
      <c r="E23" s="19" t="s">
        <v>2331</v>
      </c>
      <c r="F23" s="19" t="s">
        <v>2332</v>
      </c>
      <c r="G23" s="24"/>
    </row>
    <row r="24" spans="1:8" ht="20.100000000000001" customHeight="1" x14ac:dyDescent="0.2">
      <c r="A24" s="5" t="str">
        <f>HYPERLINK("#'Input - Solid waste'!A1", "Solid waste")</f>
        <v>Solid waste</v>
      </c>
      <c r="D24" s="19" t="s">
        <v>2333</v>
      </c>
      <c r="E24" s="19" t="s">
        <v>2334</v>
      </c>
      <c r="F24" s="19" t="s">
        <v>2335</v>
      </c>
      <c r="G24" s="24"/>
    </row>
    <row r="25" spans="1:8" ht="20.100000000000001" customHeight="1" x14ac:dyDescent="0.2">
      <c r="A25" s="5" t="str">
        <f>HYPERLINK("#'Input - Manure sent off-site'!A1", "Manure sent off-site")</f>
        <v>Manure sent off-site</v>
      </c>
      <c r="D25" s="19">
        <v>12</v>
      </c>
      <c r="E25" s="19" t="s">
        <v>80</v>
      </c>
      <c r="F25" s="19" t="s">
        <v>2336</v>
      </c>
      <c r="G25" s="24"/>
    </row>
    <row r="26" spans="1:8" ht="20.100000000000001" customHeight="1" x14ac:dyDescent="0.2">
      <c r="A26" s="5" t="str">
        <f>HYPERLINK("#'Input - Refrigerants'!A1", "Refrigerants")</f>
        <v>Refrigerants</v>
      </c>
      <c r="D26" s="19">
        <v>13</v>
      </c>
      <c r="E26" s="19" t="s">
        <v>81</v>
      </c>
      <c r="F26" s="19" t="s">
        <v>2337</v>
      </c>
      <c r="G26" s="24"/>
    </row>
    <row r="27" spans="1:8" ht="20.100000000000001" customHeight="1" x14ac:dyDescent="0.2">
      <c r="A27" s="5" t="str">
        <f>HYPERLINK("#'Input - Data quality'!A1", "Data quality")</f>
        <v>Data quality</v>
      </c>
      <c r="D27" s="19">
        <v>14</v>
      </c>
      <c r="E27" s="19" t="s">
        <v>82</v>
      </c>
      <c r="F27" s="19" t="s">
        <v>2338</v>
      </c>
      <c r="G27" s="24"/>
    </row>
    <row r="28" spans="1:8" ht="20.100000000000001" customHeight="1" x14ac:dyDescent="0.2">
      <c r="G28" s="24"/>
      <c r="H28" s="24"/>
    </row>
    <row r="30" spans="1:8" ht="20.100000000000001" customHeight="1" x14ac:dyDescent="0.2">
      <c r="A30" s="6" t="s">
        <v>2</v>
      </c>
    </row>
    <row r="31" spans="1:8" ht="20.100000000000001" customHeight="1" x14ac:dyDescent="0.2">
      <c r="A31" s="5" t="str">
        <f>HYPERLINK("#'3.3.1.1-2 Enteric Methane'!A1", "3.3.1.1-2 Enteric methane")</f>
        <v>3.3.1.1-2 Enteric methane</v>
      </c>
    </row>
    <row r="32" spans="1:8"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5"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83"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pageMargins left="0.7" right="0.7" top="0.75" bottom="0.75" header="0.3" footer="0.3"/>
  <pageSetup paperSize="9"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F20E-9939-4347-B817-C7DF08418746}">
  <sheetPr>
    <tabColor theme="2" tint="-0.499984740745262"/>
  </sheetPr>
  <dimension ref="A1:AI68"/>
  <sheetViews>
    <sheetView showGridLines="0" zoomScaleNormal="100" workbookViewId="0">
      <pane xSplit="1" topLeftCell="B1" activePane="topRight" state="frozenSplit"/>
      <selection pane="topRight" activeCell="A169" sqref="A16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892</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2339</v>
      </c>
    </row>
    <row r="6" spans="1:35" ht="20.100000000000001" customHeight="1" x14ac:dyDescent="0.2">
      <c r="A6" s="5" t="str">
        <f>HYPERLINK("#'Results'!A1", "Results")</f>
        <v>Results</v>
      </c>
      <c r="D6" s="17" t="s">
        <v>2340</v>
      </c>
      <c r="E6" s="8"/>
      <c r="F6" s="8"/>
    </row>
    <row r="7" spans="1:35" ht="20.100000000000001" customHeight="1" x14ac:dyDescent="0.2">
      <c r="D7" s="25" t="str" cm="1">
        <f t="array" ref="D7">"⚠️" &amp; Electricity_SourceData.Electricity_Scope2Scope3LocationBased_Variation()</f>
        <v>⚠️VARIATION OF SOURCE DATA: NSW and ACT split into separate rows.</v>
      </c>
      <c r="E7" s="8"/>
      <c r="F7" s="8"/>
    </row>
    <row r="8" spans="1:35" ht="20.100000000000001" customHeight="1" x14ac:dyDescent="0.2">
      <c r="D8" s="8"/>
      <c r="E8" s="8"/>
      <c r="F8" s="8"/>
    </row>
    <row r="9" spans="1:35" ht="20.100000000000001" customHeight="1" x14ac:dyDescent="0.2">
      <c r="A9" s="7" t="s">
        <v>0</v>
      </c>
      <c r="D9" s="201" t="s">
        <v>893</v>
      </c>
      <c r="E9" s="201" t="s">
        <v>894</v>
      </c>
      <c r="F9" s="201" t="s">
        <v>895</v>
      </c>
    </row>
    <row r="10" spans="1:35" ht="20.100000000000001" customHeight="1" x14ac:dyDescent="0.2">
      <c r="A10" s="5" t="str">
        <f>HYPERLINK("#'Input - Enterprise'!A1", "Enterprise")</f>
        <v>Enterprise</v>
      </c>
      <c r="D10" t="s">
        <v>2341</v>
      </c>
      <c r="E10">
        <v>0.64</v>
      </c>
      <c r="F10">
        <v>0.03</v>
      </c>
    </row>
    <row r="11" spans="1:35" ht="20.100000000000001" customHeight="1" x14ac:dyDescent="0.2">
      <c r="A11" s="5" t="str">
        <f>HYPERLINK("#'Input - Site'!A1", "Site")</f>
        <v>Site</v>
      </c>
      <c r="D11" t="s">
        <v>630</v>
      </c>
      <c r="E11">
        <v>0.64</v>
      </c>
      <c r="F11">
        <v>0.03</v>
      </c>
    </row>
    <row r="12" spans="1:35" ht="20.100000000000001" customHeight="1" x14ac:dyDescent="0.2">
      <c r="A12" s="5" t="str">
        <f>HYPERLINK("#'Input - Dairy'!A1", "Dairy")</f>
        <v>Dairy</v>
      </c>
      <c r="D12" t="s">
        <v>2342</v>
      </c>
      <c r="E12">
        <v>0.78</v>
      </c>
      <c r="F12">
        <v>0.09</v>
      </c>
    </row>
    <row r="13" spans="1:35" ht="20.100000000000001" customHeight="1" x14ac:dyDescent="0.2">
      <c r="A13" s="5" t="str">
        <f>HYPERLINK("#'Input - Livestock sales'!A1", "Livestock sales")</f>
        <v>Livestock sales</v>
      </c>
      <c r="D13" t="s">
        <v>2343</v>
      </c>
      <c r="E13">
        <v>0.67</v>
      </c>
      <c r="F13">
        <v>0.09</v>
      </c>
    </row>
    <row r="14" spans="1:35" ht="20.100000000000001" customHeight="1" x14ac:dyDescent="0.2">
      <c r="A14" s="5" t="str">
        <f>HYPERLINK("#'Input - Dairy cattle purchases'!A1", "Dairy cattle purchases")</f>
        <v>Dairy cattle purchases</v>
      </c>
      <c r="D14" t="s">
        <v>2344</v>
      </c>
      <c r="E14">
        <v>0.22</v>
      </c>
      <c r="F14">
        <v>0.04</v>
      </c>
    </row>
    <row r="15" spans="1:35" ht="20.100000000000001" customHeight="1" x14ac:dyDescent="0.2">
      <c r="A15" s="5" t="str">
        <f>HYPERLINK("#'Input - Pasture'!A1", "Pasture")</f>
        <v>Pasture</v>
      </c>
      <c r="D15" t="s">
        <v>2345</v>
      </c>
      <c r="E15">
        <v>0.5</v>
      </c>
      <c r="F15">
        <v>0.06</v>
      </c>
    </row>
    <row r="16" spans="1:35" ht="20.100000000000001" customHeight="1" x14ac:dyDescent="0.2">
      <c r="A16" s="5" t="str">
        <f>HYPERLINK("#'Input - Fert Prod System'!A1", "Fert Prod System")</f>
        <v>Fert Prod System</v>
      </c>
      <c r="D16" t="s">
        <v>865</v>
      </c>
      <c r="E16">
        <v>0.56000000000000005</v>
      </c>
      <c r="F16">
        <v>0.09</v>
      </c>
    </row>
    <row r="17" spans="1:8" ht="20.100000000000001" customHeight="1" x14ac:dyDescent="0.2">
      <c r="A17" s="5" t="str">
        <f>HYPERLINK("#'Input - Fertiliser'!A1", "Fertiliser")</f>
        <v>Fertiliser</v>
      </c>
      <c r="D17" t="s">
        <v>2346</v>
      </c>
      <c r="E17">
        <v>0.2</v>
      </c>
      <c r="F17">
        <v>0.03</v>
      </c>
    </row>
    <row r="18" spans="1:8" ht="20.100000000000001" customHeight="1" x14ac:dyDescent="0.2">
      <c r="A18" s="5" t="str">
        <f>HYPERLINK("#'Input - Fuel'!A1", "Fuel")</f>
        <v>Fuel</v>
      </c>
      <c r="D18" t="s">
        <v>2347</v>
      </c>
      <c r="E18">
        <v>0.56000000000000005</v>
      </c>
      <c r="F18">
        <v>0.09</v>
      </c>
    </row>
    <row r="19" spans="1:8" ht="20.100000000000001" customHeight="1" x14ac:dyDescent="0.2">
      <c r="A19" s="5" t="str">
        <f>HYPERLINK("#'Input - Electricity'!A1", "Electricity")</f>
        <v>Electricity</v>
      </c>
      <c r="D19" t="s">
        <v>2348</v>
      </c>
      <c r="E19">
        <v>0.62</v>
      </c>
      <c r="F19">
        <v>7.0000000000000007E-2</v>
      </c>
    </row>
    <row r="20" spans="1:8" ht="20.100000000000001" customHeight="1" x14ac:dyDescent="0.2">
      <c r="A20" s="5" t="str">
        <f>HYPERLINK("#'Input - Common farm inputs'!A1", "Common farm inputs")</f>
        <v>Common farm inputs</v>
      </c>
    </row>
    <row r="21" spans="1:8" ht="20.100000000000001" customHeight="1" x14ac:dyDescent="0.2">
      <c r="A21" s="5" t="str">
        <f>HYPERLINK("#'Input - Crop pasture farm input'!A1", "Crop pasture farm input")</f>
        <v>Crop pasture farm input</v>
      </c>
      <c r="D21" s="2" t="s">
        <v>2349</v>
      </c>
    </row>
    <row r="22" spans="1:8" ht="20.100000000000001" customHeight="1" x14ac:dyDescent="0.2">
      <c r="A22" s="5" t="str">
        <f>HYPERLINK("#'Input - Livestock farm Inputs'!A1", "Livestock farm Inputs")</f>
        <v>Livestock farm Inputs</v>
      </c>
      <c r="D22" s="17" t="s">
        <v>2350</v>
      </c>
    </row>
    <row r="23" spans="1:8" ht="20.100000000000001" customHeight="1" x14ac:dyDescent="0.2">
      <c r="A23" s="5" t="str">
        <f>HYPERLINK("#'Input - Freight'!A1", "Freight")</f>
        <v>Freight</v>
      </c>
    </row>
    <row r="24" spans="1:8" ht="20.100000000000001" customHeight="1" x14ac:dyDescent="0.2">
      <c r="A24" s="5" t="str">
        <f>HYPERLINK("#'Input - Solid waste'!A1", "Solid waste")</f>
        <v>Solid waste</v>
      </c>
      <c r="D24" s="192" t="s">
        <v>893</v>
      </c>
      <c r="E24" s="192" t="s">
        <v>896</v>
      </c>
      <c r="F24" s="192" t="s">
        <v>897</v>
      </c>
      <c r="G24" s="192" t="s">
        <v>898</v>
      </c>
      <c r="H24" s="192" t="s">
        <v>899</v>
      </c>
    </row>
    <row r="25" spans="1:8" ht="20.100000000000001" customHeight="1" x14ac:dyDescent="0.2">
      <c r="A25" s="5" t="str">
        <f>HYPERLINK("#'Input - Manure sent off-site'!A1", "Manure sent off-site")</f>
        <v>Manure sent off-site</v>
      </c>
      <c r="D25" t="s">
        <v>2348</v>
      </c>
      <c r="E25">
        <v>0.81</v>
      </c>
      <c r="F25">
        <v>226</v>
      </c>
      <c r="G25">
        <v>0.1</v>
      </c>
      <c r="H25">
        <v>29</v>
      </c>
    </row>
    <row r="26" spans="1:8" ht="20.100000000000001" customHeight="1" x14ac:dyDescent="0.2">
      <c r="A26" s="5" t="str">
        <f>HYPERLINK("#'Input - Refrigerants'!A1", "Refrigerants")</f>
        <v>Refrigerants</v>
      </c>
    </row>
    <row r="27" spans="1:8" ht="20.100000000000001" customHeight="1" x14ac:dyDescent="0.2">
      <c r="A27" s="5" t="str">
        <f>HYPERLINK("#'Input - Data quality'!A1", "Data quality")</f>
        <v>Data quality</v>
      </c>
    </row>
    <row r="30" spans="1:8" ht="20.100000000000001" customHeight="1" x14ac:dyDescent="0.2">
      <c r="A30" s="6" t="s">
        <v>2</v>
      </c>
    </row>
    <row r="31" spans="1:8" ht="20.100000000000001" customHeight="1" x14ac:dyDescent="0.2">
      <c r="A31" s="5" t="str">
        <f>HYPERLINK("#'3.3.1.1-2 Enteric Methane'!A1", "3.3.1.1-2 Enteric methane")</f>
        <v>3.3.1.1-2 Enteric methane</v>
      </c>
    </row>
    <row r="32" spans="1:8"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5"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83"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sheetData>
  <pageMargins left="0.7" right="0.7" top="0.75" bottom="0.75" header="0.3" footer="0.3"/>
  <tableParts count="2">
    <tablePart r:id="rId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2DC5-4DAA-43C8-9752-84F1578D024D}">
  <dimension ref="A1:AM223"/>
  <sheetViews>
    <sheetView showGridLines="0" zoomScaleNormal="100" workbookViewId="0">
      <pane xSplit="1" topLeftCell="B1" activePane="topRight" state="frozenSplit"/>
      <selection pane="topRight" activeCell="A109" sqref="A109"/>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0" customFormat="1" ht="30" customHeight="1" x14ac:dyDescent="0.35">
      <c r="A1" s="10" t="e" vm="1">
        <v>#VALUE!</v>
      </c>
      <c r="C1" s="20" t="s">
        <v>825</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Emissions Intensity")</f>
        <v>Results - Product Emissions Intensity</v>
      </c>
      <c r="D5" s="2" t="s">
        <v>2351</v>
      </c>
      <c r="E5" s="184"/>
      <c r="F5" s="184"/>
      <c r="G5" s="184"/>
      <c r="H5" s="184"/>
      <c r="I5" s="184"/>
      <c r="J5" s="184"/>
    </row>
    <row r="6" spans="1:36" ht="20.100000000000001" customHeight="1" x14ac:dyDescent="0.2">
      <c r="A6" s="5" t="str">
        <f>HYPERLINK("#'Results'!A1", "Results")</f>
        <v>Results</v>
      </c>
      <c r="D6" s="17" t="s">
        <v>2352</v>
      </c>
    </row>
    <row r="7" spans="1:36" ht="20.100000000000001" customHeight="1" x14ac:dyDescent="0.2">
      <c r="D7" s="25" t="s">
        <v>2353</v>
      </c>
    </row>
    <row r="8" spans="1:36" ht="20.100000000000001" customHeight="1" x14ac:dyDescent="0.2">
      <c r="D8" s="25" t="s">
        <v>2354</v>
      </c>
    </row>
    <row r="9" spans="1:36" ht="20.100000000000001" customHeight="1" x14ac:dyDescent="0.2">
      <c r="A9" s="7" t="s">
        <v>0</v>
      </c>
      <c r="D9" s="25" t="s">
        <v>2355</v>
      </c>
    </row>
    <row r="10" spans="1:36" ht="20.100000000000001" customHeight="1" x14ac:dyDescent="0.2">
      <c r="A10" s="5" t="str">
        <f>HYPERLINK("#'Input - Enterprise'!A1", "Enterprise")</f>
        <v>Enterprise</v>
      </c>
      <c r="D10" s="25" t="s">
        <v>2356</v>
      </c>
    </row>
    <row r="11" spans="1:36" ht="20.100000000000001" customHeight="1" x14ac:dyDescent="0.2">
      <c r="A11" s="5" t="str">
        <f>HYPERLINK("#'Input - Site'!A1", "Site")</f>
        <v>Site</v>
      </c>
      <c r="D11" s="25" t="s">
        <v>2357</v>
      </c>
    </row>
    <row r="12" spans="1:36" ht="20.100000000000001" customHeight="1" x14ac:dyDescent="0.2">
      <c r="A12" s="5" t="str">
        <f>HYPERLINK("#'Input - Dairy'!A1", "Dairy")</f>
        <v>Dairy</v>
      </c>
      <c r="D12" s="25" t="s">
        <v>2358</v>
      </c>
    </row>
    <row r="13" spans="1:36" ht="20.100000000000001" customHeight="1" x14ac:dyDescent="0.2">
      <c r="A13" s="5" t="str">
        <f>HYPERLINK("#'Input - Livestock sales'!A1", "Livestock sales")</f>
        <v>Livestock sales</v>
      </c>
      <c r="D13" s="25" t="s">
        <v>2359</v>
      </c>
    </row>
    <row r="14" spans="1:36" ht="20.100000000000001" customHeight="1" x14ac:dyDescent="0.2">
      <c r="A14" s="5" t="str">
        <f>HYPERLINK("#'Input - Dairy cattle purchases'!A1", "Dairy cattle purchases")</f>
        <v>Dairy cattle purchases</v>
      </c>
      <c r="D14" s="25" t="s">
        <v>2360</v>
      </c>
    </row>
    <row r="15" spans="1:36" ht="20.100000000000001" customHeight="1" x14ac:dyDescent="0.2">
      <c r="A15" s="5" t="str">
        <f>HYPERLINK("#'Input - Pasture'!A1", "Pasture")</f>
        <v>Pasture</v>
      </c>
      <c r="D15" s="25" t="s">
        <v>2361</v>
      </c>
    </row>
    <row r="16" spans="1:36" ht="20.100000000000001" customHeight="1" x14ac:dyDescent="0.2">
      <c r="A16" s="5" t="str">
        <f>HYPERLINK("#'Input - Fert Prod System'!A1", "Fert Prod System")</f>
        <v>Fert Prod System</v>
      </c>
      <c r="D16" s="25" t="s">
        <v>2362</v>
      </c>
    </row>
    <row r="17" spans="1:22" ht="20.100000000000001" customHeight="1" x14ac:dyDescent="0.2">
      <c r="A17" s="5" t="str">
        <f>HYPERLINK("#'Input - Fertiliser'!A1", "Fertiliser")</f>
        <v>Fertiliser</v>
      </c>
      <c r="D17" s="25" t="s">
        <v>2363</v>
      </c>
      <c r="K17" s="2" t="s">
        <v>2365</v>
      </c>
      <c r="Q17" s="2" t="s">
        <v>2367</v>
      </c>
      <c r="V17" s="2" t="s">
        <v>2369</v>
      </c>
    </row>
    <row r="18" spans="1:22" ht="20.100000000000001" customHeight="1" x14ac:dyDescent="0.2">
      <c r="A18" s="5" t="str">
        <f>HYPERLINK("#'Input - Fuel'!A1", "Fuel")</f>
        <v>Fuel</v>
      </c>
      <c r="D18" s="25" t="s">
        <v>2364</v>
      </c>
      <c r="K18" s="17" t="s">
        <v>2366</v>
      </c>
      <c r="Q18" s="17" t="s">
        <v>2368</v>
      </c>
      <c r="V18" s="17" t="s">
        <v>2370</v>
      </c>
    </row>
    <row r="19" spans="1:22" ht="20.100000000000001" customHeight="1" x14ac:dyDescent="0.2">
      <c r="A19" s="5" t="str">
        <f>HYPERLINK("#'Input - Electricity'!A1", "Electricity")</f>
        <v>Electricity</v>
      </c>
      <c r="D19" t="s">
        <v>746</v>
      </c>
      <c r="E19" t="s">
        <v>826</v>
      </c>
      <c r="F19" t="s">
        <v>827</v>
      </c>
      <c r="G19" t="s">
        <v>801</v>
      </c>
      <c r="H19" t="s">
        <v>828</v>
      </c>
      <c r="I19" t="s">
        <v>829</v>
      </c>
      <c r="K19" s="19" t="s">
        <v>746</v>
      </c>
      <c r="L19" s="19" t="s">
        <v>826</v>
      </c>
      <c r="Q19" s="19" t="s">
        <v>746</v>
      </c>
      <c r="R19" s="19" t="s">
        <v>826</v>
      </c>
      <c r="V19" s="19" t="s">
        <v>829</v>
      </c>
    </row>
    <row r="20" spans="1:22" ht="20.100000000000001" customHeight="1" x14ac:dyDescent="0.2">
      <c r="A20" s="5" t="str">
        <f>HYPERLINK("#'Input - Common farm inputs'!A1", "Common farm inputs")</f>
        <v>Common farm inputs</v>
      </c>
      <c r="D20" s="192" t="s">
        <v>2371</v>
      </c>
      <c r="E20" s="192">
        <v>0.1</v>
      </c>
      <c r="F20" s="192">
        <v>0</v>
      </c>
      <c r="G20" s="192" t="s">
        <v>2372</v>
      </c>
      <c r="H20" s="192" t="s">
        <v>2371</v>
      </c>
      <c r="I20" s="192" t="s">
        <v>1459</v>
      </c>
      <c r="K20" s="19" t="s">
        <v>2371</v>
      </c>
      <c r="L20" s="19">
        <v>0.1</v>
      </c>
      <c r="Q20" s="19" t="s">
        <v>2371</v>
      </c>
      <c r="R20" s="19">
        <v>0</v>
      </c>
      <c r="V20" s="19" t="s">
        <v>2398</v>
      </c>
    </row>
    <row r="21" spans="1:22" ht="20.100000000000001" customHeight="1" x14ac:dyDescent="0.2">
      <c r="A21" s="5" t="str">
        <f>HYPERLINK("#'Input - Crop pasture farm input'!A1", "Crop pasture farm input")</f>
        <v>Crop pasture farm input</v>
      </c>
      <c r="D21" s="192" t="s">
        <v>2373</v>
      </c>
      <c r="E21" s="192">
        <v>0.18</v>
      </c>
      <c r="F21" s="192">
        <v>0</v>
      </c>
      <c r="G21" s="192" t="s">
        <v>2372</v>
      </c>
      <c r="H21" s="192" t="s">
        <v>2373</v>
      </c>
      <c r="I21" s="192" t="s">
        <v>1459</v>
      </c>
      <c r="K21" s="19" t="s">
        <v>2373</v>
      </c>
      <c r="L21" s="19">
        <v>0.18</v>
      </c>
      <c r="Q21" s="19" t="s">
        <v>2373</v>
      </c>
      <c r="R21" s="19">
        <v>0</v>
      </c>
      <c r="V21" s="19" t="s">
        <v>2399</v>
      </c>
    </row>
    <row r="22" spans="1:22" ht="20.100000000000001" customHeight="1" x14ac:dyDescent="0.2">
      <c r="A22" s="5" t="str">
        <f>HYPERLINK("#'Input - Livestock farm Inputs'!A1", "Livestock farm Inputs")</f>
        <v>Livestock farm Inputs</v>
      </c>
      <c r="D22" s="192" t="s">
        <v>692</v>
      </c>
      <c r="E22" s="192">
        <v>0.46</v>
      </c>
      <c r="F22" s="192">
        <v>1</v>
      </c>
      <c r="G22" s="192" t="s">
        <v>2374</v>
      </c>
      <c r="H22" s="192" t="s">
        <v>692</v>
      </c>
      <c r="I22" s="192" t="s">
        <v>1459</v>
      </c>
      <c r="K22" s="19" t="s">
        <v>692</v>
      </c>
      <c r="L22" s="19">
        <v>0.46</v>
      </c>
      <c r="Q22" s="19" t="s">
        <v>692</v>
      </c>
      <c r="R22" s="19">
        <v>1</v>
      </c>
      <c r="V22" s="19" t="s">
        <v>2400</v>
      </c>
    </row>
    <row r="23" spans="1:22" ht="20.100000000000001" customHeight="1" x14ac:dyDescent="0.2">
      <c r="A23" s="5" t="str">
        <f>HYPERLINK("#'Input - Freight'!A1", "Freight")</f>
        <v>Freight</v>
      </c>
      <c r="D23" s="192" t="s">
        <v>2375</v>
      </c>
      <c r="E23" s="192">
        <v>0.21</v>
      </c>
      <c r="F23" s="192">
        <v>0</v>
      </c>
      <c r="G23" s="192" t="s">
        <v>2372</v>
      </c>
      <c r="H23" s="192" t="s">
        <v>2375</v>
      </c>
      <c r="I23" s="192" t="s">
        <v>1459</v>
      </c>
      <c r="K23" s="19" t="s">
        <v>2375</v>
      </c>
      <c r="L23" s="19">
        <v>0.21</v>
      </c>
      <c r="Q23" s="19" t="s">
        <v>2375</v>
      </c>
      <c r="R23" s="19">
        <v>0</v>
      </c>
      <c r="V23" s="19" t="s">
        <v>2401</v>
      </c>
    </row>
    <row r="24" spans="1:22" ht="20.100000000000001" customHeight="1" x14ac:dyDescent="0.2">
      <c r="A24" s="5" t="str">
        <f>HYPERLINK("#'Input - Solid waste'!A1", "Solid waste")</f>
        <v>Solid waste</v>
      </c>
      <c r="D24" s="192" t="s">
        <v>2376</v>
      </c>
      <c r="E24" s="192">
        <v>0.32</v>
      </c>
      <c r="F24" s="192">
        <v>0.35</v>
      </c>
      <c r="G24" s="192" t="s">
        <v>2374</v>
      </c>
      <c r="H24" s="192" t="s">
        <v>2376</v>
      </c>
      <c r="I24" s="192" t="s">
        <v>1459</v>
      </c>
      <c r="K24" s="19" t="s">
        <v>2376</v>
      </c>
      <c r="L24" s="19">
        <v>0.32</v>
      </c>
      <c r="Q24" s="19" t="s">
        <v>2376</v>
      </c>
      <c r="R24" s="19">
        <v>0.35</v>
      </c>
    </row>
    <row r="25" spans="1:22" ht="20.100000000000001" customHeight="1" x14ac:dyDescent="0.2">
      <c r="A25" s="5" t="str">
        <f>HYPERLINK("#'Input - Manure sent off-site'!A1", "Manure sent off-site")</f>
        <v>Manure sent off-site</v>
      </c>
      <c r="D25" s="192" t="s">
        <v>2377</v>
      </c>
      <c r="E25" s="192">
        <v>0.33700000000000002</v>
      </c>
      <c r="F25" s="192">
        <v>0</v>
      </c>
      <c r="G25" s="192" t="s">
        <v>2378</v>
      </c>
      <c r="H25" s="192" t="s">
        <v>2377</v>
      </c>
      <c r="I25" s="192" t="s">
        <v>1459</v>
      </c>
      <c r="K25" s="19" t="s">
        <v>2377</v>
      </c>
      <c r="L25" s="19">
        <v>0.33700000000000002</v>
      </c>
      <c r="Q25" s="19" t="s">
        <v>2377</v>
      </c>
      <c r="R25" s="19">
        <v>0</v>
      </c>
    </row>
    <row r="26" spans="1:22" ht="20.100000000000001" customHeight="1" x14ac:dyDescent="0.2">
      <c r="A26" s="5" t="str">
        <f>HYPERLINK("#'Input - Refrigerants'!A1", "Refrigerants")</f>
        <v>Refrigerants</v>
      </c>
      <c r="D26" s="192" t="s">
        <v>2379</v>
      </c>
      <c r="E26" s="192">
        <v>0.27</v>
      </c>
      <c r="F26" s="192">
        <v>0</v>
      </c>
      <c r="G26" s="192" t="s">
        <v>2378</v>
      </c>
      <c r="H26" s="192" t="s">
        <v>2379</v>
      </c>
      <c r="I26" s="192" t="s">
        <v>1459</v>
      </c>
      <c r="K26" s="19" t="s">
        <v>2379</v>
      </c>
      <c r="L26" s="19">
        <v>0.27</v>
      </c>
      <c r="Q26" s="19" t="s">
        <v>2379</v>
      </c>
      <c r="R26" s="19">
        <v>0</v>
      </c>
    </row>
    <row r="27" spans="1:22" ht="20.100000000000001" customHeight="1" x14ac:dyDescent="0.2">
      <c r="A27" s="5" t="str">
        <f>HYPERLINK("#'Input - Data quality'!A1", "Data quality")</f>
        <v>Data quality</v>
      </c>
      <c r="D27" s="192" t="s">
        <v>2380</v>
      </c>
      <c r="E27" s="192">
        <v>1</v>
      </c>
      <c r="F27" s="192">
        <v>0</v>
      </c>
      <c r="G27" s="192" t="s">
        <v>2372</v>
      </c>
      <c r="H27" s="192" t="s">
        <v>2380</v>
      </c>
      <c r="I27" s="192" t="s">
        <v>2381</v>
      </c>
      <c r="K27" s="19" t="s">
        <v>2396</v>
      </c>
      <c r="L27" s="19">
        <v>0.21</v>
      </c>
      <c r="Q27" s="19" t="s">
        <v>2396</v>
      </c>
      <c r="R27" s="19">
        <v>0</v>
      </c>
    </row>
    <row r="28" spans="1:22" ht="20.100000000000001" customHeight="1" x14ac:dyDescent="0.2">
      <c r="D28" s="192" t="s">
        <v>2382</v>
      </c>
      <c r="E28" s="192">
        <v>1</v>
      </c>
      <c r="F28" s="192">
        <v>0</v>
      </c>
      <c r="G28" s="192" t="s">
        <v>2383</v>
      </c>
      <c r="H28" s="192" t="s">
        <v>2384</v>
      </c>
      <c r="I28" s="192" t="s">
        <v>2381</v>
      </c>
      <c r="K28" s="19" t="s">
        <v>2397</v>
      </c>
      <c r="L28" s="19">
        <v>0.155</v>
      </c>
      <c r="Q28" s="19" t="s">
        <v>2397</v>
      </c>
      <c r="R28" s="19">
        <v>0</v>
      </c>
    </row>
    <row r="29" spans="1:22" ht="20.100000000000001" customHeight="1" x14ac:dyDescent="0.2">
      <c r="D29" s="192" t="s">
        <v>2385</v>
      </c>
      <c r="E29" s="192">
        <v>1</v>
      </c>
      <c r="F29" s="192">
        <v>0</v>
      </c>
      <c r="G29" s="192" t="s">
        <v>2374</v>
      </c>
      <c r="H29" s="192" t="s">
        <v>2386</v>
      </c>
      <c r="I29" s="192" t="s">
        <v>2381</v>
      </c>
    </row>
    <row r="30" spans="1:22" ht="20.100000000000001" customHeight="1" x14ac:dyDescent="0.2">
      <c r="A30" s="6" t="s">
        <v>2</v>
      </c>
      <c r="D30" s="192" t="s">
        <v>2387</v>
      </c>
      <c r="E30" s="192">
        <v>0</v>
      </c>
      <c r="F30" s="192">
        <v>0</v>
      </c>
      <c r="G30" s="192" t="s">
        <v>2388</v>
      </c>
      <c r="H30" s="192" t="s">
        <v>2389</v>
      </c>
      <c r="I30" s="192" t="s">
        <v>2381</v>
      </c>
    </row>
    <row r="31" spans="1:22" ht="20.100000000000001" customHeight="1" x14ac:dyDescent="0.2">
      <c r="A31" s="5" t="str">
        <f>HYPERLINK("#'3.3.1.1-2 Enteric Methane'!A1", "3.3.1.1-2 Enteric methane")</f>
        <v>3.3.1.1-2 Enteric methane</v>
      </c>
      <c r="D31" s="192" t="s">
        <v>704</v>
      </c>
      <c r="E31" s="192">
        <v>0</v>
      </c>
      <c r="F31" s="192">
        <v>0</v>
      </c>
      <c r="G31" s="192" t="s">
        <v>2388</v>
      </c>
      <c r="H31" s="192" t="s">
        <v>2390</v>
      </c>
      <c r="I31" s="192" t="s">
        <v>2381</v>
      </c>
    </row>
    <row r="32" spans="1:22" ht="20.100000000000001" customHeight="1" x14ac:dyDescent="0.2">
      <c r="A32" s="5" t="str">
        <f>HYPERLINK("#'4.3.1.1-2 Methane'!A1", "4.3.1.1-2 Manure methane")</f>
        <v>4.3.1.1-2 Manure methane</v>
      </c>
      <c r="D32" s="192" t="s">
        <v>705</v>
      </c>
      <c r="E32" s="192">
        <v>0</v>
      </c>
      <c r="F32" s="192">
        <v>0</v>
      </c>
      <c r="G32" s="192" t="s">
        <v>2388</v>
      </c>
      <c r="H32" s="192" t="s">
        <v>2391</v>
      </c>
      <c r="I32" s="192" t="s">
        <v>2381</v>
      </c>
    </row>
    <row r="33" spans="1:10" ht="20.100000000000001" customHeight="1" x14ac:dyDescent="0.2">
      <c r="A33" s="5" t="str">
        <f>HYPERLINK("#'4.3.1.3-4 Direct N20'!A1", "4.3.1.3-4 Direct N20")</f>
        <v>4.3.1.3-4 Direct N20</v>
      </c>
      <c r="D33" s="192" t="s">
        <v>703</v>
      </c>
      <c r="E33" s="192">
        <v>0</v>
      </c>
      <c r="F33" s="192">
        <v>0</v>
      </c>
      <c r="G33" s="192" t="s">
        <v>2388</v>
      </c>
      <c r="H33" s="192" t="s">
        <v>2392</v>
      </c>
      <c r="I33" s="192" t="s">
        <v>2381</v>
      </c>
    </row>
    <row r="34" spans="1:10" ht="20.100000000000001" customHeight="1" x14ac:dyDescent="0.2">
      <c r="A34" s="5" t="str">
        <f>HYPERLINK("#'4.3.1.5 Atmos deposition'!A1", "4.3.1.5 Atmos deposition")</f>
        <v>4.3.1.5 Atmos deposition</v>
      </c>
      <c r="D34" s="192" t="s">
        <v>2393</v>
      </c>
      <c r="E34" s="192">
        <v>0</v>
      </c>
      <c r="F34" s="192">
        <v>0</v>
      </c>
      <c r="G34" s="192" t="s">
        <v>2388</v>
      </c>
      <c r="H34" s="192" t="s">
        <v>2393</v>
      </c>
      <c r="I34" s="192" t="s">
        <v>2381</v>
      </c>
    </row>
    <row r="35" spans="1:10" ht="20.100000000000001" customHeight="1" x14ac:dyDescent="0.2">
      <c r="A35" s="5" t="str">
        <f>HYPERLINK("#'4.3.1.6-7 Leaching and runoff'!A1", "4.3.1.6-7 Leaching &amp; runoff")</f>
        <v>4.3.1.6-7 Leaching &amp; runoff</v>
      </c>
      <c r="D35" s="192" t="s">
        <v>2394</v>
      </c>
      <c r="E35" s="192">
        <v>0</v>
      </c>
      <c r="F35" s="192">
        <v>0</v>
      </c>
      <c r="G35" s="192" t="s">
        <v>2388</v>
      </c>
      <c r="H35" s="192" t="s">
        <v>2394</v>
      </c>
      <c r="I35" s="192" t="s">
        <v>2381</v>
      </c>
    </row>
    <row r="36" spans="1:10" ht="20.100000000000001" customHeight="1" x14ac:dyDescent="0.2">
      <c r="A36" s="5" t="str">
        <f>HYPERLINK("#'4.3.1.8 Manure applied to soils'!A1", "4.3.1.8 Manure applied to soils")</f>
        <v>4.3.1.8 Manure applied to soils</v>
      </c>
      <c r="D36" s="192" t="s">
        <v>2395</v>
      </c>
      <c r="E36" s="192">
        <v>0</v>
      </c>
      <c r="F36" s="192">
        <v>0</v>
      </c>
      <c r="G36" s="192" t="s">
        <v>2388</v>
      </c>
      <c r="H36" s="192" t="s">
        <v>2395</v>
      </c>
      <c r="I36" s="192" t="s">
        <v>2381</v>
      </c>
    </row>
    <row r="37" spans="1:10" ht="20.100000000000001" customHeight="1" x14ac:dyDescent="0.2">
      <c r="A37" s="5" t="str">
        <f>HYPERLINK("#'4.3.1.9 Soil direct N2O'!A1", "4.3.1.9 Soil direct N2O")</f>
        <v>4.3.1.9 Soil direct N2O</v>
      </c>
      <c r="D37" s="192" t="s">
        <v>708</v>
      </c>
      <c r="E37" s="192">
        <v>0.82350000000000001</v>
      </c>
      <c r="F37" s="192">
        <v>0</v>
      </c>
      <c r="G37" s="192" t="s">
        <v>2372</v>
      </c>
      <c r="H37" s="192" t="s">
        <v>708</v>
      </c>
      <c r="I37" s="192" t="s">
        <v>2381</v>
      </c>
    </row>
    <row r="38" spans="1:10" ht="20.100000000000001" customHeight="1" x14ac:dyDescent="0.2">
      <c r="A38" s="5" t="str">
        <f>HYPERLINK("#'4.3.1.10-11 Soil Atmos Dep'!A1", "4.3.1.10-11 Soil Atmos Deposition")</f>
        <v>4.3.1.10-11 Soil Atmos Deposition</v>
      </c>
      <c r="D38" s="19" t="s">
        <v>702</v>
      </c>
      <c r="E38" s="19">
        <v>0.155</v>
      </c>
      <c r="F38" s="19">
        <v>0</v>
      </c>
      <c r="G38" s="19" t="s">
        <v>2383</v>
      </c>
      <c r="H38" s="19" t="s">
        <v>702</v>
      </c>
      <c r="I38" s="19" t="s">
        <v>1459</v>
      </c>
    </row>
    <row r="39" spans="1:10" ht="20.100000000000001" customHeight="1" x14ac:dyDescent="0.2">
      <c r="A39" s="5" t="str">
        <f>HYPERLINK("#'4.3.1.12-13 Soil leach runoff'!A1", "4.3.1.12-13 Soil leach &amp; runoff")</f>
        <v>4.3.1.12-13 Soil leach &amp; runoff</v>
      </c>
    </row>
    <row r="40" spans="1:10" ht="20.100000000000001" customHeight="1" x14ac:dyDescent="0.2">
      <c r="A40" s="5" t="str">
        <f>HYPERLINK("#'5.1.1.1-2 Inorganic fert N2O'!A1", "5.1.1.1-2 Inorganic fert N2O")</f>
        <v>5.1.1.1-2 Inorganic fert N2O</v>
      </c>
      <c r="D40" s="2" t="s">
        <v>357</v>
      </c>
      <c r="F40" s="2" t="s">
        <v>830</v>
      </c>
      <c r="H40" s="2" t="s">
        <v>612</v>
      </c>
      <c r="J40" s="2" t="s">
        <v>831</v>
      </c>
    </row>
    <row r="41" spans="1:10" ht="20.100000000000001" customHeight="1" x14ac:dyDescent="0.2">
      <c r="A41" s="5" t="str">
        <f>HYPERLINK("#'5.1.1.3-4 Inorganic fert CO2'!A1", "5.1.1.3-4 Inorganic fert CO2")</f>
        <v>5.1.1.3-4 Inorganic fert CO2</v>
      </c>
      <c r="D41" s="19" t="s">
        <v>159</v>
      </c>
      <c r="F41" s="19" t="s">
        <v>159</v>
      </c>
      <c r="H41" s="19" t="s">
        <v>63</v>
      </c>
      <c r="J41" s="19" t="s">
        <v>832</v>
      </c>
    </row>
    <row r="42" spans="1:10" ht="20.100000000000001" customHeight="1" x14ac:dyDescent="0.2">
      <c r="A42" s="5" t="str">
        <f>HYPERLINK("#'5.2.1.1-2 Organic Fert N2O'!A1", "5.2.1.1-2 Organic fert N2O")</f>
        <v>5.2.1.1-2 Organic fert N2O</v>
      </c>
      <c r="D42" s="19" t="s">
        <v>162</v>
      </c>
      <c r="F42" s="19" t="s">
        <v>162</v>
      </c>
      <c r="H42" s="19" t="s">
        <v>617</v>
      </c>
      <c r="J42" s="19" t="s">
        <v>833</v>
      </c>
    </row>
    <row r="43" spans="1:10" ht="20.100000000000001" customHeight="1" x14ac:dyDescent="0.2">
      <c r="A43" s="5" t="str">
        <f>HYPERLINK("#'5.3.1.1-2 Lime CO2'!A1", "5.3.1.1-2 Lime CO2")</f>
        <v>5.3.1.1-2 Lime CO2</v>
      </c>
      <c r="D43" s="1" t="s">
        <v>834</v>
      </c>
      <c r="F43" s="1" t="s">
        <v>835</v>
      </c>
      <c r="H43" s="19" t="s">
        <v>618</v>
      </c>
      <c r="J43" s="1" t="s">
        <v>729</v>
      </c>
    </row>
    <row r="44" spans="1:10" ht="20.100000000000001" customHeight="1" x14ac:dyDescent="0.2">
      <c r="A44" s="5" t="str">
        <f>HYPERLINK("#'5.4.1.1-4 Atmos deposition'!A1", "5.4.1.1-4 Atmos. deposition")</f>
        <v>5.4.1.1-4 Atmos. deposition</v>
      </c>
      <c r="F44" s="1" t="s">
        <v>836</v>
      </c>
      <c r="H44" s="1" t="s">
        <v>376</v>
      </c>
      <c r="J44" s="1" t="s">
        <v>837</v>
      </c>
    </row>
    <row r="45" spans="1:10" ht="20.100000000000001" customHeight="1" x14ac:dyDescent="0.2">
      <c r="A45" s="5" t="str">
        <f>HYPERLINK("#'5.5.1.1-2 Leaching and runoff'!A1", "5.5.1.1-2 Leaching &amp; runoff")</f>
        <v>5.5.1.1-2 Leaching &amp; runoff</v>
      </c>
      <c r="F45" s="1" t="s">
        <v>769</v>
      </c>
      <c r="H45" s="1" t="s">
        <v>619</v>
      </c>
      <c r="J45" s="1" t="s">
        <v>728</v>
      </c>
    </row>
    <row r="46" spans="1:10" ht="20.100000000000001" customHeight="1" x14ac:dyDescent="0.2">
      <c r="A46" s="5" t="str">
        <f>HYPERLINK("#'6.2.1.1-2 Pasture residue N2O'!A1", "6.2.1.1-2 Pasture residue N2O")</f>
        <v>6.2.1.1-2 Pasture residue N2O</v>
      </c>
      <c r="H46" s="1" t="s">
        <v>620</v>
      </c>
      <c r="J46" s="1" t="s">
        <v>730</v>
      </c>
    </row>
    <row r="47" spans="1:10" ht="20.100000000000001" customHeight="1" x14ac:dyDescent="0.2">
      <c r="A47" s="5" t="str">
        <f>HYPERLINK("#'6.3.1.1-2 Leach runoff pasture'!A1", "6.3.1.1-2 Leach &amp; runoff (pasture)")</f>
        <v>6.3.1.1-2 Leach &amp; runoff (pasture)</v>
      </c>
    </row>
    <row r="48" spans="1:10" ht="20.100000000000001" customHeight="1" x14ac:dyDescent="0.2">
      <c r="A48" s="5" t="str">
        <f>HYPERLINK("#'8.1.1.1-2 Transport fuel'!A1", "8.1.1.1-2 Transport fuel")</f>
        <v>8.1.1.1-2 Transport fuel</v>
      </c>
      <c r="D48" s="2" t="s">
        <v>2402</v>
      </c>
      <c r="G48" s="184"/>
    </row>
    <row r="49" spans="1:8" ht="20.100000000000001" customHeight="1" x14ac:dyDescent="0.2">
      <c r="A49" s="5" t="str">
        <f>HYPERLINK("#'8.2.1.1-2 Stationary fuel'!A1", "8.2.1.1-2 Stationary fuel")</f>
        <v>8.2.1.1-2 Stationary fuel</v>
      </c>
      <c r="D49" s="17" t="s">
        <v>2403</v>
      </c>
      <c r="G49" s="184"/>
    </row>
    <row r="50" spans="1:8" ht="20.100000000000001" customHeight="1" x14ac:dyDescent="0.2">
      <c r="A50" s="5" t="str">
        <f>HYPERLINK("#'9.1.1.1-2 Refrigerant use'!A1", "9.1.1.1-2 Refrigerant use")</f>
        <v>9.1.1.1-2 Refrigerant use</v>
      </c>
      <c r="D50" s="19" t="s">
        <v>746</v>
      </c>
      <c r="E50" s="19" t="s">
        <v>838</v>
      </c>
      <c r="G50" s="184"/>
    </row>
    <row r="51" spans="1:8" ht="20.100000000000001" customHeight="1" x14ac:dyDescent="0.2">
      <c r="A51" s="5" t="str">
        <f>HYPERLINK("#'10.1.1-2 Solid waste treatment'!A1", "10.1.1.1-2 Solid waste")</f>
        <v>10.1.1.1-2 Solid waste</v>
      </c>
      <c r="D51" s="19" t="s">
        <v>2374</v>
      </c>
      <c r="E51" s="19">
        <v>0.15</v>
      </c>
      <c r="G51" s="184"/>
    </row>
    <row r="52" spans="1:8" ht="20.100000000000001" customHeight="1" x14ac:dyDescent="0.2">
      <c r="A52" s="5" t="str">
        <f>HYPERLINK("#'14.1.1-2 Purchased electricity'!A1", "14.1.1-2 Purchased electricity")</f>
        <v>14.1.1-2 Purchased electricity</v>
      </c>
      <c r="D52" s="1" t="s">
        <v>2372</v>
      </c>
      <c r="E52" s="19">
        <v>0.08</v>
      </c>
      <c r="G52" s="184"/>
    </row>
    <row r="53" spans="1:8" ht="20.100000000000001" customHeight="1" x14ac:dyDescent="0.2">
      <c r="A53" s="5" t="str">
        <f>HYPERLINK("#'15 Scope 3'!A1", "15 Scope 3")</f>
        <v>15 Scope 3</v>
      </c>
      <c r="D53" s="1" t="s">
        <v>2383</v>
      </c>
      <c r="E53" s="19">
        <v>0.01</v>
      </c>
      <c r="G53" s="184"/>
    </row>
    <row r="54" spans="1:8" ht="20.100000000000001" customHeight="1" x14ac:dyDescent="0.2">
      <c r="A54" s="5" t="str">
        <f>HYPERLINK("#'Calcs - Manure sent off-site'!A1", "Calcs - Manure sent off-site")</f>
        <v>Calcs - Manure sent off-site</v>
      </c>
      <c r="D54" s="1" t="s">
        <v>2378</v>
      </c>
      <c r="E54" s="19">
        <v>0.05</v>
      </c>
      <c r="G54" s="184"/>
      <c r="H54" s="184"/>
    </row>
    <row r="55" spans="1:8" ht="20.100000000000001" customHeight="1" x14ac:dyDescent="0.2">
      <c r="D55" s="1" t="s">
        <v>2388</v>
      </c>
      <c r="E55" s="19">
        <v>0.11</v>
      </c>
      <c r="G55" s="184"/>
      <c r="H55" s="184"/>
    </row>
    <row r="57" spans="1:8" ht="20.100000000000001" customHeight="1" x14ac:dyDescent="0.2">
      <c r="A57" s="82" t="s">
        <v>1</v>
      </c>
    </row>
    <row r="58" spans="1:8" ht="20.100000000000001" customHeight="1" x14ac:dyDescent="0.2">
      <c r="A58" s="5" t="str">
        <f>HYPERLINK("#'Constants - Dairy'!A1", "Constants - Dairy")</f>
        <v>Constants - Dairy</v>
      </c>
      <c r="D58" s="2" t="s">
        <v>2404</v>
      </c>
    </row>
    <row r="59" spans="1:8" ht="20.100000000000001" customHeight="1" x14ac:dyDescent="0.2">
      <c r="A59" s="5" t="str">
        <f>HYPERLINK("#'Constants - Ag Residue'!A1", "Constants - Ag residue")</f>
        <v>Constants - Ag residue</v>
      </c>
      <c r="D59" s="17" t="s">
        <v>2405</v>
      </c>
    </row>
    <row r="60" spans="1:8" ht="20.100000000000001" customHeight="1" x14ac:dyDescent="0.2">
      <c r="A60" s="5" t="str">
        <f>HYPERLINK("#'Constants - Common Livestock'!A1", "Constants - Common Livestock")</f>
        <v>Constants - Common Livestock</v>
      </c>
      <c r="D60" s="76" t="s">
        <v>2406</v>
      </c>
      <c r="E60" s="1">
        <v>0.2</v>
      </c>
      <c r="F60" s="9" t="s">
        <v>1795</v>
      </c>
    </row>
    <row r="61" spans="1:8" ht="20.100000000000001" customHeight="1" x14ac:dyDescent="0.2">
      <c r="A61" s="5" t="str">
        <f>HYPERLINK("#'Constants - Electricity'!A1", "Constants - Electricity")</f>
        <v>Constants - Electricity</v>
      </c>
    </row>
    <row r="62" spans="1:8" ht="20.100000000000001" customHeight="1" x14ac:dyDescent="0.2">
      <c r="A62" s="83" t="str">
        <f>HYPERLINK("#'Constants - Fertiliser'!A1", "Constants - Fertiliser")</f>
        <v>Constants - Fertiliser</v>
      </c>
    </row>
    <row r="63" spans="1:8" ht="20.100000000000001" customHeight="1" x14ac:dyDescent="0.2">
      <c r="A63" s="5" t="str">
        <f>HYPERLINK("#'Constants - Fuel'!A1", "Constants - Fuel")</f>
        <v>Constants - Fuel</v>
      </c>
      <c r="D63" s="2" t="s">
        <v>2407</v>
      </c>
    </row>
    <row r="64" spans="1:8" ht="20.100000000000001" customHeight="1" x14ac:dyDescent="0.2">
      <c r="A64" s="5" t="str">
        <f>HYPERLINK("#'Constants - Scope 3'!A1", "Constants - Scope 3")</f>
        <v>Constants - Scope 3</v>
      </c>
      <c r="D64" s="17" t="s">
        <v>2408</v>
      </c>
    </row>
    <row r="65" spans="1:6" ht="20.100000000000001" customHeight="1" x14ac:dyDescent="0.2">
      <c r="A65" s="5" t="str">
        <f>HYPERLINK("#'Constants - Common'!A1", "Constants - Common")</f>
        <v>Constants - Common</v>
      </c>
      <c r="D65" s="19" t="s">
        <v>790</v>
      </c>
      <c r="E65" s="19" t="s">
        <v>839</v>
      </c>
      <c r="F65" s="19" t="s">
        <v>766</v>
      </c>
    </row>
    <row r="66" spans="1:6" ht="20.100000000000001" customHeight="1" x14ac:dyDescent="0.2">
      <c r="A66" s="5" t="str">
        <f>HYPERLINK("#'Constants - Refrigerants'!A1", "Constants - Refrigerants")</f>
        <v>Constants - Refrigerants</v>
      </c>
      <c r="D66" s="19" t="s">
        <v>2409</v>
      </c>
      <c r="E66" s="19">
        <v>0.9</v>
      </c>
      <c r="F66" s="19">
        <v>0.12</v>
      </c>
    </row>
    <row r="67" spans="1:6" ht="20.100000000000001" customHeight="1" x14ac:dyDescent="0.2">
      <c r="A67" s="5" t="str">
        <f>HYPERLINK("#'Constants - Solid Waste'!A1", "Constants - Solid Waste")</f>
        <v>Constants - Solid Waste</v>
      </c>
      <c r="D67" s="1" t="s">
        <v>2410</v>
      </c>
      <c r="E67" s="19">
        <v>0.95</v>
      </c>
      <c r="F67" s="19">
        <v>0.13</v>
      </c>
    </row>
    <row r="68" spans="1:6" ht="20.100000000000001" customHeight="1" x14ac:dyDescent="0.2">
      <c r="A68" s="5" t="str">
        <f>HYPERLINK("#'Acknowledgements'!A1", "Acknowledgements")</f>
        <v>Acknowledgements</v>
      </c>
      <c r="D68" s="1" t="s">
        <v>2411</v>
      </c>
      <c r="E68" s="19">
        <v>0</v>
      </c>
      <c r="F68" s="19">
        <v>0</v>
      </c>
    </row>
    <row r="71" spans="1:6" ht="20.100000000000001" customHeight="1" x14ac:dyDescent="0.2">
      <c r="D71" s="2" t="s">
        <v>2412</v>
      </c>
    </row>
    <row r="72" spans="1:6" ht="20.100000000000001" customHeight="1" x14ac:dyDescent="0.2">
      <c r="D72" s="17" t="s">
        <v>2413</v>
      </c>
    </row>
    <row r="73" spans="1:6" ht="20.100000000000001" customHeight="1" x14ac:dyDescent="0.2">
      <c r="D73" s="76" t="s">
        <v>1722</v>
      </c>
      <c r="E73" s="1">
        <v>0.21</v>
      </c>
      <c r="F73" s="9" t="s">
        <v>1832</v>
      </c>
    </row>
    <row r="76" spans="1:6" ht="20.100000000000001" customHeight="1" x14ac:dyDescent="0.2">
      <c r="D76" s="2" t="s">
        <v>2414</v>
      </c>
    </row>
    <row r="77" spans="1:6" ht="20.100000000000001" customHeight="1" x14ac:dyDescent="0.2">
      <c r="D77" s="17" t="s">
        <v>2415</v>
      </c>
    </row>
    <row r="78" spans="1:6" ht="20.100000000000001" customHeight="1" x14ac:dyDescent="0.2">
      <c r="D78" s="76" t="s">
        <v>1735</v>
      </c>
      <c r="E78" s="1">
        <v>0.24</v>
      </c>
      <c r="F78" s="9" t="s">
        <v>383</v>
      </c>
    </row>
    <row r="79" spans="1:6" ht="20.100000000000001" customHeight="1" x14ac:dyDescent="0.2">
      <c r="A79" s="129" t="str">
        <f>HYPERLINK("#A1", "▲ Back to top")</f>
        <v>▲ Back to top</v>
      </c>
    </row>
    <row r="81" spans="4:39" ht="20.100000000000001" customHeight="1" x14ac:dyDescent="0.2">
      <c r="D81" s="2" t="s">
        <v>2416</v>
      </c>
    </row>
    <row r="82" spans="4:39" ht="20.100000000000001" customHeight="1" x14ac:dyDescent="0.2">
      <c r="D82" s="17" t="s">
        <v>2415</v>
      </c>
    </row>
    <row r="83" spans="4:39" ht="20.100000000000001" customHeight="1" x14ac:dyDescent="0.2">
      <c r="D83" s="76" t="s">
        <v>2417</v>
      </c>
      <c r="E83" s="1">
        <v>1.0999999999999999E-2</v>
      </c>
      <c r="F83" s="9" t="s">
        <v>2418</v>
      </c>
    </row>
    <row r="87" spans="4:39" ht="20.100000000000001" customHeight="1" x14ac:dyDescent="0.2">
      <c r="D87" s="2" t="s">
        <v>840</v>
      </c>
      <c r="E87" s="184"/>
      <c r="F87" s="184"/>
      <c r="G87" s="184"/>
      <c r="H87" s="184"/>
      <c r="I87" s="184"/>
      <c r="J87" s="184"/>
      <c r="K87" s="184"/>
      <c r="L87" s="184"/>
      <c r="N87" s="184"/>
      <c r="O87" s="184"/>
      <c r="P87" s="184"/>
      <c r="Q87" s="184"/>
      <c r="R87" s="184"/>
      <c r="S87" s="184"/>
      <c r="T87" s="184"/>
      <c r="U87" s="184"/>
    </row>
    <row r="88" spans="4:39" ht="20.100000000000001" customHeight="1" x14ac:dyDescent="0.2">
      <c r="D88" s="184"/>
    </row>
    <row r="89" spans="4:39" ht="20.100000000000001" customHeight="1" x14ac:dyDescent="0.2">
      <c r="D89" s="193" t="s">
        <v>841</v>
      </c>
      <c r="E89" s="19" t="s">
        <v>131</v>
      </c>
      <c r="F89" s="19" t="s">
        <v>118</v>
      </c>
      <c r="G89" s="148" t="s">
        <v>673</v>
      </c>
      <c r="H89" s="148" t="s">
        <v>842</v>
      </c>
      <c r="I89" s="148" t="s">
        <v>690</v>
      </c>
      <c r="J89" s="148" t="s">
        <v>691</v>
      </c>
      <c r="K89" s="148" t="s">
        <v>843</v>
      </c>
      <c r="L89" s="148" t="s">
        <v>844</v>
      </c>
      <c r="M89" s="148" t="s">
        <v>845</v>
      </c>
      <c r="N89" s="148" t="s">
        <v>846</v>
      </c>
      <c r="O89" s="148" t="s">
        <v>675</v>
      </c>
      <c r="P89" s="148" t="s">
        <v>676</v>
      </c>
      <c r="Q89" s="19" t="s">
        <v>677</v>
      </c>
      <c r="R89" s="19" t="s">
        <v>678</v>
      </c>
      <c r="S89" s="19" t="s">
        <v>679</v>
      </c>
      <c r="T89" s="19" t="s">
        <v>680</v>
      </c>
      <c r="U89" s="148" t="s">
        <v>681</v>
      </c>
      <c r="V89" s="148" t="s">
        <v>682</v>
      </c>
      <c r="W89" s="19" t="s">
        <v>683</v>
      </c>
      <c r="X89" s="148" t="s">
        <v>684</v>
      </c>
      <c r="Y89" s="148" t="s">
        <v>685</v>
      </c>
      <c r="Z89" s="148" t="s">
        <v>686</v>
      </c>
      <c r="AA89" s="148" t="s">
        <v>847</v>
      </c>
      <c r="AB89" s="148" t="s">
        <v>848</v>
      </c>
      <c r="AC89" s="19" t="s">
        <v>849</v>
      </c>
      <c r="AD89" s="19" t="s">
        <v>850</v>
      </c>
      <c r="AE89" s="19" t="s">
        <v>851</v>
      </c>
      <c r="AF89" s="19" t="s">
        <v>852</v>
      </c>
      <c r="AG89" s="19" t="s">
        <v>853</v>
      </c>
      <c r="AH89" s="19" t="s">
        <v>854</v>
      </c>
      <c r="AK89" s="1"/>
      <c r="AL89" s="1"/>
      <c r="AM89" s="1"/>
    </row>
    <row r="90" spans="4:39" ht="20.100000000000001" customHeight="1" x14ac:dyDescent="0.2">
      <c r="D90" s="192" t="s">
        <v>2419</v>
      </c>
      <c r="E90" s="192" t="s">
        <v>2420</v>
      </c>
      <c r="F90" s="192" t="s">
        <v>979</v>
      </c>
      <c r="G90" s="192">
        <v>1.26</v>
      </c>
      <c r="H90" s="192"/>
      <c r="I90" s="192"/>
      <c r="J90" s="192"/>
      <c r="K90" s="192">
        <v>2.6</v>
      </c>
      <c r="L90" s="192">
        <v>4</v>
      </c>
      <c r="M90" s="192">
        <v>22.5</v>
      </c>
      <c r="N90" s="192"/>
      <c r="O90" s="192" t="s">
        <v>704</v>
      </c>
      <c r="P90" s="192">
        <v>0.22500000000000001</v>
      </c>
      <c r="Q90" s="192" t="s">
        <v>2387</v>
      </c>
      <c r="R90" s="192">
        <v>0.04</v>
      </c>
      <c r="S90" s="192" t="s">
        <v>2385</v>
      </c>
      <c r="T90" s="192">
        <v>2.5999999999999999E-2</v>
      </c>
      <c r="U90" s="192"/>
      <c r="V90" s="192"/>
      <c r="W90" s="192"/>
      <c r="X90" s="192"/>
      <c r="Y90" s="192"/>
      <c r="Z90" s="192"/>
      <c r="AA90" s="192"/>
      <c r="AB90" s="192"/>
      <c r="AC90" s="192"/>
      <c r="AD90" s="192"/>
      <c r="AE90" s="192"/>
      <c r="AF90" s="192"/>
      <c r="AG90" s="192"/>
      <c r="AH90" s="192"/>
      <c r="AK90" s="1"/>
      <c r="AL90" s="1"/>
      <c r="AM90" s="1"/>
    </row>
    <row r="91" spans="4:39" ht="20.100000000000001" customHeight="1" x14ac:dyDescent="0.2">
      <c r="D91" s="192" t="s">
        <v>2419</v>
      </c>
      <c r="E91" s="192" t="s">
        <v>2421</v>
      </c>
      <c r="F91" s="192" t="s">
        <v>979</v>
      </c>
      <c r="G91" s="192">
        <v>1.26</v>
      </c>
      <c r="H91" s="192"/>
      <c r="I91" s="192"/>
      <c r="J91" s="192"/>
      <c r="K91" s="192">
        <v>9.6</v>
      </c>
      <c r="L91" s="192">
        <v>5</v>
      </c>
      <c r="M91" s="192">
        <v>10.5</v>
      </c>
      <c r="N91" s="192"/>
      <c r="O91" s="192" t="s">
        <v>704</v>
      </c>
      <c r="P91" s="192">
        <v>0.105</v>
      </c>
      <c r="Q91" s="192" t="s">
        <v>2385</v>
      </c>
      <c r="R91" s="192">
        <v>9.6000000000000002E-2</v>
      </c>
      <c r="S91" s="192" t="s">
        <v>2387</v>
      </c>
      <c r="T91" s="192">
        <v>0.05</v>
      </c>
      <c r="U91" s="192"/>
      <c r="V91" s="192"/>
      <c r="W91" s="192"/>
      <c r="X91" s="192"/>
      <c r="Y91" s="192"/>
      <c r="Z91" s="192"/>
      <c r="AA91" s="192"/>
      <c r="AB91" s="192"/>
      <c r="AC91" s="192"/>
      <c r="AD91" s="192"/>
      <c r="AE91" s="192"/>
      <c r="AF91" s="192"/>
      <c r="AG91" s="192"/>
      <c r="AH91" s="192"/>
      <c r="AK91" s="1"/>
      <c r="AL91" s="1"/>
      <c r="AM91" s="1"/>
    </row>
    <row r="92" spans="4:39" ht="20.100000000000001" customHeight="1" x14ac:dyDescent="0.2">
      <c r="D92" s="192" t="s">
        <v>2419</v>
      </c>
      <c r="E92" s="192" t="s">
        <v>2422</v>
      </c>
      <c r="F92" s="192" t="s">
        <v>979</v>
      </c>
      <c r="G92" s="192">
        <v>1.24</v>
      </c>
      <c r="H92" s="192"/>
      <c r="I92" s="192"/>
      <c r="J92" s="192"/>
      <c r="K92" s="192">
        <v>22.3</v>
      </c>
      <c r="L92" s="192"/>
      <c r="M92" s="192"/>
      <c r="N92" s="192"/>
      <c r="O92" s="192" t="s">
        <v>2380</v>
      </c>
      <c r="P92" s="192">
        <v>0.223</v>
      </c>
      <c r="Q92" s="192"/>
      <c r="R92" s="192"/>
      <c r="S92" s="192"/>
      <c r="T92" s="192"/>
      <c r="U92" s="192"/>
      <c r="V92" s="192"/>
      <c r="W92" s="192"/>
      <c r="X92" s="192"/>
      <c r="Y92" s="192"/>
      <c r="Z92" s="192"/>
      <c r="AA92" s="192"/>
      <c r="AB92" s="192"/>
      <c r="AC92" s="192"/>
      <c r="AD92" s="192"/>
      <c r="AE92" s="192"/>
      <c r="AF92" s="192"/>
      <c r="AG92" s="192"/>
      <c r="AH92" s="192"/>
      <c r="AK92" s="1"/>
      <c r="AL92" s="1"/>
      <c r="AM92" s="1"/>
    </row>
    <row r="93" spans="4:39" ht="20.100000000000001" customHeight="1" x14ac:dyDescent="0.2">
      <c r="D93" s="192" t="s">
        <v>2419</v>
      </c>
      <c r="E93" s="192" t="s">
        <v>2423</v>
      </c>
      <c r="F93" s="192" t="s">
        <v>979</v>
      </c>
      <c r="G93" s="192">
        <v>1.5</v>
      </c>
      <c r="H93" s="192"/>
      <c r="I93" s="192"/>
      <c r="J93" s="192"/>
      <c r="K93" s="192">
        <v>13.2</v>
      </c>
      <c r="L93" s="192"/>
      <c r="M93" s="192"/>
      <c r="N93" s="192"/>
      <c r="O93" s="192" t="s">
        <v>2424</v>
      </c>
      <c r="P93" s="192">
        <v>0.16200000000000001</v>
      </c>
      <c r="Q93" s="192" t="s">
        <v>2382</v>
      </c>
      <c r="R93" s="192">
        <v>0.13200000000000001</v>
      </c>
      <c r="S93" s="192"/>
      <c r="T93" s="192"/>
      <c r="U93" s="192"/>
      <c r="V93" s="192"/>
      <c r="W93" s="192"/>
      <c r="X93" s="192"/>
      <c r="Y93" s="192"/>
      <c r="Z93" s="192"/>
      <c r="AA93" s="192"/>
      <c r="AB93" s="192"/>
      <c r="AC93" s="192"/>
      <c r="AD93" s="192"/>
      <c r="AE93" s="192"/>
      <c r="AF93" s="192"/>
      <c r="AG93" s="192"/>
      <c r="AH93" s="192"/>
      <c r="AK93" s="1"/>
      <c r="AL93" s="1"/>
      <c r="AM93" s="1"/>
    </row>
    <row r="94" spans="4:39" ht="20.100000000000001" customHeight="1" x14ac:dyDescent="0.2">
      <c r="D94" s="192" t="s">
        <v>2419</v>
      </c>
      <c r="E94" s="192" t="s">
        <v>2425</v>
      </c>
      <c r="F94" s="192" t="s">
        <v>979</v>
      </c>
      <c r="G94" s="192">
        <v>1.5</v>
      </c>
      <c r="H94" s="192"/>
      <c r="I94" s="192"/>
      <c r="J94" s="192"/>
      <c r="K94" s="192">
        <v>13.2</v>
      </c>
      <c r="L94" s="192"/>
      <c r="M94" s="192"/>
      <c r="N94" s="192"/>
      <c r="O94" s="192" t="s">
        <v>2424</v>
      </c>
      <c r="P94" s="192">
        <v>0.187</v>
      </c>
      <c r="Q94" s="192" t="s">
        <v>2382</v>
      </c>
      <c r="R94" s="192">
        <v>0.13200000000000001</v>
      </c>
      <c r="S94" s="192"/>
      <c r="T94" s="192"/>
      <c r="U94" s="192"/>
      <c r="V94" s="192"/>
      <c r="W94" s="192"/>
      <c r="X94" s="192"/>
      <c r="Y94" s="192"/>
      <c r="Z94" s="192"/>
      <c r="AA94" s="192"/>
      <c r="AB94" s="192"/>
      <c r="AC94" s="192"/>
      <c r="AD94" s="192"/>
      <c r="AE94" s="192"/>
      <c r="AF94" s="192"/>
      <c r="AG94" s="192"/>
      <c r="AH94" s="192"/>
      <c r="AK94" s="1"/>
      <c r="AL94" s="1"/>
      <c r="AM94" s="1"/>
    </row>
    <row r="95" spans="4:39" ht="20.100000000000001" customHeight="1" x14ac:dyDescent="0.2">
      <c r="D95" s="192" t="s">
        <v>2419</v>
      </c>
      <c r="E95" s="192" t="s">
        <v>2426</v>
      </c>
      <c r="F95" s="192" t="s">
        <v>979</v>
      </c>
      <c r="G95" s="192">
        <v>1.5</v>
      </c>
      <c r="H95" s="192"/>
      <c r="I95" s="192"/>
      <c r="J95" s="192"/>
      <c r="K95" s="192">
        <v>13.2</v>
      </c>
      <c r="L95" s="192"/>
      <c r="M95" s="192"/>
      <c r="N95" s="192"/>
      <c r="O95" s="192" t="s">
        <v>2424</v>
      </c>
      <c r="P95" s="192">
        <v>0.183</v>
      </c>
      <c r="Q95" s="192" t="s">
        <v>2382</v>
      </c>
      <c r="R95" s="192">
        <v>0.13200000000000001</v>
      </c>
      <c r="S95" s="192"/>
      <c r="T95" s="192"/>
      <c r="U95" s="192"/>
      <c r="V95" s="192"/>
      <c r="W95" s="192"/>
      <c r="X95" s="192"/>
      <c r="Y95" s="192"/>
      <c r="Z95" s="192"/>
      <c r="AA95" s="192"/>
      <c r="AB95" s="192"/>
      <c r="AC95" s="192"/>
      <c r="AD95" s="192"/>
      <c r="AE95" s="192"/>
      <c r="AF95" s="192"/>
      <c r="AG95" s="192"/>
      <c r="AH95" s="192"/>
      <c r="AK95" s="1"/>
      <c r="AL95" s="1"/>
      <c r="AM95" s="1"/>
    </row>
    <row r="96" spans="4:39" ht="20.100000000000001" customHeight="1" x14ac:dyDescent="0.2">
      <c r="D96" s="192" t="s">
        <v>2419</v>
      </c>
      <c r="E96" s="192" t="s">
        <v>2427</v>
      </c>
      <c r="F96" s="192" t="s">
        <v>979</v>
      </c>
      <c r="G96" s="192">
        <v>1.25</v>
      </c>
      <c r="H96" s="192"/>
      <c r="I96" s="192"/>
      <c r="J96" s="192"/>
      <c r="K96" s="192">
        <v>10.3</v>
      </c>
      <c r="L96" s="192">
        <v>10</v>
      </c>
      <c r="M96" s="192">
        <v>3.4</v>
      </c>
      <c r="N96" s="192"/>
      <c r="O96" s="192" t="s">
        <v>2385</v>
      </c>
      <c r="P96" s="192">
        <v>0.10299999999999999</v>
      </c>
      <c r="Q96" s="192" t="s">
        <v>2387</v>
      </c>
      <c r="R96" s="192">
        <v>0.1</v>
      </c>
      <c r="S96" s="192" t="s">
        <v>704</v>
      </c>
      <c r="T96" s="192">
        <v>3.4000000000000002E-2</v>
      </c>
      <c r="U96" s="192"/>
      <c r="V96" s="192"/>
      <c r="W96" s="192"/>
      <c r="X96" s="192"/>
      <c r="Y96" s="192"/>
      <c r="Z96" s="192"/>
      <c r="AA96" s="192"/>
      <c r="AB96" s="192"/>
      <c r="AC96" s="192"/>
      <c r="AD96" s="192"/>
      <c r="AE96" s="192"/>
      <c r="AF96" s="192"/>
      <c r="AG96" s="192"/>
      <c r="AH96" s="192"/>
      <c r="AK96" s="1"/>
      <c r="AL96" s="1"/>
      <c r="AM96" s="1"/>
    </row>
    <row r="97" spans="1:39" ht="20.100000000000001" customHeight="1" x14ac:dyDescent="0.2">
      <c r="D97" s="192" t="s">
        <v>2419</v>
      </c>
      <c r="E97" s="192" t="s">
        <v>2428</v>
      </c>
      <c r="F97" s="192" t="s">
        <v>979</v>
      </c>
      <c r="G97" s="192">
        <v>1.43</v>
      </c>
      <c r="H97" s="192"/>
      <c r="I97" s="192"/>
      <c r="J97" s="192"/>
      <c r="K97" s="192">
        <v>2.5</v>
      </c>
      <c r="L97" s="192">
        <v>3.8</v>
      </c>
      <c r="M97" s="192">
        <v>22.5</v>
      </c>
      <c r="N97" s="192"/>
      <c r="O97" s="192" t="s">
        <v>704</v>
      </c>
      <c r="P97" s="192">
        <v>0.22500000000000001</v>
      </c>
      <c r="Q97" s="192" t="s">
        <v>2387</v>
      </c>
      <c r="R97" s="192">
        <v>3.7999999999999999E-2</v>
      </c>
      <c r="S97" s="192" t="s">
        <v>2385</v>
      </c>
      <c r="T97" s="192">
        <v>2.5000000000000001E-2</v>
      </c>
      <c r="U97" s="192"/>
      <c r="V97" s="192"/>
      <c r="W97" s="192"/>
      <c r="X97" s="192"/>
      <c r="Y97" s="192"/>
      <c r="Z97" s="192"/>
      <c r="AA97" s="192"/>
      <c r="AB97" s="192"/>
      <c r="AC97" s="192"/>
      <c r="AD97" s="192"/>
      <c r="AE97" s="192"/>
      <c r="AF97" s="192"/>
      <c r="AG97" s="192"/>
      <c r="AH97" s="192"/>
      <c r="AK97" s="1"/>
      <c r="AL97" s="1"/>
      <c r="AM97" s="1"/>
    </row>
    <row r="98" spans="1:39" ht="20.100000000000001" customHeight="1" x14ac:dyDescent="0.2">
      <c r="D98" s="192" t="s">
        <v>2419</v>
      </c>
      <c r="E98" s="192" t="s">
        <v>2429</v>
      </c>
      <c r="F98" s="192" t="s">
        <v>979</v>
      </c>
      <c r="G98" s="192">
        <v>1.29</v>
      </c>
      <c r="H98" s="192"/>
      <c r="I98" s="192"/>
      <c r="J98" s="192"/>
      <c r="K98" s="192">
        <v>10.5</v>
      </c>
      <c r="L98" s="192">
        <v>9.4</v>
      </c>
      <c r="M98" s="192">
        <v>4</v>
      </c>
      <c r="N98" s="192">
        <v>3</v>
      </c>
      <c r="O98" s="192" t="s">
        <v>2385</v>
      </c>
      <c r="P98" s="192">
        <v>0.105</v>
      </c>
      <c r="Q98" s="192" t="s">
        <v>2387</v>
      </c>
      <c r="R98" s="192">
        <v>9.4E-2</v>
      </c>
      <c r="S98" s="192" t="s">
        <v>704</v>
      </c>
      <c r="T98" s="192">
        <v>0.04</v>
      </c>
      <c r="U98" s="192" t="s">
        <v>705</v>
      </c>
      <c r="V98" s="192">
        <v>0.03</v>
      </c>
      <c r="W98" s="192"/>
      <c r="X98" s="192"/>
      <c r="Y98" s="192"/>
      <c r="Z98" s="192"/>
      <c r="AA98" s="192"/>
      <c r="AB98" s="192"/>
      <c r="AC98" s="192"/>
      <c r="AD98" s="192"/>
      <c r="AE98" s="192"/>
      <c r="AF98" s="192"/>
      <c r="AG98" s="192"/>
      <c r="AH98" s="192"/>
      <c r="AK98" s="1"/>
      <c r="AL98" s="1"/>
      <c r="AM98" s="1"/>
    </row>
    <row r="99" spans="1:39" ht="20.100000000000001" customHeight="1" x14ac:dyDescent="0.2">
      <c r="D99" s="192" t="s">
        <v>2419</v>
      </c>
      <c r="E99" s="192" t="s">
        <v>2430</v>
      </c>
      <c r="F99" s="192" t="s">
        <v>979</v>
      </c>
      <c r="G99" s="192">
        <v>1.32</v>
      </c>
      <c r="H99" s="192"/>
      <c r="I99" s="192"/>
      <c r="J99" s="192"/>
      <c r="K99" s="192">
        <v>9.5</v>
      </c>
      <c r="L99" s="192">
        <v>4.7</v>
      </c>
      <c r="M99" s="192">
        <v>10.8</v>
      </c>
      <c r="N99" s="192">
        <v>8.1</v>
      </c>
      <c r="O99" s="192" t="s">
        <v>704</v>
      </c>
      <c r="P99" s="192">
        <v>0.108</v>
      </c>
      <c r="Q99" s="192" t="s">
        <v>2385</v>
      </c>
      <c r="R99" s="192">
        <v>9.5000000000000001E-2</v>
      </c>
      <c r="S99" s="192" t="s">
        <v>705</v>
      </c>
      <c r="T99" s="192">
        <v>8.1000000000000003E-2</v>
      </c>
      <c r="U99" s="192" t="s">
        <v>2387</v>
      </c>
      <c r="V99" s="192">
        <v>4.7E-2</v>
      </c>
      <c r="W99" s="192"/>
      <c r="X99" s="192"/>
      <c r="Y99" s="192"/>
      <c r="Z99" s="192"/>
      <c r="AA99" s="192"/>
      <c r="AB99" s="192"/>
      <c r="AC99" s="192"/>
      <c r="AD99" s="192"/>
      <c r="AE99" s="192"/>
      <c r="AF99" s="192"/>
      <c r="AG99" s="192"/>
      <c r="AH99" s="192"/>
      <c r="AK99" s="1"/>
      <c r="AL99" s="1"/>
      <c r="AM99" s="1"/>
    </row>
    <row r="100" spans="1:39" ht="20.100000000000001" customHeight="1" x14ac:dyDescent="0.2">
      <c r="D100" s="192" t="s">
        <v>2419</v>
      </c>
      <c r="E100" s="192" t="s">
        <v>693</v>
      </c>
      <c r="F100" s="192" t="s">
        <v>738</v>
      </c>
      <c r="G100" s="192">
        <v>1</v>
      </c>
      <c r="H100" s="192"/>
      <c r="I100" s="192"/>
      <c r="J100" s="192"/>
      <c r="K100" s="192">
        <v>24</v>
      </c>
      <c r="L100" s="192">
        <v>5.2</v>
      </c>
      <c r="M100" s="192">
        <v>8</v>
      </c>
      <c r="N100" s="192">
        <v>5.3</v>
      </c>
      <c r="O100" s="192" t="s">
        <v>692</v>
      </c>
      <c r="P100" s="192">
        <v>0.52173899999999995</v>
      </c>
      <c r="Q100" s="192" t="s">
        <v>704</v>
      </c>
      <c r="R100" s="192">
        <v>0.08</v>
      </c>
      <c r="S100" s="192" t="s">
        <v>705</v>
      </c>
      <c r="T100" s="192">
        <v>5.2999999999999999E-2</v>
      </c>
      <c r="U100" s="192" t="s">
        <v>2387</v>
      </c>
      <c r="V100" s="192">
        <v>5.1999999999999998E-2</v>
      </c>
      <c r="W100" s="192" t="s">
        <v>2431</v>
      </c>
      <c r="X100" s="192">
        <v>1.2999999999999999E-2</v>
      </c>
      <c r="Y100" s="192" t="s">
        <v>2432</v>
      </c>
      <c r="Z100" s="192">
        <v>2E-3</v>
      </c>
      <c r="AA100" s="192" t="s">
        <v>2433</v>
      </c>
      <c r="AB100" s="192">
        <v>3.5000000000000001E-3</v>
      </c>
      <c r="AC100" s="192" t="s">
        <v>2434</v>
      </c>
      <c r="AD100" s="192">
        <v>1.2999999999999999E-3</v>
      </c>
      <c r="AE100" s="192" t="s">
        <v>2435</v>
      </c>
      <c r="AF100" s="192">
        <v>6.9999999999999999E-4</v>
      </c>
      <c r="AG100" s="192" t="s">
        <v>2436</v>
      </c>
      <c r="AH100" s="192">
        <v>6.9999999999999999E-4</v>
      </c>
      <c r="AK100" s="1"/>
      <c r="AL100" s="1"/>
      <c r="AM100" s="1"/>
    </row>
    <row r="101" spans="1:39" ht="20.100000000000001" customHeight="1" x14ac:dyDescent="0.2">
      <c r="D101" s="192" t="s">
        <v>2419</v>
      </c>
      <c r="E101" s="192" t="s">
        <v>2437</v>
      </c>
      <c r="F101" s="192" t="s">
        <v>738</v>
      </c>
      <c r="G101" s="192">
        <v>1</v>
      </c>
      <c r="H101" s="192"/>
      <c r="I101" s="192"/>
      <c r="J101" s="192"/>
      <c r="K101" s="192">
        <v>17</v>
      </c>
      <c r="L101" s="192">
        <v>0.04</v>
      </c>
      <c r="M101" s="192">
        <v>11.6</v>
      </c>
      <c r="N101" s="192">
        <v>0.5</v>
      </c>
      <c r="O101" s="192" t="s">
        <v>2393</v>
      </c>
      <c r="P101" s="192">
        <v>0.23200000000000001</v>
      </c>
      <c r="Q101" s="192" t="s">
        <v>2385</v>
      </c>
      <c r="R101" s="192">
        <v>0.17</v>
      </c>
      <c r="S101" s="192" t="s">
        <v>705</v>
      </c>
      <c r="T101" s="192">
        <v>5.0000000000000001E-3</v>
      </c>
      <c r="U101" s="192" t="s">
        <v>2431</v>
      </c>
      <c r="V101" s="192">
        <v>2.3999999999999998E-3</v>
      </c>
      <c r="W101" s="192" t="s">
        <v>2387</v>
      </c>
      <c r="X101" s="192">
        <v>4.0000000000000002E-4</v>
      </c>
      <c r="Y101" s="192"/>
      <c r="Z101" s="192"/>
      <c r="AA101" s="192"/>
      <c r="AB101" s="192"/>
      <c r="AC101" s="192"/>
      <c r="AD101" s="192"/>
      <c r="AE101" s="192"/>
      <c r="AF101" s="192"/>
      <c r="AG101" s="192"/>
      <c r="AH101" s="192"/>
      <c r="AK101" s="1"/>
      <c r="AL101" s="1"/>
      <c r="AM101" s="1"/>
    </row>
    <row r="102" spans="1:39" ht="20.100000000000001" customHeight="1" x14ac:dyDescent="0.2">
      <c r="D102" s="192" t="s">
        <v>2419</v>
      </c>
      <c r="E102" s="192" t="s">
        <v>2438</v>
      </c>
      <c r="F102" s="192" t="s">
        <v>979</v>
      </c>
      <c r="G102" s="192">
        <v>1.45</v>
      </c>
      <c r="H102" s="192"/>
      <c r="I102" s="192"/>
      <c r="J102" s="192"/>
      <c r="K102" s="192"/>
      <c r="L102" s="192"/>
      <c r="M102" s="192"/>
      <c r="N102" s="192"/>
      <c r="O102" s="192" t="s">
        <v>2424</v>
      </c>
      <c r="P102" s="192">
        <v>0.107</v>
      </c>
      <c r="Q102" s="192"/>
      <c r="R102" s="192"/>
      <c r="S102" s="192"/>
      <c r="T102" s="192"/>
      <c r="U102" s="192"/>
      <c r="V102" s="192"/>
      <c r="W102" s="192"/>
      <c r="X102" s="192"/>
      <c r="Y102" s="192"/>
      <c r="Z102" s="192"/>
      <c r="AA102" s="192"/>
      <c r="AB102" s="192"/>
      <c r="AC102" s="192"/>
      <c r="AD102" s="192"/>
      <c r="AE102" s="192"/>
      <c r="AF102" s="192"/>
      <c r="AG102" s="192"/>
      <c r="AH102" s="192"/>
      <c r="AK102" s="1"/>
      <c r="AL102" s="1"/>
      <c r="AM102" s="1"/>
    </row>
    <row r="103" spans="1:39" ht="20.100000000000001" customHeight="1" x14ac:dyDescent="0.2">
      <c r="D103" s="192" t="s">
        <v>2419</v>
      </c>
      <c r="E103" s="192" t="s">
        <v>2439</v>
      </c>
      <c r="F103" s="192" t="s">
        <v>738</v>
      </c>
      <c r="G103" s="192">
        <v>1</v>
      </c>
      <c r="H103" s="192"/>
      <c r="I103" s="192"/>
      <c r="J103" s="192"/>
      <c r="K103" s="192">
        <v>15</v>
      </c>
      <c r="L103" s="192">
        <v>6.5</v>
      </c>
      <c r="M103" s="192">
        <v>12.5</v>
      </c>
      <c r="N103" s="192">
        <v>6</v>
      </c>
      <c r="O103" s="192" t="s">
        <v>2380</v>
      </c>
      <c r="P103" s="192">
        <v>7.4999999999999997E-2</v>
      </c>
      <c r="Q103" s="192" t="s">
        <v>2382</v>
      </c>
      <c r="R103" s="192">
        <v>7.4999999999999997E-2</v>
      </c>
      <c r="S103" s="192" t="s">
        <v>704</v>
      </c>
      <c r="T103" s="192">
        <v>0.125</v>
      </c>
      <c r="U103" s="192" t="s">
        <v>2387</v>
      </c>
      <c r="V103" s="192">
        <v>6.5000000000000002E-2</v>
      </c>
      <c r="W103" s="192" t="s">
        <v>705</v>
      </c>
      <c r="X103" s="192">
        <v>0.06</v>
      </c>
      <c r="Y103" s="192"/>
      <c r="Z103" s="192"/>
      <c r="AA103" s="192"/>
      <c r="AB103" s="192"/>
      <c r="AC103" s="192"/>
      <c r="AD103" s="192"/>
      <c r="AE103" s="192"/>
      <c r="AF103" s="192"/>
      <c r="AG103" s="192"/>
      <c r="AH103" s="192"/>
      <c r="AK103" s="1"/>
      <c r="AL103" s="1"/>
      <c r="AM103" s="1"/>
    </row>
    <row r="104" spans="1:39" ht="20.100000000000001" customHeight="1" x14ac:dyDescent="0.2">
      <c r="D104" s="192" t="s">
        <v>2419</v>
      </c>
      <c r="E104" s="192" t="s">
        <v>2440</v>
      </c>
      <c r="F104" s="192" t="s">
        <v>979</v>
      </c>
      <c r="G104" s="192">
        <v>1.2150000000000001</v>
      </c>
      <c r="H104" s="192"/>
      <c r="I104" s="192"/>
      <c r="J104" s="192"/>
      <c r="K104" s="192">
        <v>12</v>
      </c>
      <c r="L104" s="192"/>
      <c r="M104" s="192">
        <v>10</v>
      </c>
      <c r="N104" s="192"/>
      <c r="O104" s="192" t="s">
        <v>692</v>
      </c>
      <c r="P104" s="192">
        <v>0.19565199999999999</v>
      </c>
      <c r="Q104" s="192" t="s">
        <v>704</v>
      </c>
      <c r="R104" s="192">
        <v>0.1</v>
      </c>
      <c r="S104" s="192" t="s">
        <v>2385</v>
      </c>
      <c r="T104" s="192">
        <v>0.03</v>
      </c>
      <c r="U104" s="192" t="s">
        <v>2436</v>
      </c>
      <c r="V104" s="192">
        <v>5.0000000000000001E-3</v>
      </c>
      <c r="W104" s="192"/>
      <c r="X104" s="192"/>
      <c r="Y104" s="192"/>
      <c r="Z104" s="192"/>
      <c r="AA104" s="192"/>
      <c r="AB104" s="192"/>
      <c r="AC104" s="192"/>
      <c r="AD104" s="192"/>
      <c r="AE104" s="192"/>
      <c r="AF104" s="192"/>
      <c r="AG104" s="192"/>
      <c r="AH104" s="192"/>
      <c r="AK104" s="1"/>
      <c r="AL104" s="1"/>
      <c r="AM104" s="1"/>
    </row>
    <row r="105" spans="1:39" ht="20.100000000000001" customHeight="1" x14ac:dyDescent="0.2">
      <c r="D105" s="192" t="s">
        <v>2419</v>
      </c>
      <c r="E105" s="192" t="s">
        <v>2441</v>
      </c>
      <c r="F105" s="192" t="s">
        <v>738</v>
      </c>
      <c r="G105" s="192">
        <v>1</v>
      </c>
      <c r="H105" s="192"/>
      <c r="I105" s="192"/>
      <c r="J105" s="192"/>
      <c r="K105" s="192">
        <v>21.66</v>
      </c>
      <c r="L105" s="192"/>
      <c r="M105" s="192"/>
      <c r="N105" s="192">
        <v>13.2</v>
      </c>
      <c r="O105" s="192" t="s">
        <v>2375</v>
      </c>
      <c r="P105" s="192">
        <v>0.55000000000000004</v>
      </c>
      <c r="Q105" s="192" t="s">
        <v>2377</v>
      </c>
      <c r="R105" s="192">
        <v>0.3</v>
      </c>
      <c r="S105" s="192"/>
      <c r="T105" s="192"/>
      <c r="U105" s="192"/>
      <c r="V105" s="192"/>
      <c r="W105" s="192"/>
      <c r="X105" s="192"/>
      <c r="Y105" s="192"/>
      <c r="Z105" s="192"/>
      <c r="AA105" s="192"/>
      <c r="AB105" s="192"/>
      <c r="AC105" s="192"/>
      <c r="AD105" s="192"/>
      <c r="AE105" s="192"/>
      <c r="AF105" s="192"/>
      <c r="AG105" s="192"/>
      <c r="AH105" s="192"/>
      <c r="AK105" s="1"/>
      <c r="AL105" s="1"/>
      <c r="AM105" s="1"/>
    </row>
    <row r="106" spans="1:39" ht="20.100000000000001" customHeight="1" x14ac:dyDescent="0.2">
      <c r="D106" s="192" t="s">
        <v>2442</v>
      </c>
      <c r="E106" s="192" t="s">
        <v>2443</v>
      </c>
      <c r="F106" s="192" t="s">
        <v>979</v>
      </c>
      <c r="G106" s="192">
        <v>1.319</v>
      </c>
      <c r="H106" s="192"/>
      <c r="I106" s="192"/>
      <c r="J106" s="192"/>
      <c r="K106" s="192">
        <v>5</v>
      </c>
      <c r="L106" s="192">
        <v>15</v>
      </c>
      <c r="M106" s="192">
        <v>2.1</v>
      </c>
      <c r="N106" s="192"/>
      <c r="O106" s="192" t="s">
        <v>2387</v>
      </c>
      <c r="P106" s="192">
        <v>0.15</v>
      </c>
      <c r="Q106" s="192" t="s">
        <v>2424</v>
      </c>
      <c r="R106" s="192">
        <v>0.04</v>
      </c>
      <c r="S106" s="192" t="s">
        <v>2380</v>
      </c>
      <c r="T106" s="192">
        <v>2.9000000000000001E-2</v>
      </c>
      <c r="U106" s="192" t="s">
        <v>2382</v>
      </c>
      <c r="V106" s="192">
        <v>2.1000000000000001E-2</v>
      </c>
      <c r="W106" s="192" t="s">
        <v>704</v>
      </c>
      <c r="X106" s="192">
        <v>2.1000000000000001E-2</v>
      </c>
      <c r="Y106" s="192" t="s">
        <v>2435</v>
      </c>
      <c r="Z106" s="192">
        <v>5.0000000000000001E-3</v>
      </c>
      <c r="AA106" s="192" t="s">
        <v>2432</v>
      </c>
      <c r="AB106" s="192">
        <v>4.0000000000000001E-3</v>
      </c>
      <c r="AC106" s="192" t="s">
        <v>2433</v>
      </c>
      <c r="AD106" s="192">
        <v>4.0000000000000001E-3</v>
      </c>
      <c r="AE106" s="192" t="s">
        <v>2431</v>
      </c>
      <c r="AF106" s="192">
        <v>2E-3</v>
      </c>
      <c r="AG106" s="192"/>
      <c r="AH106" s="192"/>
      <c r="AK106" s="1"/>
      <c r="AL106" s="1"/>
      <c r="AM106" s="1"/>
    </row>
    <row r="107" spans="1:39" ht="20.100000000000001" customHeight="1" x14ac:dyDescent="0.2">
      <c r="D107" s="192" t="s">
        <v>2444</v>
      </c>
      <c r="E107" s="192" t="s">
        <v>2445</v>
      </c>
      <c r="F107" s="192" t="s">
        <v>738</v>
      </c>
      <c r="G107" s="192">
        <v>1</v>
      </c>
      <c r="H107" s="192"/>
      <c r="I107" s="192"/>
      <c r="J107" s="192" t="s">
        <v>2400</v>
      </c>
      <c r="K107" s="192">
        <v>17.7</v>
      </c>
      <c r="L107" s="192"/>
      <c r="M107" s="192"/>
      <c r="N107" s="192"/>
      <c r="O107" s="192" t="s">
        <v>2380</v>
      </c>
      <c r="P107" s="192">
        <v>0.17699999999999999</v>
      </c>
      <c r="Q107" s="192"/>
      <c r="R107" s="192"/>
      <c r="S107" s="192"/>
      <c r="T107" s="192"/>
      <c r="U107" s="192"/>
      <c r="V107" s="192"/>
      <c r="W107" s="192"/>
      <c r="X107" s="192"/>
      <c r="Y107" s="192"/>
      <c r="Z107" s="192"/>
      <c r="AA107" s="192"/>
      <c r="AB107" s="192"/>
      <c r="AC107" s="192"/>
      <c r="AD107" s="192"/>
      <c r="AE107" s="192"/>
      <c r="AF107" s="192"/>
      <c r="AG107" s="192"/>
      <c r="AH107" s="192"/>
      <c r="AK107" s="1"/>
      <c r="AL107" s="1"/>
      <c r="AM107" s="1"/>
    </row>
    <row r="108" spans="1:39" ht="20.100000000000001" customHeight="1" x14ac:dyDescent="0.2">
      <c r="D108" s="192" t="s">
        <v>2444</v>
      </c>
      <c r="E108" s="192" t="s">
        <v>2396</v>
      </c>
      <c r="F108" s="192" t="s">
        <v>738</v>
      </c>
      <c r="G108" s="192">
        <v>1</v>
      </c>
      <c r="H108" s="192"/>
      <c r="I108" s="192"/>
      <c r="J108" s="192" t="s">
        <v>2400</v>
      </c>
      <c r="K108" s="192">
        <v>21</v>
      </c>
      <c r="L108" s="192"/>
      <c r="M108" s="192"/>
      <c r="N108" s="192">
        <v>24</v>
      </c>
      <c r="O108" s="192" t="s">
        <v>705</v>
      </c>
      <c r="P108" s="192">
        <v>0.24</v>
      </c>
      <c r="Q108" s="192" t="s">
        <v>2380</v>
      </c>
      <c r="R108" s="192">
        <v>0.21</v>
      </c>
      <c r="S108" s="192"/>
      <c r="T108" s="192"/>
      <c r="U108" s="192"/>
      <c r="V108" s="192"/>
      <c r="W108" s="192"/>
      <c r="X108" s="192"/>
      <c r="Y108" s="192"/>
      <c r="Z108" s="192"/>
      <c r="AA108" s="192"/>
      <c r="AB108" s="192"/>
      <c r="AC108" s="192"/>
      <c r="AD108" s="192"/>
      <c r="AE108" s="192"/>
      <c r="AF108" s="192"/>
      <c r="AG108" s="192"/>
      <c r="AH108" s="192"/>
      <c r="AK108" s="1"/>
      <c r="AL108" s="1"/>
      <c r="AM108" s="1"/>
    </row>
    <row r="109" spans="1:39" ht="20.100000000000001" customHeight="1" x14ac:dyDescent="0.2">
      <c r="A109" s="129" t="str">
        <f>HYPERLINK("#A1", "▲ Back to top")</f>
        <v>▲ Back to top</v>
      </c>
      <c r="D109" s="192" t="s">
        <v>2446</v>
      </c>
      <c r="E109" s="192" t="s">
        <v>2447</v>
      </c>
      <c r="F109" s="192" t="s">
        <v>738</v>
      </c>
      <c r="G109" s="192">
        <v>1</v>
      </c>
      <c r="H109" s="192"/>
      <c r="I109" s="192"/>
      <c r="J109" s="192"/>
      <c r="K109" s="192">
        <v>21</v>
      </c>
      <c r="L109" s="192"/>
      <c r="M109" s="192"/>
      <c r="N109" s="192">
        <v>24</v>
      </c>
      <c r="O109" s="192" t="s">
        <v>2375</v>
      </c>
      <c r="P109" s="192">
        <v>1</v>
      </c>
      <c r="Q109" s="192"/>
      <c r="R109" s="192"/>
      <c r="S109" s="192"/>
      <c r="T109" s="192"/>
      <c r="U109" s="192"/>
      <c r="V109" s="192"/>
      <c r="W109" s="192"/>
      <c r="X109" s="192"/>
      <c r="Y109" s="192"/>
      <c r="Z109" s="192"/>
      <c r="AA109" s="192"/>
      <c r="AB109" s="192"/>
      <c r="AC109" s="192"/>
      <c r="AD109" s="192"/>
      <c r="AE109" s="192"/>
      <c r="AF109" s="192"/>
      <c r="AG109" s="192"/>
      <c r="AH109" s="192"/>
      <c r="AK109" s="1"/>
      <c r="AL109" s="1"/>
      <c r="AM109" s="1"/>
    </row>
    <row r="110" spans="1:39" ht="20.100000000000001" customHeight="1" x14ac:dyDescent="0.2">
      <c r="D110" s="192" t="s">
        <v>2448</v>
      </c>
      <c r="E110" s="192" t="s">
        <v>2449</v>
      </c>
      <c r="F110" s="192" t="s">
        <v>738</v>
      </c>
      <c r="G110" s="192">
        <v>1</v>
      </c>
      <c r="H110" s="192"/>
      <c r="I110" s="192"/>
      <c r="J110" s="192"/>
      <c r="K110" s="192">
        <v>18</v>
      </c>
      <c r="L110" s="192">
        <v>20</v>
      </c>
      <c r="M110" s="192"/>
      <c r="N110" s="192"/>
      <c r="O110" s="192" t="s">
        <v>2373</v>
      </c>
      <c r="P110" s="192">
        <v>1</v>
      </c>
      <c r="Q110" s="192"/>
      <c r="R110" s="192"/>
      <c r="S110" s="192"/>
      <c r="T110" s="192"/>
      <c r="U110" s="192"/>
      <c r="V110" s="192"/>
      <c r="W110" s="192"/>
      <c r="X110" s="192"/>
      <c r="Y110" s="192"/>
      <c r="Z110" s="192"/>
      <c r="AA110" s="192"/>
      <c r="AB110" s="192"/>
      <c r="AC110" s="192"/>
      <c r="AD110" s="192"/>
      <c r="AE110" s="192"/>
      <c r="AF110" s="192"/>
      <c r="AG110" s="192"/>
      <c r="AH110" s="192"/>
      <c r="AK110" s="1"/>
      <c r="AL110" s="1"/>
      <c r="AM110" s="1"/>
    </row>
    <row r="111" spans="1:39" ht="20.100000000000001" customHeight="1" x14ac:dyDescent="0.2">
      <c r="D111" s="192" t="s">
        <v>2450</v>
      </c>
      <c r="E111" s="192" t="s">
        <v>2451</v>
      </c>
      <c r="F111" s="192" t="s">
        <v>738</v>
      </c>
      <c r="G111" s="192">
        <v>1</v>
      </c>
      <c r="H111" s="192"/>
      <c r="I111" s="192"/>
      <c r="J111" s="192"/>
      <c r="K111" s="192">
        <v>8</v>
      </c>
      <c r="L111" s="192">
        <v>14</v>
      </c>
      <c r="M111" s="192"/>
      <c r="N111" s="192">
        <v>27.6</v>
      </c>
      <c r="O111" s="192" t="s">
        <v>705</v>
      </c>
      <c r="P111" s="192">
        <v>0.27600000000000002</v>
      </c>
      <c r="Q111" s="192" t="s">
        <v>2387</v>
      </c>
      <c r="R111" s="192">
        <v>0.14000000000000001</v>
      </c>
      <c r="S111" s="192" t="s">
        <v>2385</v>
      </c>
      <c r="T111" s="192">
        <v>0.08</v>
      </c>
      <c r="U111" s="192" t="s">
        <v>2452</v>
      </c>
      <c r="V111" s="192">
        <v>2.4E-2</v>
      </c>
      <c r="W111" s="192"/>
      <c r="X111" s="192"/>
      <c r="Y111" s="192"/>
      <c r="Z111" s="192"/>
      <c r="AA111" s="192"/>
      <c r="AB111" s="192"/>
      <c r="AC111" s="192"/>
      <c r="AD111" s="192"/>
      <c r="AE111" s="192"/>
      <c r="AF111" s="192"/>
      <c r="AG111" s="192"/>
      <c r="AH111" s="192"/>
      <c r="AK111" s="1"/>
      <c r="AL111" s="1"/>
      <c r="AM111" s="1"/>
    </row>
    <row r="112" spans="1:39" ht="20.100000000000001" customHeight="1" x14ac:dyDescent="0.2">
      <c r="D112" s="192" t="s">
        <v>2453</v>
      </c>
      <c r="E112" s="192" t="s">
        <v>2454</v>
      </c>
      <c r="F112" s="192" t="s">
        <v>738</v>
      </c>
      <c r="G112" s="192">
        <v>1</v>
      </c>
      <c r="H112" s="192"/>
      <c r="I112" s="192"/>
      <c r="J112" s="192"/>
      <c r="K112" s="192">
        <v>16.899999999999999</v>
      </c>
      <c r="L112" s="192">
        <v>18.2</v>
      </c>
      <c r="M112" s="192"/>
      <c r="N112" s="192">
        <v>8</v>
      </c>
      <c r="O112" s="192" t="s">
        <v>2387</v>
      </c>
      <c r="P112" s="192">
        <v>0.182</v>
      </c>
      <c r="Q112" s="192" t="s">
        <v>2385</v>
      </c>
      <c r="R112" s="192">
        <v>0.16900000000000001</v>
      </c>
      <c r="S112" s="192" t="s">
        <v>705</v>
      </c>
      <c r="T112" s="192">
        <v>0.08</v>
      </c>
      <c r="U112" s="192" t="s">
        <v>2432</v>
      </c>
      <c r="V112" s="192">
        <v>2E-3</v>
      </c>
      <c r="W112" s="192" t="s">
        <v>2435</v>
      </c>
      <c r="X112" s="192">
        <v>1E-3</v>
      </c>
      <c r="Y112" s="192"/>
      <c r="Z112" s="192"/>
      <c r="AA112" s="192"/>
      <c r="AB112" s="192"/>
      <c r="AC112" s="192"/>
      <c r="AD112" s="192"/>
      <c r="AE112" s="192"/>
      <c r="AF112" s="192"/>
      <c r="AG112" s="192"/>
      <c r="AH112" s="192"/>
      <c r="AK112" s="1"/>
      <c r="AL112" s="1"/>
      <c r="AM112" s="1"/>
    </row>
    <row r="113" spans="4:39" ht="20.100000000000001" customHeight="1" x14ac:dyDescent="0.2">
      <c r="D113" s="192" t="s">
        <v>2450</v>
      </c>
      <c r="E113" s="192" t="s">
        <v>2455</v>
      </c>
      <c r="F113" s="192" t="s">
        <v>979</v>
      </c>
      <c r="G113" s="192">
        <v>1.32</v>
      </c>
      <c r="H113" s="192"/>
      <c r="I113" s="192"/>
      <c r="J113" s="192"/>
      <c r="K113" s="192">
        <v>42.5</v>
      </c>
      <c r="L113" s="192"/>
      <c r="M113" s="192"/>
      <c r="N113" s="192"/>
      <c r="O113" s="192" t="s">
        <v>692</v>
      </c>
      <c r="P113" s="192">
        <v>0.467391</v>
      </c>
      <c r="Q113" s="192" t="s">
        <v>2382</v>
      </c>
      <c r="R113" s="192">
        <v>0.105</v>
      </c>
      <c r="S113" s="192" t="s">
        <v>2380</v>
      </c>
      <c r="T113" s="192">
        <v>0.105</v>
      </c>
      <c r="U113" s="192" t="s">
        <v>2456</v>
      </c>
      <c r="V113" s="192">
        <v>6.0000000000000001E-3</v>
      </c>
      <c r="W113" s="192"/>
      <c r="X113" s="192"/>
      <c r="Y113" s="192"/>
      <c r="Z113" s="192"/>
      <c r="AA113" s="192"/>
      <c r="AB113" s="192"/>
      <c r="AC113" s="192"/>
      <c r="AD113" s="192"/>
      <c r="AE113" s="192"/>
      <c r="AF113" s="192"/>
      <c r="AG113" s="192"/>
      <c r="AH113" s="192"/>
      <c r="AK113" s="1"/>
      <c r="AL113" s="1"/>
      <c r="AM113" s="1"/>
    </row>
    <row r="114" spans="4:39" ht="20.100000000000001" customHeight="1" x14ac:dyDescent="0.2">
      <c r="D114" s="192" t="s">
        <v>2444</v>
      </c>
      <c r="E114" s="192" t="s">
        <v>2457</v>
      </c>
      <c r="F114" s="192" t="s">
        <v>738</v>
      </c>
      <c r="G114" s="192">
        <v>1</v>
      </c>
      <c r="H114" s="192"/>
      <c r="I114" s="192"/>
      <c r="J114" s="192" t="s">
        <v>2400</v>
      </c>
      <c r="K114" s="192">
        <v>40.5</v>
      </c>
      <c r="L114" s="192"/>
      <c r="M114" s="192"/>
      <c r="N114" s="192"/>
      <c r="O114" s="192" t="s">
        <v>2380</v>
      </c>
      <c r="P114" s="192">
        <v>0.27</v>
      </c>
      <c r="Q114" s="192" t="s">
        <v>2382</v>
      </c>
      <c r="R114" s="192">
        <v>0.13500000000000001</v>
      </c>
      <c r="S114" s="192" t="s">
        <v>2424</v>
      </c>
      <c r="T114" s="192">
        <v>0.12</v>
      </c>
      <c r="U114" s="192"/>
      <c r="V114" s="192"/>
      <c r="W114" s="192"/>
      <c r="X114" s="192"/>
      <c r="Y114" s="192"/>
      <c r="Z114" s="192"/>
      <c r="AA114" s="192"/>
      <c r="AB114" s="192"/>
      <c r="AC114" s="192"/>
      <c r="AD114" s="192"/>
      <c r="AE114" s="192"/>
      <c r="AF114" s="192"/>
      <c r="AG114" s="192"/>
      <c r="AH114" s="192"/>
      <c r="AK114" s="1"/>
      <c r="AL114" s="1"/>
      <c r="AM114" s="1"/>
    </row>
    <row r="115" spans="4:39" ht="20.100000000000001" customHeight="1" x14ac:dyDescent="0.2">
      <c r="D115" s="192" t="s">
        <v>2442</v>
      </c>
      <c r="E115" s="192" t="s">
        <v>2458</v>
      </c>
      <c r="F115" s="192" t="s">
        <v>979</v>
      </c>
      <c r="G115" s="192">
        <v>1.1379999999999999</v>
      </c>
      <c r="H115" s="192"/>
      <c r="I115" s="192"/>
      <c r="J115" s="192"/>
      <c r="K115" s="192"/>
      <c r="L115" s="192"/>
      <c r="M115" s="192"/>
      <c r="N115" s="192"/>
      <c r="O115" s="192" t="s">
        <v>2424</v>
      </c>
      <c r="P115" s="192">
        <v>5.8999999999999997E-2</v>
      </c>
      <c r="Q115" s="192" t="s">
        <v>2435</v>
      </c>
      <c r="R115" s="192">
        <v>3.0000000000000001E-3</v>
      </c>
      <c r="S115" s="192" t="s">
        <v>2436</v>
      </c>
      <c r="T115" s="192">
        <v>1E-3</v>
      </c>
      <c r="U115" s="192"/>
      <c r="V115" s="192"/>
      <c r="W115" s="192"/>
      <c r="X115" s="192"/>
      <c r="Y115" s="192"/>
      <c r="Z115" s="192"/>
      <c r="AA115" s="192"/>
      <c r="AB115" s="192"/>
      <c r="AC115" s="192"/>
      <c r="AD115" s="192"/>
      <c r="AE115" s="192"/>
      <c r="AF115" s="192"/>
      <c r="AG115" s="192"/>
      <c r="AH115" s="192"/>
      <c r="AK115" s="1"/>
      <c r="AL115" s="1"/>
      <c r="AM115" s="1"/>
    </row>
    <row r="116" spans="4:39" ht="20.100000000000001" customHeight="1" x14ac:dyDescent="0.2">
      <c r="D116" s="192" t="s">
        <v>2450</v>
      </c>
      <c r="E116" s="192" t="s">
        <v>2459</v>
      </c>
      <c r="F116" s="192" t="s">
        <v>738</v>
      </c>
      <c r="G116" s="192">
        <v>1</v>
      </c>
      <c r="H116" s="192"/>
      <c r="I116" s="192"/>
      <c r="J116" s="192"/>
      <c r="K116" s="192">
        <v>13.5</v>
      </c>
      <c r="L116" s="192">
        <v>15</v>
      </c>
      <c r="M116" s="192">
        <v>6.25</v>
      </c>
      <c r="N116" s="192">
        <v>1.2</v>
      </c>
      <c r="O116" s="192" t="s">
        <v>2387</v>
      </c>
      <c r="P116" s="192">
        <v>0.15</v>
      </c>
      <c r="Q116" s="192" t="s">
        <v>2380</v>
      </c>
      <c r="R116" s="192">
        <v>0.13500000000000001</v>
      </c>
      <c r="S116" s="192" t="s">
        <v>2393</v>
      </c>
      <c r="T116" s="192">
        <v>0.125</v>
      </c>
      <c r="U116" s="192" t="s">
        <v>2452</v>
      </c>
      <c r="V116" s="192">
        <v>2.3E-2</v>
      </c>
      <c r="W116" s="192" t="s">
        <v>705</v>
      </c>
      <c r="X116" s="192">
        <v>1.2E-2</v>
      </c>
      <c r="Y116" s="192"/>
      <c r="Z116" s="192"/>
      <c r="AA116" s="192"/>
      <c r="AB116" s="192"/>
      <c r="AC116" s="192"/>
      <c r="AD116" s="192"/>
      <c r="AE116" s="192"/>
      <c r="AF116" s="192"/>
      <c r="AG116" s="192"/>
      <c r="AH116" s="192"/>
      <c r="AK116" s="1"/>
      <c r="AL116" s="1"/>
      <c r="AM116" s="1"/>
    </row>
    <row r="117" spans="4:39" ht="20.100000000000001" customHeight="1" x14ac:dyDescent="0.2">
      <c r="D117" s="192" t="s">
        <v>2460</v>
      </c>
      <c r="E117" s="192" t="s">
        <v>2461</v>
      </c>
      <c r="F117" s="192" t="s">
        <v>979</v>
      </c>
      <c r="G117" s="192">
        <v>1.25</v>
      </c>
      <c r="H117" s="192"/>
      <c r="I117" s="192"/>
      <c r="J117" s="192"/>
      <c r="K117" s="192">
        <v>3</v>
      </c>
      <c r="L117" s="192"/>
      <c r="M117" s="192">
        <v>21</v>
      </c>
      <c r="N117" s="192"/>
      <c r="O117" s="192" t="s">
        <v>704</v>
      </c>
      <c r="P117" s="192">
        <v>0.21</v>
      </c>
      <c r="Q117" s="192" t="s">
        <v>2385</v>
      </c>
      <c r="R117" s="192">
        <v>0.03</v>
      </c>
      <c r="S117" s="192"/>
      <c r="T117" s="192"/>
      <c r="U117" s="192"/>
      <c r="V117" s="192"/>
      <c r="W117" s="192"/>
      <c r="X117" s="192"/>
      <c r="Y117" s="192"/>
      <c r="Z117" s="192"/>
      <c r="AA117" s="192"/>
      <c r="AB117" s="192"/>
      <c r="AC117" s="192"/>
      <c r="AD117" s="192"/>
      <c r="AE117" s="192"/>
      <c r="AF117" s="192"/>
      <c r="AG117" s="192"/>
      <c r="AH117" s="192"/>
      <c r="AK117" s="1"/>
      <c r="AL117" s="1"/>
      <c r="AM117" s="1"/>
    </row>
    <row r="118" spans="4:39" ht="20.100000000000001" customHeight="1" x14ac:dyDescent="0.2">
      <c r="D118" s="192" t="s">
        <v>2460</v>
      </c>
      <c r="E118" s="192" t="s">
        <v>2462</v>
      </c>
      <c r="F118" s="192" t="s">
        <v>979</v>
      </c>
      <c r="G118" s="192">
        <v>1.2</v>
      </c>
      <c r="H118" s="192"/>
      <c r="I118" s="192"/>
      <c r="J118" s="192"/>
      <c r="K118" s="192">
        <v>5</v>
      </c>
      <c r="L118" s="192">
        <v>3</v>
      </c>
      <c r="M118" s="192">
        <v>8</v>
      </c>
      <c r="N118" s="192"/>
      <c r="O118" s="192" t="s">
        <v>704</v>
      </c>
      <c r="P118" s="192">
        <v>0.08</v>
      </c>
      <c r="Q118" s="192" t="s">
        <v>2385</v>
      </c>
      <c r="R118" s="192">
        <v>0.05</v>
      </c>
      <c r="S118" s="192" t="s">
        <v>2387</v>
      </c>
      <c r="T118" s="192">
        <v>0.03</v>
      </c>
      <c r="U118" s="192"/>
      <c r="V118" s="192"/>
      <c r="W118" s="192"/>
      <c r="X118" s="192"/>
      <c r="Y118" s="192"/>
      <c r="Z118" s="192"/>
      <c r="AA118" s="192"/>
      <c r="AB118" s="192"/>
      <c r="AC118" s="192"/>
      <c r="AD118" s="192"/>
      <c r="AE118" s="192"/>
      <c r="AF118" s="192"/>
      <c r="AG118" s="192"/>
      <c r="AH118" s="192"/>
      <c r="AK118" s="1"/>
      <c r="AL118" s="1"/>
      <c r="AM118" s="1"/>
    </row>
    <row r="119" spans="4:39" ht="20.100000000000001" customHeight="1" x14ac:dyDescent="0.2">
      <c r="D119" s="192" t="s">
        <v>2450</v>
      </c>
      <c r="E119" s="192" t="s">
        <v>2463</v>
      </c>
      <c r="F119" s="192" t="s">
        <v>738</v>
      </c>
      <c r="G119" s="192">
        <v>1</v>
      </c>
      <c r="H119" s="192"/>
      <c r="I119" s="192"/>
      <c r="J119" s="192"/>
      <c r="K119" s="192">
        <v>21</v>
      </c>
      <c r="L119" s="192"/>
      <c r="M119" s="192"/>
      <c r="N119" s="192">
        <v>24</v>
      </c>
      <c r="O119" s="192" t="s">
        <v>2375</v>
      </c>
      <c r="P119" s="192">
        <v>1</v>
      </c>
      <c r="Q119" s="192"/>
      <c r="R119" s="192"/>
      <c r="S119" s="192"/>
      <c r="T119" s="192"/>
      <c r="U119" s="192"/>
      <c r="V119" s="192"/>
      <c r="W119" s="192"/>
      <c r="X119" s="192"/>
      <c r="Y119" s="192"/>
      <c r="Z119" s="192"/>
      <c r="AA119" s="192"/>
      <c r="AB119" s="192"/>
      <c r="AC119" s="192"/>
      <c r="AD119" s="192"/>
      <c r="AE119" s="192"/>
      <c r="AF119" s="192"/>
      <c r="AG119" s="192"/>
      <c r="AH119" s="192"/>
      <c r="AK119" s="1"/>
      <c r="AL119" s="1"/>
      <c r="AM119" s="1"/>
    </row>
    <row r="120" spans="4:39" ht="20.100000000000001" customHeight="1" x14ac:dyDescent="0.2">
      <c r="D120" s="192" t="s">
        <v>2419</v>
      </c>
      <c r="E120" s="192" t="s">
        <v>2464</v>
      </c>
      <c r="F120" s="192" t="s">
        <v>979</v>
      </c>
      <c r="G120" s="192">
        <v>1.5</v>
      </c>
      <c r="H120" s="192"/>
      <c r="I120" s="192"/>
      <c r="J120" s="192"/>
      <c r="K120" s="192">
        <v>9</v>
      </c>
      <c r="L120" s="192"/>
      <c r="M120" s="192"/>
      <c r="N120" s="192">
        <v>13.94</v>
      </c>
      <c r="O120" s="192" t="s">
        <v>2375</v>
      </c>
      <c r="P120" s="192">
        <v>0.58064499999999997</v>
      </c>
      <c r="Q120" s="192" t="s">
        <v>2431</v>
      </c>
      <c r="R120" s="192">
        <v>1.2E-2</v>
      </c>
      <c r="S120" s="192"/>
      <c r="T120" s="192"/>
      <c r="U120" s="192"/>
      <c r="V120" s="192"/>
      <c r="W120" s="192"/>
      <c r="X120" s="192"/>
      <c r="Y120" s="192"/>
      <c r="Z120" s="192"/>
      <c r="AA120" s="192"/>
      <c r="AB120" s="192"/>
      <c r="AC120" s="192"/>
      <c r="AD120" s="192"/>
      <c r="AE120" s="192"/>
      <c r="AF120" s="192"/>
      <c r="AG120" s="192"/>
      <c r="AH120" s="192"/>
      <c r="AK120" s="1"/>
      <c r="AL120" s="1"/>
      <c r="AM120" s="1"/>
    </row>
    <row r="121" spans="4:39" ht="20.100000000000001" customHeight="1" x14ac:dyDescent="0.2">
      <c r="D121" s="192" t="s">
        <v>2450</v>
      </c>
      <c r="E121" s="192" t="s">
        <v>2465</v>
      </c>
      <c r="F121" s="192" t="s">
        <v>738</v>
      </c>
      <c r="G121" s="192">
        <v>1</v>
      </c>
      <c r="H121" s="192"/>
      <c r="I121" s="192"/>
      <c r="J121" s="192"/>
      <c r="K121" s="192">
        <v>10</v>
      </c>
      <c r="L121" s="192">
        <v>17.5</v>
      </c>
      <c r="M121" s="192"/>
      <c r="N121" s="192">
        <v>12</v>
      </c>
      <c r="O121" s="192" t="s">
        <v>2387</v>
      </c>
      <c r="P121" s="192">
        <v>0.17499999999999999</v>
      </c>
      <c r="Q121" s="192" t="s">
        <v>705</v>
      </c>
      <c r="R121" s="192">
        <v>0.12</v>
      </c>
      <c r="S121" s="192" t="s">
        <v>2380</v>
      </c>
      <c r="T121" s="192">
        <v>0.1</v>
      </c>
      <c r="U121" s="192" t="s">
        <v>2452</v>
      </c>
      <c r="V121" s="192">
        <v>0.03</v>
      </c>
      <c r="W121" s="192"/>
      <c r="X121" s="192"/>
      <c r="Y121" s="192"/>
      <c r="Z121" s="192"/>
      <c r="AA121" s="192"/>
      <c r="AB121" s="192"/>
      <c r="AC121" s="192"/>
      <c r="AD121" s="192"/>
      <c r="AE121" s="192"/>
      <c r="AF121" s="192"/>
      <c r="AG121" s="192"/>
      <c r="AH121" s="192"/>
      <c r="AK121" s="1"/>
      <c r="AL121" s="1"/>
      <c r="AM121" s="1"/>
    </row>
    <row r="122" spans="4:39" ht="20.100000000000001" customHeight="1" x14ac:dyDescent="0.2">
      <c r="D122" s="192" t="s">
        <v>2450</v>
      </c>
      <c r="E122" s="192" t="s">
        <v>2466</v>
      </c>
      <c r="F122" s="192" t="s">
        <v>738</v>
      </c>
      <c r="G122" s="192">
        <v>1</v>
      </c>
      <c r="H122" s="192"/>
      <c r="I122" s="192"/>
      <c r="J122" s="192"/>
      <c r="K122" s="192">
        <v>11</v>
      </c>
      <c r="L122" s="192">
        <v>21.8</v>
      </c>
      <c r="M122" s="192"/>
      <c r="N122" s="192">
        <v>4</v>
      </c>
      <c r="O122" s="192" t="s">
        <v>2387</v>
      </c>
      <c r="P122" s="192">
        <v>0.218</v>
      </c>
      <c r="Q122" s="192" t="s">
        <v>2385</v>
      </c>
      <c r="R122" s="192">
        <v>0.11</v>
      </c>
      <c r="S122" s="192" t="s">
        <v>705</v>
      </c>
      <c r="T122" s="192">
        <v>0.04</v>
      </c>
      <c r="U122" s="192" t="s">
        <v>2452</v>
      </c>
      <c r="V122" s="192">
        <v>0.03</v>
      </c>
      <c r="W122" s="192" t="s">
        <v>2432</v>
      </c>
      <c r="X122" s="192">
        <v>0.01</v>
      </c>
      <c r="Y122" s="192"/>
      <c r="Z122" s="192"/>
      <c r="AA122" s="192"/>
      <c r="AB122" s="192"/>
      <c r="AC122" s="192"/>
      <c r="AD122" s="192"/>
      <c r="AE122" s="192"/>
      <c r="AF122" s="192"/>
      <c r="AG122" s="192"/>
      <c r="AH122" s="192"/>
      <c r="AK122" s="1"/>
      <c r="AL122" s="1"/>
      <c r="AM122" s="1"/>
    </row>
    <row r="123" spans="4:39" ht="20.100000000000001" customHeight="1" x14ac:dyDescent="0.2">
      <c r="D123" s="192" t="s">
        <v>2450</v>
      </c>
      <c r="E123" s="192" t="s">
        <v>2467</v>
      </c>
      <c r="F123" s="192" t="s">
        <v>738</v>
      </c>
      <c r="G123" s="192">
        <v>1</v>
      </c>
      <c r="H123" s="192"/>
      <c r="I123" s="192"/>
      <c r="J123" s="192"/>
      <c r="K123" s="192">
        <v>32.5</v>
      </c>
      <c r="L123" s="192">
        <v>5.4</v>
      </c>
      <c r="M123" s="192">
        <v>6.25</v>
      </c>
      <c r="N123" s="192"/>
      <c r="O123" s="192" t="s">
        <v>692</v>
      </c>
      <c r="P123" s="192">
        <v>0.6</v>
      </c>
      <c r="Q123" s="192" t="s">
        <v>2380</v>
      </c>
      <c r="R123" s="192">
        <v>4.9000000000000002E-2</v>
      </c>
      <c r="S123" s="192" t="s">
        <v>2387</v>
      </c>
      <c r="T123" s="192">
        <v>5.3999999999999999E-2</v>
      </c>
      <c r="U123" s="192" t="s">
        <v>2393</v>
      </c>
      <c r="V123" s="192">
        <v>0.125</v>
      </c>
      <c r="W123" s="192"/>
      <c r="X123" s="192"/>
      <c r="Y123" s="192"/>
      <c r="Z123" s="192"/>
      <c r="AA123" s="192"/>
      <c r="AB123" s="192"/>
      <c r="AC123" s="192"/>
      <c r="AD123" s="192"/>
      <c r="AE123" s="192"/>
      <c r="AF123" s="192"/>
      <c r="AG123" s="192"/>
      <c r="AH123" s="192"/>
      <c r="AK123" s="1"/>
      <c r="AL123" s="1"/>
      <c r="AM123" s="1"/>
    </row>
    <row r="124" spans="4:39" ht="20.100000000000001" customHeight="1" x14ac:dyDescent="0.2">
      <c r="D124" s="192" t="s">
        <v>2446</v>
      </c>
      <c r="E124" s="192" t="s">
        <v>2468</v>
      </c>
      <c r="F124" s="192" t="s">
        <v>738</v>
      </c>
      <c r="G124" s="192">
        <v>1</v>
      </c>
      <c r="H124" s="192" t="s">
        <v>371</v>
      </c>
      <c r="I124" s="192"/>
      <c r="J124" s="192"/>
      <c r="K124" s="192">
        <v>45.54</v>
      </c>
      <c r="L124" s="192"/>
      <c r="M124" s="192"/>
      <c r="N124" s="192"/>
      <c r="O124" s="192" t="s">
        <v>692</v>
      </c>
      <c r="P124" s="192">
        <v>0.99</v>
      </c>
      <c r="Q124" s="192"/>
      <c r="R124" s="192"/>
      <c r="S124" s="192"/>
      <c r="T124" s="192"/>
      <c r="U124" s="192"/>
      <c r="V124" s="192"/>
      <c r="W124" s="192"/>
      <c r="X124" s="192"/>
      <c r="Y124" s="192"/>
      <c r="Z124" s="192"/>
      <c r="AA124" s="192"/>
      <c r="AB124" s="192"/>
      <c r="AC124" s="192"/>
      <c r="AD124" s="192"/>
      <c r="AE124" s="192"/>
      <c r="AF124" s="192"/>
      <c r="AG124" s="192"/>
      <c r="AH124" s="192"/>
      <c r="AK124" s="1"/>
      <c r="AL124" s="1"/>
      <c r="AM124" s="1"/>
    </row>
    <row r="125" spans="4:39" ht="20.100000000000001" customHeight="1" x14ac:dyDescent="0.2">
      <c r="D125" s="192" t="s">
        <v>2419</v>
      </c>
      <c r="E125" s="192" t="s">
        <v>2469</v>
      </c>
      <c r="F125" s="192" t="s">
        <v>738</v>
      </c>
      <c r="G125" s="192">
        <v>1</v>
      </c>
      <c r="H125" s="192"/>
      <c r="I125" s="192"/>
      <c r="J125" s="192"/>
      <c r="K125" s="192">
        <v>14.87</v>
      </c>
      <c r="L125" s="192">
        <v>2.2000000000000002</v>
      </c>
      <c r="M125" s="192">
        <v>16.600000000000001</v>
      </c>
      <c r="N125" s="192">
        <v>8</v>
      </c>
      <c r="O125" s="192" t="s">
        <v>2377</v>
      </c>
      <c r="P125" s="192">
        <v>0.44117600000000001</v>
      </c>
      <c r="Q125" s="192" t="s">
        <v>704</v>
      </c>
      <c r="R125" s="192">
        <v>0.16600000000000001</v>
      </c>
      <c r="S125" s="192" t="s">
        <v>705</v>
      </c>
      <c r="T125" s="192">
        <v>0.08</v>
      </c>
      <c r="U125" s="192" t="s">
        <v>2387</v>
      </c>
      <c r="V125" s="192">
        <v>2.1999999999999999E-2</v>
      </c>
      <c r="W125" s="192" t="s">
        <v>2431</v>
      </c>
      <c r="X125" s="192">
        <v>1.2E-2</v>
      </c>
      <c r="Y125" s="192" t="s">
        <v>2436</v>
      </c>
      <c r="Z125" s="192">
        <v>2.0000000000000001E-4</v>
      </c>
      <c r="AA125" s="192" t="s">
        <v>2432</v>
      </c>
      <c r="AB125" s="192">
        <v>1E-4</v>
      </c>
      <c r="AC125" s="192"/>
      <c r="AD125" s="192"/>
      <c r="AE125" s="192"/>
      <c r="AF125" s="192"/>
      <c r="AG125" s="192"/>
      <c r="AH125" s="192"/>
      <c r="AK125" s="1"/>
      <c r="AL125" s="1"/>
      <c r="AM125" s="1"/>
    </row>
    <row r="126" spans="4:39" ht="20.100000000000001" customHeight="1" x14ac:dyDescent="0.2">
      <c r="D126" s="192" t="s">
        <v>2442</v>
      </c>
      <c r="E126" s="192" t="s">
        <v>2470</v>
      </c>
      <c r="F126" s="192" t="s">
        <v>979</v>
      </c>
      <c r="G126" s="192">
        <v>1.2989999999999999</v>
      </c>
      <c r="H126" s="192"/>
      <c r="I126" s="192"/>
      <c r="J126" s="192"/>
      <c r="K126" s="192">
        <v>38</v>
      </c>
      <c r="L126" s="192"/>
      <c r="M126" s="192"/>
      <c r="N126" s="192">
        <v>2</v>
      </c>
      <c r="O126" s="192" t="s">
        <v>692</v>
      </c>
      <c r="P126" s="192">
        <v>0.46087</v>
      </c>
      <c r="Q126" s="192" t="s">
        <v>2380</v>
      </c>
      <c r="R126" s="192">
        <v>9.1999999999999998E-2</v>
      </c>
      <c r="S126" s="192" t="s">
        <v>2382</v>
      </c>
      <c r="T126" s="192">
        <v>7.5999999999999998E-2</v>
      </c>
      <c r="U126" s="192" t="s">
        <v>705</v>
      </c>
      <c r="V126" s="192">
        <v>0.02</v>
      </c>
      <c r="W126" s="192"/>
      <c r="X126" s="192"/>
      <c r="Y126" s="192"/>
      <c r="Z126" s="192"/>
      <c r="AA126" s="192"/>
      <c r="AB126" s="192"/>
      <c r="AC126" s="192"/>
      <c r="AD126" s="192"/>
      <c r="AE126" s="192"/>
      <c r="AF126" s="192"/>
      <c r="AG126" s="192"/>
      <c r="AH126" s="192"/>
      <c r="AK126" s="1"/>
      <c r="AL126" s="1"/>
      <c r="AM126" s="1"/>
    </row>
    <row r="127" spans="4:39" ht="20.100000000000001" customHeight="1" x14ac:dyDescent="0.2">
      <c r="D127" s="192" t="s">
        <v>2448</v>
      </c>
      <c r="E127" s="192" t="s">
        <v>2471</v>
      </c>
      <c r="F127" s="192" t="s">
        <v>738</v>
      </c>
      <c r="G127" s="192">
        <v>1</v>
      </c>
      <c r="H127" s="192"/>
      <c r="I127" s="192"/>
      <c r="J127" s="192"/>
      <c r="K127" s="192"/>
      <c r="L127" s="192">
        <v>8.8000000000000007</v>
      </c>
      <c r="M127" s="192"/>
      <c r="N127" s="192">
        <v>11</v>
      </c>
      <c r="O127" s="192" t="s">
        <v>2395</v>
      </c>
      <c r="P127" s="192">
        <v>1</v>
      </c>
      <c r="Q127" s="192"/>
      <c r="R127" s="192"/>
      <c r="S127" s="192"/>
      <c r="T127" s="192"/>
      <c r="U127" s="192"/>
      <c r="V127" s="192"/>
      <c r="W127" s="192"/>
      <c r="X127" s="192"/>
      <c r="Y127" s="192"/>
      <c r="Z127" s="192"/>
      <c r="AA127" s="192"/>
      <c r="AB127" s="192"/>
      <c r="AC127" s="192"/>
      <c r="AD127" s="192"/>
      <c r="AE127" s="192"/>
      <c r="AF127" s="192"/>
      <c r="AG127" s="192"/>
      <c r="AH127" s="192"/>
      <c r="AK127" s="1"/>
      <c r="AL127" s="1"/>
      <c r="AM127" s="1"/>
    </row>
    <row r="128" spans="4:39" ht="20.100000000000001" customHeight="1" x14ac:dyDescent="0.2">
      <c r="D128" s="192" t="s">
        <v>2460</v>
      </c>
      <c r="E128" s="192" t="s">
        <v>2472</v>
      </c>
      <c r="F128" s="192" t="s">
        <v>979</v>
      </c>
      <c r="G128" s="192">
        <v>1.2</v>
      </c>
      <c r="H128" s="192"/>
      <c r="I128" s="192"/>
      <c r="J128" s="192"/>
      <c r="K128" s="192">
        <v>10</v>
      </c>
      <c r="L128" s="192">
        <v>1</v>
      </c>
      <c r="M128" s="192">
        <v>11</v>
      </c>
      <c r="N128" s="192"/>
      <c r="O128" s="192" t="s">
        <v>704</v>
      </c>
      <c r="P128" s="192">
        <v>0.11</v>
      </c>
      <c r="Q128" s="192" t="s">
        <v>2385</v>
      </c>
      <c r="R128" s="192">
        <v>0.1</v>
      </c>
      <c r="S128" s="192" t="s">
        <v>2387</v>
      </c>
      <c r="T128" s="192">
        <v>0.01</v>
      </c>
      <c r="U128" s="192"/>
      <c r="V128" s="192"/>
      <c r="W128" s="192"/>
      <c r="X128" s="192"/>
      <c r="Y128" s="192"/>
      <c r="Z128" s="192"/>
      <c r="AA128" s="192"/>
      <c r="AB128" s="192"/>
      <c r="AC128" s="192"/>
      <c r="AD128" s="192"/>
      <c r="AE128" s="192"/>
      <c r="AF128" s="192"/>
      <c r="AG128" s="192"/>
      <c r="AH128" s="192"/>
      <c r="AK128" s="1"/>
      <c r="AL128" s="1"/>
      <c r="AM128" s="1"/>
    </row>
    <row r="129" spans="1:39" ht="20.100000000000001" customHeight="1" x14ac:dyDescent="0.2">
      <c r="D129" s="192" t="s">
        <v>2460</v>
      </c>
      <c r="E129" s="192" t="s">
        <v>2473</v>
      </c>
      <c r="F129" s="192" t="s">
        <v>979</v>
      </c>
      <c r="G129" s="192">
        <v>1.3</v>
      </c>
      <c r="H129" s="192"/>
      <c r="I129" s="192"/>
      <c r="J129" s="192"/>
      <c r="K129" s="192">
        <v>3</v>
      </c>
      <c r="L129" s="192"/>
      <c r="M129" s="192">
        <v>22</v>
      </c>
      <c r="N129" s="192"/>
      <c r="O129" s="192" t="s">
        <v>704</v>
      </c>
      <c r="P129" s="192">
        <v>0.22</v>
      </c>
      <c r="Q129" s="192" t="s">
        <v>2385</v>
      </c>
      <c r="R129" s="192">
        <v>0.03</v>
      </c>
      <c r="S129" s="192"/>
      <c r="T129" s="192"/>
      <c r="U129" s="192"/>
      <c r="V129" s="192"/>
      <c r="W129" s="192"/>
      <c r="X129" s="192"/>
      <c r="Y129" s="192"/>
      <c r="Z129" s="192"/>
      <c r="AA129" s="192"/>
      <c r="AB129" s="192"/>
      <c r="AC129" s="192"/>
      <c r="AD129" s="192"/>
      <c r="AE129" s="192"/>
      <c r="AF129" s="192"/>
      <c r="AG129" s="192"/>
      <c r="AH129" s="192"/>
      <c r="AK129" s="1"/>
      <c r="AL129" s="1"/>
      <c r="AM129" s="1"/>
    </row>
    <row r="130" spans="1:39" ht="20.100000000000001" customHeight="1" x14ac:dyDescent="0.2">
      <c r="D130" s="192" t="s">
        <v>2474</v>
      </c>
      <c r="E130" s="192" t="s">
        <v>2475</v>
      </c>
      <c r="F130" s="192" t="s">
        <v>979</v>
      </c>
      <c r="G130" s="192">
        <v>1.1850000000000001</v>
      </c>
      <c r="H130" s="192"/>
      <c r="I130" s="192"/>
      <c r="J130" s="192"/>
      <c r="K130" s="192">
        <v>23.8</v>
      </c>
      <c r="L130" s="192"/>
      <c r="M130" s="192"/>
      <c r="N130" s="192"/>
      <c r="O130" s="192" t="s">
        <v>692</v>
      </c>
      <c r="P130" s="192">
        <v>0.51739100000000005</v>
      </c>
      <c r="Q130" s="192"/>
      <c r="R130" s="192"/>
      <c r="S130" s="192"/>
      <c r="T130" s="192"/>
      <c r="U130" s="192"/>
      <c r="V130" s="192"/>
      <c r="W130" s="192"/>
      <c r="X130" s="192"/>
      <c r="Y130" s="192"/>
      <c r="Z130" s="192"/>
      <c r="AA130" s="192"/>
      <c r="AB130" s="192"/>
      <c r="AC130" s="192"/>
      <c r="AD130" s="192"/>
      <c r="AE130" s="192"/>
      <c r="AF130" s="192"/>
      <c r="AG130" s="192"/>
      <c r="AH130" s="192"/>
      <c r="AK130" s="1"/>
      <c r="AL130" s="1"/>
      <c r="AM130" s="1"/>
    </row>
    <row r="131" spans="1:39" ht="20.100000000000001" customHeight="1" x14ac:dyDescent="0.2">
      <c r="D131" s="192" t="s">
        <v>2442</v>
      </c>
      <c r="E131" s="192" t="s">
        <v>2476</v>
      </c>
      <c r="F131" s="192" t="s">
        <v>979</v>
      </c>
      <c r="G131" s="192">
        <v>1.2549999999999999</v>
      </c>
      <c r="H131" s="192"/>
      <c r="I131" s="192"/>
      <c r="J131" s="192"/>
      <c r="K131" s="192"/>
      <c r="L131" s="192"/>
      <c r="M131" s="192">
        <v>0.1</v>
      </c>
      <c r="N131" s="192">
        <v>4.4000000000000004</v>
      </c>
      <c r="O131" s="192" t="s">
        <v>705</v>
      </c>
      <c r="P131" s="192">
        <v>4.3999999999999997E-2</v>
      </c>
      <c r="Q131" s="192" t="s">
        <v>2432</v>
      </c>
      <c r="R131" s="192">
        <v>2.1999999999999999E-2</v>
      </c>
      <c r="S131" s="192" t="s">
        <v>2434</v>
      </c>
      <c r="T131" s="192">
        <v>2.1999999999999999E-2</v>
      </c>
      <c r="U131" s="192" t="s">
        <v>2433</v>
      </c>
      <c r="V131" s="192">
        <v>1.6E-2</v>
      </c>
      <c r="W131" s="192" t="s">
        <v>2436</v>
      </c>
      <c r="X131" s="192">
        <v>8.0000000000000002E-3</v>
      </c>
      <c r="Y131" s="192" t="s">
        <v>2431</v>
      </c>
      <c r="Z131" s="192">
        <v>7.0000000000000001E-3</v>
      </c>
      <c r="AA131" s="192" t="s">
        <v>2477</v>
      </c>
      <c r="AB131" s="192">
        <v>5.0000000000000001E-3</v>
      </c>
      <c r="AC131" s="192" t="s">
        <v>2435</v>
      </c>
      <c r="AD131" s="192">
        <v>3.0000000000000001E-3</v>
      </c>
      <c r="AE131" s="192" t="s">
        <v>704</v>
      </c>
      <c r="AF131" s="192">
        <v>1E-3</v>
      </c>
      <c r="AG131" s="192" t="s">
        <v>2478</v>
      </c>
      <c r="AH131" s="192">
        <v>2.9999999999999997E-4</v>
      </c>
      <c r="AK131" s="1"/>
      <c r="AL131" s="1"/>
      <c r="AM131" s="1"/>
    </row>
    <row r="132" spans="1:39" ht="20.100000000000001" customHeight="1" x14ac:dyDescent="0.2">
      <c r="D132" s="192" t="s">
        <v>2460</v>
      </c>
      <c r="E132" s="192" t="s">
        <v>2479</v>
      </c>
      <c r="F132" s="192" t="s">
        <v>979</v>
      </c>
      <c r="G132" s="192">
        <v>1.23</v>
      </c>
      <c r="H132" s="192"/>
      <c r="I132" s="192"/>
      <c r="J132" s="192"/>
      <c r="K132" s="192">
        <v>9.7100000000000009</v>
      </c>
      <c r="L132" s="192"/>
      <c r="M132" s="192">
        <v>3.25</v>
      </c>
      <c r="N132" s="192">
        <v>2.11</v>
      </c>
      <c r="O132" s="192" t="s">
        <v>2385</v>
      </c>
      <c r="P132" s="192">
        <v>9.7100000000000006E-2</v>
      </c>
      <c r="Q132" s="192" t="s">
        <v>704</v>
      </c>
      <c r="R132" s="192">
        <v>3.2500000000000001E-2</v>
      </c>
      <c r="S132" s="192" t="s">
        <v>705</v>
      </c>
      <c r="T132" s="192">
        <v>2.1100000000000001E-2</v>
      </c>
      <c r="U132" s="192" t="s">
        <v>2432</v>
      </c>
      <c r="V132" s="192">
        <v>1.4999999999999999E-2</v>
      </c>
      <c r="W132" s="192" t="s">
        <v>2434</v>
      </c>
      <c r="X132" s="192">
        <v>1.11E-2</v>
      </c>
      <c r="Y132" s="192" t="s">
        <v>2433</v>
      </c>
      <c r="Z132" s="192">
        <v>1.15E-2</v>
      </c>
      <c r="AA132" s="192" t="s">
        <v>2431</v>
      </c>
      <c r="AB132" s="192">
        <v>4.4999999999999997E-3</v>
      </c>
      <c r="AC132" s="192" t="s">
        <v>2436</v>
      </c>
      <c r="AD132" s="192">
        <v>2E-3</v>
      </c>
      <c r="AE132" s="192"/>
      <c r="AF132" s="192"/>
      <c r="AG132" s="192"/>
      <c r="AH132" s="192"/>
      <c r="AK132" s="1"/>
      <c r="AL132" s="1"/>
      <c r="AM132" s="1"/>
    </row>
    <row r="133" spans="1:39" ht="20.100000000000001" customHeight="1" x14ac:dyDescent="0.2">
      <c r="D133" s="192" t="s">
        <v>2419</v>
      </c>
      <c r="E133" s="192" t="s">
        <v>2480</v>
      </c>
      <c r="F133" s="192" t="s">
        <v>738</v>
      </c>
      <c r="G133" s="192">
        <v>1</v>
      </c>
      <c r="H133" s="192"/>
      <c r="I133" s="192"/>
      <c r="J133" s="192"/>
      <c r="K133" s="192">
        <v>10</v>
      </c>
      <c r="L133" s="192">
        <v>10.9</v>
      </c>
      <c r="M133" s="192">
        <v>10</v>
      </c>
      <c r="N133" s="192">
        <v>4.34</v>
      </c>
      <c r="O133" s="192" t="s">
        <v>2371</v>
      </c>
      <c r="P133" s="192">
        <v>0.4178</v>
      </c>
      <c r="Q133" s="192" t="s">
        <v>2377</v>
      </c>
      <c r="R133" s="192">
        <v>0.17280000000000001</v>
      </c>
      <c r="S133" s="192" t="s">
        <v>2481</v>
      </c>
      <c r="T133" s="192">
        <v>0.24096400000000001</v>
      </c>
      <c r="U133" s="192" t="s">
        <v>2394</v>
      </c>
      <c r="V133" s="192">
        <v>0.1</v>
      </c>
      <c r="W133" s="192" t="s">
        <v>2431</v>
      </c>
      <c r="X133" s="192">
        <v>1.2E-2</v>
      </c>
      <c r="Y133" s="192" t="s">
        <v>2432</v>
      </c>
      <c r="Z133" s="192">
        <v>3.5999999999999999E-3</v>
      </c>
      <c r="AA133" s="192" t="s">
        <v>2436</v>
      </c>
      <c r="AB133" s="192">
        <v>1E-3</v>
      </c>
      <c r="AC133" s="192" t="s">
        <v>2482</v>
      </c>
      <c r="AD133" s="192">
        <v>5.1900000000000002E-2</v>
      </c>
      <c r="AE133" s="192"/>
      <c r="AF133" s="192"/>
      <c r="AG133" s="192"/>
      <c r="AH133" s="192"/>
      <c r="AK133" s="1"/>
      <c r="AL133" s="1"/>
      <c r="AM133" s="1"/>
    </row>
    <row r="134" spans="1:39" ht="20.100000000000001" customHeight="1" x14ac:dyDescent="0.2">
      <c r="D134" s="192" t="s">
        <v>2448</v>
      </c>
      <c r="E134" s="192" t="s">
        <v>2375</v>
      </c>
      <c r="F134" s="192" t="s">
        <v>738</v>
      </c>
      <c r="G134" s="192">
        <v>1</v>
      </c>
      <c r="H134" s="192"/>
      <c r="I134" s="192"/>
      <c r="J134" s="192"/>
      <c r="K134" s="192">
        <v>21</v>
      </c>
      <c r="L134" s="192"/>
      <c r="M134" s="192"/>
      <c r="N134" s="192">
        <v>24</v>
      </c>
      <c r="O134" s="192" t="s">
        <v>2375</v>
      </c>
      <c r="P134" s="192">
        <v>1</v>
      </c>
      <c r="Q134" s="192"/>
      <c r="R134" s="192"/>
      <c r="S134" s="192"/>
      <c r="T134" s="192"/>
      <c r="U134" s="192"/>
      <c r="V134" s="192"/>
      <c r="W134" s="192"/>
      <c r="X134" s="192"/>
      <c r="Y134" s="192"/>
      <c r="Z134" s="192"/>
      <c r="AA134" s="192"/>
      <c r="AB134" s="192"/>
      <c r="AC134" s="192"/>
      <c r="AD134" s="192"/>
      <c r="AE134" s="192"/>
      <c r="AF134" s="192"/>
      <c r="AG134" s="192"/>
      <c r="AH134" s="192"/>
      <c r="AK134" s="1"/>
      <c r="AL134" s="1"/>
      <c r="AM134" s="1"/>
    </row>
    <row r="135" spans="1:39" ht="20.100000000000001" customHeight="1" x14ac:dyDescent="0.2">
      <c r="D135" s="192" t="s">
        <v>2448</v>
      </c>
      <c r="E135" s="192" t="s">
        <v>2483</v>
      </c>
      <c r="F135" s="192" t="s">
        <v>738</v>
      </c>
      <c r="G135" s="192">
        <v>1</v>
      </c>
      <c r="H135" s="192"/>
      <c r="I135" s="192"/>
      <c r="J135" s="192"/>
      <c r="K135" s="192">
        <v>10</v>
      </c>
      <c r="L135" s="192">
        <v>21.9</v>
      </c>
      <c r="M135" s="192"/>
      <c r="N135" s="192">
        <v>1.5</v>
      </c>
      <c r="O135" s="192" t="s">
        <v>2371</v>
      </c>
      <c r="P135" s="192">
        <v>1</v>
      </c>
      <c r="Q135" s="192"/>
      <c r="R135" s="192"/>
      <c r="S135" s="192"/>
      <c r="T135" s="192"/>
      <c r="U135" s="192"/>
      <c r="V135" s="192"/>
      <c r="W135" s="192"/>
      <c r="X135" s="192"/>
      <c r="Y135" s="192"/>
      <c r="Z135" s="192"/>
      <c r="AA135" s="192"/>
      <c r="AB135" s="192"/>
      <c r="AC135" s="192"/>
      <c r="AD135" s="192"/>
      <c r="AE135" s="192"/>
      <c r="AF135" s="192"/>
      <c r="AG135" s="192"/>
      <c r="AH135" s="192"/>
      <c r="AK135" s="1"/>
      <c r="AL135" s="1"/>
      <c r="AM135" s="1"/>
    </row>
    <row r="136" spans="1:39" ht="20.100000000000001" customHeight="1" x14ac:dyDescent="0.2">
      <c r="D136" s="192" t="s">
        <v>2448</v>
      </c>
      <c r="E136" s="192" t="s">
        <v>692</v>
      </c>
      <c r="F136" s="192" t="s">
        <v>738</v>
      </c>
      <c r="G136" s="192">
        <v>1</v>
      </c>
      <c r="H136" s="192"/>
      <c r="I136" s="192"/>
      <c r="J136" s="192"/>
      <c r="K136" s="192">
        <v>46</v>
      </c>
      <c r="L136" s="192"/>
      <c r="M136" s="192"/>
      <c r="N136" s="192"/>
      <c r="O136" s="192" t="s">
        <v>692</v>
      </c>
      <c r="P136" s="192">
        <v>1</v>
      </c>
      <c r="Q136" s="192"/>
      <c r="R136" s="192"/>
      <c r="S136" s="192"/>
      <c r="T136" s="192"/>
      <c r="U136" s="192"/>
      <c r="V136" s="192"/>
      <c r="W136" s="192"/>
      <c r="X136" s="192"/>
      <c r="Y136" s="192"/>
      <c r="Z136" s="192"/>
      <c r="AA136" s="192"/>
      <c r="AB136" s="192"/>
      <c r="AC136" s="192"/>
      <c r="AD136" s="192"/>
      <c r="AE136" s="192"/>
      <c r="AF136" s="192"/>
      <c r="AG136" s="192"/>
      <c r="AH136" s="192"/>
      <c r="AK136" s="1"/>
      <c r="AL136" s="1"/>
      <c r="AM136" s="1"/>
    </row>
    <row r="137" spans="1:39" ht="20.100000000000001" customHeight="1" x14ac:dyDescent="0.2">
      <c r="D137" s="192" t="s">
        <v>2484</v>
      </c>
      <c r="E137" s="192" t="s">
        <v>2393</v>
      </c>
      <c r="F137" s="192" t="s">
        <v>738</v>
      </c>
      <c r="G137" s="192">
        <v>1</v>
      </c>
      <c r="H137" s="192"/>
      <c r="I137" s="192"/>
      <c r="J137" s="192"/>
      <c r="K137" s="192"/>
      <c r="L137" s="192"/>
      <c r="M137" s="192">
        <v>50</v>
      </c>
      <c r="N137" s="192"/>
      <c r="O137" s="192" t="s">
        <v>2393</v>
      </c>
      <c r="P137" s="192">
        <v>1</v>
      </c>
      <c r="Q137" s="192"/>
      <c r="R137" s="192"/>
      <c r="S137" s="192"/>
      <c r="T137" s="192"/>
      <c r="U137" s="192"/>
      <c r="V137" s="192"/>
      <c r="W137" s="192"/>
      <c r="X137" s="192"/>
      <c r="Y137" s="192"/>
      <c r="Z137" s="192"/>
      <c r="AA137" s="192"/>
      <c r="AB137" s="192"/>
      <c r="AC137" s="192"/>
      <c r="AD137" s="192"/>
      <c r="AE137" s="192"/>
      <c r="AF137" s="192"/>
      <c r="AG137" s="192"/>
      <c r="AH137" s="192"/>
      <c r="AK137" s="1"/>
      <c r="AL137" s="1"/>
      <c r="AM137" s="1"/>
    </row>
    <row r="138" spans="1:39" ht="20.100000000000001" customHeight="1" x14ac:dyDescent="0.2">
      <c r="D138" s="192" t="s">
        <v>2444</v>
      </c>
      <c r="E138" s="192" t="s">
        <v>2485</v>
      </c>
      <c r="F138" s="192" t="s">
        <v>979</v>
      </c>
      <c r="G138" s="192">
        <v>1.32</v>
      </c>
      <c r="H138" s="192"/>
      <c r="I138" s="192" t="s">
        <v>2400</v>
      </c>
      <c r="J138" s="192" t="s">
        <v>2400</v>
      </c>
      <c r="K138" s="192">
        <v>32</v>
      </c>
      <c r="L138" s="192"/>
      <c r="M138" s="192"/>
      <c r="N138" s="192"/>
      <c r="O138" s="192" t="s">
        <v>2376</v>
      </c>
      <c r="P138" s="192">
        <v>1</v>
      </c>
      <c r="Q138" s="192"/>
      <c r="R138" s="192"/>
      <c r="S138" s="192"/>
      <c r="T138" s="192"/>
      <c r="U138" s="192"/>
      <c r="V138" s="192"/>
      <c r="W138" s="192"/>
      <c r="X138" s="192"/>
      <c r="Y138" s="192"/>
      <c r="Z138" s="192"/>
      <c r="AA138" s="192"/>
      <c r="AB138" s="192"/>
      <c r="AC138" s="192"/>
      <c r="AD138" s="192"/>
      <c r="AE138" s="192"/>
      <c r="AF138" s="192"/>
      <c r="AG138" s="192"/>
      <c r="AH138" s="192"/>
      <c r="AK138" s="1"/>
      <c r="AL138" s="1"/>
      <c r="AM138" s="1"/>
    </row>
    <row r="139" spans="1:39" ht="20.100000000000001" customHeight="1" x14ac:dyDescent="0.2">
      <c r="A139" s="129" t="str">
        <f>HYPERLINK("#A1", "▲ Back to top")</f>
        <v>▲ Back to top</v>
      </c>
      <c r="D139" s="192" t="s">
        <v>2444</v>
      </c>
      <c r="E139" s="192" t="s">
        <v>2486</v>
      </c>
      <c r="F139" s="192" t="s">
        <v>738</v>
      </c>
      <c r="G139" s="192">
        <v>1</v>
      </c>
      <c r="H139" s="192"/>
      <c r="I139" s="192" t="s">
        <v>2400</v>
      </c>
      <c r="J139" s="192"/>
      <c r="K139" s="192">
        <v>46</v>
      </c>
      <c r="L139" s="192"/>
      <c r="M139" s="192"/>
      <c r="N139" s="192"/>
      <c r="O139" s="192" t="s">
        <v>692</v>
      </c>
      <c r="P139" s="192">
        <v>1</v>
      </c>
      <c r="Q139" s="192" t="s">
        <v>2487</v>
      </c>
      <c r="R139" s="192">
        <v>0</v>
      </c>
      <c r="S139" s="192"/>
      <c r="T139" s="192"/>
      <c r="U139" s="192"/>
      <c r="V139" s="192"/>
      <c r="W139" s="192"/>
      <c r="X139" s="192"/>
      <c r="Y139" s="192"/>
      <c r="Z139" s="192"/>
      <c r="AA139" s="192"/>
      <c r="AB139" s="192"/>
      <c r="AC139" s="192"/>
      <c r="AD139" s="192"/>
      <c r="AE139" s="192"/>
      <c r="AF139" s="192"/>
      <c r="AG139" s="192"/>
      <c r="AH139" s="192"/>
      <c r="AK139" s="1"/>
      <c r="AL139" s="1"/>
      <c r="AM139" s="1"/>
    </row>
    <row r="140" spans="1:39" ht="20.100000000000001" customHeight="1" x14ac:dyDescent="0.2">
      <c r="D140" s="192" t="s">
        <v>2488</v>
      </c>
      <c r="E140" s="192" t="s">
        <v>2489</v>
      </c>
      <c r="F140" s="192" t="s">
        <v>738</v>
      </c>
      <c r="G140" s="192">
        <v>1</v>
      </c>
      <c r="H140" s="192"/>
      <c r="I140" s="192"/>
      <c r="J140" s="192"/>
      <c r="K140" s="192">
        <v>15.5</v>
      </c>
      <c r="L140" s="192"/>
      <c r="M140" s="192"/>
      <c r="N140" s="192"/>
      <c r="O140" s="192" t="s">
        <v>702</v>
      </c>
      <c r="P140" s="192">
        <v>1</v>
      </c>
      <c r="Q140" s="192"/>
      <c r="R140" s="192"/>
      <c r="S140" s="192"/>
      <c r="T140" s="192"/>
      <c r="U140" s="192"/>
      <c r="V140" s="192"/>
      <c r="W140" s="192"/>
      <c r="X140" s="192"/>
      <c r="Y140" s="192"/>
      <c r="Z140" s="192"/>
      <c r="AA140" s="192"/>
      <c r="AB140" s="192"/>
      <c r="AC140" s="192"/>
      <c r="AD140" s="192"/>
      <c r="AE140" s="192"/>
      <c r="AF140" s="192"/>
      <c r="AG140" s="192"/>
      <c r="AH140" s="192"/>
      <c r="AK140" s="1"/>
      <c r="AL140" s="1"/>
      <c r="AM140" s="1"/>
    </row>
    <row r="141" spans="1:39" ht="20.100000000000001" customHeight="1" x14ac:dyDescent="0.2">
      <c r="D141" s="192" t="s">
        <v>2488</v>
      </c>
      <c r="E141" s="192" t="s">
        <v>2490</v>
      </c>
      <c r="F141" s="192" t="s">
        <v>738</v>
      </c>
      <c r="G141" s="192">
        <v>1</v>
      </c>
      <c r="H141" s="192"/>
      <c r="I141" s="192"/>
      <c r="J141" s="192"/>
      <c r="K141" s="192">
        <v>15.4</v>
      </c>
      <c r="L141" s="192"/>
      <c r="M141" s="192"/>
      <c r="N141" s="192"/>
      <c r="O141" s="192" t="s">
        <v>702</v>
      </c>
      <c r="P141" s="192">
        <v>0.99354799999999999</v>
      </c>
      <c r="Q141" s="192" t="s">
        <v>2436</v>
      </c>
      <c r="R141" s="192">
        <v>3.0000000000000001E-3</v>
      </c>
      <c r="S141" s="192"/>
      <c r="T141" s="192"/>
      <c r="U141" s="192"/>
      <c r="V141" s="192"/>
      <c r="W141" s="192"/>
      <c r="X141" s="192"/>
      <c r="Y141" s="192"/>
      <c r="Z141" s="192"/>
      <c r="AA141" s="192"/>
      <c r="AB141" s="192"/>
      <c r="AC141" s="192"/>
      <c r="AD141" s="192"/>
      <c r="AE141" s="192"/>
      <c r="AF141" s="192"/>
      <c r="AG141" s="192"/>
      <c r="AH141" s="192"/>
      <c r="AK141" s="1"/>
      <c r="AL141" s="1"/>
      <c r="AM141" s="1"/>
    </row>
    <row r="142" spans="1:39" ht="20.100000000000001" customHeight="1" x14ac:dyDescent="0.2">
      <c r="D142" s="192" t="s">
        <v>2488</v>
      </c>
      <c r="E142" s="192" t="s">
        <v>2491</v>
      </c>
      <c r="F142" s="192" t="s">
        <v>738</v>
      </c>
      <c r="G142" s="192">
        <v>1</v>
      </c>
      <c r="H142" s="192"/>
      <c r="I142" s="192"/>
      <c r="J142" s="192"/>
      <c r="K142" s="192">
        <v>12</v>
      </c>
      <c r="L142" s="192">
        <v>5</v>
      </c>
      <c r="M142" s="192">
        <v>15</v>
      </c>
      <c r="N142" s="192">
        <v>8</v>
      </c>
      <c r="O142" s="192" t="s">
        <v>2382</v>
      </c>
      <c r="P142" s="192">
        <v>0.05</v>
      </c>
      <c r="Q142" s="192" t="s">
        <v>2380</v>
      </c>
      <c r="R142" s="192">
        <v>7.0000000000000007E-2</v>
      </c>
      <c r="S142" s="192" t="s">
        <v>2387</v>
      </c>
      <c r="T142" s="192">
        <v>0.05</v>
      </c>
      <c r="U142" s="192" t="s">
        <v>704</v>
      </c>
      <c r="V142" s="192">
        <v>0.15</v>
      </c>
      <c r="W142" s="192" t="s">
        <v>705</v>
      </c>
      <c r="X142" s="192">
        <v>0.08</v>
      </c>
      <c r="Y142" s="192" t="s">
        <v>2431</v>
      </c>
      <c r="Z142" s="192">
        <v>1.6E-2</v>
      </c>
      <c r="AA142" s="192" t="s">
        <v>2432</v>
      </c>
      <c r="AB142" s="192">
        <v>2.0000000000000001E-4</v>
      </c>
      <c r="AC142" s="192" t="s">
        <v>2436</v>
      </c>
      <c r="AD142" s="192">
        <v>1.4999999999999999E-4</v>
      </c>
      <c r="AE142" s="192"/>
      <c r="AF142" s="192"/>
      <c r="AG142" s="192"/>
      <c r="AH142" s="192"/>
      <c r="AK142" s="1"/>
      <c r="AL142" s="1"/>
      <c r="AM142" s="1"/>
    </row>
    <row r="143" spans="1:39" ht="20.100000000000001" customHeight="1" x14ac:dyDescent="0.2">
      <c r="D143" s="192" t="s">
        <v>2488</v>
      </c>
      <c r="E143" s="192" t="s">
        <v>2492</v>
      </c>
      <c r="F143" s="192" t="s">
        <v>738</v>
      </c>
      <c r="G143" s="192">
        <v>1</v>
      </c>
      <c r="H143" s="192"/>
      <c r="I143" s="192"/>
      <c r="J143" s="192"/>
      <c r="K143" s="192">
        <v>9</v>
      </c>
      <c r="L143" s="192"/>
      <c r="M143" s="192">
        <v>30</v>
      </c>
      <c r="N143" s="192">
        <v>14</v>
      </c>
      <c r="O143" s="192" t="s">
        <v>704</v>
      </c>
      <c r="P143" s="192">
        <v>0.3</v>
      </c>
      <c r="Q143" s="192" t="s">
        <v>705</v>
      </c>
      <c r="R143" s="192">
        <v>0.14000000000000001</v>
      </c>
      <c r="S143" s="192" t="s">
        <v>2382</v>
      </c>
      <c r="T143" s="192">
        <v>4.4999999999999998E-2</v>
      </c>
      <c r="U143" s="192" t="s">
        <v>2380</v>
      </c>
      <c r="V143" s="192">
        <v>4.4999999999999998E-2</v>
      </c>
      <c r="W143" s="192"/>
      <c r="X143" s="192"/>
      <c r="Y143" s="192"/>
      <c r="Z143" s="192"/>
      <c r="AA143" s="192"/>
      <c r="AB143" s="192"/>
      <c r="AC143" s="192"/>
      <c r="AD143" s="192"/>
      <c r="AE143" s="192"/>
      <c r="AF143" s="192"/>
      <c r="AG143" s="192"/>
      <c r="AH143" s="192"/>
      <c r="AK143" s="1"/>
      <c r="AL143" s="1"/>
      <c r="AM143" s="1"/>
    </row>
    <row r="144" spans="1:39" ht="20.100000000000001" customHeight="1" x14ac:dyDescent="0.2">
      <c r="D144" s="192" t="s">
        <v>2488</v>
      </c>
      <c r="E144" s="192" t="s">
        <v>2493</v>
      </c>
      <c r="F144" s="192" t="s">
        <v>738</v>
      </c>
      <c r="G144" s="192">
        <v>1</v>
      </c>
      <c r="H144" s="192"/>
      <c r="I144" s="192"/>
      <c r="J144" s="192"/>
      <c r="K144" s="192">
        <v>13</v>
      </c>
      <c r="L144" s="192">
        <v>1.75</v>
      </c>
      <c r="M144" s="192">
        <v>21</v>
      </c>
      <c r="N144" s="192">
        <v>10.8</v>
      </c>
      <c r="O144" s="192" t="s">
        <v>704</v>
      </c>
      <c r="P144" s="192">
        <v>0.21</v>
      </c>
      <c r="Q144" s="192" t="s">
        <v>705</v>
      </c>
      <c r="R144" s="192">
        <v>0.108</v>
      </c>
      <c r="S144" s="192" t="s">
        <v>2380</v>
      </c>
      <c r="T144" s="192">
        <v>7.6999999999999999E-2</v>
      </c>
      <c r="U144" s="192" t="s">
        <v>2382</v>
      </c>
      <c r="V144" s="192">
        <v>5.2999999999999999E-2</v>
      </c>
      <c r="W144" s="192" t="s">
        <v>2387</v>
      </c>
      <c r="X144" s="192">
        <v>1.7500000000000002E-2</v>
      </c>
      <c r="Y144" s="192" t="s">
        <v>2431</v>
      </c>
      <c r="Z144" s="192">
        <v>4.0000000000000001E-3</v>
      </c>
      <c r="AA144" s="192" t="s">
        <v>2432</v>
      </c>
      <c r="AB144" s="192">
        <v>8.0000000000000004E-4</v>
      </c>
      <c r="AC144" s="192" t="s">
        <v>2436</v>
      </c>
      <c r="AD144" s="192">
        <v>8.0000000000000004E-4</v>
      </c>
      <c r="AE144" s="192"/>
      <c r="AF144" s="192"/>
      <c r="AG144" s="192"/>
      <c r="AH144" s="192"/>
      <c r="AK144" s="1"/>
      <c r="AL144" s="1"/>
      <c r="AM144" s="1"/>
    </row>
    <row r="145" spans="4:39" ht="20.100000000000001" customHeight="1" x14ac:dyDescent="0.2">
      <c r="D145" s="192" t="s">
        <v>2488</v>
      </c>
      <c r="E145" s="192" t="s">
        <v>2494</v>
      </c>
      <c r="F145" s="192" t="s">
        <v>738</v>
      </c>
      <c r="G145" s="192">
        <v>1</v>
      </c>
      <c r="H145" s="192"/>
      <c r="I145" s="192"/>
      <c r="J145" s="192"/>
      <c r="K145" s="192">
        <v>15</v>
      </c>
      <c r="L145" s="192">
        <v>6.5</v>
      </c>
      <c r="M145" s="192">
        <v>12.5</v>
      </c>
      <c r="N145" s="192">
        <v>7.2</v>
      </c>
      <c r="O145" s="192" t="s">
        <v>2382</v>
      </c>
      <c r="P145" s="192">
        <v>9.5000000000000001E-2</v>
      </c>
      <c r="Q145" s="192" t="s">
        <v>704</v>
      </c>
      <c r="R145" s="192">
        <v>0.125</v>
      </c>
      <c r="S145" s="192" t="s">
        <v>705</v>
      </c>
      <c r="T145" s="192">
        <v>7.1999999999999995E-2</v>
      </c>
      <c r="U145" s="192" t="s">
        <v>2387</v>
      </c>
      <c r="V145" s="192">
        <v>6.5000000000000002E-2</v>
      </c>
      <c r="W145" s="192" t="s">
        <v>2380</v>
      </c>
      <c r="X145" s="192">
        <v>5.5E-2</v>
      </c>
      <c r="Y145" s="192" t="s">
        <v>2431</v>
      </c>
      <c r="Z145" s="192">
        <v>6.6E-3</v>
      </c>
      <c r="AA145" s="192" t="s">
        <v>2436</v>
      </c>
      <c r="AB145" s="192">
        <v>1E-3</v>
      </c>
      <c r="AC145" s="192" t="s">
        <v>2432</v>
      </c>
      <c r="AD145" s="192">
        <v>5.9999999999999995E-4</v>
      </c>
      <c r="AE145" s="192"/>
      <c r="AF145" s="192"/>
      <c r="AG145" s="192"/>
      <c r="AH145" s="192"/>
      <c r="AK145" s="1"/>
      <c r="AL145" s="1"/>
      <c r="AM145" s="1"/>
    </row>
    <row r="146" spans="4:39" ht="20.100000000000001" customHeight="1" x14ac:dyDescent="0.2">
      <c r="D146" s="192" t="s">
        <v>2488</v>
      </c>
      <c r="E146" s="192" t="s">
        <v>2495</v>
      </c>
      <c r="F146" s="192" t="s">
        <v>738</v>
      </c>
      <c r="G146" s="192">
        <v>1</v>
      </c>
      <c r="H146" s="192"/>
      <c r="I146" s="192"/>
      <c r="J146" s="192"/>
      <c r="K146" s="192">
        <v>15.5</v>
      </c>
      <c r="L146" s="192"/>
      <c r="M146" s="192"/>
      <c r="N146" s="192"/>
      <c r="O146" s="192" t="s">
        <v>702</v>
      </c>
      <c r="P146" s="192">
        <v>1</v>
      </c>
      <c r="Q146" s="192" t="s">
        <v>2436</v>
      </c>
      <c r="R146" s="192">
        <v>1E-3</v>
      </c>
      <c r="S146" s="192"/>
      <c r="T146" s="192"/>
      <c r="U146" s="192"/>
      <c r="V146" s="192"/>
      <c r="W146" s="192"/>
      <c r="X146" s="192"/>
      <c r="Y146" s="192"/>
      <c r="Z146" s="192"/>
      <c r="AA146" s="192"/>
      <c r="AB146" s="192"/>
      <c r="AC146" s="192"/>
      <c r="AD146" s="192"/>
      <c r="AE146" s="192"/>
      <c r="AF146" s="192"/>
      <c r="AG146" s="192"/>
      <c r="AH146" s="192"/>
      <c r="AK146" s="1"/>
      <c r="AL146" s="1"/>
      <c r="AM146" s="1"/>
    </row>
    <row r="147" spans="4:39" ht="20.100000000000001" customHeight="1" x14ac:dyDescent="0.2">
      <c r="D147" s="192" t="s">
        <v>2488</v>
      </c>
      <c r="E147" s="192" t="s">
        <v>2496</v>
      </c>
      <c r="F147" s="192" t="s">
        <v>738</v>
      </c>
      <c r="G147" s="192">
        <v>1</v>
      </c>
      <c r="H147" s="192"/>
      <c r="I147" s="192"/>
      <c r="J147" s="192"/>
      <c r="K147" s="192">
        <v>10</v>
      </c>
      <c r="L147" s="192">
        <v>21.9</v>
      </c>
      <c r="M147" s="192"/>
      <c r="N147" s="192"/>
      <c r="O147" s="192" t="s">
        <v>2371</v>
      </c>
      <c r="P147" s="192">
        <v>1</v>
      </c>
      <c r="Q147" s="192"/>
      <c r="R147" s="192"/>
      <c r="S147" s="192"/>
      <c r="T147" s="192"/>
      <c r="U147" s="192"/>
      <c r="V147" s="192"/>
      <c r="W147" s="192"/>
      <c r="X147" s="192"/>
      <c r="Y147" s="192"/>
      <c r="Z147" s="192"/>
      <c r="AA147" s="192"/>
      <c r="AB147" s="192"/>
      <c r="AC147" s="192"/>
      <c r="AD147" s="192"/>
      <c r="AE147" s="192"/>
      <c r="AF147" s="192"/>
      <c r="AG147" s="192"/>
      <c r="AH147" s="192"/>
      <c r="AK147" s="1"/>
      <c r="AL147" s="1"/>
      <c r="AM147" s="1"/>
    </row>
    <row r="148" spans="4:39" ht="20.100000000000001" customHeight="1" x14ac:dyDescent="0.2">
      <c r="D148" s="192" t="s">
        <v>2488</v>
      </c>
      <c r="E148" s="192" t="s">
        <v>2497</v>
      </c>
      <c r="F148" s="192" t="s">
        <v>738</v>
      </c>
      <c r="G148" s="192">
        <v>1</v>
      </c>
      <c r="H148" s="192"/>
      <c r="I148" s="192"/>
      <c r="J148" s="192"/>
      <c r="K148" s="192">
        <v>12</v>
      </c>
      <c r="L148" s="192">
        <v>5.2</v>
      </c>
      <c r="M148" s="192">
        <v>29.9</v>
      </c>
      <c r="N148" s="192">
        <v>1</v>
      </c>
      <c r="O148" s="192" t="s">
        <v>704</v>
      </c>
      <c r="P148" s="192">
        <v>0.29899999999999999</v>
      </c>
      <c r="Q148" s="192" t="s">
        <v>2382</v>
      </c>
      <c r="R148" s="192">
        <v>0.10100000000000001</v>
      </c>
      <c r="S148" s="192" t="s">
        <v>2387</v>
      </c>
      <c r="T148" s="192">
        <v>5.1999999999999998E-2</v>
      </c>
      <c r="U148" s="192" t="s">
        <v>2380</v>
      </c>
      <c r="V148" s="192">
        <v>1.9E-2</v>
      </c>
      <c r="W148" s="192" t="s">
        <v>705</v>
      </c>
      <c r="X148" s="192">
        <v>0.01</v>
      </c>
      <c r="Y148" s="192" t="s">
        <v>2431</v>
      </c>
      <c r="Z148" s="192">
        <v>6.0000000000000001E-3</v>
      </c>
      <c r="AA148" s="192" t="s">
        <v>2434</v>
      </c>
      <c r="AB148" s="192">
        <v>6.9999999999999999E-4</v>
      </c>
      <c r="AC148" s="192" t="s">
        <v>2433</v>
      </c>
      <c r="AD148" s="192">
        <v>4.0000000000000002E-4</v>
      </c>
      <c r="AE148" s="192" t="s">
        <v>2432</v>
      </c>
      <c r="AF148" s="192">
        <v>2.5000000000000001E-4</v>
      </c>
      <c r="AG148" s="192" t="s">
        <v>2436</v>
      </c>
      <c r="AH148" s="192">
        <v>2.5000000000000001E-4</v>
      </c>
      <c r="AK148" s="1"/>
      <c r="AL148" s="1"/>
      <c r="AM148" s="1"/>
    </row>
    <row r="149" spans="4:39" ht="20.100000000000001" customHeight="1" x14ac:dyDescent="0.2">
      <c r="D149" s="192" t="s">
        <v>2488</v>
      </c>
      <c r="E149" s="192" t="s">
        <v>2498</v>
      </c>
      <c r="F149" s="192" t="s">
        <v>738</v>
      </c>
      <c r="G149" s="192">
        <v>1</v>
      </c>
      <c r="H149" s="192"/>
      <c r="I149" s="192"/>
      <c r="J149" s="192"/>
      <c r="K149" s="192">
        <v>18</v>
      </c>
      <c r="L149" s="192">
        <v>7.9</v>
      </c>
      <c r="M149" s="192">
        <v>14.9</v>
      </c>
      <c r="N149" s="192">
        <v>2</v>
      </c>
      <c r="O149" s="192" t="s">
        <v>704</v>
      </c>
      <c r="P149" s="192">
        <v>0.14899999999999999</v>
      </c>
      <c r="Q149" s="192" t="s">
        <v>692</v>
      </c>
      <c r="R149" s="192">
        <v>0.21304300000000001</v>
      </c>
      <c r="S149" s="192" t="s">
        <v>2387</v>
      </c>
      <c r="T149" s="192">
        <v>7.9000000000000001E-2</v>
      </c>
      <c r="U149" s="192" t="s">
        <v>2382</v>
      </c>
      <c r="V149" s="192">
        <v>4.9000000000000002E-2</v>
      </c>
      <c r="W149" s="192" t="s">
        <v>2380</v>
      </c>
      <c r="X149" s="192">
        <v>3.3000000000000002E-2</v>
      </c>
      <c r="Y149" s="192" t="s">
        <v>705</v>
      </c>
      <c r="Z149" s="192">
        <v>0.02</v>
      </c>
      <c r="AA149" s="192" t="s">
        <v>2431</v>
      </c>
      <c r="AB149" s="192">
        <v>1.7999999999999999E-2</v>
      </c>
      <c r="AC149" s="192" t="s">
        <v>2434</v>
      </c>
      <c r="AD149" s="192">
        <v>6.9999999999999999E-4</v>
      </c>
      <c r="AE149" s="192" t="s">
        <v>2433</v>
      </c>
      <c r="AF149" s="192">
        <v>4.0000000000000002E-4</v>
      </c>
      <c r="AG149" s="192" t="s">
        <v>2432</v>
      </c>
      <c r="AH149" s="192">
        <v>2.5000000000000001E-4</v>
      </c>
      <c r="AK149" s="1"/>
      <c r="AL149" s="1"/>
      <c r="AM149" s="1"/>
    </row>
    <row r="150" spans="4:39" ht="20.100000000000001" customHeight="1" x14ac:dyDescent="0.2">
      <c r="D150" s="192" t="s">
        <v>2488</v>
      </c>
      <c r="E150" s="192" t="s">
        <v>2499</v>
      </c>
      <c r="F150" s="192" t="s">
        <v>738</v>
      </c>
      <c r="G150" s="192">
        <v>1</v>
      </c>
      <c r="H150" s="192"/>
      <c r="I150" s="192"/>
      <c r="J150" s="192"/>
      <c r="K150" s="192">
        <v>21</v>
      </c>
      <c r="L150" s="192">
        <v>7.4</v>
      </c>
      <c r="M150" s="192">
        <v>2.5</v>
      </c>
      <c r="N150" s="192">
        <v>4</v>
      </c>
      <c r="O150" s="192" t="s">
        <v>2382</v>
      </c>
      <c r="P150" s="192">
        <v>0.105</v>
      </c>
      <c r="Q150" s="192" t="s">
        <v>2380</v>
      </c>
      <c r="R150" s="192">
        <v>0.105</v>
      </c>
      <c r="S150" s="192" t="s">
        <v>2387</v>
      </c>
      <c r="T150" s="192">
        <v>7.3999999999999996E-2</v>
      </c>
      <c r="U150" s="192" t="s">
        <v>705</v>
      </c>
      <c r="V150" s="192">
        <v>0.04</v>
      </c>
      <c r="W150" s="192" t="s">
        <v>704</v>
      </c>
      <c r="X150" s="192">
        <v>2.5000000000000001E-2</v>
      </c>
      <c r="Y150" s="192" t="s">
        <v>2431</v>
      </c>
      <c r="Z150" s="192">
        <v>4.0000000000000001E-3</v>
      </c>
      <c r="AA150" s="192" t="s">
        <v>2432</v>
      </c>
      <c r="AB150" s="192">
        <v>1.5E-3</v>
      </c>
      <c r="AC150" s="192"/>
      <c r="AD150" s="192"/>
      <c r="AE150" s="192"/>
      <c r="AF150" s="192"/>
      <c r="AG150" s="192"/>
      <c r="AH150" s="192"/>
      <c r="AK150" s="1"/>
      <c r="AL150" s="1"/>
      <c r="AM150" s="1"/>
    </row>
    <row r="151" spans="4:39" ht="20.100000000000001" customHeight="1" x14ac:dyDescent="0.2">
      <c r="D151" s="192" t="s">
        <v>2488</v>
      </c>
      <c r="E151" s="192" t="s">
        <v>2500</v>
      </c>
      <c r="F151" s="192" t="s">
        <v>738</v>
      </c>
      <c r="G151" s="192">
        <v>1</v>
      </c>
      <c r="H151" s="192"/>
      <c r="I151" s="192"/>
      <c r="J151" s="192"/>
      <c r="K151" s="192">
        <v>7.5</v>
      </c>
      <c r="L151" s="192"/>
      <c r="M151" s="192">
        <v>29.9</v>
      </c>
      <c r="N151" s="192">
        <v>4</v>
      </c>
      <c r="O151" s="192" t="s">
        <v>704</v>
      </c>
      <c r="P151" s="192">
        <v>0.29899999999999999</v>
      </c>
      <c r="Q151" s="192" t="s">
        <v>2382</v>
      </c>
      <c r="R151" s="192">
        <v>5.1999999999999998E-2</v>
      </c>
      <c r="S151" s="192" t="s">
        <v>705</v>
      </c>
      <c r="T151" s="192">
        <v>0.04</v>
      </c>
      <c r="U151" s="192" t="s">
        <v>2431</v>
      </c>
      <c r="V151" s="192">
        <v>2.7E-2</v>
      </c>
      <c r="W151" s="192" t="s">
        <v>2380</v>
      </c>
      <c r="X151" s="192">
        <v>2.3E-2</v>
      </c>
      <c r="Y151" s="192"/>
      <c r="Z151" s="192"/>
      <c r="AA151" s="192"/>
      <c r="AB151" s="192"/>
      <c r="AC151" s="192"/>
      <c r="AD151" s="192"/>
      <c r="AE151" s="192"/>
      <c r="AF151" s="192"/>
      <c r="AG151" s="192"/>
      <c r="AH151" s="192"/>
      <c r="AK151" s="1"/>
      <c r="AL151" s="1"/>
      <c r="AM151" s="1"/>
    </row>
    <row r="152" spans="4:39" ht="20.100000000000001" customHeight="1" x14ac:dyDescent="0.2">
      <c r="D152" s="192" t="s">
        <v>2419</v>
      </c>
      <c r="E152" s="192" t="s">
        <v>2501</v>
      </c>
      <c r="F152" s="192" t="s">
        <v>738</v>
      </c>
      <c r="G152" s="192">
        <v>1</v>
      </c>
      <c r="H152" s="192"/>
      <c r="I152" s="192"/>
      <c r="J152" s="192"/>
      <c r="K152" s="192">
        <v>10</v>
      </c>
      <c r="L152" s="192">
        <v>21.9</v>
      </c>
      <c r="M152" s="192"/>
      <c r="N152" s="192"/>
      <c r="O152" s="192" t="s">
        <v>2371</v>
      </c>
      <c r="P152" s="192">
        <v>1</v>
      </c>
      <c r="Q152" s="192"/>
      <c r="R152" s="192"/>
      <c r="S152" s="192"/>
      <c r="T152" s="192"/>
      <c r="U152" s="192"/>
      <c r="V152" s="192"/>
      <c r="W152" s="192"/>
      <c r="X152" s="192"/>
      <c r="Y152" s="192"/>
      <c r="Z152" s="192"/>
      <c r="AA152" s="192"/>
      <c r="AB152" s="192"/>
      <c r="AC152" s="192"/>
      <c r="AD152" s="192"/>
      <c r="AE152" s="192"/>
      <c r="AF152" s="192"/>
      <c r="AG152" s="192"/>
      <c r="AH152" s="192"/>
      <c r="AK152" s="1"/>
      <c r="AL152" s="1"/>
      <c r="AM152" s="1"/>
    </row>
    <row r="153" spans="4:39" ht="20.100000000000001" customHeight="1" x14ac:dyDescent="0.2">
      <c r="D153" s="192" t="s">
        <v>2419</v>
      </c>
      <c r="E153" s="192" t="s">
        <v>2502</v>
      </c>
      <c r="F153" s="192" t="s">
        <v>738</v>
      </c>
      <c r="G153" s="192">
        <v>1</v>
      </c>
      <c r="H153" s="192"/>
      <c r="I153" s="192"/>
      <c r="J153" s="192"/>
      <c r="K153" s="192">
        <v>21</v>
      </c>
      <c r="L153" s="192"/>
      <c r="M153" s="192"/>
      <c r="N153" s="192">
        <v>24</v>
      </c>
      <c r="O153" s="192" t="s">
        <v>2375</v>
      </c>
      <c r="P153" s="192">
        <v>1</v>
      </c>
      <c r="Q153" s="192"/>
      <c r="R153" s="192"/>
      <c r="S153" s="192"/>
      <c r="T153" s="192"/>
      <c r="U153" s="192"/>
      <c r="V153" s="192"/>
      <c r="W153" s="192"/>
      <c r="X153" s="192"/>
      <c r="Y153" s="192"/>
      <c r="Z153" s="192"/>
      <c r="AA153" s="192"/>
      <c r="AB153" s="192"/>
      <c r="AC153" s="192"/>
      <c r="AD153" s="192"/>
      <c r="AE153" s="192"/>
      <c r="AF153" s="192"/>
      <c r="AG153" s="192"/>
      <c r="AH153" s="192"/>
      <c r="AK153" s="1"/>
      <c r="AL153" s="1"/>
      <c r="AM153" s="1"/>
    </row>
    <row r="154" spans="4:39" ht="20.100000000000001" customHeight="1" x14ac:dyDescent="0.2">
      <c r="D154" s="192" t="s">
        <v>2419</v>
      </c>
      <c r="E154" s="192" t="s">
        <v>2503</v>
      </c>
      <c r="F154" s="192" t="s">
        <v>738</v>
      </c>
      <c r="G154" s="192">
        <v>1</v>
      </c>
      <c r="H154" s="192"/>
      <c r="I154" s="192"/>
      <c r="J154" s="192"/>
      <c r="K154" s="192">
        <v>12</v>
      </c>
      <c r="L154" s="192">
        <v>5</v>
      </c>
      <c r="M154" s="192">
        <v>14</v>
      </c>
      <c r="N154" s="192">
        <v>9.6999999999999993</v>
      </c>
      <c r="O154" s="192" t="s">
        <v>704</v>
      </c>
      <c r="P154" s="192">
        <v>0.14000000000000001</v>
      </c>
      <c r="Q154" s="192" t="s">
        <v>705</v>
      </c>
      <c r="R154" s="192">
        <v>9.7000000000000003E-2</v>
      </c>
      <c r="S154" s="192" t="s">
        <v>2382</v>
      </c>
      <c r="T154" s="192">
        <v>0.06</v>
      </c>
      <c r="U154" s="192" t="s">
        <v>2380</v>
      </c>
      <c r="V154" s="192">
        <v>0.06</v>
      </c>
      <c r="W154" s="192" t="s">
        <v>2387</v>
      </c>
      <c r="X154" s="192">
        <v>0.05</v>
      </c>
      <c r="Y154" s="192" t="s">
        <v>2424</v>
      </c>
      <c r="Z154" s="192">
        <v>3.1E-2</v>
      </c>
      <c r="AA154" s="192" t="s">
        <v>2431</v>
      </c>
      <c r="AB154" s="192">
        <v>1.2E-2</v>
      </c>
      <c r="AC154" s="192" t="s">
        <v>2432</v>
      </c>
      <c r="AD154" s="192">
        <v>1E-3</v>
      </c>
      <c r="AE154" s="192" t="s">
        <v>2436</v>
      </c>
      <c r="AF154" s="192">
        <v>2.0000000000000001E-4</v>
      </c>
      <c r="AG154" s="192"/>
      <c r="AH154" s="192"/>
      <c r="AK154" s="1"/>
    </row>
    <row r="155" spans="4:39" ht="20.100000000000001" customHeight="1" x14ac:dyDescent="0.2">
      <c r="D155" s="192" t="s">
        <v>2419</v>
      </c>
      <c r="E155" s="192" t="s">
        <v>2504</v>
      </c>
      <c r="F155" s="192" t="s">
        <v>738</v>
      </c>
      <c r="G155" s="192">
        <v>1</v>
      </c>
      <c r="H155" s="192"/>
      <c r="I155" s="192"/>
      <c r="J155" s="192"/>
      <c r="K155" s="192">
        <v>10</v>
      </c>
      <c r="L155" s="192">
        <v>11</v>
      </c>
      <c r="M155" s="192">
        <v>10</v>
      </c>
      <c r="N155" s="192">
        <v>6</v>
      </c>
      <c r="O155" s="192" t="s">
        <v>2387</v>
      </c>
      <c r="P155" s="192">
        <v>0.11</v>
      </c>
      <c r="Q155" s="192" t="s">
        <v>704</v>
      </c>
      <c r="R155" s="192">
        <v>0.1</v>
      </c>
      <c r="S155" s="192" t="s">
        <v>705</v>
      </c>
      <c r="T155" s="192">
        <v>0.06</v>
      </c>
      <c r="U155" s="192" t="s">
        <v>2382</v>
      </c>
      <c r="V155" s="192">
        <v>0.05</v>
      </c>
      <c r="W155" s="192" t="s">
        <v>2380</v>
      </c>
      <c r="X155" s="192">
        <v>0.05</v>
      </c>
      <c r="Y155" s="192" t="s">
        <v>2424</v>
      </c>
      <c r="Z155" s="192">
        <v>4.2999999999999997E-2</v>
      </c>
      <c r="AA155" s="192" t="s">
        <v>2431</v>
      </c>
      <c r="AB155" s="192">
        <v>1.2E-2</v>
      </c>
      <c r="AC155" s="192" t="s">
        <v>2432</v>
      </c>
      <c r="AD155" s="192">
        <v>3.5999999999999999E-3</v>
      </c>
      <c r="AE155" s="192" t="s">
        <v>2436</v>
      </c>
      <c r="AF155" s="192">
        <v>1E-3</v>
      </c>
      <c r="AG155" s="192"/>
      <c r="AH155" s="192"/>
      <c r="AK155" s="1"/>
    </row>
    <row r="156" spans="4:39" ht="20.100000000000001" customHeight="1" x14ac:dyDescent="0.2">
      <c r="D156" s="192" t="s">
        <v>2419</v>
      </c>
      <c r="E156" s="192" t="s">
        <v>2505</v>
      </c>
      <c r="F156" s="192" t="s">
        <v>738</v>
      </c>
      <c r="G156" s="192">
        <v>1</v>
      </c>
      <c r="H156" s="192"/>
      <c r="I156" s="192"/>
      <c r="J156" s="192"/>
      <c r="K156" s="192">
        <v>11</v>
      </c>
      <c r="L156" s="192">
        <v>2.6</v>
      </c>
      <c r="M156" s="192">
        <v>20.8</v>
      </c>
      <c r="N156" s="192">
        <v>4</v>
      </c>
      <c r="O156" s="192" t="s">
        <v>2382</v>
      </c>
      <c r="P156" s="192">
        <v>5.5E-2</v>
      </c>
      <c r="Q156" s="192" t="s">
        <v>2380</v>
      </c>
      <c r="R156" s="192">
        <v>5.5E-2</v>
      </c>
      <c r="S156" s="192" t="s">
        <v>2387</v>
      </c>
      <c r="T156" s="192">
        <v>2.5999999999999999E-2</v>
      </c>
      <c r="U156" s="192" t="s">
        <v>704</v>
      </c>
      <c r="V156" s="192">
        <v>0.20799999999999999</v>
      </c>
      <c r="W156" s="192" t="s">
        <v>705</v>
      </c>
      <c r="X156" s="192">
        <v>0.04</v>
      </c>
      <c r="Y156" s="192" t="s">
        <v>2431</v>
      </c>
      <c r="Z156" s="192">
        <v>2.4E-2</v>
      </c>
      <c r="AA156" s="192"/>
      <c r="AB156" s="192"/>
      <c r="AC156" s="192"/>
      <c r="AD156" s="192"/>
      <c r="AE156" s="192"/>
      <c r="AF156" s="192"/>
      <c r="AG156" s="192"/>
      <c r="AH156" s="192"/>
      <c r="AK156" s="1"/>
    </row>
    <row r="157" spans="4:39" ht="20.100000000000001" customHeight="1" x14ac:dyDescent="0.2">
      <c r="D157" s="192" t="s">
        <v>2419</v>
      </c>
      <c r="E157" s="192" t="s">
        <v>2506</v>
      </c>
      <c r="F157" s="192" t="s">
        <v>738</v>
      </c>
      <c r="G157" s="192">
        <v>1</v>
      </c>
      <c r="H157" s="192"/>
      <c r="I157" s="192"/>
      <c r="J157" s="192"/>
      <c r="K157" s="192">
        <v>12</v>
      </c>
      <c r="L157" s="192">
        <v>5.2</v>
      </c>
      <c r="M157" s="192">
        <v>14.1</v>
      </c>
      <c r="N157" s="192">
        <v>9.6</v>
      </c>
      <c r="O157" s="192" t="s">
        <v>704</v>
      </c>
      <c r="P157" s="192">
        <v>0.14099999999999999</v>
      </c>
      <c r="Q157" s="192" t="s">
        <v>705</v>
      </c>
      <c r="R157" s="192">
        <v>9.6000000000000002E-2</v>
      </c>
      <c r="S157" s="192" t="s">
        <v>2382</v>
      </c>
      <c r="T157" s="192">
        <v>0.06</v>
      </c>
      <c r="U157" s="192" t="s">
        <v>2380</v>
      </c>
      <c r="V157" s="192">
        <v>0.06</v>
      </c>
      <c r="W157" s="192" t="s">
        <v>2387</v>
      </c>
      <c r="X157" s="192">
        <v>5.1999999999999998E-2</v>
      </c>
      <c r="Y157" s="192" t="s">
        <v>2431</v>
      </c>
      <c r="Z157" s="192">
        <v>1.2E-2</v>
      </c>
      <c r="AA157" s="192" t="s">
        <v>2432</v>
      </c>
      <c r="AB157" s="192">
        <v>8.0000000000000004E-4</v>
      </c>
      <c r="AC157" s="192" t="s">
        <v>2434</v>
      </c>
      <c r="AD157" s="192">
        <v>6.9999999999999999E-4</v>
      </c>
      <c r="AE157" s="192" t="s">
        <v>2433</v>
      </c>
      <c r="AF157" s="192">
        <v>5.9999999999999995E-4</v>
      </c>
      <c r="AG157" s="192" t="s">
        <v>2436</v>
      </c>
      <c r="AH157" s="192">
        <v>2.0000000000000001E-4</v>
      </c>
      <c r="AK157" s="1"/>
    </row>
    <row r="158" spans="4:39" ht="20.100000000000001" customHeight="1" x14ac:dyDescent="0.2">
      <c r="D158" s="192" t="s">
        <v>2419</v>
      </c>
      <c r="E158" s="192" t="s">
        <v>2507</v>
      </c>
      <c r="F158" s="192" t="s">
        <v>738</v>
      </c>
      <c r="G158" s="192">
        <v>1</v>
      </c>
      <c r="H158" s="192"/>
      <c r="I158" s="192"/>
      <c r="J158" s="192"/>
      <c r="K158" s="192">
        <v>25</v>
      </c>
      <c r="L158" s="192"/>
      <c r="M158" s="192"/>
      <c r="N158" s="192">
        <v>12.8</v>
      </c>
      <c r="O158" s="192" t="s">
        <v>2375</v>
      </c>
      <c r="P158" s="192">
        <v>0.53333299999999995</v>
      </c>
      <c r="Q158" s="192" t="s">
        <v>2377</v>
      </c>
      <c r="R158" s="192">
        <v>0.40949600000000003</v>
      </c>
      <c r="S158" s="192" t="s">
        <v>2432</v>
      </c>
      <c r="T158" s="192">
        <v>1E-3</v>
      </c>
      <c r="U158" s="192" t="s">
        <v>2433</v>
      </c>
      <c r="V158" s="192">
        <v>1E-3</v>
      </c>
      <c r="W158" s="192" t="s">
        <v>2436</v>
      </c>
      <c r="X158" s="192">
        <v>1E-4</v>
      </c>
      <c r="Y158" s="192" t="s">
        <v>2478</v>
      </c>
      <c r="Z158" s="275">
        <v>1.0000000000000001E-5</v>
      </c>
      <c r="AA158" s="192"/>
      <c r="AB158" s="192"/>
      <c r="AC158" s="192"/>
      <c r="AD158" s="192"/>
      <c r="AE158" s="192"/>
      <c r="AF158" s="192"/>
      <c r="AG158" s="192"/>
      <c r="AH158" s="192"/>
      <c r="AK158" s="1"/>
    </row>
    <row r="159" spans="4:39" ht="20.100000000000001" customHeight="1" x14ac:dyDescent="0.2">
      <c r="D159" s="192" t="s">
        <v>2508</v>
      </c>
      <c r="E159" s="192" t="s">
        <v>2509</v>
      </c>
      <c r="F159" s="192" t="s">
        <v>738</v>
      </c>
      <c r="G159" s="192">
        <v>1</v>
      </c>
      <c r="H159" s="192"/>
      <c r="I159" s="192"/>
      <c r="J159" s="192"/>
      <c r="K159" s="192"/>
      <c r="L159" s="192">
        <v>8.8000000000000007</v>
      </c>
      <c r="M159" s="192"/>
      <c r="N159" s="192">
        <v>11</v>
      </c>
      <c r="O159" s="192" t="s">
        <v>2395</v>
      </c>
      <c r="P159" s="192">
        <v>1</v>
      </c>
      <c r="Q159" s="192"/>
      <c r="R159" s="192"/>
      <c r="S159" s="192"/>
      <c r="T159" s="192"/>
      <c r="U159" s="192"/>
      <c r="V159" s="192"/>
      <c r="W159" s="192"/>
      <c r="X159" s="192"/>
      <c r="Y159" s="192"/>
      <c r="Z159" s="192"/>
      <c r="AA159" s="192"/>
      <c r="AB159" s="192"/>
      <c r="AC159" s="192"/>
      <c r="AD159" s="192"/>
      <c r="AE159" s="192"/>
      <c r="AF159" s="192"/>
      <c r="AG159" s="192"/>
      <c r="AH159" s="192"/>
      <c r="AK159" s="1"/>
    </row>
    <row r="160" spans="4:39" ht="20.100000000000001" customHeight="1" x14ac:dyDescent="0.2">
      <c r="D160" s="192" t="s">
        <v>2448</v>
      </c>
      <c r="E160" s="192" t="s">
        <v>2510</v>
      </c>
      <c r="F160" s="192" t="s">
        <v>738</v>
      </c>
      <c r="G160" s="192">
        <v>1</v>
      </c>
      <c r="H160" s="192"/>
      <c r="I160" s="192"/>
      <c r="J160" s="192"/>
      <c r="K160" s="192">
        <v>10</v>
      </c>
      <c r="L160" s="192">
        <v>21.9</v>
      </c>
      <c r="M160" s="192">
        <v>0</v>
      </c>
      <c r="N160" s="192">
        <v>2</v>
      </c>
      <c r="O160" s="192" t="s">
        <v>2371</v>
      </c>
      <c r="P160" s="192">
        <v>1</v>
      </c>
      <c r="Q160" s="192" t="s">
        <v>2432</v>
      </c>
      <c r="R160" s="192">
        <v>0.01</v>
      </c>
      <c r="S160" s="192"/>
      <c r="T160" s="192"/>
      <c r="U160" s="192"/>
      <c r="V160" s="192"/>
      <c r="W160" s="192"/>
      <c r="X160" s="192"/>
      <c r="Y160" s="192"/>
      <c r="Z160" s="192"/>
      <c r="AA160" s="192"/>
      <c r="AB160" s="192"/>
      <c r="AC160" s="192"/>
      <c r="AD160" s="192"/>
      <c r="AE160" s="192"/>
      <c r="AF160" s="192"/>
      <c r="AG160" s="192"/>
      <c r="AH160" s="192"/>
      <c r="AK160" s="1"/>
    </row>
    <row r="161" spans="1:37" ht="20.100000000000001" customHeight="1" x14ac:dyDescent="0.2">
      <c r="D161" s="192" t="s">
        <v>2511</v>
      </c>
      <c r="E161" s="192" t="s">
        <v>2512</v>
      </c>
      <c r="F161" s="192" t="s">
        <v>738</v>
      </c>
      <c r="G161" s="192">
        <v>1</v>
      </c>
      <c r="H161" s="192"/>
      <c r="I161" s="192"/>
      <c r="J161" s="192"/>
      <c r="K161" s="192">
        <v>21</v>
      </c>
      <c r="L161" s="192">
        <v>0.86</v>
      </c>
      <c r="M161" s="192">
        <v>5.8</v>
      </c>
      <c r="N161" s="192">
        <v>4.2</v>
      </c>
      <c r="O161" s="192" t="s">
        <v>2385</v>
      </c>
      <c r="P161" s="192">
        <v>0.21</v>
      </c>
      <c r="Q161" s="192" t="s">
        <v>704</v>
      </c>
      <c r="R161" s="192">
        <v>5.8000000000000003E-2</v>
      </c>
      <c r="S161" s="192" t="s">
        <v>705</v>
      </c>
      <c r="T161" s="192">
        <v>4.2000000000000003E-2</v>
      </c>
      <c r="U161" s="192" t="s">
        <v>2387</v>
      </c>
      <c r="V161" s="192">
        <v>8.6E-3</v>
      </c>
      <c r="W161" s="192"/>
      <c r="X161" s="192"/>
      <c r="Y161" s="192"/>
      <c r="Z161" s="192"/>
      <c r="AA161" s="192"/>
      <c r="AB161" s="192"/>
      <c r="AC161" s="192"/>
      <c r="AD161" s="192"/>
      <c r="AE161" s="192"/>
      <c r="AF161" s="192"/>
      <c r="AG161" s="192"/>
      <c r="AH161" s="192"/>
      <c r="AK161" s="1"/>
    </row>
    <row r="162" spans="1:37" ht="20.100000000000001" customHeight="1" x14ac:dyDescent="0.2">
      <c r="D162" s="192" t="s">
        <v>2450</v>
      </c>
      <c r="E162" s="192" t="s">
        <v>2513</v>
      </c>
      <c r="F162" s="192" t="s">
        <v>738</v>
      </c>
      <c r="G162" s="192">
        <v>1</v>
      </c>
      <c r="H162" s="192"/>
      <c r="I162" s="192"/>
      <c r="J162" s="192"/>
      <c r="K162" s="192"/>
      <c r="L162" s="192">
        <v>8.8000000000000007</v>
      </c>
      <c r="M162" s="192"/>
      <c r="N162" s="192">
        <v>11</v>
      </c>
      <c r="O162" s="192" t="s">
        <v>2395</v>
      </c>
      <c r="P162" s="192">
        <v>1</v>
      </c>
      <c r="Q162" s="192"/>
      <c r="R162" s="192"/>
      <c r="S162" s="192"/>
      <c r="T162" s="192"/>
      <c r="U162" s="192"/>
      <c r="V162" s="192"/>
      <c r="W162" s="192"/>
      <c r="X162" s="192"/>
      <c r="Y162" s="192"/>
      <c r="Z162" s="192"/>
      <c r="AA162" s="192"/>
      <c r="AB162" s="192"/>
      <c r="AC162" s="192"/>
      <c r="AD162" s="192"/>
      <c r="AE162" s="192"/>
      <c r="AF162" s="192"/>
      <c r="AG162" s="192"/>
      <c r="AH162" s="192"/>
      <c r="AK162" s="1"/>
    </row>
    <row r="163" spans="1:37" ht="20.100000000000001" customHeight="1" x14ac:dyDescent="0.2">
      <c r="D163" s="192" t="s">
        <v>2514</v>
      </c>
      <c r="E163" s="192" t="s">
        <v>2515</v>
      </c>
      <c r="F163" s="192" t="s">
        <v>738</v>
      </c>
      <c r="G163" s="192">
        <v>1</v>
      </c>
      <c r="H163" s="192"/>
      <c r="I163" s="192"/>
      <c r="J163" s="192"/>
      <c r="K163" s="192">
        <v>82.35</v>
      </c>
      <c r="L163" s="192"/>
      <c r="M163" s="192"/>
      <c r="N163" s="192"/>
      <c r="O163" s="192" t="s">
        <v>708</v>
      </c>
      <c r="P163" s="192">
        <v>1</v>
      </c>
      <c r="Q163" s="192"/>
      <c r="R163" s="192"/>
      <c r="S163" s="192"/>
      <c r="T163" s="192"/>
      <c r="U163" s="192"/>
      <c r="V163" s="192"/>
      <c r="W163" s="192"/>
      <c r="X163" s="192"/>
      <c r="Y163" s="192"/>
      <c r="Z163" s="192"/>
      <c r="AA163" s="192"/>
      <c r="AB163" s="192"/>
      <c r="AC163" s="192"/>
      <c r="AD163" s="192"/>
      <c r="AE163" s="192"/>
      <c r="AF163" s="192"/>
      <c r="AG163" s="192"/>
      <c r="AH163" s="192"/>
      <c r="AK163" s="1"/>
    </row>
    <row r="164" spans="1:37" ht="20.100000000000001" customHeight="1" x14ac:dyDescent="0.2">
      <c r="D164" s="192" t="s">
        <v>2450</v>
      </c>
      <c r="E164" s="192" t="s">
        <v>2516</v>
      </c>
      <c r="F164" s="192" t="s">
        <v>738</v>
      </c>
      <c r="G164" s="192">
        <v>1</v>
      </c>
      <c r="H164" s="192" t="s">
        <v>371</v>
      </c>
      <c r="I164" s="192"/>
      <c r="J164" s="192"/>
      <c r="K164" s="192">
        <v>46</v>
      </c>
      <c r="L164" s="192"/>
      <c r="M164" s="192"/>
      <c r="N164" s="192"/>
      <c r="O164" s="192" t="s">
        <v>692</v>
      </c>
      <c r="P164" s="192">
        <v>1</v>
      </c>
      <c r="Q164" s="192"/>
      <c r="R164" s="192"/>
      <c r="S164" s="192"/>
      <c r="T164" s="192"/>
      <c r="U164" s="192"/>
      <c r="V164" s="192"/>
      <c r="W164" s="192"/>
      <c r="X164" s="192"/>
      <c r="Y164" s="192"/>
      <c r="Z164" s="192"/>
      <c r="AA164" s="192"/>
      <c r="AB164" s="192"/>
      <c r="AC164" s="192"/>
      <c r="AD164" s="192"/>
      <c r="AE164" s="192"/>
      <c r="AF164" s="192"/>
      <c r="AG164" s="192"/>
      <c r="AH164" s="192"/>
      <c r="AK164" s="1"/>
    </row>
    <row r="165" spans="1:37" ht="20.100000000000001" customHeight="1" x14ac:dyDescent="0.2">
      <c r="D165" s="192" t="s">
        <v>2517</v>
      </c>
      <c r="E165" s="192" t="s">
        <v>2518</v>
      </c>
      <c r="F165" s="192" t="s">
        <v>738</v>
      </c>
      <c r="G165" s="192">
        <v>1</v>
      </c>
      <c r="H165" s="192" t="s">
        <v>371</v>
      </c>
      <c r="I165" s="192"/>
      <c r="J165" s="192"/>
      <c r="K165" s="192">
        <v>45.54</v>
      </c>
      <c r="L165" s="192"/>
      <c r="M165" s="192"/>
      <c r="N165" s="192"/>
      <c r="O165" s="192" t="s">
        <v>692</v>
      </c>
      <c r="P165" s="192">
        <v>0.99</v>
      </c>
      <c r="Q165" s="192" t="s">
        <v>2519</v>
      </c>
      <c r="R165" s="192">
        <v>0.01</v>
      </c>
      <c r="S165" s="192"/>
      <c r="T165" s="192"/>
      <c r="U165" s="192"/>
      <c r="V165" s="192"/>
      <c r="W165" s="192"/>
      <c r="X165" s="192"/>
      <c r="Y165" s="192"/>
      <c r="Z165" s="192"/>
      <c r="AA165" s="192"/>
      <c r="AB165" s="192"/>
      <c r="AC165" s="192"/>
      <c r="AD165" s="192"/>
      <c r="AE165" s="192"/>
      <c r="AF165" s="192"/>
      <c r="AG165" s="192"/>
      <c r="AH165" s="192"/>
      <c r="AK165" s="1"/>
    </row>
    <row r="166" spans="1:37" ht="20.100000000000001" customHeight="1" x14ac:dyDescent="0.2">
      <c r="D166" s="192" t="s">
        <v>2520</v>
      </c>
      <c r="E166" s="192" t="s">
        <v>2521</v>
      </c>
      <c r="F166" s="192" t="s">
        <v>738</v>
      </c>
      <c r="G166" s="192">
        <v>1</v>
      </c>
      <c r="H166" s="192"/>
      <c r="I166" s="192"/>
      <c r="J166" s="192"/>
      <c r="K166" s="192"/>
      <c r="L166" s="192"/>
      <c r="M166" s="192">
        <v>50</v>
      </c>
      <c r="N166" s="192"/>
      <c r="O166" s="192" t="s">
        <v>2393</v>
      </c>
      <c r="P166" s="192">
        <v>1</v>
      </c>
      <c r="Q166" s="192"/>
      <c r="R166" s="192"/>
      <c r="S166" s="192"/>
      <c r="T166" s="192"/>
      <c r="U166" s="192"/>
      <c r="V166" s="192"/>
      <c r="W166" s="192"/>
      <c r="X166" s="192"/>
      <c r="Y166" s="192"/>
      <c r="Z166" s="192"/>
      <c r="AA166" s="192"/>
      <c r="AB166" s="192"/>
      <c r="AC166" s="192"/>
      <c r="AD166" s="192"/>
      <c r="AE166" s="192"/>
      <c r="AF166" s="192"/>
      <c r="AG166" s="192"/>
      <c r="AH166" s="192"/>
      <c r="AK166" s="1"/>
    </row>
    <row r="167" spans="1:37" ht="20.100000000000001" customHeight="1" x14ac:dyDescent="0.2">
      <c r="D167" s="192" t="s">
        <v>2522</v>
      </c>
      <c r="E167" s="192" t="s">
        <v>2523</v>
      </c>
      <c r="F167" s="192" t="s">
        <v>738</v>
      </c>
      <c r="G167" s="192">
        <v>1</v>
      </c>
      <c r="H167" s="192"/>
      <c r="I167" s="192"/>
      <c r="J167" s="192"/>
      <c r="K167" s="192">
        <v>10</v>
      </c>
      <c r="L167" s="192">
        <v>21.9</v>
      </c>
      <c r="M167" s="192"/>
      <c r="N167" s="192"/>
      <c r="O167" s="192" t="s">
        <v>2371</v>
      </c>
      <c r="P167" s="192">
        <v>1</v>
      </c>
      <c r="Q167" s="192"/>
      <c r="R167" s="192"/>
      <c r="S167" s="192"/>
      <c r="T167" s="192"/>
      <c r="U167" s="192"/>
      <c r="V167" s="192"/>
      <c r="W167" s="192"/>
      <c r="X167" s="192"/>
      <c r="Y167" s="192"/>
      <c r="Z167" s="192"/>
      <c r="AA167" s="192"/>
      <c r="AB167" s="192"/>
      <c r="AC167" s="192"/>
      <c r="AD167" s="192"/>
      <c r="AE167" s="192"/>
      <c r="AF167" s="192"/>
      <c r="AG167" s="192"/>
      <c r="AH167" s="192"/>
      <c r="AK167" s="1"/>
    </row>
    <row r="168" spans="1:37" ht="20.100000000000001" customHeight="1" x14ac:dyDescent="0.2">
      <c r="D168" s="192" t="s">
        <v>2419</v>
      </c>
      <c r="E168" s="192" t="s">
        <v>2524</v>
      </c>
      <c r="F168" s="192" t="s">
        <v>738</v>
      </c>
      <c r="G168" s="192">
        <v>1</v>
      </c>
      <c r="H168" s="192"/>
      <c r="I168" s="192"/>
      <c r="J168" s="192"/>
      <c r="K168" s="192">
        <v>26</v>
      </c>
      <c r="L168" s="192"/>
      <c r="M168" s="192"/>
      <c r="N168" s="192">
        <v>13</v>
      </c>
      <c r="O168" s="192" t="s">
        <v>2375</v>
      </c>
      <c r="P168" s="192">
        <v>0.54166700000000001</v>
      </c>
      <c r="Q168" s="192" t="s">
        <v>2377</v>
      </c>
      <c r="R168" s="192">
        <v>0.43397599999999997</v>
      </c>
      <c r="S168" s="192"/>
      <c r="T168" s="192"/>
      <c r="U168" s="192"/>
      <c r="V168" s="192"/>
      <c r="W168" s="192"/>
      <c r="X168" s="192"/>
      <c r="Y168" s="192"/>
      <c r="Z168" s="192"/>
      <c r="AA168" s="192"/>
      <c r="AB168" s="192"/>
      <c r="AC168" s="192"/>
      <c r="AD168" s="192"/>
      <c r="AE168" s="192"/>
      <c r="AF168" s="192"/>
      <c r="AG168" s="192"/>
      <c r="AH168" s="192"/>
      <c r="AK168" s="1"/>
    </row>
    <row r="169" spans="1:37" ht="20.100000000000001" customHeight="1" x14ac:dyDescent="0.2">
      <c r="A169" s="129" t="str">
        <f>HYPERLINK("#A1", "▲ Back to top")</f>
        <v>▲ Back to top</v>
      </c>
      <c r="D169" s="192" t="s">
        <v>2525</v>
      </c>
      <c r="E169" s="192" t="s">
        <v>2526</v>
      </c>
      <c r="F169" s="192" t="s">
        <v>979</v>
      </c>
      <c r="G169" s="192">
        <v>1.2350000000000001</v>
      </c>
      <c r="H169" s="192"/>
      <c r="I169" s="192"/>
      <c r="J169" s="192"/>
      <c r="K169" s="192">
        <v>26.6</v>
      </c>
      <c r="L169" s="192"/>
      <c r="M169" s="192"/>
      <c r="N169" s="192">
        <v>6.7</v>
      </c>
      <c r="O169" s="192" t="s">
        <v>692</v>
      </c>
      <c r="P169" s="192">
        <v>0.45081500000000002</v>
      </c>
      <c r="Q169" s="192" t="s">
        <v>2375</v>
      </c>
      <c r="R169" s="192">
        <v>0.279167</v>
      </c>
      <c r="S169" s="192"/>
      <c r="T169" s="192"/>
      <c r="U169" s="192"/>
      <c r="V169" s="192"/>
      <c r="W169" s="192"/>
      <c r="X169" s="192"/>
      <c r="Y169" s="192"/>
      <c r="Z169" s="192"/>
      <c r="AA169" s="192"/>
      <c r="AB169" s="192"/>
      <c r="AC169" s="192"/>
      <c r="AD169" s="192"/>
      <c r="AE169" s="192"/>
      <c r="AF169" s="192"/>
      <c r="AG169" s="192"/>
      <c r="AH169" s="192"/>
      <c r="AK169" s="1"/>
    </row>
    <row r="170" spans="1:37" ht="20.100000000000001" customHeight="1" x14ac:dyDescent="0.2">
      <c r="D170" s="192" t="s">
        <v>2525</v>
      </c>
      <c r="E170" s="192" t="s">
        <v>2527</v>
      </c>
      <c r="F170" s="192" t="s">
        <v>979</v>
      </c>
      <c r="G170" s="192">
        <v>1.28</v>
      </c>
      <c r="H170" s="192"/>
      <c r="I170" s="192"/>
      <c r="J170" s="192"/>
      <c r="K170" s="192">
        <v>0</v>
      </c>
      <c r="L170" s="192"/>
      <c r="M170" s="192"/>
      <c r="N170" s="192"/>
      <c r="O170" s="192" t="s">
        <v>692</v>
      </c>
      <c r="P170" s="192">
        <v>0.65217400000000003</v>
      </c>
      <c r="Q170" s="192"/>
      <c r="R170" s="192"/>
      <c r="S170" s="192"/>
      <c r="T170" s="192"/>
      <c r="U170" s="192"/>
      <c r="V170" s="192"/>
      <c r="W170" s="192"/>
      <c r="X170" s="192"/>
      <c r="Y170" s="192"/>
      <c r="Z170" s="192"/>
      <c r="AA170" s="192"/>
      <c r="AB170" s="192"/>
      <c r="AC170" s="192"/>
      <c r="AD170" s="192"/>
      <c r="AE170" s="192"/>
      <c r="AF170" s="192"/>
      <c r="AG170" s="192"/>
      <c r="AH170" s="192"/>
      <c r="AK170" s="1"/>
    </row>
    <row r="171" spans="1:37" ht="20.100000000000001" customHeight="1" x14ac:dyDescent="0.2">
      <c r="D171" s="192" t="s">
        <v>2528</v>
      </c>
      <c r="E171" s="192" t="s">
        <v>2529</v>
      </c>
      <c r="F171" s="192" t="s">
        <v>738</v>
      </c>
      <c r="G171" s="192">
        <v>1</v>
      </c>
      <c r="H171" s="192"/>
      <c r="I171" s="192"/>
      <c r="J171" s="192"/>
      <c r="K171" s="192">
        <v>36</v>
      </c>
      <c r="L171" s="192"/>
      <c r="M171" s="192"/>
      <c r="N171" s="192">
        <v>9.6</v>
      </c>
      <c r="O171" s="192" t="s">
        <v>2385</v>
      </c>
      <c r="P171" s="192">
        <v>0.36</v>
      </c>
      <c r="Q171" s="192" t="s">
        <v>705</v>
      </c>
      <c r="R171" s="192">
        <v>9.6000000000000002E-2</v>
      </c>
      <c r="S171" s="192"/>
      <c r="T171" s="192"/>
      <c r="U171" s="192"/>
      <c r="V171" s="192"/>
      <c r="W171" s="192"/>
      <c r="X171" s="192"/>
      <c r="Y171" s="192"/>
      <c r="Z171" s="192"/>
      <c r="AA171" s="192"/>
      <c r="AB171" s="192"/>
      <c r="AC171" s="192"/>
      <c r="AD171" s="192"/>
      <c r="AE171" s="192"/>
      <c r="AF171" s="192"/>
      <c r="AG171" s="192"/>
      <c r="AH171" s="192"/>
      <c r="AK171" s="1"/>
    </row>
    <row r="172" spans="1:37" ht="20.100000000000001" customHeight="1" x14ac:dyDescent="0.2">
      <c r="D172" s="192" t="s">
        <v>2444</v>
      </c>
      <c r="E172" s="192" t="s">
        <v>2530</v>
      </c>
      <c r="F172" s="192" t="s">
        <v>979</v>
      </c>
      <c r="G172" s="192">
        <v>1.3</v>
      </c>
      <c r="H172" s="192"/>
      <c r="I172" s="192"/>
      <c r="J172" s="192"/>
      <c r="K172" s="192">
        <v>20</v>
      </c>
      <c r="L172" s="192">
        <v>8.73</v>
      </c>
      <c r="M172" s="192">
        <v>16.600000000000001</v>
      </c>
      <c r="N172" s="192"/>
      <c r="O172" s="192" t="s">
        <v>2385</v>
      </c>
      <c r="P172" s="192">
        <v>0.2</v>
      </c>
      <c r="Q172" s="192" t="s">
        <v>2387</v>
      </c>
      <c r="R172" s="192">
        <v>8.7279999999999996E-2</v>
      </c>
      <c r="S172" s="192" t="s">
        <v>704</v>
      </c>
      <c r="T172" s="192">
        <v>0.16602</v>
      </c>
      <c r="U172" s="192"/>
      <c r="V172" s="192"/>
      <c r="W172" s="192"/>
      <c r="X172" s="192"/>
      <c r="Y172" s="192"/>
      <c r="Z172" s="192"/>
      <c r="AA172" s="192"/>
      <c r="AB172" s="192"/>
      <c r="AC172" s="192"/>
      <c r="AD172" s="192"/>
      <c r="AE172" s="192"/>
      <c r="AF172" s="192"/>
      <c r="AG172" s="192"/>
      <c r="AH172" s="192"/>
      <c r="AK172" s="1"/>
    </row>
    <row r="173" spans="1:37" ht="20.100000000000001" customHeight="1" x14ac:dyDescent="0.2">
      <c r="D173" s="192" t="s">
        <v>2531</v>
      </c>
      <c r="E173" s="192" t="s">
        <v>2532</v>
      </c>
      <c r="F173" s="192" t="s">
        <v>738</v>
      </c>
      <c r="G173" s="192">
        <v>1</v>
      </c>
      <c r="H173" s="192"/>
      <c r="I173" s="192"/>
      <c r="J173" s="192"/>
      <c r="K173" s="192">
        <v>15</v>
      </c>
      <c r="L173" s="192"/>
      <c r="M173" s="192">
        <v>9.9600000000000009</v>
      </c>
      <c r="N173" s="192"/>
      <c r="O173" s="192" t="s">
        <v>2382</v>
      </c>
      <c r="P173" s="192">
        <v>8.4737000000000007E-2</v>
      </c>
      <c r="Q173" s="192" t="s">
        <v>704</v>
      </c>
      <c r="R173" s="192">
        <v>9.9612000000000006E-2</v>
      </c>
      <c r="S173" s="192" t="s">
        <v>702</v>
      </c>
      <c r="T173" s="192">
        <v>0.42105300000000001</v>
      </c>
      <c r="U173" s="192" t="s">
        <v>2431</v>
      </c>
      <c r="V173" s="192">
        <v>5.0000000000000001E-3</v>
      </c>
      <c r="W173" s="192" t="s">
        <v>2436</v>
      </c>
      <c r="X173" s="192">
        <v>2.0000000000000001E-4</v>
      </c>
      <c r="Y173" s="192"/>
      <c r="Z173" s="192"/>
      <c r="AA173" s="192"/>
      <c r="AB173" s="192"/>
      <c r="AC173" s="192"/>
      <c r="AD173" s="192"/>
      <c r="AE173" s="192"/>
      <c r="AF173" s="192"/>
      <c r="AG173" s="192"/>
      <c r="AH173" s="192"/>
      <c r="AK173" s="1"/>
    </row>
    <row r="174" spans="1:37" ht="20.100000000000001" customHeight="1" x14ac:dyDescent="0.2">
      <c r="D174" s="192" t="s">
        <v>2450</v>
      </c>
      <c r="E174" s="192" t="s">
        <v>2533</v>
      </c>
      <c r="F174" s="192" t="s">
        <v>738</v>
      </c>
      <c r="G174" s="192">
        <v>1</v>
      </c>
      <c r="H174" s="192"/>
      <c r="I174" s="192"/>
      <c r="J174" s="192"/>
      <c r="K174" s="192">
        <v>15.1</v>
      </c>
      <c r="L174" s="192">
        <v>4.4000000000000004</v>
      </c>
      <c r="M174" s="192">
        <v>11.5</v>
      </c>
      <c r="N174" s="192">
        <v>13.6</v>
      </c>
      <c r="O174" s="192" t="s">
        <v>2385</v>
      </c>
      <c r="P174" s="192">
        <v>0.151</v>
      </c>
      <c r="Q174" s="192" t="s">
        <v>2387</v>
      </c>
      <c r="R174" s="192">
        <v>4.3999999999999997E-2</v>
      </c>
      <c r="S174" s="192" t="s">
        <v>704</v>
      </c>
      <c r="T174" s="192">
        <v>0.115</v>
      </c>
      <c r="U174" s="192" t="s">
        <v>705</v>
      </c>
      <c r="V174" s="192">
        <v>0.13600000000000001</v>
      </c>
      <c r="W174" s="192"/>
      <c r="X174" s="192"/>
      <c r="Y174" s="192"/>
      <c r="Z174" s="192"/>
      <c r="AA174" s="192"/>
      <c r="AB174" s="192"/>
      <c r="AC174" s="192"/>
      <c r="AD174" s="192"/>
      <c r="AE174" s="192"/>
      <c r="AF174" s="192"/>
      <c r="AG174" s="192"/>
      <c r="AH174" s="192"/>
      <c r="AK174" s="1"/>
    </row>
    <row r="175" spans="1:37" ht="20.100000000000001" customHeight="1" x14ac:dyDescent="0.2">
      <c r="D175" s="192" t="s">
        <v>2450</v>
      </c>
      <c r="E175" s="192" t="s">
        <v>2534</v>
      </c>
      <c r="F175" s="192" t="s">
        <v>738</v>
      </c>
      <c r="G175" s="192">
        <v>1</v>
      </c>
      <c r="H175" s="192"/>
      <c r="I175" s="192"/>
      <c r="J175" s="192"/>
      <c r="K175" s="192">
        <v>14.6</v>
      </c>
      <c r="L175" s="192">
        <v>12.1</v>
      </c>
      <c r="M175" s="192"/>
      <c r="N175" s="192">
        <v>11.6</v>
      </c>
      <c r="O175" s="192" t="s">
        <v>2385</v>
      </c>
      <c r="P175" s="192">
        <v>0.14599999999999999</v>
      </c>
      <c r="Q175" s="192" t="s">
        <v>2387</v>
      </c>
      <c r="R175" s="192">
        <v>0.121</v>
      </c>
      <c r="S175" s="192" t="s">
        <v>705</v>
      </c>
      <c r="T175" s="192">
        <v>0.11600000000000001</v>
      </c>
      <c r="U175" s="192"/>
      <c r="V175" s="192"/>
      <c r="W175" s="192"/>
      <c r="X175" s="192"/>
      <c r="Y175" s="192"/>
      <c r="Z175" s="192"/>
      <c r="AA175" s="192"/>
      <c r="AB175" s="192"/>
      <c r="AC175" s="192"/>
      <c r="AD175" s="192"/>
      <c r="AE175" s="192"/>
      <c r="AF175" s="192"/>
      <c r="AG175" s="192"/>
      <c r="AH175" s="192"/>
      <c r="AK175" s="1"/>
    </row>
    <row r="176" spans="1:37" ht="20.100000000000001" customHeight="1" x14ac:dyDescent="0.2">
      <c r="D176" s="192" t="s">
        <v>2450</v>
      </c>
      <c r="E176" s="192" t="s">
        <v>2535</v>
      </c>
      <c r="F176" s="192" t="s">
        <v>738</v>
      </c>
      <c r="G176" s="192">
        <v>1</v>
      </c>
      <c r="H176" s="192"/>
      <c r="I176" s="192"/>
      <c r="J176" s="192"/>
      <c r="K176" s="192">
        <v>19</v>
      </c>
      <c r="L176" s="192">
        <v>13</v>
      </c>
      <c r="M176" s="192">
        <v>0</v>
      </c>
      <c r="N176" s="192">
        <v>9</v>
      </c>
      <c r="O176" s="192" t="s">
        <v>2385</v>
      </c>
      <c r="P176" s="192">
        <v>0.19</v>
      </c>
      <c r="Q176" s="192" t="s">
        <v>2387</v>
      </c>
      <c r="R176" s="192">
        <v>0.13</v>
      </c>
      <c r="S176" s="192" t="s">
        <v>705</v>
      </c>
      <c r="T176" s="192">
        <v>0.09</v>
      </c>
      <c r="U176" s="192"/>
      <c r="V176" s="192"/>
      <c r="W176" s="192"/>
      <c r="X176" s="192"/>
      <c r="Y176" s="192"/>
      <c r="Z176" s="192"/>
      <c r="AA176" s="192"/>
      <c r="AB176" s="192"/>
      <c r="AC176" s="192"/>
      <c r="AD176" s="192"/>
      <c r="AE176" s="192"/>
      <c r="AF176" s="192"/>
      <c r="AG176" s="192"/>
      <c r="AH176" s="192"/>
      <c r="AK176" s="1"/>
    </row>
    <row r="177" spans="4:37" ht="20.100000000000001" customHeight="1" x14ac:dyDescent="0.2">
      <c r="D177" s="192" t="s">
        <v>2450</v>
      </c>
      <c r="E177" s="192" t="s">
        <v>2536</v>
      </c>
      <c r="F177" s="192" t="s">
        <v>738</v>
      </c>
      <c r="G177" s="192">
        <v>1</v>
      </c>
      <c r="H177" s="192"/>
      <c r="I177" s="192"/>
      <c r="J177" s="192"/>
      <c r="K177" s="192">
        <v>23.8</v>
      </c>
      <c r="L177" s="192">
        <v>3.7</v>
      </c>
      <c r="M177" s="192">
        <v>13</v>
      </c>
      <c r="N177" s="192">
        <v>4.0999999999999996</v>
      </c>
      <c r="O177" s="192" t="s">
        <v>2385</v>
      </c>
      <c r="P177" s="192">
        <v>0.23799999999999999</v>
      </c>
      <c r="Q177" s="192" t="s">
        <v>2387</v>
      </c>
      <c r="R177" s="192">
        <v>3.6999999999999998E-2</v>
      </c>
      <c r="S177" s="192" t="s">
        <v>704</v>
      </c>
      <c r="T177" s="192">
        <v>0.13</v>
      </c>
      <c r="U177" s="192" t="s">
        <v>705</v>
      </c>
      <c r="V177" s="192">
        <v>4.1000000000000002E-2</v>
      </c>
      <c r="W177" s="192"/>
      <c r="X177" s="192"/>
      <c r="Y177" s="192"/>
      <c r="Z177" s="192"/>
      <c r="AA177" s="192"/>
      <c r="AB177" s="192"/>
      <c r="AC177" s="192"/>
      <c r="AD177" s="192"/>
      <c r="AE177" s="192"/>
      <c r="AF177" s="192"/>
      <c r="AG177" s="192"/>
      <c r="AH177" s="192"/>
      <c r="AK177" s="1"/>
    </row>
    <row r="178" spans="4:37" ht="20.100000000000001" customHeight="1" x14ac:dyDescent="0.2">
      <c r="D178" s="192" t="s">
        <v>2450</v>
      </c>
      <c r="E178" s="192" t="s">
        <v>2537</v>
      </c>
      <c r="F178" s="192" t="s">
        <v>738</v>
      </c>
      <c r="G178" s="192">
        <v>1</v>
      </c>
      <c r="H178" s="192"/>
      <c r="I178" s="192"/>
      <c r="J178" s="192"/>
      <c r="K178" s="192">
        <v>32.799999999999997</v>
      </c>
      <c r="L178" s="192"/>
      <c r="M178" s="192">
        <v>11</v>
      </c>
      <c r="N178" s="192">
        <v>2.9</v>
      </c>
      <c r="O178" s="192" t="s">
        <v>692</v>
      </c>
      <c r="P178" s="192">
        <v>0.66086999999999996</v>
      </c>
      <c r="Q178" s="192" t="s">
        <v>2380</v>
      </c>
      <c r="R178" s="192">
        <v>2.4E-2</v>
      </c>
      <c r="S178" s="192" t="s">
        <v>704</v>
      </c>
      <c r="T178" s="192">
        <v>0.11</v>
      </c>
      <c r="U178" s="192" t="s">
        <v>705</v>
      </c>
      <c r="V178" s="192">
        <v>2.9000000000000001E-2</v>
      </c>
      <c r="W178" s="192"/>
      <c r="X178" s="192"/>
      <c r="Y178" s="192"/>
      <c r="Z178" s="192"/>
      <c r="AA178" s="192"/>
      <c r="AB178" s="192"/>
      <c r="AC178" s="192"/>
      <c r="AD178" s="192"/>
      <c r="AE178" s="192"/>
      <c r="AF178" s="192"/>
      <c r="AG178" s="192"/>
      <c r="AH178" s="192"/>
      <c r="AK178" s="1"/>
    </row>
    <row r="179" spans="4:37" ht="20.100000000000001" customHeight="1" x14ac:dyDescent="0.2">
      <c r="D179" s="192" t="s">
        <v>2450</v>
      </c>
      <c r="E179" s="192" t="s">
        <v>2538</v>
      </c>
      <c r="F179" s="192" t="s">
        <v>738</v>
      </c>
      <c r="G179" s="192">
        <v>1</v>
      </c>
      <c r="H179" s="192"/>
      <c r="I179" s="192"/>
      <c r="J179" s="192"/>
      <c r="K179" s="192">
        <v>11.7</v>
      </c>
      <c r="L179" s="192">
        <v>4.7</v>
      </c>
      <c r="M179" s="192">
        <v>23.9</v>
      </c>
      <c r="N179" s="192">
        <v>4.5999999999999996</v>
      </c>
      <c r="O179" s="192" t="s">
        <v>2385</v>
      </c>
      <c r="P179" s="192">
        <v>0.11700000000000001</v>
      </c>
      <c r="Q179" s="192" t="s">
        <v>2387</v>
      </c>
      <c r="R179" s="192">
        <v>4.7E-2</v>
      </c>
      <c r="S179" s="192" t="s">
        <v>704</v>
      </c>
      <c r="T179" s="192">
        <v>0.23899999999999999</v>
      </c>
      <c r="U179" s="192" t="s">
        <v>705</v>
      </c>
      <c r="V179" s="192">
        <v>4.5999999999999999E-2</v>
      </c>
      <c r="W179" s="192"/>
      <c r="X179" s="192"/>
      <c r="Y179" s="192"/>
      <c r="Z179" s="192"/>
      <c r="AA179" s="192"/>
      <c r="AB179" s="192"/>
      <c r="AC179" s="192"/>
      <c r="AD179" s="192"/>
      <c r="AE179" s="192"/>
      <c r="AF179" s="192"/>
      <c r="AG179" s="192"/>
      <c r="AH179" s="192"/>
      <c r="AK179" s="1"/>
    </row>
    <row r="180" spans="4:37" ht="20.100000000000001" customHeight="1" x14ac:dyDescent="0.2">
      <c r="D180" s="192" t="s">
        <v>2448</v>
      </c>
      <c r="E180" s="192" t="s">
        <v>2539</v>
      </c>
      <c r="F180" s="192" t="s">
        <v>738</v>
      </c>
      <c r="G180" s="192">
        <v>1</v>
      </c>
      <c r="H180" s="192"/>
      <c r="I180" s="192"/>
      <c r="J180" s="192"/>
      <c r="K180" s="192"/>
      <c r="L180" s="192">
        <v>4.4000000000000004</v>
      </c>
      <c r="M180" s="192">
        <v>25</v>
      </c>
      <c r="N180" s="192">
        <v>5.5</v>
      </c>
      <c r="O180" s="192" t="s">
        <v>2395</v>
      </c>
      <c r="P180" s="192">
        <v>0.5</v>
      </c>
      <c r="Q180" s="192" t="s">
        <v>2393</v>
      </c>
      <c r="R180" s="192">
        <v>0.5</v>
      </c>
      <c r="S180" s="192"/>
      <c r="T180" s="192"/>
      <c r="U180" s="192"/>
      <c r="V180" s="192"/>
      <c r="W180" s="192"/>
      <c r="X180" s="192"/>
      <c r="Y180" s="192"/>
      <c r="Z180" s="192"/>
      <c r="AA180" s="192"/>
      <c r="AB180" s="192"/>
      <c r="AC180" s="192"/>
      <c r="AD180" s="192"/>
      <c r="AE180" s="192"/>
      <c r="AF180" s="192"/>
      <c r="AG180" s="192"/>
      <c r="AH180" s="192"/>
    </row>
    <row r="181" spans="4:37" ht="20.100000000000001" customHeight="1" x14ac:dyDescent="0.2">
      <c r="D181" s="192" t="s">
        <v>2448</v>
      </c>
      <c r="E181" s="192" t="s">
        <v>2540</v>
      </c>
      <c r="F181" s="192" t="s">
        <v>738</v>
      </c>
      <c r="G181" s="192">
        <v>1</v>
      </c>
      <c r="H181" s="192"/>
      <c r="I181" s="192"/>
      <c r="J181" s="192"/>
      <c r="K181" s="192"/>
      <c r="L181" s="192">
        <v>5.84</v>
      </c>
      <c r="M181" s="192">
        <v>16.8</v>
      </c>
      <c r="N181" s="192">
        <v>7.29</v>
      </c>
      <c r="O181" s="192" t="s">
        <v>2395</v>
      </c>
      <c r="P181" s="192">
        <v>0.66315800000000003</v>
      </c>
      <c r="Q181" s="192" t="s">
        <v>2393</v>
      </c>
      <c r="R181" s="192">
        <v>0.33600000000000002</v>
      </c>
      <c r="S181" s="192"/>
      <c r="T181" s="192"/>
      <c r="U181" s="192"/>
      <c r="V181" s="192"/>
      <c r="W181" s="192"/>
      <c r="X181" s="192"/>
      <c r="Y181" s="192"/>
      <c r="Z181" s="192"/>
      <c r="AA181" s="192"/>
      <c r="AB181" s="192"/>
      <c r="AC181" s="192"/>
      <c r="AD181" s="192"/>
      <c r="AE181" s="192"/>
      <c r="AF181" s="192"/>
      <c r="AG181" s="192"/>
      <c r="AH181" s="192"/>
    </row>
    <row r="182" spans="4:37" ht="20.100000000000001" customHeight="1" x14ac:dyDescent="0.2">
      <c r="D182" s="192" t="s">
        <v>2448</v>
      </c>
      <c r="E182" s="192" t="s">
        <v>2541</v>
      </c>
      <c r="F182" s="192" t="s">
        <v>738</v>
      </c>
      <c r="G182" s="192">
        <v>1</v>
      </c>
      <c r="H182" s="192"/>
      <c r="I182" s="192"/>
      <c r="J182" s="192"/>
      <c r="K182" s="192"/>
      <c r="L182" s="192">
        <v>6.58</v>
      </c>
      <c r="M182" s="192">
        <v>12.5</v>
      </c>
      <c r="N182" s="192">
        <v>8.2200000000000006</v>
      </c>
      <c r="O182" s="192" t="s">
        <v>2395</v>
      </c>
      <c r="P182" s="192">
        <v>0.74736800000000003</v>
      </c>
      <c r="Q182" s="192" t="s">
        <v>2393</v>
      </c>
      <c r="R182" s="192">
        <v>0.25</v>
      </c>
      <c r="S182" s="192"/>
      <c r="T182" s="192"/>
      <c r="U182" s="192"/>
      <c r="V182" s="192"/>
      <c r="W182" s="192"/>
      <c r="X182" s="192"/>
      <c r="Y182" s="192"/>
      <c r="Z182" s="192"/>
      <c r="AA182" s="192"/>
      <c r="AB182" s="192"/>
      <c r="AC182" s="192"/>
      <c r="AD182" s="192"/>
      <c r="AE182" s="192"/>
      <c r="AF182" s="192"/>
      <c r="AG182" s="192"/>
      <c r="AH182" s="192"/>
    </row>
    <row r="183" spans="4:37" ht="20.100000000000001" customHeight="1" x14ac:dyDescent="0.2">
      <c r="D183" s="192" t="s">
        <v>2448</v>
      </c>
      <c r="E183" s="192" t="s">
        <v>2542</v>
      </c>
      <c r="F183" s="192" t="s">
        <v>738</v>
      </c>
      <c r="G183" s="192">
        <v>1</v>
      </c>
      <c r="H183" s="192"/>
      <c r="I183" s="192"/>
      <c r="J183" s="192"/>
      <c r="K183" s="192"/>
      <c r="L183" s="192">
        <v>7.04</v>
      </c>
      <c r="M183" s="192">
        <v>10</v>
      </c>
      <c r="N183" s="192">
        <v>8.8000000000000007</v>
      </c>
      <c r="O183" s="192" t="s">
        <v>2395</v>
      </c>
      <c r="P183" s="192">
        <v>0.8</v>
      </c>
      <c r="Q183" s="192" t="s">
        <v>2393</v>
      </c>
      <c r="R183" s="192">
        <v>0.2</v>
      </c>
      <c r="S183" s="192"/>
      <c r="T183" s="192"/>
      <c r="U183" s="192"/>
      <c r="V183" s="192"/>
      <c r="W183" s="192"/>
      <c r="X183" s="192"/>
      <c r="Y183" s="192"/>
      <c r="Z183" s="192"/>
      <c r="AA183" s="192"/>
      <c r="AB183" s="192"/>
      <c r="AC183" s="192"/>
      <c r="AD183" s="192"/>
      <c r="AE183" s="192"/>
      <c r="AF183" s="192"/>
      <c r="AG183" s="192"/>
      <c r="AH183" s="192"/>
    </row>
    <row r="184" spans="4:37" ht="20.100000000000001" customHeight="1" x14ac:dyDescent="0.2">
      <c r="D184" s="192" t="s">
        <v>2448</v>
      </c>
      <c r="E184" s="192" t="s">
        <v>2543</v>
      </c>
      <c r="F184" s="192" t="s">
        <v>738</v>
      </c>
      <c r="G184" s="192">
        <v>1</v>
      </c>
      <c r="H184" s="192"/>
      <c r="I184" s="192"/>
      <c r="J184" s="192"/>
      <c r="K184" s="192"/>
      <c r="L184" s="192">
        <v>7.32</v>
      </c>
      <c r="M184" s="192">
        <v>8.4</v>
      </c>
      <c r="N184" s="192">
        <v>9.15</v>
      </c>
      <c r="O184" s="192" t="s">
        <v>2395</v>
      </c>
      <c r="P184" s="192">
        <v>0.83157899999999996</v>
      </c>
      <c r="Q184" s="192" t="s">
        <v>2393</v>
      </c>
      <c r="R184" s="192">
        <v>0.16800000000000001</v>
      </c>
      <c r="S184" s="192"/>
      <c r="T184" s="192"/>
      <c r="U184" s="192"/>
      <c r="V184" s="192"/>
      <c r="W184" s="192"/>
      <c r="X184" s="192"/>
      <c r="Y184" s="192"/>
      <c r="Z184" s="192"/>
      <c r="AA184" s="192"/>
      <c r="AB184" s="192"/>
      <c r="AC184" s="192"/>
      <c r="AD184" s="192"/>
      <c r="AE184" s="192"/>
      <c r="AF184" s="192"/>
      <c r="AG184" s="192"/>
      <c r="AH184" s="192"/>
    </row>
    <row r="185" spans="4:37" ht="20.100000000000001" customHeight="1" x14ac:dyDescent="0.2">
      <c r="D185" s="192" t="s">
        <v>2544</v>
      </c>
      <c r="E185" s="192" t="s">
        <v>2545</v>
      </c>
      <c r="F185" s="192" t="s">
        <v>738</v>
      </c>
      <c r="G185" s="192">
        <v>1</v>
      </c>
      <c r="H185" s="192"/>
      <c r="I185" s="192"/>
      <c r="J185" s="192"/>
      <c r="K185" s="192">
        <v>23.9</v>
      </c>
      <c r="L185" s="192"/>
      <c r="M185" s="192"/>
      <c r="N185" s="192">
        <v>10.8</v>
      </c>
      <c r="O185" s="192" t="s">
        <v>2382</v>
      </c>
      <c r="P185" s="192">
        <v>7.3999999999999996E-2</v>
      </c>
      <c r="Q185" s="192" t="s">
        <v>2380</v>
      </c>
      <c r="R185" s="192">
        <v>0.16500000000000001</v>
      </c>
      <c r="S185" s="192" t="s">
        <v>705</v>
      </c>
      <c r="T185" s="192">
        <v>0.108</v>
      </c>
      <c r="U185" s="192" t="s">
        <v>2424</v>
      </c>
      <c r="V185" s="192">
        <v>4.3999999999999997E-2</v>
      </c>
      <c r="W185" s="192"/>
      <c r="X185" s="192"/>
      <c r="Y185" s="192"/>
      <c r="Z185" s="192"/>
      <c r="AA185" s="192"/>
      <c r="AB185" s="192"/>
      <c r="AC185" s="192"/>
      <c r="AD185" s="192"/>
      <c r="AE185" s="192"/>
      <c r="AF185" s="192"/>
      <c r="AG185" s="192"/>
      <c r="AH185" s="192"/>
    </row>
    <row r="186" spans="4:37" ht="20.100000000000001" customHeight="1" x14ac:dyDescent="0.2">
      <c r="D186" s="192" t="s">
        <v>2544</v>
      </c>
      <c r="E186" s="192" t="s">
        <v>694</v>
      </c>
      <c r="F186" s="192" t="s">
        <v>738</v>
      </c>
      <c r="G186" s="192">
        <v>1</v>
      </c>
      <c r="H186" s="192"/>
      <c r="I186" s="192"/>
      <c r="J186" s="192"/>
      <c r="K186" s="192">
        <v>17.899999999999999</v>
      </c>
      <c r="L186" s="192"/>
      <c r="M186" s="192">
        <v>15</v>
      </c>
      <c r="N186" s="192">
        <v>3.6</v>
      </c>
      <c r="O186" s="192" t="s">
        <v>2382</v>
      </c>
      <c r="P186" s="192">
        <v>5.5E-2</v>
      </c>
      <c r="Q186" s="192" t="s">
        <v>2380</v>
      </c>
      <c r="R186" s="192">
        <v>0.124</v>
      </c>
      <c r="S186" s="192" t="s">
        <v>704</v>
      </c>
      <c r="T186" s="192">
        <v>0.15</v>
      </c>
      <c r="U186" s="192" t="s">
        <v>705</v>
      </c>
      <c r="V186" s="192">
        <v>3.5999999999999997E-2</v>
      </c>
      <c r="W186" s="192" t="s">
        <v>2424</v>
      </c>
      <c r="X186" s="192">
        <v>4.3999999999999997E-2</v>
      </c>
      <c r="Y186" s="192"/>
      <c r="Z186" s="192"/>
      <c r="AA186" s="192"/>
      <c r="AB186" s="192"/>
      <c r="AC186" s="192"/>
      <c r="AD186" s="192"/>
      <c r="AE186" s="192"/>
      <c r="AF186" s="192"/>
      <c r="AG186" s="192"/>
      <c r="AH186" s="192"/>
    </row>
    <row r="187" spans="4:37" ht="20.100000000000001" customHeight="1" x14ac:dyDescent="0.2">
      <c r="D187" s="192" t="s">
        <v>2544</v>
      </c>
      <c r="E187" s="192" t="s">
        <v>2546</v>
      </c>
      <c r="F187" s="192" t="s">
        <v>738</v>
      </c>
      <c r="G187" s="192">
        <v>1</v>
      </c>
      <c r="H187" s="192"/>
      <c r="I187" s="192"/>
      <c r="J187" s="192"/>
      <c r="K187" s="192">
        <v>16.899999999999999</v>
      </c>
      <c r="L187" s="192"/>
      <c r="M187" s="192">
        <v>14.4</v>
      </c>
      <c r="N187" s="192">
        <v>8.6999999999999993</v>
      </c>
      <c r="O187" s="192" t="s">
        <v>2382</v>
      </c>
      <c r="P187" s="192">
        <v>5.1999999999999998E-2</v>
      </c>
      <c r="Q187" s="192" t="s">
        <v>2380</v>
      </c>
      <c r="R187" s="192">
        <v>0.11700000000000001</v>
      </c>
      <c r="S187" s="192" t="s">
        <v>704</v>
      </c>
      <c r="T187" s="192">
        <v>0.14399999999999999</v>
      </c>
      <c r="U187" s="192" t="s">
        <v>705</v>
      </c>
      <c r="V187" s="192">
        <v>8.6999999999999994E-2</v>
      </c>
      <c r="W187" s="192" t="s">
        <v>2424</v>
      </c>
      <c r="X187" s="192">
        <v>4.3999999999999997E-2</v>
      </c>
      <c r="Y187" s="192"/>
      <c r="Z187" s="192"/>
      <c r="AA187" s="192"/>
      <c r="AB187" s="192"/>
      <c r="AC187" s="192"/>
      <c r="AD187" s="192"/>
      <c r="AE187" s="192"/>
      <c r="AF187" s="192"/>
      <c r="AG187" s="192"/>
      <c r="AH187" s="192"/>
    </row>
    <row r="188" spans="4:37" ht="20.100000000000001" customHeight="1" x14ac:dyDescent="0.2">
      <c r="D188" s="192" t="s">
        <v>2544</v>
      </c>
      <c r="E188" s="192" t="s">
        <v>2547</v>
      </c>
      <c r="F188" s="192" t="s">
        <v>738</v>
      </c>
      <c r="G188" s="192">
        <v>1</v>
      </c>
      <c r="H188" s="192"/>
      <c r="I188" s="192"/>
      <c r="J188" s="192"/>
      <c r="K188" s="192">
        <v>18.8</v>
      </c>
      <c r="L188" s="192">
        <v>1</v>
      </c>
      <c r="M188" s="192">
        <v>12.5</v>
      </c>
      <c r="N188" s="192">
        <v>3.7</v>
      </c>
      <c r="O188" s="192" t="s">
        <v>2382</v>
      </c>
      <c r="P188" s="192">
        <v>5.8000000000000003E-2</v>
      </c>
      <c r="Q188" s="192" t="s">
        <v>2380</v>
      </c>
      <c r="R188" s="192">
        <v>0.13</v>
      </c>
      <c r="S188" s="192" t="s">
        <v>2387</v>
      </c>
      <c r="T188" s="192">
        <v>0.01</v>
      </c>
      <c r="U188" s="192" t="s">
        <v>704</v>
      </c>
      <c r="V188" s="192">
        <v>0.125</v>
      </c>
      <c r="W188" s="192" t="s">
        <v>705</v>
      </c>
      <c r="X188" s="192">
        <v>3.6999999999999998E-2</v>
      </c>
      <c r="Y188" s="192" t="s">
        <v>2424</v>
      </c>
      <c r="Z188" s="192">
        <v>4.3999999999999997E-2</v>
      </c>
      <c r="AA188" s="192"/>
      <c r="AB188" s="192"/>
      <c r="AC188" s="192"/>
      <c r="AD188" s="192"/>
      <c r="AE188" s="192"/>
      <c r="AF188" s="192"/>
      <c r="AG188" s="192"/>
      <c r="AH188" s="192"/>
    </row>
    <row r="189" spans="4:37" ht="20.100000000000001" customHeight="1" x14ac:dyDescent="0.2">
      <c r="D189" s="192" t="s">
        <v>2544</v>
      </c>
      <c r="E189" s="192" t="s">
        <v>2548</v>
      </c>
      <c r="F189" s="192" t="s">
        <v>738</v>
      </c>
      <c r="G189" s="192">
        <v>1</v>
      </c>
      <c r="H189" s="192"/>
      <c r="I189" s="192"/>
      <c r="J189" s="192"/>
      <c r="K189" s="192">
        <v>18.600000000000001</v>
      </c>
      <c r="L189" s="192">
        <v>3</v>
      </c>
      <c r="M189" s="192">
        <v>12.5</v>
      </c>
      <c r="N189" s="192">
        <v>1.4</v>
      </c>
      <c r="O189" s="192" t="s">
        <v>2382</v>
      </c>
      <c r="P189" s="192">
        <v>5.8000000000000003E-2</v>
      </c>
      <c r="Q189" s="192" t="s">
        <v>2380</v>
      </c>
      <c r="R189" s="192">
        <v>0.128</v>
      </c>
      <c r="S189" s="192" t="s">
        <v>2387</v>
      </c>
      <c r="T189" s="192">
        <v>0.03</v>
      </c>
      <c r="U189" s="192" t="s">
        <v>704</v>
      </c>
      <c r="V189" s="192">
        <v>0.125</v>
      </c>
      <c r="W189" s="192" t="s">
        <v>705</v>
      </c>
      <c r="X189" s="192">
        <v>1.4E-2</v>
      </c>
      <c r="Y189" s="192" t="s">
        <v>2424</v>
      </c>
      <c r="Z189" s="192">
        <v>4.3999999999999997E-2</v>
      </c>
      <c r="AA189" s="192"/>
      <c r="AB189" s="192"/>
      <c r="AC189" s="192"/>
      <c r="AD189" s="192"/>
      <c r="AE189" s="192"/>
      <c r="AF189" s="192"/>
      <c r="AG189" s="192"/>
      <c r="AH189" s="192"/>
    </row>
    <row r="190" spans="4:37" ht="20.100000000000001" customHeight="1" x14ac:dyDescent="0.2">
      <c r="D190" s="192" t="s">
        <v>2544</v>
      </c>
      <c r="E190" s="192" t="s">
        <v>2549</v>
      </c>
      <c r="F190" s="192" t="s">
        <v>738</v>
      </c>
      <c r="G190" s="192">
        <v>1</v>
      </c>
      <c r="H190" s="192"/>
      <c r="I190" s="192"/>
      <c r="J190" s="192"/>
      <c r="K190" s="192">
        <v>15.8</v>
      </c>
      <c r="L190" s="192"/>
      <c r="M190" s="192">
        <v>19</v>
      </c>
      <c r="N190" s="192">
        <v>3.2</v>
      </c>
      <c r="O190" s="192" t="s">
        <v>2382</v>
      </c>
      <c r="P190" s="192">
        <v>4.9000000000000002E-2</v>
      </c>
      <c r="Q190" s="192" t="s">
        <v>2380</v>
      </c>
      <c r="R190" s="192">
        <v>0.109</v>
      </c>
      <c r="S190" s="192" t="s">
        <v>704</v>
      </c>
      <c r="T190" s="192">
        <v>0.19</v>
      </c>
      <c r="U190" s="192" t="s">
        <v>705</v>
      </c>
      <c r="V190" s="192">
        <v>3.2000000000000001E-2</v>
      </c>
      <c r="W190" s="192" t="s">
        <v>2424</v>
      </c>
      <c r="X190" s="192">
        <v>3.9E-2</v>
      </c>
      <c r="Y190" s="192"/>
      <c r="Z190" s="192"/>
      <c r="AA190" s="192"/>
      <c r="AB190" s="192"/>
      <c r="AC190" s="192"/>
      <c r="AD190" s="192"/>
      <c r="AE190" s="192"/>
      <c r="AF190" s="192"/>
      <c r="AG190" s="192"/>
      <c r="AH190" s="192"/>
    </row>
    <row r="191" spans="4:37" ht="20.100000000000001" customHeight="1" x14ac:dyDescent="0.2">
      <c r="D191" s="192" t="s">
        <v>2450</v>
      </c>
      <c r="E191" s="192" t="s">
        <v>2550</v>
      </c>
      <c r="F191" s="192" t="s">
        <v>738</v>
      </c>
      <c r="G191" s="192">
        <v>1</v>
      </c>
      <c r="H191" s="192"/>
      <c r="I191" s="192"/>
      <c r="J191" s="192"/>
      <c r="K191" s="192">
        <v>25.9</v>
      </c>
      <c r="L191" s="192">
        <v>3.9</v>
      </c>
      <c r="M191" s="192">
        <v>15.9</v>
      </c>
      <c r="N191" s="192">
        <v>0.3</v>
      </c>
      <c r="O191" s="192" t="s">
        <v>2385</v>
      </c>
      <c r="P191" s="192">
        <v>0.25900000000000001</v>
      </c>
      <c r="Q191" s="192" t="s">
        <v>2387</v>
      </c>
      <c r="R191" s="192">
        <v>3.9E-2</v>
      </c>
      <c r="S191" s="192" t="s">
        <v>704</v>
      </c>
      <c r="T191" s="192">
        <v>0.159</v>
      </c>
      <c r="U191" s="192" t="s">
        <v>705</v>
      </c>
      <c r="V191" s="192">
        <v>3.0000000000000001E-3</v>
      </c>
      <c r="W191" s="192"/>
      <c r="X191" s="192"/>
      <c r="Y191" s="192"/>
      <c r="Z191" s="192"/>
      <c r="AA191" s="192"/>
      <c r="AB191" s="192"/>
      <c r="AC191" s="192"/>
      <c r="AD191" s="192"/>
      <c r="AE191" s="192"/>
      <c r="AF191" s="192"/>
      <c r="AG191" s="192"/>
      <c r="AH191" s="192"/>
    </row>
    <row r="192" spans="4:37" ht="20.100000000000001" customHeight="1" x14ac:dyDescent="0.2">
      <c r="D192" s="192" t="s">
        <v>2488</v>
      </c>
      <c r="E192" s="192" t="s">
        <v>2551</v>
      </c>
      <c r="F192" s="192" t="s">
        <v>738</v>
      </c>
      <c r="G192" s="192">
        <v>1</v>
      </c>
      <c r="H192" s="192"/>
      <c r="I192" s="192"/>
      <c r="J192" s="192"/>
      <c r="K192" s="192">
        <v>15.6</v>
      </c>
      <c r="L192" s="192">
        <v>6.37</v>
      </c>
      <c r="M192" s="192">
        <v>12.45</v>
      </c>
      <c r="N192" s="192">
        <v>2.6</v>
      </c>
      <c r="O192" s="192" t="s">
        <v>2382</v>
      </c>
      <c r="P192" s="192">
        <v>5.8000000000000003E-2</v>
      </c>
      <c r="Q192" s="192" t="s">
        <v>2380</v>
      </c>
      <c r="R192" s="192">
        <v>9.8000000000000004E-2</v>
      </c>
      <c r="S192" s="192" t="s">
        <v>2387</v>
      </c>
      <c r="T192" s="192">
        <v>6.3714000000000007E-2</v>
      </c>
      <c r="U192" s="192" t="s">
        <v>704</v>
      </c>
      <c r="V192" s="192">
        <v>0.124515</v>
      </c>
      <c r="W192" s="192" t="s">
        <v>705</v>
      </c>
      <c r="X192" s="192">
        <v>2.5999999999999999E-2</v>
      </c>
      <c r="Y192" s="192"/>
      <c r="Z192" s="192"/>
      <c r="AA192" s="192"/>
      <c r="AB192" s="192"/>
      <c r="AC192" s="192"/>
      <c r="AD192" s="192"/>
      <c r="AE192" s="192"/>
      <c r="AF192" s="192"/>
      <c r="AG192" s="192"/>
      <c r="AH192" s="192"/>
    </row>
    <row r="193" spans="1:34" ht="20.100000000000001" customHeight="1" x14ac:dyDescent="0.2">
      <c r="D193" s="192" t="s">
        <v>2552</v>
      </c>
      <c r="E193" s="192" t="s">
        <v>2553</v>
      </c>
      <c r="F193" s="192" t="s">
        <v>738</v>
      </c>
      <c r="G193" s="192">
        <v>1</v>
      </c>
      <c r="H193" s="192"/>
      <c r="I193" s="192"/>
      <c r="J193" s="192"/>
      <c r="K193" s="192">
        <v>11.15</v>
      </c>
      <c r="L193" s="192">
        <v>17.52</v>
      </c>
      <c r="M193" s="192"/>
      <c r="N193" s="192">
        <v>3.6</v>
      </c>
      <c r="O193" s="192" t="s">
        <v>2371</v>
      </c>
      <c r="P193" s="192">
        <v>0.8</v>
      </c>
      <c r="Q193" s="192" t="s">
        <v>2375</v>
      </c>
      <c r="R193" s="192">
        <v>0.15</v>
      </c>
      <c r="S193" s="192" t="s">
        <v>2435</v>
      </c>
      <c r="T193" s="192" t="s">
        <v>1401</v>
      </c>
      <c r="U193" s="192" t="s">
        <v>2478</v>
      </c>
      <c r="V193" s="192" t="s">
        <v>1401</v>
      </c>
      <c r="W193" s="192" t="s">
        <v>2432</v>
      </c>
      <c r="X193" s="192" t="s">
        <v>1401</v>
      </c>
      <c r="Y193" s="192"/>
      <c r="Z193" s="192"/>
      <c r="AA193" s="192"/>
      <c r="AB193" s="192"/>
      <c r="AC193" s="192"/>
      <c r="AD193" s="192"/>
      <c r="AE193" s="192"/>
      <c r="AF193" s="192"/>
      <c r="AG193" s="192"/>
      <c r="AH193" s="192"/>
    </row>
    <row r="194" spans="1:34" ht="20.100000000000001" customHeight="1" x14ac:dyDescent="0.2">
      <c r="D194" s="192" t="s">
        <v>2552</v>
      </c>
      <c r="E194" s="192" t="s">
        <v>2554</v>
      </c>
      <c r="F194" s="192" t="s">
        <v>738</v>
      </c>
      <c r="G194" s="192">
        <v>1</v>
      </c>
      <c r="H194" s="192"/>
      <c r="I194" s="192"/>
      <c r="J194" s="192"/>
      <c r="K194" s="192"/>
      <c r="L194" s="192">
        <v>5.5</v>
      </c>
      <c r="M194" s="192">
        <v>15</v>
      </c>
      <c r="N194" s="192">
        <v>6.88</v>
      </c>
      <c r="O194" s="192" t="s">
        <v>2395</v>
      </c>
      <c r="P194" s="192">
        <v>0.625</v>
      </c>
      <c r="Q194" s="192" t="s">
        <v>2393</v>
      </c>
      <c r="R194" s="192">
        <v>0.3</v>
      </c>
      <c r="S194" s="192"/>
      <c r="T194" s="192"/>
      <c r="U194" s="192"/>
      <c r="V194" s="192"/>
      <c r="W194" s="192"/>
      <c r="X194" s="192"/>
      <c r="Y194" s="192"/>
      <c r="Z194" s="192"/>
      <c r="AA194" s="192"/>
      <c r="AB194" s="192"/>
      <c r="AC194" s="192"/>
      <c r="AD194" s="192"/>
      <c r="AE194" s="192"/>
      <c r="AF194" s="192"/>
      <c r="AG194" s="192"/>
      <c r="AH194" s="192"/>
    </row>
    <row r="195" spans="1:34" ht="20.100000000000001" customHeight="1" x14ac:dyDescent="0.2">
      <c r="D195" s="192" t="s">
        <v>2555</v>
      </c>
      <c r="E195" s="192" t="s">
        <v>2556</v>
      </c>
      <c r="F195" s="192" t="s">
        <v>738</v>
      </c>
      <c r="G195" s="192">
        <v>1</v>
      </c>
      <c r="H195" s="192"/>
      <c r="I195" s="192"/>
      <c r="J195" s="192"/>
      <c r="K195" s="192">
        <v>27</v>
      </c>
      <c r="L195" s="192"/>
      <c r="M195" s="192"/>
      <c r="N195" s="192"/>
      <c r="O195" s="192" t="s">
        <v>2379</v>
      </c>
      <c r="P195" s="192">
        <v>1</v>
      </c>
      <c r="Q195" s="192"/>
      <c r="R195" s="192"/>
      <c r="S195" s="192"/>
      <c r="T195" s="192"/>
      <c r="U195" s="192"/>
      <c r="V195" s="192"/>
      <c r="W195" s="192"/>
      <c r="X195" s="192"/>
      <c r="Y195" s="192"/>
      <c r="Z195" s="192"/>
      <c r="AA195" s="192"/>
      <c r="AB195" s="192"/>
      <c r="AC195" s="192"/>
      <c r="AD195" s="192"/>
      <c r="AE195" s="192"/>
      <c r="AF195" s="192"/>
      <c r="AG195" s="192"/>
      <c r="AH195" s="192"/>
    </row>
    <row r="196" spans="1:34" ht="20.100000000000001" customHeight="1" x14ac:dyDescent="0.2">
      <c r="D196" s="192" t="s">
        <v>2450</v>
      </c>
      <c r="E196" s="192" t="s">
        <v>2557</v>
      </c>
      <c r="F196" s="192" t="s">
        <v>738</v>
      </c>
      <c r="G196" s="192">
        <v>1</v>
      </c>
      <c r="H196" s="192"/>
      <c r="I196" s="192"/>
      <c r="J196" s="192"/>
      <c r="K196" s="192">
        <v>20.6</v>
      </c>
      <c r="L196" s="192">
        <v>3</v>
      </c>
      <c r="M196" s="192">
        <v>7.5</v>
      </c>
      <c r="N196" s="192">
        <v>3.8</v>
      </c>
      <c r="O196" s="192" t="s">
        <v>2382</v>
      </c>
      <c r="P196" s="192">
        <v>6.4000000000000001E-2</v>
      </c>
      <c r="Q196" s="192" t="s">
        <v>2380</v>
      </c>
      <c r="R196" s="192">
        <v>0.14199999999999999</v>
      </c>
      <c r="S196" s="192" t="s">
        <v>2387</v>
      </c>
      <c r="T196" s="192">
        <v>0.03</v>
      </c>
      <c r="U196" s="192" t="s">
        <v>704</v>
      </c>
      <c r="V196" s="192">
        <v>7.4999999999999997E-2</v>
      </c>
      <c r="W196" s="192" t="s">
        <v>705</v>
      </c>
      <c r="X196" s="192">
        <v>3.7999999999999999E-2</v>
      </c>
      <c r="Y196" s="192" t="s">
        <v>2424</v>
      </c>
      <c r="Z196" s="192">
        <v>4.3999999999999997E-2</v>
      </c>
      <c r="AA196" s="192"/>
      <c r="AB196" s="192"/>
      <c r="AC196" s="192"/>
      <c r="AD196" s="192"/>
      <c r="AE196" s="192"/>
      <c r="AF196" s="192"/>
      <c r="AG196" s="192"/>
      <c r="AH196" s="192"/>
    </row>
    <row r="197" spans="1:34" ht="20.100000000000001" customHeight="1" x14ac:dyDescent="0.2">
      <c r="D197" s="192" t="s">
        <v>2450</v>
      </c>
      <c r="E197" s="192" t="s">
        <v>2558</v>
      </c>
      <c r="F197" s="192" t="s">
        <v>738</v>
      </c>
      <c r="G197" s="192">
        <v>1</v>
      </c>
      <c r="H197" s="192"/>
      <c r="I197" s="192"/>
      <c r="J197" s="192"/>
      <c r="K197" s="192">
        <v>17.8</v>
      </c>
      <c r="L197" s="192">
        <v>1</v>
      </c>
      <c r="M197" s="192">
        <v>15</v>
      </c>
      <c r="N197" s="192">
        <v>2.5</v>
      </c>
      <c r="O197" s="192" t="s">
        <v>2382</v>
      </c>
      <c r="P197" s="192">
        <v>5.5E-2</v>
      </c>
      <c r="Q197" s="192" t="s">
        <v>2380</v>
      </c>
      <c r="R197" s="192">
        <v>0.123</v>
      </c>
      <c r="S197" s="192" t="s">
        <v>2387</v>
      </c>
      <c r="T197" s="192">
        <v>0.01</v>
      </c>
      <c r="U197" s="192" t="s">
        <v>704</v>
      </c>
      <c r="V197" s="192">
        <v>0.15</v>
      </c>
      <c r="W197" s="192" t="s">
        <v>705</v>
      </c>
      <c r="X197" s="192">
        <v>2.5000000000000001E-2</v>
      </c>
      <c r="Y197" s="192" t="s">
        <v>2424</v>
      </c>
      <c r="Z197" s="192">
        <v>4.3999999999999997E-2</v>
      </c>
      <c r="AA197" s="192"/>
      <c r="AB197" s="192"/>
      <c r="AC197" s="192"/>
      <c r="AD197" s="192"/>
      <c r="AE197" s="192"/>
      <c r="AF197" s="192"/>
      <c r="AG197" s="192"/>
      <c r="AH197" s="192"/>
    </row>
    <row r="198" spans="1:34" ht="20.100000000000001" customHeight="1" x14ac:dyDescent="0.2">
      <c r="D198" s="192" t="s">
        <v>2559</v>
      </c>
      <c r="E198" s="192" t="s">
        <v>2560</v>
      </c>
      <c r="F198" s="192" t="s">
        <v>738</v>
      </c>
      <c r="G198" s="192">
        <v>1</v>
      </c>
      <c r="H198" s="192"/>
      <c r="I198" s="192"/>
      <c r="J198" s="192"/>
      <c r="K198" s="192">
        <v>10</v>
      </c>
      <c r="L198" s="192">
        <v>22</v>
      </c>
      <c r="M198" s="192"/>
      <c r="N198" s="192">
        <v>1.5</v>
      </c>
      <c r="O198" s="192" t="s">
        <v>2385</v>
      </c>
      <c r="P198" s="192">
        <v>0.1</v>
      </c>
      <c r="Q198" s="192" t="s">
        <v>2387</v>
      </c>
      <c r="R198" s="192">
        <v>0.22</v>
      </c>
      <c r="S198" s="192" t="s">
        <v>705</v>
      </c>
      <c r="T198" s="192">
        <v>1.4999999999999999E-2</v>
      </c>
      <c r="U198" s="192" t="s">
        <v>2432</v>
      </c>
      <c r="V198" s="192">
        <v>0.01</v>
      </c>
      <c r="W198" s="192"/>
      <c r="X198" s="192"/>
      <c r="Y198" s="192"/>
      <c r="Z198" s="192"/>
      <c r="AA198" s="192"/>
      <c r="AB198" s="192"/>
      <c r="AC198" s="192"/>
      <c r="AD198" s="192"/>
      <c r="AE198" s="192"/>
      <c r="AF198" s="192"/>
      <c r="AG198" s="192"/>
      <c r="AH198" s="192"/>
    </row>
    <row r="199" spans="1:34" ht="20.100000000000001" customHeight="1" x14ac:dyDescent="0.2">
      <c r="A199" s="129" t="str">
        <f>HYPERLINK("#A1", "▲ Back to top")</f>
        <v>▲ Back to top</v>
      </c>
      <c r="D199" s="192" t="s">
        <v>2559</v>
      </c>
      <c r="E199" s="192" t="s">
        <v>2561</v>
      </c>
      <c r="F199" s="192" t="s">
        <v>738</v>
      </c>
      <c r="G199" s="192">
        <v>1</v>
      </c>
      <c r="H199" s="192"/>
      <c r="I199" s="192"/>
      <c r="J199" s="192"/>
      <c r="K199" s="192"/>
      <c r="L199" s="192">
        <v>15.7</v>
      </c>
      <c r="M199" s="192"/>
      <c r="N199" s="192">
        <v>4.5999999999999996</v>
      </c>
      <c r="O199" s="192" t="s">
        <v>2387</v>
      </c>
      <c r="P199" s="192">
        <v>0.157</v>
      </c>
      <c r="Q199" s="192" t="s">
        <v>705</v>
      </c>
      <c r="R199" s="192">
        <v>4.5999999999999999E-2</v>
      </c>
      <c r="S199" s="192" t="s">
        <v>2424</v>
      </c>
      <c r="T199" s="192">
        <v>0.14000000000000001</v>
      </c>
      <c r="U199" s="192"/>
      <c r="V199" s="192"/>
      <c r="W199" s="192"/>
      <c r="X199" s="192"/>
      <c r="Y199" s="192"/>
      <c r="Z199" s="192"/>
      <c r="AA199" s="192"/>
      <c r="AB199" s="192"/>
      <c r="AC199" s="192"/>
      <c r="AD199" s="192"/>
      <c r="AE199" s="192"/>
      <c r="AF199" s="192"/>
      <c r="AG199" s="192"/>
      <c r="AH199" s="192"/>
    </row>
    <row r="200" spans="1:34" ht="20.100000000000001" customHeight="1" x14ac:dyDescent="0.2">
      <c r="D200" s="192" t="s">
        <v>2559</v>
      </c>
      <c r="E200" s="192" t="s">
        <v>2562</v>
      </c>
      <c r="F200" s="192" t="s">
        <v>738</v>
      </c>
      <c r="G200" s="192">
        <v>1</v>
      </c>
      <c r="H200" s="192"/>
      <c r="I200" s="192"/>
      <c r="J200" s="192"/>
      <c r="K200" s="192"/>
      <c r="L200" s="192"/>
      <c r="M200" s="192"/>
      <c r="N200" s="192">
        <v>90</v>
      </c>
      <c r="O200" s="192" t="s">
        <v>705</v>
      </c>
      <c r="P200" s="192">
        <v>0.9</v>
      </c>
      <c r="Q200" s="192"/>
      <c r="R200" s="192"/>
      <c r="S200" s="192"/>
      <c r="T200" s="192"/>
      <c r="U200" s="192"/>
      <c r="V200" s="192"/>
      <c r="W200" s="192"/>
      <c r="X200" s="192"/>
      <c r="Y200" s="192"/>
      <c r="Z200" s="192"/>
      <c r="AA200" s="192"/>
      <c r="AB200" s="192"/>
      <c r="AC200" s="192"/>
      <c r="AD200" s="192"/>
      <c r="AE200" s="192"/>
      <c r="AF200" s="192"/>
      <c r="AG200" s="192"/>
      <c r="AH200" s="192"/>
    </row>
    <row r="201" spans="1:34" ht="20.100000000000001" customHeight="1" x14ac:dyDescent="0.2">
      <c r="D201" s="192" t="s">
        <v>2559</v>
      </c>
      <c r="E201" s="192" t="s">
        <v>2563</v>
      </c>
      <c r="F201" s="192" t="s">
        <v>738</v>
      </c>
      <c r="G201" s="192">
        <v>1</v>
      </c>
      <c r="H201" s="192"/>
      <c r="I201" s="192"/>
      <c r="J201" s="192"/>
      <c r="K201" s="192">
        <v>19.5</v>
      </c>
      <c r="L201" s="192">
        <v>0.7</v>
      </c>
      <c r="M201" s="192"/>
      <c r="N201" s="192">
        <v>23</v>
      </c>
      <c r="O201" s="192" t="s">
        <v>2385</v>
      </c>
      <c r="P201" s="192">
        <v>0.19500000000000001</v>
      </c>
      <c r="Q201" s="192" t="s">
        <v>2387</v>
      </c>
      <c r="R201" s="192">
        <v>7.0000000000000001E-3</v>
      </c>
      <c r="S201" s="192" t="s">
        <v>705</v>
      </c>
      <c r="T201" s="192">
        <v>0.23</v>
      </c>
      <c r="U201" s="192"/>
      <c r="V201" s="192"/>
      <c r="W201" s="192"/>
      <c r="X201" s="192"/>
      <c r="Y201" s="192"/>
      <c r="Z201" s="192"/>
      <c r="AA201" s="192"/>
      <c r="AB201" s="192"/>
      <c r="AC201" s="192"/>
      <c r="AD201" s="192"/>
      <c r="AE201" s="192"/>
      <c r="AF201" s="192"/>
      <c r="AG201" s="192"/>
      <c r="AH201" s="192"/>
    </row>
    <row r="202" spans="1:34" ht="20.100000000000001" customHeight="1" x14ac:dyDescent="0.2">
      <c r="D202" s="192" t="s">
        <v>2559</v>
      </c>
      <c r="E202" s="192" t="s">
        <v>2564</v>
      </c>
      <c r="F202" s="192" t="s">
        <v>738</v>
      </c>
      <c r="G202" s="192">
        <v>1</v>
      </c>
      <c r="H202" s="192"/>
      <c r="I202" s="192"/>
      <c r="J202" s="192"/>
      <c r="K202" s="192">
        <v>10</v>
      </c>
      <c r="L202" s="192">
        <v>18</v>
      </c>
      <c r="M202" s="192"/>
      <c r="N202" s="192">
        <v>8</v>
      </c>
      <c r="O202" s="192" t="s">
        <v>2385</v>
      </c>
      <c r="P202" s="192">
        <v>0.1</v>
      </c>
      <c r="Q202" s="192" t="s">
        <v>2387</v>
      </c>
      <c r="R202" s="192">
        <v>0.18</v>
      </c>
      <c r="S202" s="192" t="s">
        <v>705</v>
      </c>
      <c r="T202" s="192">
        <v>0.08</v>
      </c>
      <c r="U202" s="192" t="s">
        <v>2432</v>
      </c>
      <c r="V202" s="192">
        <v>5.0000000000000001E-3</v>
      </c>
      <c r="W202" s="192"/>
      <c r="X202" s="192"/>
      <c r="Y202" s="192"/>
      <c r="Z202" s="192"/>
      <c r="AA202" s="192"/>
      <c r="AB202" s="192"/>
      <c r="AC202" s="192"/>
      <c r="AD202" s="192"/>
      <c r="AE202" s="192"/>
      <c r="AF202" s="192"/>
      <c r="AG202" s="192"/>
      <c r="AH202" s="192"/>
    </row>
    <row r="203" spans="1:34" ht="20.100000000000001" customHeight="1" x14ac:dyDescent="0.2">
      <c r="D203" s="192" t="s">
        <v>2559</v>
      </c>
      <c r="E203" s="192" t="s">
        <v>2565</v>
      </c>
      <c r="F203" s="192" t="s">
        <v>738</v>
      </c>
      <c r="G203" s="192">
        <v>1</v>
      </c>
      <c r="H203" s="192"/>
      <c r="I203" s="192"/>
      <c r="J203" s="192"/>
      <c r="K203" s="192">
        <v>9</v>
      </c>
      <c r="L203" s="192">
        <v>19.8</v>
      </c>
      <c r="M203" s="192">
        <v>0</v>
      </c>
      <c r="N203" s="192">
        <v>10.4</v>
      </c>
      <c r="O203" s="192" t="s">
        <v>2385</v>
      </c>
      <c r="P203" s="192">
        <v>0.09</v>
      </c>
      <c r="Q203" s="192" t="s">
        <v>2387</v>
      </c>
      <c r="R203" s="192">
        <v>0.19800000000000001</v>
      </c>
      <c r="S203" s="192" t="s">
        <v>705</v>
      </c>
      <c r="T203" s="192">
        <v>0.104</v>
      </c>
      <c r="U203" s="192"/>
      <c r="V203" s="192"/>
      <c r="W203" s="192"/>
      <c r="X203" s="192"/>
      <c r="Y203" s="192"/>
      <c r="Z203" s="192"/>
      <c r="AA203" s="192"/>
      <c r="AB203" s="192"/>
      <c r="AC203" s="192"/>
      <c r="AD203" s="192"/>
      <c r="AE203" s="192"/>
      <c r="AF203" s="192"/>
      <c r="AG203" s="192"/>
      <c r="AH203" s="192"/>
    </row>
    <row r="204" spans="1:34" ht="20.100000000000001" customHeight="1" x14ac:dyDescent="0.2">
      <c r="D204" s="192" t="s">
        <v>2559</v>
      </c>
      <c r="E204" s="192" t="s">
        <v>2566</v>
      </c>
      <c r="F204" s="192" t="s">
        <v>738</v>
      </c>
      <c r="G204" s="192">
        <v>1</v>
      </c>
      <c r="H204" s="192"/>
      <c r="I204" s="192"/>
      <c r="J204" s="192"/>
      <c r="K204" s="192">
        <v>15.2</v>
      </c>
      <c r="L204" s="192">
        <v>16.899999999999999</v>
      </c>
      <c r="M204" s="192">
        <v>0</v>
      </c>
      <c r="N204" s="192">
        <v>15.2</v>
      </c>
      <c r="O204" s="192" t="s">
        <v>2385</v>
      </c>
      <c r="P204" s="192">
        <v>0.152</v>
      </c>
      <c r="Q204" s="192" t="s">
        <v>2387</v>
      </c>
      <c r="R204" s="192">
        <v>0.16900000000000001</v>
      </c>
      <c r="S204" s="192" t="s">
        <v>705</v>
      </c>
      <c r="T204" s="192">
        <v>0.152</v>
      </c>
      <c r="U204" s="192"/>
      <c r="V204" s="192"/>
      <c r="W204" s="192"/>
      <c r="X204" s="192"/>
      <c r="Y204" s="192"/>
      <c r="Z204" s="192"/>
      <c r="AA204" s="192"/>
      <c r="AB204" s="192"/>
      <c r="AC204" s="192"/>
      <c r="AD204" s="192"/>
      <c r="AE204" s="192"/>
      <c r="AF204" s="192"/>
      <c r="AG204" s="192"/>
      <c r="AH204" s="192"/>
    </row>
    <row r="205" spans="1:34" ht="20.100000000000001" customHeight="1" x14ac:dyDescent="0.2">
      <c r="D205" s="192" t="s">
        <v>2559</v>
      </c>
      <c r="E205" s="192" t="s">
        <v>2567</v>
      </c>
      <c r="F205" s="192" t="s">
        <v>738</v>
      </c>
      <c r="G205" s="192">
        <v>1</v>
      </c>
      <c r="H205" s="192"/>
      <c r="I205" s="192"/>
      <c r="J205" s="192"/>
      <c r="K205" s="192">
        <v>16.2</v>
      </c>
      <c r="L205" s="192">
        <v>18</v>
      </c>
      <c r="M205" s="192">
        <v>0</v>
      </c>
      <c r="N205" s="192">
        <v>10.4</v>
      </c>
      <c r="O205" s="192" t="s">
        <v>2385</v>
      </c>
      <c r="P205" s="192">
        <v>0.16200000000000001</v>
      </c>
      <c r="Q205" s="192" t="s">
        <v>2387</v>
      </c>
      <c r="R205" s="192">
        <v>0.18</v>
      </c>
      <c r="S205" s="192" t="s">
        <v>705</v>
      </c>
      <c r="T205" s="192">
        <v>0.104</v>
      </c>
      <c r="U205" s="192"/>
      <c r="V205" s="192"/>
      <c r="W205" s="192"/>
      <c r="X205" s="192"/>
      <c r="Y205" s="192"/>
      <c r="Z205" s="192"/>
      <c r="AA205" s="192"/>
      <c r="AB205" s="192"/>
      <c r="AC205" s="192"/>
      <c r="AD205" s="192"/>
      <c r="AE205" s="192"/>
      <c r="AF205" s="192"/>
      <c r="AG205" s="192"/>
      <c r="AH205" s="192"/>
    </row>
    <row r="206" spans="1:34" ht="20.100000000000001" customHeight="1" x14ac:dyDescent="0.2">
      <c r="D206" s="192" t="s">
        <v>2559</v>
      </c>
      <c r="E206" s="192" t="s">
        <v>2568</v>
      </c>
      <c r="F206" s="192" t="s">
        <v>738</v>
      </c>
      <c r="G206" s="192">
        <v>1</v>
      </c>
      <c r="H206" s="192"/>
      <c r="I206" s="192"/>
      <c r="J206" s="192"/>
      <c r="K206" s="192">
        <v>5</v>
      </c>
      <c r="L206" s="192">
        <v>15.4</v>
      </c>
      <c r="M206" s="192">
        <v>0</v>
      </c>
      <c r="N206" s="192">
        <v>6.3</v>
      </c>
      <c r="O206" s="192" t="s">
        <v>2385</v>
      </c>
      <c r="P206" s="192">
        <v>0.05</v>
      </c>
      <c r="Q206" s="192" t="s">
        <v>2387</v>
      </c>
      <c r="R206" s="192">
        <v>0.154</v>
      </c>
      <c r="S206" s="192" t="s">
        <v>705</v>
      </c>
      <c r="T206" s="192">
        <v>6.3E-2</v>
      </c>
      <c r="U206" s="192"/>
      <c r="V206" s="192"/>
      <c r="W206" s="192"/>
      <c r="X206" s="192"/>
      <c r="Y206" s="192"/>
      <c r="Z206" s="192"/>
      <c r="AA206" s="192"/>
      <c r="AB206" s="192"/>
      <c r="AC206" s="192"/>
      <c r="AD206" s="192"/>
      <c r="AE206" s="192"/>
      <c r="AF206" s="192"/>
      <c r="AG206" s="192"/>
      <c r="AH206" s="192"/>
    </row>
    <row r="207" spans="1:34" ht="20.100000000000001" customHeight="1" x14ac:dyDescent="0.2">
      <c r="D207" s="192" t="s">
        <v>2559</v>
      </c>
      <c r="E207" s="192" t="s">
        <v>2569</v>
      </c>
      <c r="F207" s="192" t="s">
        <v>738</v>
      </c>
      <c r="G207" s="192">
        <v>1</v>
      </c>
      <c r="H207" s="192"/>
      <c r="I207" s="192"/>
      <c r="J207" s="192"/>
      <c r="K207" s="192">
        <v>9</v>
      </c>
      <c r="L207" s="192">
        <v>19.8</v>
      </c>
      <c r="M207" s="192">
        <v>0</v>
      </c>
      <c r="N207" s="192">
        <v>10.4</v>
      </c>
      <c r="O207" s="192" t="s">
        <v>2385</v>
      </c>
      <c r="P207" s="192">
        <v>0.09</v>
      </c>
      <c r="Q207" s="192" t="s">
        <v>2387</v>
      </c>
      <c r="R207" s="192">
        <v>0.19800000000000001</v>
      </c>
      <c r="S207" s="192" t="s">
        <v>705</v>
      </c>
      <c r="T207" s="192">
        <v>0.104</v>
      </c>
      <c r="U207" s="192" t="s">
        <v>2432</v>
      </c>
      <c r="V207" s="192">
        <v>8.9999999999999993E-3</v>
      </c>
      <c r="W207" s="192"/>
      <c r="X207" s="192"/>
      <c r="Y207" s="192"/>
      <c r="Z207" s="192"/>
      <c r="AA207" s="192"/>
      <c r="AB207" s="192"/>
      <c r="AC207" s="192"/>
      <c r="AD207" s="192"/>
      <c r="AE207" s="192"/>
      <c r="AF207" s="192"/>
      <c r="AG207" s="192"/>
      <c r="AH207" s="192"/>
    </row>
    <row r="208" spans="1:34" ht="20.100000000000001" customHeight="1" x14ac:dyDescent="0.2">
      <c r="D208" s="192" t="s">
        <v>2559</v>
      </c>
      <c r="E208" s="192" t="s">
        <v>2570</v>
      </c>
      <c r="F208" s="192" t="s">
        <v>738</v>
      </c>
      <c r="G208" s="192">
        <v>1</v>
      </c>
      <c r="H208" s="192"/>
      <c r="I208" s="192"/>
      <c r="J208" s="192"/>
      <c r="K208" s="192">
        <v>11.9</v>
      </c>
      <c r="L208" s="192">
        <v>17.600000000000001</v>
      </c>
      <c r="M208" s="192">
        <v>0</v>
      </c>
      <c r="N208" s="192">
        <v>5.9</v>
      </c>
      <c r="O208" s="192" t="s">
        <v>2385</v>
      </c>
      <c r="P208" s="192">
        <v>0.11899999999999999</v>
      </c>
      <c r="Q208" s="192" t="s">
        <v>2387</v>
      </c>
      <c r="R208" s="192">
        <v>0.17599999999999999</v>
      </c>
      <c r="S208" s="192" t="s">
        <v>705</v>
      </c>
      <c r="T208" s="192">
        <v>5.8999999999999997E-2</v>
      </c>
      <c r="U208" s="192" t="s">
        <v>2432</v>
      </c>
      <c r="V208" s="192">
        <v>8.0000000000000002E-3</v>
      </c>
      <c r="W208" s="192"/>
      <c r="X208" s="192"/>
      <c r="Y208" s="192"/>
      <c r="Z208" s="192"/>
      <c r="AA208" s="192"/>
      <c r="AB208" s="192"/>
      <c r="AC208" s="192"/>
      <c r="AD208" s="192"/>
      <c r="AE208" s="192"/>
      <c r="AF208" s="192"/>
      <c r="AG208" s="192"/>
      <c r="AH208" s="192"/>
    </row>
    <row r="209" spans="4:34" ht="20.100000000000001" customHeight="1" x14ac:dyDescent="0.2">
      <c r="D209" s="192" t="s">
        <v>2559</v>
      </c>
      <c r="E209" s="192" t="s">
        <v>2571</v>
      </c>
      <c r="F209" s="192" t="s">
        <v>738</v>
      </c>
      <c r="G209" s="192">
        <v>1</v>
      </c>
      <c r="H209" s="192"/>
      <c r="I209" s="192"/>
      <c r="J209" s="192"/>
      <c r="K209" s="192">
        <v>14.1</v>
      </c>
      <c r="L209" s="192">
        <v>12.8</v>
      </c>
      <c r="M209" s="192">
        <v>0</v>
      </c>
      <c r="N209" s="192">
        <v>10.7</v>
      </c>
      <c r="O209" s="192" t="s">
        <v>2385</v>
      </c>
      <c r="P209" s="192">
        <v>0.14099999999999999</v>
      </c>
      <c r="Q209" s="192" t="s">
        <v>2387</v>
      </c>
      <c r="R209" s="192">
        <v>0.128</v>
      </c>
      <c r="S209" s="192" t="s">
        <v>705</v>
      </c>
      <c r="T209" s="192">
        <v>0.107</v>
      </c>
      <c r="U209" s="192" t="s">
        <v>2432</v>
      </c>
      <c r="V209" s="192">
        <v>6.0000000000000001E-3</v>
      </c>
      <c r="W209" s="192"/>
      <c r="X209" s="192"/>
      <c r="Y209" s="192"/>
      <c r="Z209" s="192"/>
      <c r="AA209" s="192"/>
      <c r="AB209" s="192"/>
      <c r="AC209" s="192"/>
      <c r="AD209" s="192"/>
      <c r="AE209" s="192"/>
      <c r="AF209" s="192"/>
      <c r="AG209" s="192"/>
      <c r="AH209" s="192"/>
    </row>
    <row r="210" spans="4:34" ht="20.100000000000001" customHeight="1" x14ac:dyDescent="0.2">
      <c r="D210" s="192" t="s">
        <v>2559</v>
      </c>
      <c r="E210" s="192" t="s">
        <v>2572</v>
      </c>
      <c r="F210" s="192" t="s">
        <v>738</v>
      </c>
      <c r="G210" s="192">
        <v>1</v>
      </c>
      <c r="H210" s="192"/>
      <c r="I210" s="192"/>
      <c r="J210" s="192"/>
      <c r="K210" s="192">
        <v>18.600000000000001</v>
      </c>
      <c r="L210" s="192">
        <v>12.7</v>
      </c>
      <c r="M210" s="192">
        <v>0</v>
      </c>
      <c r="N210" s="192">
        <v>6.8</v>
      </c>
      <c r="O210" s="192" t="s">
        <v>2385</v>
      </c>
      <c r="P210" s="192">
        <v>0.186</v>
      </c>
      <c r="Q210" s="192" t="s">
        <v>2387</v>
      </c>
      <c r="R210" s="192">
        <v>0.127</v>
      </c>
      <c r="S210" s="192" t="s">
        <v>705</v>
      </c>
      <c r="T210" s="192">
        <v>6.8000000000000005E-2</v>
      </c>
      <c r="U210" s="192" t="s">
        <v>2432</v>
      </c>
      <c r="V210" s="192">
        <v>6.0000000000000001E-3</v>
      </c>
      <c r="W210" s="192"/>
      <c r="X210" s="192"/>
      <c r="Y210" s="192"/>
      <c r="Z210" s="192"/>
      <c r="AA210" s="192"/>
      <c r="AB210" s="192"/>
      <c r="AC210" s="192"/>
      <c r="AD210" s="192"/>
      <c r="AE210" s="192"/>
      <c r="AF210" s="192"/>
      <c r="AG210" s="192"/>
      <c r="AH210" s="192"/>
    </row>
    <row r="211" spans="4:34" ht="20.100000000000001" customHeight="1" x14ac:dyDescent="0.2">
      <c r="D211" s="192" t="s">
        <v>2559</v>
      </c>
      <c r="E211" s="192" t="s">
        <v>2573</v>
      </c>
      <c r="F211" s="192" t="s">
        <v>738</v>
      </c>
      <c r="G211" s="192">
        <v>1</v>
      </c>
      <c r="H211" s="192"/>
      <c r="I211" s="192"/>
      <c r="J211" s="192"/>
      <c r="K211" s="192">
        <v>32</v>
      </c>
      <c r="L211" s="192">
        <v>0</v>
      </c>
      <c r="M211" s="192">
        <v>11</v>
      </c>
      <c r="N211" s="192">
        <v>3</v>
      </c>
      <c r="O211" s="192" t="s">
        <v>2385</v>
      </c>
      <c r="P211" s="192">
        <v>0.32</v>
      </c>
      <c r="Q211" s="192" t="s">
        <v>704</v>
      </c>
      <c r="R211" s="192">
        <v>0.11</v>
      </c>
      <c r="S211" s="192" t="s">
        <v>705</v>
      </c>
      <c r="T211" s="192">
        <v>0.03</v>
      </c>
      <c r="U211" s="192"/>
      <c r="V211" s="192"/>
      <c r="W211" s="192"/>
      <c r="X211" s="192"/>
      <c r="Y211" s="192"/>
      <c r="Z211" s="192"/>
      <c r="AA211" s="192"/>
      <c r="AB211" s="192"/>
      <c r="AC211" s="192"/>
      <c r="AD211" s="192"/>
      <c r="AE211" s="192"/>
      <c r="AF211" s="192"/>
      <c r="AG211" s="192"/>
      <c r="AH211" s="192"/>
    </row>
    <row r="212" spans="4:34" ht="20.100000000000001" customHeight="1" x14ac:dyDescent="0.2">
      <c r="D212" s="192" t="s">
        <v>2559</v>
      </c>
      <c r="E212" s="192" t="s">
        <v>2574</v>
      </c>
      <c r="F212" s="192" t="s">
        <v>738</v>
      </c>
      <c r="G212" s="192">
        <v>1</v>
      </c>
      <c r="H212" s="192"/>
      <c r="I212" s="192"/>
      <c r="J212" s="192"/>
      <c r="K212" s="192">
        <v>31</v>
      </c>
      <c r="L212" s="192">
        <v>6</v>
      </c>
      <c r="M212" s="192">
        <v>0</v>
      </c>
      <c r="N212" s="192">
        <v>6</v>
      </c>
      <c r="O212" s="192" t="s">
        <v>2385</v>
      </c>
      <c r="P212" s="192">
        <v>0.31</v>
      </c>
      <c r="Q212" s="192" t="s">
        <v>2387</v>
      </c>
      <c r="R212" s="192">
        <v>0.06</v>
      </c>
      <c r="S212" s="192" t="s">
        <v>705</v>
      </c>
      <c r="T212" s="192">
        <v>0.06</v>
      </c>
      <c r="U212" s="192"/>
      <c r="V212" s="192"/>
      <c r="W212" s="192"/>
      <c r="X212" s="192"/>
      <c r="Y212" s="192"/>
      <c r="Z212" s="192"/>
      <c r="AA212" s="192"/>
      <c r="AB212" s="192"/>
      <c r="AC212" s="192"/>
      <c r="AD212" s="192"/>
      <c r="AE212" s="192"/>
      <c r="AF212" s="192"/>
      <c r="AG212" s="192"/>
      <c r="AH212" s="192"/>
    </row>
    <row r="213" spans="4:34" ht="20.100000000000001" customHeight="1" x14ac:dyDescent="0.2">
      <c r="D213" s="192" t="s">
        <v>2559</v>
      </c>
      <c r="E213" s="192" t="s">
        <v>2575</v>
      </c>
      <c r="F213" s="192" t="s">
        <v>738</v>
      </c>
      <c r="G213" s="192">
        <v>1</v>
      </c>
      <c r="H213" s="192"/>
      <c r="I213" s="192"/>
      <c r="J213" s="192"/>
      <c r="K213" s="192">
        <v>21</v>
      </c>
      <c r="L213" s="192">
        <v>4</v>
      </c>
      <c r="M213" s="192">
        <v>8</v>
      </c>
      <c r="N213" s="192">
        <v>7</v>
      </c>
      <c r="O213" s="192" t="s">
        <v>2385</v>
      </c>
      <c r="P213" s="192">
        <v>0.21</v>
      </c>
      <c r="Q213" s="192" t="s">
        <v>2387</v>
      </c>
      <c r="R213" s="192">
        <v>0.04</v>
      </c>
      <c r="S213" s="192" t="s">
        <v>704</v>
      </c>
      <c r="T213" s="192">
        <v>0.08</v>
      </c>
      <c r="U213" s="192" t="s">
        <v>705</v>
      </c>
      <c r="V213" s="192">
        <v>7.0000000000000007E-2</v>
      </c>
      <c r="W213" s="192"/>
      <c r="X213" s="192"/>
      <c r="Y213" s="192"/>
      <c r="Z213" s="192"/>
      <c r="AA213" s="192"/>
      <c r="AB213" s="192"/>
      <c r="AC213" s="192"/>
      <c r="AD213" s="192"/>
      <c r="AE213" s="192"/>
      <c r="AF213" s="192"/>
      <c r="AG213" s="192"/>
      <c r="AH213" s="192"/>
    </row>
    <row r="214" spans="4:34" ht="20.100000000000001" customHeight="1" x14ac:dyDescent="0.2">
      <c r="D214" s="192" t="s">
        <v>2559</v>
      </c>
      <c r="E214" s="192" t="s">
        <v>2576</v>
      </c>
      <c r="F214" s="192" t="s">
        <v>738</v>
      </c>
      <c r="G214" s="192">
        <v>1</v>
      </c>
      <c r="H214" s="192"/>
      <c r="I214" s="192"/>
      <c r="J214" s="192"/>
      <c r="K214" s="192">
        <v>23</v>
      </c>
      <c r="L214" s="192">
        <v>0</v>
      </c>
      <c r="M214" s="192">
        <v>25</v>
      </c>
      <c r="N214" s="192">
        <v>0</v>
      </c>
      <c r="O214" s="192" t="s">
        <v>2385</v>
      </c>
      <c r="P214" s="192">
        <v>0.23</v>
      </c>
      <c r="Q214" s="192" t="s">
        <v>704</v>
      </c>
      <c r="R214" s="192">
        <v>0.25</v>
      </c>
      <c r="S214" s="192"/>
      <c r="T214" s="192"/>
      <c r="U214" s="192"/>
      <c r="V214" s="192"/>
      <c r="W214" s="192"/>
      <c r="X214" s="192"/>
      <c r="Y214" s="192"/>
      <c r="Z214" s="192"/>
      <c r="AA214" s="192"/>
      <c r="AB214" s="192"/>
      <c r="AC214" s="192"/>
      <c r="AD214" s="192"/>
      <c r="AE214" s="192"/>
      <c r="AF214" s="192"/>
      <c r="AG214" s="192"/>
      <c r="AH214" s="192"/>
    </row>
    <row r="215" spans="4:34" ht="20.100000000000001" customHeight="1" x14ac:dyDescent="0.2">
      <c r="D215" s="192" t="s">
        <v>2559</v>
      </c>
      <c r="E215" s="192" t="s">
        <v>2577</v>
      </c>
      <c r="F215" s="192" t="s">
        <v>738</v>
      </c>
      <c r="G215" s="192">
        <v>1</v>
      </c>
      <c r="H215" s="192"/>
      <c r="I215" s="192"/>
      <c r="J215" s="192"/>
      <c r="K215" s="192">
        <v>25</v>
      </c>
      <c r="L215" s="192">
        <v>4</v>
      </c>
      <c r="M215" s="192">
        <v>13</v>
      </c>
      <c r="N215" s="192">
        <v>4</v>
      </c>
      <c r="O215" s="192" t="s">
        <v>2385</v>
      </c>
      <c r="P215" s="192">
        <v>0.25</v>
      </c>
      <c r="Q215" s="192" t="s">
        <v>2387</v>
      </c>
      <c r="R215" s="192">
        <v>0.04</v>
      </c>
      <c r="S215" s="192" t="s">
        <v>704</v>
      </c>
      <c r="T215" s="192">
        <v>0.13</v>
      </c>
      <c r="U215" s="192" t="s">
        <v>705</v>
      </c>
      <c r="V215" s="192">
        <v>0.04</v>
      </c>
      <c r="W215" s="192"/>
      <c r="X215" s="192"/>
      <c r="Y215" s="192"/>
      <c r="Z215" s="192"/>
      <c r="AA215" s="192"/>
      <c r="AB215" s="192"/>
      <c r="AC215" s="192"/>
      <c r="AD215" s="192"/>
      <c r="AE215" s="192"/>
      <c r="AF215" s="192"/>
      <c r="AG215" s="192"/>
      <c r="AH215" s="192"/>
    </row>
    <row r="216" spans="4:34" ht="20.100000000000001" customHeight="1" x14ac:dyDescent="0.2">
      <c r="D216" s="192" t="s">
        <v>2559</v>
      </c>
      <c r="E216" s="192" t="s">
        <v>2578</v>
      </c>
      <c r="F216" s="192" t="s">
        <v>738</v>
      </c>
      <c r="G216" s="192">
        <v>1</v>
      </c>
      <c r="H216" s="192"/>
      <c r="I216" s="192"/>
      <c r="J216" s="192"/>
      <c r="K216" s="192">
        <v>13</v>
      </c>
      <c r="L216" s="192">
        <v>5</v>
      </c>
      <c r="M216" s="192">
        <v>24</v>
      </c>
      <c r="N216" s="192">
        <v>5</v>
      </c>
      <c r="O216" s="192" t="s">
        <v>2385</v>
      </c>
      <c r="P216" s="192">
        <v>0.13</v>
      </c>
      <c r="Q216" s="192" t="s">
        <v>2387</v>
      </c>
      <c r="R216" s="192">
        <v>0.05</v>
      </c>
      <c r="S216" s="192" t="s">
        <v>704</v>
      </c>
      <c r="T216" s="192">
        <v>0.24</v>
      </c>
      <c r="U216" s="192" t="s">
        <v>705</v>
      </c>
      <c r="V216" s="192">
        <v>0.05</v>
      </c>
      <c r="W216" s="192"/>
      <c r="X216" s="192"/>
      <c r="Y216" s="192"/>
      <c r="Z216" s="192"/>
      <c r="AA216" s="192"/>
      <c r="AB216" s="192"/>
      <c r="AC216" s="192"/>
      <c r="AD216" s="192"/>
      <c r="AE216" s="192"/>
      <c r="AF216" s="192"/>
      <c r="AG216" s="192"/>
      <c r="AH216" s="192"/>
    </row>
    <row r="217" spans="4:34" ht="20.100000000000001" customHeight="1" x14ac:dyDescent="0.2">
      <c r="D217" s="192" t="s">
        <v>2559</v>
      </c>
      <c r="E217" s="192" t="s">
        <v>2579</v>
      </c>
      <c r="F217" s="192" t="s">
        <v>738</v>
      </c>
      <c r="G217" s="192">
        <v>1</v>
      </c>
      <c r="H217" s="192"/>
      <c r="I217" s="192"/>
      <c r="J217" s="192"/>
      <c r="K217" s="192">
        <v>11</v>
      </c>
      <c r="L217" s="192">
        <v>5</v>
      </c>
      <c r="M217" s="192">
        <v>24</v>
      </c>
      <c r="N217" s="192">
        <v>4</v>
      </c>
      <c r="O217" s="192" t="s">
        <v>2385</v>
      </c>
      <c r="P217" s="192">
        <v>0.11</v>
      </c>
      <c r="Q217" s="192" t="s">
        <v>2387</v>
      </c>
      <c r="R217" s="192">
        <v>0.05</v>
      </c>
      <c r="S217" s="192" t="s">
        <v>704</v>
      </c>
      <c r="T217" s="192">
        <v>0.24</v>
      </c>
      <c r="U217" s="192" t="s">
        <v>705</v>
      </c>
      <c r="V217" s="192">
        <v>0.04</v>
      </c>
      <c r="W217" s="192"/>
      <c r="X217" s="192"/>
      <c r="Y217" s="192"/>
      <c r="Z217" s="192"/>
      <c r="AA217" s="192"/>
      <c r="AB217" s="192"/>
      <c r="AC217" s="192"/>
      <c r="AD217" s="192"/>
      <c r="AE217" s="192"/>
      <c r="AF217" s="192"/>
      <c r="AG217" s="192"/>
      <c r="AH217" s="192"/>
    </row>
    <row r="218" spans="4:34" ht="20.100000000000001" customHeight="1" x14ac:dyDescent="0.2">
      <c r="D218" s="192" t="s">
        <v>2559</v>
      </c>
      <c r="E218" s="192" t="s">
        <v>2580</v>
      </c>
      <c r="F218" s="192" t="s">
        <v>738</v>
      </c>
      <c r="G218" s="192">
        <v>1</v>
      </c>
      <c r="H218" s="192"/>
      <c r="I218" s="192"/>
      <c r="J218" s="192"/>
      <c r="K218" s="192">
        <v>11</v>
      </c>
      <c r="L218" s="192">
        <v>8</v>
      </c>
      <c r="M218" s="192">
        <v>20</v>
      </c>
      <c r="N218" s="192">
        <v>6</v>
      </c>
      <c r="O218" s="192" t="s">
        <v>2385</v>
      </c>
      <c r="P218" s="192">
        <v>0.11</v>
      </c>
      <c r="Q218" s="192" t="s">
        <v>2387</v>
      </c>
      <c r="R218" s="192">
        <v>0.08</v>
      </c>
      <c r="S218" s="192" t="s">
        <v>704</v>
      </c>
      <c r="T218" s="192">
        <v>0.2</v>
      </c>
      <c r="U218" s="192" t="s">
        <v>705</v>
      </c>
      <c r="V218" s="192">
        <v>0.06</v>
      </c>
      <c r="W218" s="192"/>
      <c r="X218" s="192"/>
      <c r="Y218" s="192"/>
      <c r="Z218" s="192"/>
      <c r="AA218" s="192"/>
      <c r="AB218" s="192"/>
      <c r="AC218" s="192"/>
      <c r="AD218" s="192"/>
      <c r="AE218" s="192"/>
      <c r="AF218" s="192"/>
      <c r="AG218" s="192"/>
      <c r="AH218" s="192"/>
    </row>
    <row r="219" spans="4:34" ht="20.100000000000001" customHeight="1" x14ac:dyDescent="0.2">
      <c r="D219" s="192" t="s">
        <v>2559</v>
      </c>
      <c r="E219" s="192" t="s">
        <v>2581</v>
      </c>
      <c r="F219" s="192" t="s">
        <v>738</v>
      </c>
      <c r="G219" s="192">
        <v>1</v>
      </c>
      <c r="H219" s="192"/>
      <c r="I219" s="192"/>
      <c r="J219" s="192"/>
      <c r="K219" s="192">
        <v>9</v>
      </c>
      <c r="L219" s="192">
        <v>4</v>
      </c>
      <c r="M219" s="192">
        <v>5</v>
      </c>
      <c r="N219" s="192">
        <v>15</v>
      </c>
      <c r="O219" s="192" t="s">
        <v>2385</v>
      </c>
      <c r="P219" s="192">
        <v>0.09</v>
      </c>
      <c r="Q219" s="192" t="s">
        <v>2387</v>
      </c>
      <c r="R219" s="192">
        <v>0.04</v>
      </c>
      <c r="S219" s="192" t="s">
        <v>704</v>
      </c>
      <c r="T219" s="192">
        <v>0.05</v>
      </c>
      <c r="U219" s="192" t="s">
        <v>705</v>
      </c>
      <c r="V219" s="192">
        <v>0.15</v>
      </c>
      <c r="W219" s="192"/>
      <c r="X219" s="192"/>
      <c r="Y219" s="192"/>
      <c r="Z219" s="192"/>
      <c r="AA219" s="192"/>
      <c r="AB219" s="192"/>
      <c r="AC219" s="192"/>
      <c r="AD219" s="192"/>
      <c r="AE219" s="192"/>
      <c r="AF219" s="192"/>
      <c r="AG219" s="192"/>
      <c r="AH219" s="192"/>
    </row>
    <row r="220" spans="4:34" ht="20.100000000000001" customHeight="1" x14ac:dyDescent="0.2">
      <c r="D220" s="192" t="s">
        <v>2552</v>
      </c>
      <c r="E220" s="192" t="s">
        <v>2582</v>
      </c>
      <c r="F220" s="192" t="s">
        <v>738</v>
      </c>
      <c r="G220" s="192">
        <v>1</v>
      </c>
      <c r="H220" s="192"/>
      <c r="I220" s="192"/>
      <c r="J220" s="192"/>
      <c r="K220" s="192">
        <v>10.73</v>
      </c>
      <c r="L220" s="192">
        <v>10.95</v>
      </c>
      <c r="M220" s="192">
        <v>11.35</v>
      </c>
      <c r="N220" s="192">
        <v>6.55</v>
      </c>
      <c r="O220" s="192" t="s">
        <v>2371</v>
      </c>
      <c r="P220" s="192">
        <v>0.5</v>
      </c>
      <c r="Q220" s="192" t="s">
        <v>2375</v>
      </c>
      <c r="R220" s="192">
        <v>0.27300000000000002</v>
      </c>
      <c r="S220" s="192" t="s">
        <v>2393</v>
      </c>
      <c r="T220" s="192">
        <v>0.22700000000000001</v>
      </c>
      <c r="U220" s="192" t="s">
        <v>2435</v>
      </c>
      <c r="V220" s="192" t="s">
        <v>1401</v>
      </c>
      <c r="W220" s="192" t="s">
        <v>2432</v>
      </c>
      <c r="X220" s="192" t="s">
        <v>1401</v>
      </c>
      <c r="Y220" s="192"/>
      <c r="Z220" s="192"/>
      <c r="AA220" s="192"/>
      <c r="AB220" s="192"/>
      <c r="AC220" s="192"/>
      <c r="AD220" s="192"/>
      <c r="AE220" s="192"/>
      <c r="AF220" s="192"/>
      <c r="AG220" s="192"/>
      <c r="AH220" s="192"/>
    </row>
    <row r="221" spans="4:34" ht="20.100000000000001" customHeight="1" x14ac:dyDescent="0.2">
      <c r="D221" s="192" t="s">
        <v>2552</v>
      </c>
      <c r="E221" s="192" t="s">
        <v>2583</v>
      </c>
      <c r="F221" s="192" t="s">
        <v>738</v>
      </c>
      <c r="G221" s="192">
        <v>1</v>
      </c>
      <c r="H221" s="192"/>
      <c r="I221" s="192"/>
      <c r="J221" s="192"/>
      <c r="K221" s="192">
        <v>16.95</v>
      </c>
      <c r="L221" s="192">
        <v>8.06</v>
      </c>
      <c r="M221" s="192"/>
      <c r="N221" s="192">
        <v>15.17</v>
      </c>
      <c r="O221" s="192" t="s">
        <v>2375</v>
      </c>
      <c r="P221" s="192">
        <v>0.63200000000000001</v>
      </c>
      <c r="Q221" s="192" t="s">
        <v>2371</v>
      </c>
      <c r="R221" s="192">
        <v>0.36799999999999999</v>
      </c>
      <c r="S221" s="192" t="s">
        <v>2432</v>
      </c>
      <c r="T221" s="192" t="s">
        <v>1401</v>
      </c>
      <c r="U221" s="192" t="s">
        <v>2435</v>
      </c>
      <c r="V221" s="192" t="s">
        <v>1401</v>
      </c>
      <c r="W221" s="192" t="s">
        <v>2478</v>
      </c>
      <c r="X221" s="192" t="s">
        <v>1401</v>
      </c>
      <c r="Y221" s="192" t="s">
        <v>2584</v>
      </c>
      <c r="Z221" s="192" t="s">
        <v>1401</v>
      </c>
      <c r="AA221" s="192"/>
      <c r="AB221" s="192"/>
      <c r="AC221" s="192"/>
      <c r="AD221" s="192"/>
      <c r="AE221" s="192"/>
      <c r="AF221" s="192"/>
      <c r="AG221" s="192"/>
      <c r="AH221" s="192"/>
    </row>
    <row r="222" spans="4:34" ht="20.100000000000001" customHeight="1" x14ac:dyDescent="0.2">
      <c r="D222" s="192" t="s">
        <v>2552</v>
      </c>
      <c r="E222" s="192" t="s">
        <v>2585</v>
      </c>
      <c r="F222" s="192" t="s">
        <v>738</v>
      </c>
      <c r="G222" s="192">
        <v>1</v>
      </c>
      <c r="H222" s="192"/>
      <c r="I222" s="192"/>
      <c r="J222" s="192"/>
      <c r="K222" s="192"/>
      <c r="L222" s="192">
        <v>8.8000000000000007</v>
      </c>
      <c r="M222" s="192"/>
      <c r="N222" s="192">
        <v>11</v>
      </c>
      <c r="O222" s="192" t="s">
        <v>2395</v>
      </c>
      <c r="P222" s="192">
        <v>1</v>
      </c>
      <c r="Q222" s="192" t="s">
        <v>2435</v>
      </c>
      <c r="R222" s="192">
        <v>6.0000000000000001E-3</v>
      </c>
      <c r="S222" s="192" t="s">
        <v>2432</v>
      </c>
      <c r="T222" s="192">
        <v>3.0000000000000001E-3</v>
      </c>
      <c r="U222" s="192" t="s">
        <v>2478</v>
      </c>
      <c r="V222" s="192">
        <v>5.9999999999999995E-4</v>
      </c>
      <c r="W222" s="192"/>
      <c r="X222" s="192"/>
      <c r="Y222" s="192"/>
      <c r="Z222" s="192"/>
      <c r="AA222" s="192"/>
      <c r="AB222" s="192"/>
      <c r="AC222" s="192"/>
      <c r="AD222" s="192"/>
      <c r="AE222" s="192"/>
      <c r="AF222" s="192"/>
      <c r="AG222" s="192"/>
      <c r="AH222" s="192"/>
    </row>
    <row r="223" spans="4:34" ht="20.100000000000001" customHeight="1" x14ac:dyDescent="0.2">
      <c r="D223" s="192" t="s">
        <v>2552</v>
      </c>
      <c r="E223" s="192" t="s">
        <v>2586</v>
      </c>
      <c r="F223" s="192" t="s">
        <v>979</v>
      </c>
      <c r="G223" s="192">
        <v>1.32</v>
      </c>
      <c r="H223" s="192"/>
      <c r="I223" s="192"/>
      <c r="J223" s="192"/>
      <c r="K223" s="192">
        <v>32</v>
      </c>
      <c r="L223" s="192"/>
      <c r="M223" s="192"/>
      <c r="N223" s="192"/>
      <c r="O223" s="192" t="s">
        <v>2376</v>
      </c>
      <c r="P223" s="192">
        <v>1</v>
      </c>
      <c r="Q223" s="192"/>
      <c r="R223" s="192"/>
      <c r="S223" s="192"/>
      <c r="T223" s="192"/>
      <c r="U223" s="192"/>
      <c r="V223" s="192"/>
      <c r="W223" s="192"/>
      <c r="X223" s="192"/>
      <c r="Y223" s="192"/>
      <c r="Z223" s="192"/>
      <c r="AA223" s="192"/>
      <c r="AB223" s="192"/>
      <c r="AC223" s="192"/>
      <c r="AD223" s="192"/>
      <c r="AE223" s="192"/>
      <c r="AF223" s="192"/>
      <c r="AG223" s="192"/>
      <c r="AH223" s="192"/>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91621-1EEE-4D56-8C30-E4484D259191}">
  <sheetPr>
    <tabColor theme="2" tint="-0.499984740745262"/>
  </sheetPr>
  <dimension ref="A1:AI162"/>
  <sheetViews>
    <sheetView showGridLines="0" zoomScaleNormal="100" workbookViewId="0">
      <pane xSplit="1" topLeftCell="B1" activePane="topRight" state="frozenSplit"/>
      <selection pane="topRight" activeCell="A199" sqref="A19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954</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2587</v>
      </c>
      <c r="E5" s="184"/>
      <c r="F5" s="184"/>
      <c r="G5" s="184"/>
      <c r="H5" s="184"/>
      <c r="I5" s="184"/>
      <c r="J5" s="184"/>
      <c r="K5" s="184"/>
      <c r="L5" s="184"/>
    </row>
    <row r="6" spans="1:35" ht="20.100000000000001" customHeight="1" x14ac:dyDescent="0.2">
      <c r="A6" s="5" t="str">
        <f>HYPERLINK("#'Results'!A1", "Results")</f>
        <v>Results</v>
      </c>
      <c r="D6" s="1" t="s">
        <v>2588</v>
      </c>
      <c r="E6" s="184"/>
      <c r="F6" s="184"/>
      <c r="G6" s="184"/>
      <c r="H6" s="184"/>
      <c r="I6" s="184"/>
      <c r="J6" s="184"/>
      <c r="K6" s="184"/>
      <c r="L6" s="184"/>
    </row>
    <row r="7" spans="1:35" ht="20.100000000000001" customHeight="1" x14ac:dyDescent="0.2">
      <c r="D7" s="17" t="s">
        <v>2589</v>
      </c>
      <c r="E7" s="184"/>
      <c r="F7" s="184"/>
      <c r="G7" s="184"/>
      <c r="H7" s="184"/>
      <c r="I7" s="184"/>
      <c r="J7" s="184"/>
      <c r="K7" s="184"/>
      <c r="L7" s="184"/>
    </row>
    <row r="8" spans="1:35" ht="20.100000000000001" customHeight="1" x14ac:dyDescent="0.2">
      <c r="D8" s="25" t="str" cm="1">
        <f t="array" ref="D8">"⚠️" &amp; Fuel_SourceData.Fuel_Scope1Scope3EmissionFactorsTransport_Variation()</f>
        <v>⚠️VARIATION OF SOURCE DATA: 'NE' values returned as zero for calculations.</v>
      </c>
      <c r="E8" s="184"/>
      <c r="F8" s="184"/>
      <c r="G8" s="184"/>
      <c r="H8" s="184"/>
      <c r="I8" s="184"/>
      <c r="J8" s="184"/>
      <c r="K8" s="184"/>
      <c r="L8" s="184"/>
    </row>
    <row r="9" spans="1:35" ht="20.100000000000001" customHeight="1" x14ac:dyDescent="0.2">
      <c r="A9" s="7" t="s">
        <v>0</v>
      </c>
      <c r="D9" s="232" t="s">
        <v>955</v>
      </c>
      <c r="E9" s="232" t="s">
        <v>956</v>
      </c>
      <c r="F9" s="232" t="s">
        <v>957</v>
      </c>
      <c r="G9" s="232" t="s">
        <v>958</v>
      </c>
      <c r="H9" s="232" t="s">
        <v>959</v>
      </c>
      <c r="I9" s="232" t="s">
        <v>960</v>
      </c>
      <c r="J9" s="232" t="s">
        <v>961</v>
      </c>
      <c r="K9" s="232" t="s">
        <v>962</v>
      </c>
      <c r="L9" s="232" t="s">
        <v>963</v>
      </c>
    </row>
    <row r="10" spans="1:35" ht="20.100000000000001" customHeight="1" x14ac:dyDescent="0.2">
      <c r="A10" s="5" t="str">
        <f>HYPERLINK("#'Input - Enterprise'!A1", "Enterprise")</f>
        <v>Enterprise</v>
      </c>
      <c r="D10" s="233" t="s">
        <v>918</v>
      </c>
      <c r="E10" s="233" t="s">
        <v>2590</v>
      </c>
      <c r="F10" s="233">
        <v>34.200000000000003</v>
      </c>
      <c r="G10" s="233" t="s">
        <v>2591</v>
      </c>
      <c r="H10" s="233">
        <v>67.400000000000006</v>
      </c>
      <c r="I10" s="233">
        <v>0.02</v>
      </c>
      <c r="J10" s="233">
        <v>0.2</v>
      </c>
      <c r="K10" s="233">
        <v>67.62</v>
      </c>
      <c r="L10" s="233">
        <v>17.2</v>
      </c>
    </row>
    <row r="11" spans="1:35" ht="20.100000000000001" customHeight="1" x14ac:dyDescent="0.2">
      <c r="A11" s="5" t="str">
        <f>HYPERLINK("#'Input - Site'!A1", "Site")</f>
        <v>Site</v>
      </c>
      <c r="D11" s="233" t="s">
        <v>918</v>
      </c>
      <c r="E11" s="233" t="s">
        <v>2592</v>
      </c>
      <c r="F11" s="233">
        <v>38.6</v>
      </c>
      <c r="G11" s="233" t="s">
        <v>2591</v>
      </c>
      <c r="H11" s="233">
        <v>69.900000000000006</v>
      </c>
      <c r="I11" s="233">
        <v>0.01</v>
      </c>
      <c r="J11" s="233">
        <v>0.5</v>
      </c>
      <c r="K11" s="233">
        <v>70.41</v>
      </c>
      <c r="L11" s="233">
        <v>17.3</v>
      </c>
    </row>
    <row r="12" spans="1:35" ht="20.100000000000001" customHeight="1" x14ac:dyDescent="0.2">
      <c r="A12" s="5" t="str">
        <f>HYPERLINK("#'Input - Dairy'!A1", "Dairy")</f>
        <v>Dairy</v>
      </c>
      <c r="D12" s="233" t="s">
        <v>918</v>
      </c>
      <c r="E12" s="233" t="s">
        <v>980</v>
      </c>
      <c r="F12" s="233">
        <v>26.2</v>
      </c>
      <c r="G12" s="233" t="s">
        <v>2591</v>
      </c>
      <c r="H12" s="233">
        <v>60.2</v>
      </c>
      <c r="I12" s="233">
        <v>0.5</v>
      </c>
      <c r="J12" s="233">
        <v>0.3</v>
      </c>
      <c r="K12" s="233">
        <v>61</v>
      </c>
      <c r="L12" s="233">
        <v>20.2</v>
      </c>
    </row>
    <row r="13" spans="1:35" ht="20.100000000000001" customHeight="1" x14ac:dyDescent="0.2">
      <c r="A13" s="5" t="str">
        <f>HYPERLINK("#'Input - Livestock sales'!A1", "Livestock sales")</f>
        <v>Livestock sales</v>
      </c>
      <c r="D13" s="233" t="s">
        <v>918</v>
      </c>
      <c r="E13" s="233" t="s">
        <v>922</v>
      </c>
      <c r="F13" s="233">
        <v>39.700000000000003</v>
      </c>
      <c r="G13" s="233" t="s">
        <v>2591</v>
      </c>
      <c r="H13" s="233">
        <v>73.599999999999994</v>
      </c>
      <c r="I13" s="233">
        <v>0.08</v>
      </c>
      <c r="J13" s="233">
        <v>0.5</v>
      </c>
      <c r="K13" s="233">
        <v>74.180000000000007</v>
      </c>
      <c r="L13" s="233">
        <v>18</v>
      </c>
    </row>
    <row r="14" spans="1:35" ht="20.100000000000001" customHeight="1" x14ac:dyDescent="0.2">
      <c r="A14" s="5" t="str">
        <f>HYPERLINK("#'Input - Dairy cattle purchases'!A1", "Dairy cattle purchases")</f>
        <v>Dairy cattle purchases</v>
      </c>
      <c r="D14" s="233" t="s">
        <v>918</v>
      </c>
      <c r="E14" s="233" t="s">
        <v>982</v>
      </c>
      <c r="F14" s="233">
        <v>23.4</v>
      </c>
      <c r="G14" s="233" t="s">
        <v>2591</v>
      </c>
      <c r="H14" s="233">
        <v>0</v>
      </c>
      <c r="I14" s="233">
        <v>0.2</v>
      </c>
      <c r="J14" s="233">
        <v>0.2</v>
      </c>
      <c r="K14" s="233">
        <v>0.4</v>
      </c>
      <c r="L14" s="233" t="s">
        <v>1492</v>
      </c>
    </row>
    <row r="15" spans="1:35" ht="20.100000000000001" customHeight="1" x14ac:dyDescent="0.2">
      <c r="A15" s="5" t="str">
        <f>HYPERLINK("#'Input - Pasture'!A1", "Pasture")</f>
        <v>Pasture</v>
      </c>
      <c r="D15" s="233" t="s">
        <v>918</v>
      </c>
      <c r="E15" s="233" t="s">
        <v>981</v>
      </c>
      <c r="F15" s="233">
        <v>34.6</v>
      </c>
      <c r="G15" s="233" t="s">
        <v>2591</v>
      </c>
      <c r="H15" s="233">
        <v>0</v>
      </c>
      <c r="I15" s="233">
        <v>0.8</v>
      </c>
      <c r="J15" s="233">
        <v>1.7</v>
      </c>
      <c r="K15" s="233">
        <v>2.5</v>
      </c>
      <c r="L15" s="233" t="s">
        <v>1492</v>
      </c>
    </row>
    <row r="16" spans="1:35" ht="20.100000000000001" customHeight="1" x14ac:dyDescent="0.2">
      <c r="A16" s="5" t="str">
        <f>HYPERLINK("#'Input - Fert Prod System'!A1", "Fert Prod System")</f>
        <v>Fert Prod System</v>
      </c>
      <c r="D16" s="233" t="s">
        <v>918</v>
      </c>
      <c r="E16" s="233" t="s">
        <v>984</v>
      </c>
      <c r="F16" s="233">
        <v>38.6</v>
      </c>
      <c r="G16" s="233" t="s">
        <v>2591</v>
      </c>
      <c r="H16" s="233">
        <v>0</v>
      </c>
      <c r="I16" s="233">
        <v>0.01</v>
      </c>
      <c r="J16" s="233">
        <v>0.5</v>
      </c>
      <c r="K16" s="233">
        <v>0.51</v>
      </c>
      <c r="L16" s="233" t="s">
        <v>1492</v>
      </c>
    </row>
    <row r="17" spans="1:12" ht="20.100000000000001" customHeight="1" x14ac:dyDescent="0.2">
      <c r="A17" s="5" t="str">
        <f>HYPERLINK("#'Input - Fertiliser'!A1", "Fertiliser")</f>
        <v>Fertiliser</v>
      </c>
      <c r="D17" s="233" t="s">
        <v>918</v>
      </c>
      <c r="E17" s="233" t="s">
        <v>983</v>
      </c>
      <c r="F17" s="233">
        <v>23.4</v>
      </c>
      <c r="G17" s="233" t="s">
        <v>2591</v>
      </c>
      <c r="H17" s="233">
        <v>0</v>
      </c>
      <c r="I17" s="233">
        <v>0.8</v>
      </c>
      <c r="J17" s="233">
        <v>1.7</v>
      </c>
      <c r="K17" s="233">
        <v>2.5</v>
      </c>
      <c r="L17" s="233" t="s">
        <v>1492</v>
      </c>
    </row>
    <row r="18" spans="1:12" ht="20.100000000000001" customHeight="1" x14ac:dyDescent="0.2">
      <c r="A18" s="5" t="str">
        <f>HYPERLINK("#'Input - Fuel'!A1", "Fuel")</f>
        <v>Fuel</v>
      </c>
      <c r="D18" s="233" t="s">
        <v>2593</v>
      </c>
      <c r="E18" s="233" t="s">
        <v>2594</v>
      </c>
      <c r="F18" s="233">
        <v>3.9300000000000002E-2</v>
      </c>
      <c r="G18" s="233" t="s">
        <v>1988</v>
      </c>
      <c r="H18" s="233">
        <v>51.4</v>
      </c>
      <c r="I18" s="233">
        <v>7.3</v>
      </c>
      <c r="J18" s="233">
        <v>0.3</v>
      </c>
      <c r="K18" s="233">
        <v>59</v>
      </c>
      <c r="L18" s="233">
        <v>18</v>
      </c>
    </row>
    <row r="19" spans="1:12" ht="20.100000000000001" customHeight="1" x14ac:dyDescent="0.2">
      <c r="A19" s="5" t="str">
        <f>HYPERLINK("#'Input - Electricity'!A1", "Electricity")</f>
        <v>Electricity</v>
      </c>
      <c r="D19" s="233" t="s">
        <v>2593</v>
      </c>
      <c r="E19" s="233" t="s">
        <v>2595</v>
      </c>
      <c r="F19" s="233">
        <v>25.3</v>
      </c>
      <c r="G19" s="233" t="s">
        <v>2591</v>
      </c>
      <c r="H19" s="233">
        <v>51.4</v>
      </c>
      <c r="I19" s="233">
        <v>7.3</v>
      </c>
      <c r="J19" s="233">
        <v>0.3</v>
      </c>
      <c r="K19" s="233">
        <v>59</v>
      </c>
      <c r="L19" s="233">
        <v>18</v>
      </c>
    </row>
    <row r="20" spans="1:12" ht="20.100000000000001" customHeight="1" x14ac:dyDescent="0.2">
      <c r="A20" s="5" t="str">
        <f>HYPERLINK("#'Input - Common farm inputs'!A1", "Common farm inputs")</f>
        <v>Common farm inputs</v>
      </c>
      <c r="D20" s="233" t="s">
        <v>2596</v>
      </c>
      <c r="E20" s="233" t="s">
        <v>2594</v>
      </c>
      <c r="F20" s="233">
        <v>3.9300000000000002E-2</v>
      </c>
      <c r="G20" s="233" t="s">
        <v>1988</v>
      </c>
      <c r="H20" s="233">
        <v>51.4</v>
      </c>
      <c r="I20" s="233">
        <v>2.8</v>
      </c>
      <c r="J20" s="233">
        <v>0.3</v>
      </c>
      <c r="K20" s="233">
        <v>54.5</v>
      </c>
      <c r="L20" s="233">
        <v>18</v>
      </c>
    </row>
    <row r="21" spans="1:12" ht="20.100000000000001" customHeight="1" x14ac:dyDescent="0.2">
      <c r="A21" s="5" t="str">
        <f>HYPERLINK("#'Input - Crop pasture farm input'!A1", "Crop pasture farm input")</f>
        <v>Crop pasture farm input</v>
      </c>
      <c r="D21" s="233" t="s">
        <v>2596</v>
      </c>
      <c r="E21" s="233" t="s">
        <v>2595</v>
      </c>
      <c r="F21" s="233">
        <v>25.3</v>
      </c>
      <c r="G21" s="233" t="s">
        <v>2591</v>
      </c>
      <c r="H21" s="233">
        <v>51.4</v>
      </c>
      <c r="I21" s="233">
        <v>2.8</v>
      </c>
      <c r="J21" s="233">
        <v>0.3</v>
      </c>
      <c r="K21" s="233">
        <v>54.5</v>
      </c>
      <c r="L21" s="233">
        <v>18</v>
      </c>
    </row>
    <row r="22" spans="1:12" ht="20.100000000000001" customHeight="1" x14ac:dyDescent="0.2">
      <c r="A22" s="5" t="str">
        <f>HYPERLINK("#'Input - Livestock farm Inputs'!A1", "Livestock farm Inputs")</f>
        <v>Livestock farm Inputs</v>
      </c>
      <c r="D22" s="233" t="s">
        <v>2596</v>
      </c>
      <c r="E22" s="233" t="s">
        <v>2597</v>
      </c>
      <c r="F22" s="233">
        <v>38.6</v>
      </c>
      <c r="G22" s="233" t="s">
        <v>2591</v>
      </c>
      <c r="H22" s="233">
        <v>69.900000000000006</v>
      </c>
      <c r="I22" s="233">
        <v>7.0000000000000007E-2</v>
      </c>
      <c r="J22" s="233">
        <v>0.4</v>
      </c>
      <c r="K22" s="233">
        <v>70.37</v>
      </c>
      <c r="L22" s="233">
        <v>17.3</v>
      </c>
    </row>
    <row r="23" spans="1:12" ht="20.100000000000001" customHeight="1" x14ac:dyDescent="0.2">
      <c r="A23" s="5" t="str">
        <f>HYPERLINK("#'Input - Freight'!A1", "Freight")</f>
        <v>Freight</v>
      </c>
      <c r="D23" s="233" t="s">
        <v>2596</v>
      </c>
      <c r="E23" s="233" t="s">
        <v>2598</v>
      </c>
      <c r="F23" s="233">
        <v>38.6</v>
      </c>
      <c r="G23" s="233" t="s">
        <v>2591</v>
      </c>
      <c r="H23" s="233">
        <v>69.900000000000006</v>
      </c>
      <c r="I23" s="233">
        <v>0.1</v>
      </c>
      <c r="J23" s="233">
        <v>0.4</v>
      </c>
      <c r="K23" s="233">
        <v>70.400000000000006</v>
      </c>
      <c r="L23" s="233">
        <v>17.3</v>
      </c>
    </row>
    <row r="24" spans="1:12" ht="20.100000000000001" customHeight="1" x14ac:dyDescent="0.2">
      <c r="A24" s="5" t="str">
        <f>HYPERLINK("#'Input - Solid waste'!A1", "Solid waste")</f>
        <v>Solid waste</v>
      </c>
      <c r="D24" s="233" t="s">
        <v>2596</v>
      </c>
      <c r="E24" s="233" t="s">
        <v>2599</v>
      </c>
      <c r="F24" s="233">
        <v>38.6</v>
      </c>
      <c r="G24" s="233" t="s">
        <v>2591</v>
      </c>
      <c r="H24" s="233">
        <v>69.900000000000006</v>
      </c>
      <c r="I24" s="233">
        <v>0.2</v>
      </c>
      <c r="J24" s="233">
        <v>0.4</v>
      </c>
      <c r="K24" s="233">
        <v>70.5</v>
      </c>
      <c r="L24" s="233">
        <v>17.3</v>
      </c>
    </row>
    <row r="25" spans="1:12" ht="20.100000000000001" customHeight="1" x14ac:dyDescent="0.2">
      <c r="A25" s="5" t="str">
        <f>HYPERLINK("#'Input - Manure sent off-site'!A1", "Manure sent off-site")</f>
        <v>Manure sent off-site</v>
      </c>
      <c r="D25" s="233" t="s">
        <v>2596</v>
      </c>
      <c r="E25" s="233" t="s">
        <v>992</v>
      </c>
      <c r="F25" s="233">
        <v>38.6</v>
      </c>
      <c r="G25" s="233" t="s">
        <v>2591</v>
      </c>
      <c r="H25" s="233">
        <v>0</v>
      </c>
      <c r="I25" s="233">
        <v>7.0000000000000007E-2</v>
      </c>
      <c r="J25" s="233">
        <v>0.4</v>
      </c>
      <c r="K25" s="233">
        <v>0.47</v>
      </c>
      <c r="L25" s="233" t="s">
        <v>1492</v>
      </c>
    </row>
    <row r="26" spans="1:12" ht="20.100000000000001" customHeight="1" x14ac:dyDescent="0.2">
      <c r="A26" s="5" t="str">
        <f>HYPERLINK("#'Input - Refrigerants'!A1", "Refrigerants")</f>
        <v>Refrigerants</v>
      </c>
      <c r="D26" s="233" t="s">
        <v>2596</v>
      </c>
      <c r="E26" s="233" t="s">
        <v>993</v>
      </c>
      <c r="F26" s="233">
        <v>38.6</v>
      </c>
      <c r="G26" s="233" t="s">
        <v>2591</v>
      </c>
      <c r="H26" s="233">
        <v>0</v>
      </c>
      <c r="I26" s="233">
        <v>0.1</v>
      </c>
      <c r="J26" s="233">
        <v>0.4</v>
      </c>
      <c r="K26" s="233">
        <v>0.5</v>
      </c>
      <c r="L26" s="233" t="s">
        <v>1492</v>
      </c>
    </row>
    <row r="27" spans="1:12" ht="20.100000000000001" customHeight="1" x14ac:dyDescent="0.2">
      <c r="A27" s="5" t="str">
        <f>HYPERLINK("#'Input - Data quality'!A1", "Data quality")</f>
        <v>Data quality</v>
      </c>
      <c r="D27" s="233" t="s">
        <v>2596</v>
      </c>
      <c r="E27" s="233" t="s">
        <v>994</v>
      </c>
      <c r="F27" s="233">
        <v>38.6</v>
      </c>
      <c r="G27" s="233" t="s">
        <v>2591</v>
      </c>
      <c r="H27" s="233">
        <v>0</v>
      </c>
      <c r="I27" s="233">
        <v>0.2</v>
      </c>
      <c r="J27" s="233">
        <v>0.4</v>
      </c>
      <c r="K27" s="233">
        <v>0.6</v>
      </c>
      <c r="L27" s="233" t="s">
        <v>1492</v>
      </c>
    </row>
    <row r="28" spans="1:12" ht="20.100000000000001" customHeight="1" x14ac:dyDescent="0.2">
      <c r="D28" s="233" t="s">
        <v>975</v>
      </c>
      <c r="E28" s="233" t="s">
        <v>2600</v>
      </c>
      <c r="F28" s="233">
        <v>33.1</v>
      </c>
      <c r="G28" s="233" t="s">
        <v>2591</v>
      </c>
      <c r="H28" s="233">
        <v>67</v>
      </c>
      <c r="I28" s="233">
        <v>0.06</v>
      </c>
      <c r="J28" s="233">
        <v>0.6</v>
      </c>
      <c r="K28" s="233">
        <v>67.66</v>
      </c>
      <c r="L28" s="233">
        <v>18</v>
      </c>
    </row>
    <row r="29" spans="1:12" ht="20.100000000000001" customHeight="1" x14ac:dyDescent="0.2">
      <c r="D29" s="233" t="s">
        <v>975</v>
      </c>
      <c r="E29" s="233" t="s">
        <v>2601</v>
      </c>
      <c r="F29" s="233">
        <v>36.799999999999997</v>
      </c>
      <c r="G29" s="233" t="s">
        <v>2591</v>
      </c>
      <c r="H29" s="233">
        <v>69.599999999999994</v>
      </c>
      <c r="I29" s="233">
        <v>0.01</v>
      </c>
      <c r="J29" s="233">
        <v>0.6</v>
      </c>
      <c r="K29" s="233">
        <v>70.209999999999994</v>
      </c>
      <c r="L29" s="233">
        <v>18</v>
      </c>
    </row>
    <row r="30" spans="1:12" ht="20.100000000000001" customHeight="1" x14ac:dyDescent="0.2">
      <c r="A30" s="6" t="s">
        <v>2</v>
      </c>
      <c r="D30" s="233" t="s">
        <v>975</v>
      </c>
      <c r="E30" s="233" t="s">
        <v>987</v>
      </c>
      <c r="F30" s="233">
        <v>36.799999999999997</v>
      </c>
      <c r="G30" s="233" t="s">
        <v>2591</v>
      </c>
      <c r="H30" s="233">
        <v>0</v>
      </c>
      <c r="I30" s="233">
        <v>0.01</v>
      </c>
      <c r="J30" s="233">
        <v>0.6</v>
      </c>
      <c r="K30" s="233">
        <v>0.61</v>
      </c>
      <c r="L30" s="233" t="s">
        <v>1492</v>
      </c>
    </row>
    <row r="31" spans="1:12" ht="20.100000000000001" customHeight="1" x14ac:dyDescent="0.2">
      <c r="A31" s="5" t="str">
        <f>HYPERLINK("#'3.3.1.1-2 Enteric Methane'!A1", "3.3.1.1-2 Enteric methane")</f>
        <v>3.3.1.1-2 Enteric methane</v>
      </c>
      <c r="D31" s="233" t="s">
        <v>921</v>
      </c>
      <c r="E31" s="233" t="s">
        <v>2590</v>
      </c>
      <c r="F31" s="233">
        <v>34.200000000000003</v>
      </c>
      <c r="G31" s="233" t="s">
        <v>978</v>
      </c>
      <c r="H31" s="233">
        <v>67.400000000000006</v>
      </c>
      <c r="I31" s="233">
        <v>10.1</v>
      </c>
      <c r="J31" s="233">
        <v>0.3</v>
      </c>
      <c r="K31" s="233"/>
      <c r="L31" s="233">
        <v>17.2</v>
      </c>
    </row>
    <row r="32" spans="1:12" ht="20.100000000000001" customHeight="1" x14ac:dyDescent="0.2">
      <c r="A32" s="5" t="str">
        <f>HYPERLINK("#'4.3.1.1-2 Methane'!A1", "4.3.1.1-2 Manure methane")</f>
        <v>4.3.1.1-2 Manure methane</v>
      </c>
      <c r="D32" s="234" t="s">
        <v>921</v>
      </c>
      <c r="E32" s="234" t="s">
        <v>2592</v>
      </c>
      <c r="F32" s="234">
        <v>38.6</v>
      </c>
      <c r="G32" s="234" t="s">
        <v>978</v>
      </c>
      <c r="H32" s="234">
        <v>69.900000000000006</v>
      </c>
      <c r="I32" s="234">
        <v>0.2</v>
      </c>
      <c r="J32" s="234">
        <v>0.5</v>
      </c>
      <c r="K32" s="234"/>
      <c r="L32" s="234">
        <v>17.3</v>
      </c>
    </row>
    <row r="33" spans="1:12" ht="20.100000000000001" customHeight="1" x14ac:dyDescent="0.2">
      <c r="A33" s="5" t="str">
        <f>HYPERLINK("#'4.3.1.3-4 Direct N20'!A1", "4.3.1.3-4 Direct N20")</f>
        <v>4.3.1.3-4 Direct N20</v>
      </c>
      <c r="D33" s="234" t="s">
        <v>921</v>
      </c>
      <c r="E33" s="234" t="s">
        <v>2602</v>
      </c>
      <c r="F33" s="234">
        <v>39.700000000000003</v>
      </c>
      <c r="G33" s="234" t="s">
        <v>978</v>
      </c>
      <c r="H33" s="234">
        <v>73.599999999999994</v>
      </c>
      <c r="I33" s="234">
        <v>0.2</v>
      </c>
      <c r="J33" s="234">
        <v>0.5</v>
      </c>
      <c r="K33" s="234"/>
      <c r="L33" s="234">
        <v>18</v>
      </c>
    </row>
    <row r="34" spans="1:12" ht="20.100000000000001" customHeight="1" x14ac:dyDescent="0.2">
      <c r="A34" s="5" t="str">
        <f>HYPERLINK("#'4.3.1.5 Atmos deposition'!A1", "4.3.1.5 Atmos deposition")</f>
        <v>4.3.1.5 Atmos deposition</v>
      </c>
      <c r="D34" s="234" t="s">
        <v>920</v>
      </c>
      <c r="E34" s="234" t="s">
        <v>2592</v>
      </c>
      <c r="F34" s="234">
        <v>38.6</v>
      </c>
      <c r="G34" s="234" t="s">
        <v>978</v>
      </c>
      <c r="H34" s="234">
        <v>69.900000000000006</v>
      </c>
      <c r="I34" s="234">
        <v>0.3</v>
      </c>
      <c r="J34" s="234">
        <v>0.5</v>
      </c>
      <c r="K34" s="234"/>
      <c r="L34" s="234">
        <v>17.3</v>
      </c>
    </row>
    <row r="35" spans="1:12" ht="20.100000000000001" customHeight="1" x14ac:dyDescent="0.2">
      <c r="A35" s="5" t="str">
        <f>HYPERLINK("#'4.3.1.6-7 Leaching and runoff'!A1", "4.3.1.6-7 Leaching &amp; runoff")</f>
        <v>4.3.1.6-7 Leaching &amp; runoff</v>
      </c>
    </row>
    <row r="36" spans="1:12" ht="20.100000000000001" customHeight="1" x14ac:dyDescent="0.2">
      <c r="A36" s="5" t="str">
        <f>HYPERLINK("#'4.3.1.8 Manure applied to soils'!A1", "4.3.1.8 Manure applied to soils")</f>
        <v>4.3.1.8 Manure applied to soils</v>
      </c>
    </row>
    <row r="37" spans="1:12" ht="20.100000000000001" customHeight="1" x14ac:dyDescent="0.2">
      <c r="A37" s="5" t="str">
        <f>HYPERLINK("#'4.3.1.9 Soil direct N2O'!A1", "4.3.1.9 Soil direct N2O")</f>
        <v>4.3.1.9 Soil direct N2O</v>
      </c>
      <c r="D37" s="2" t="s">
        <v>2603</v>
      </c>
    </row>
    <row r="38" spans="1:12" ht="20.100000000000001" customHeight="1" x14ac:dyDescent="0.2">
      <c r="A38" s="5" t="str">
        <f>HYPERLINK("#'4.3.1.10-11 Soil Atmos Dep'!A1", "4.3.1.10-11 Soil Atmos Deposition")</f>
        <v>4.3.1.10-11 Soil Atmos Deposition</v>
      </c>
      <c r="D38" s="17" t="s">
        <v>2604</v>
      </c>
    </row>
    <row r="39" spans="1:12" ht="20.100000000000001" customHeight="1" x14ac:dyDescent="0.2">
      <c r="A39" s="5" t="str">
        <f>HYPERLINK("#'4.3.1.12-13 Soil leach runoff'!A1", "4.3.1.12-13 Soil leach &amp; runoff")</f>
        <v>4.3.1.12-13 Soil leach &amp; runoff</v>
      </c>
      <c r="D39" s="19" t="s">
        <v>964</v>
      </c>
      <c r="E39" s="19" t="s">
        <v>965</v>
      </c>
      <c r="F39" s="19" t="s">
        <v>966</v>
      </c>
      <c r="G39" s="19" t="s">
        <v>967</v>
      </c>
      <c r="H39" s="19" t="s">
        <v>968</v>
      </c>
      <c r="I39" s="19" t="s">
        <v>969</v>
      </c>
      <c r="J39" s="19" t="s">
        <v>970</v>
      </c>
    </row>
    <row r="40" spans="1:12" ht="20.100000000000001" customHeight="1" x14ac:dyDescent="0.2">
      <c r="A40" s="5" t="str">
        <f>HYPERLINK("#'5.1.1.1-2 Inorganic fert N2O'!A1", "5.1.1.1-2 Inorganic fert N2O")</f>
        <v>5.1.1.1-2 Inorganic fert N2O</v>
      </c>
      <c r="D40" s="19" t="s">
        <v>2605</v>
      </c>
      <c r="E40" s="19" t="s">
        <v>917</v>
      </c>
      <c r="F40" s="19">
        <v>34.200000000000003</v>
      </c>
      <c r="G40" s="19">
        <v>67.400000000000006</v>
      </c>
      <c r="H40" s="19">
        <v>10.1</v>
      </c>
      <c r="I40" s="19">
        <v>0.3</v>
      </c>
      <c r="J40" s="19">
        <v>17.2</v>
      </c>
    </row>
    <row r="41" spans="1:12" ht="20.100000000000001" customHeight="1" x14ac:dyDescent="0.2">
      <c r="A41" s="5" t="str">
        <f>HYPERLINK("#'5.1.1.3-4 Inorganic fert CO2'!A1", "5.1.1.3-4 Inorganic fert CO2")</f>
        <v>5.1.1.3-4 Inorganic fert CO2</v>
      </c>
      <c r="D41" s="1" t="s">
        <v>2605</v>
      </c>
      <c r="E41" s="19" t="s">
        <v>919</v>
      </c>
      <c r="F41" s="19">
        <v>38.6</v>
      </c>
      <c r="G41" s="19">
        <v>69.900000000000006</v>
      </c>
      <c r="H41" s="19">
        <v>0.2</v>
      </c>
      <c r="I41" s="19">
        <v>0.5</v>
      </c>
      <c r="J41" s="19">
        <v>17.3</v>
      </c>
    </row>
    <row r="42" spans="1:12" ht="20.100000000000001" customHeight="1" x14ac:dyDescent="0.2">
      <c r="A42" s="5" t="str">
        <f>HYPERLINK("#'5.2.1.1-2 Organic Fert N2O'!A1", "5.2.1.1-2 Organic fert N2O")</f>
        <v>5.2.1.1-2 Organic fert N2O</v>
      </c>
      <c r="D42" s="1" t="s">
        <v>2605</v>
      </c>
      <c r="E42" s="19" t="s">
        <v>2602</v>
      </c>
      <c r="F42" s="19">
        <v>39.700000000000003</v>
      </c>
      <c r="G42" s="19">
        <v>73.599999999999994</v>
      </c>
      <c r="H42" s="19">
        <v>0.2</v>
      </c>
      <c r="I42" s="19">
        <v>0.5</v>
      </c>
      <c r="J42" s="19">
        <v>18</v>
      </c>
    </row>
    <row r="43" spans="1:12" ht="20.100000000000001" customHeight="1" x14ac:dyDescent="0.2">
      <c r="A43" s="5" t="str">
        <f>HYPERLINK("#'5.3.1.1-2 Lime CO2'!A1", "5.3.1.1-2 Lime CO2")</f>
        <v>5.3.1.1-2 Lime CO2</v>
      </c>
      <c r="D43" s="1" t="s">
        <v>920</v>
      </c>
      <c r="E43" s="19" t="s">
        <v>919</v>
      </c>
      <c r="F43" s="19">
        <v>38.6</v>
      </c>
      <c r="G43" s="19">
        <v>69.900000000000006</v>
      </c>
      <c r="H43" s="19">
        <v>0.3</v>
      </c>
      <c r="I43" s="19">
        <v>0.5</v>
      </c>
      <c r="J43" s="19">
        <v>17.3</v>
      </c>
    </row>
    <row r="44" spans="1:12" ht="20.100000000000001" customHeight="1" x14ac:dyDescent="0.2">
      <c r="A44" s="5" t="str">
        <f>HYPERLINK("#'5.4.1.1-4 Atmos deposition'!A1", "5.4.1.1-4 Atmos. deposition")</f>
        <v>5.4.1.1-4 Atmos. deposition</v>
      </c>
    </row>
    <row r="45" spans="1:12" ht="20.100000000000001" customHeight="1" x14ac:dyDescent="0.2">
      <c r="A45" s="5" t="str">
        <f>HYPERLINK("#'5.5.1.1-2 Leaching and runoff'!A1", "5.5.1.1-2 Leaching &amp; runoff")</f>
        <v>5.5.1.1-2 Leaching &amp; runoff</v>
      </c>
    </row>
    <row r="46" spans="1:12" ht="20.100000000000001" customHeight="1" x14ac:dyDescent="0.2">
      <c r="A46" s="5" t="str">
        <f>HYPERLINK("#'6.2.1.1-2 Pasture residue N2O'!A1", "6.2.1.1-2 Pasture residue N2O")</f>
        <v>6.2.1.1-2 Pasture residue N2O</v>
      </c>
    </row>
    <row r="47" spans="1:12" ht="20.100000000000001" customHeight="1" x14ac:dyDescent="0.2">
      <c r="A47" s="5" t="str">
        <f>HYPERLINK("#'6.3.1.1-2 Leach runoff pasture'!A1", "6.3.1.1-2 Leach &amp; runoff (pasture)")</f>
        <v>6.3.1.1-2 Leach &amp; runoff (pasture)</v>
      </c>
    </row>
    <row r="48" spans="1:12" ht="20.100000000000001" customHeight="1" x14ac:dyDescent="0.2">
      <c r="A48" s="5" t="str">
        <f>HYPERLINK("#'8.1.1.1-2 Transport fuel'!A1", "8.1.1.1-2 Transport fuel")</f>
        <v>8.1.1.1-2 Transport fuel</v>
      </c>
    </row>
    <row r="49" spans="1:12" ht="20.100000000000001" customHeight="1" x14ac:dyDescent="0.2">
      <c r="A49" s="5" t="str">
        <f>HYPERLINK("#'8.2.1.1-2 Stationary fuel'!A1", "8.2.1.1-2 Stationary fuel")</f>
        <v>8.2.1.1-2 Stationary fuel</v>
      </c>
      <c r="D49" s="2" t="s">
        <v>2606</v>
      </c>
      <c r="E49" s="184"/>
      <c r="F49" s="184"/>
      <c r="G49" s="184"/>
      <c r="H49" s="184"/>
      <c r="I49" s="184"/>
      <c r="J49" s="184"/>
      <c r="K49" s="184"/>
      <c r="L49" s="184"/>
    </row>
    <row r="50" spans="1:12" ht="20.100000000000001" customHeight="1" x14ac:dyDescent="0.2">
      <c r="A50" s="5" t="str">
        <f>HYPERLINK("#'9.1.1.1-2 Refrigerant use'!A1", "9.1.1.1-2 Refrigerant use")</f>
        <v>9.1.1.1-2 Refrigerant use</v>
      </c>
      <c r="D50" s="1" t="s">
        <v>2607</v>
      </c>
      <c r="E50" s="184"/>
      <c r="F50" s="184"/>
      <c r="G50" s="184"/>
      <c r="H50" s="184"/>
      <c r="I50" s="184"/>
      <c r="J50" s="184"/>
      <c r="K50" s="184"/>
      <c r="L50" s="184"/>
    </row>
    <row r="51" spans="1:12" ht="20.100000000000001" customHeight="1" x14ac:dyDescent="0.2">
      <c r="A51" s="5" t="str">
        <f>HYPERLINK("#'10.1.1-2 Solid waste treatment'!A1", "10.1.1.1-2 Solid waste")</f>
        <v>10.1.1.1-2 Solid waste</v>
      </c>
      <c r="D51" s="17" t="s">
        <v>2608</v>
      </c>
      <c r="E51" s="184"/>
      <c r="F51" s="184"/>
      <c r="G51" s="184"/>
      <c r="H51" s="184"/>
      <c r="I51" s="184"/>
      <c r="J51" s="184"/>
      <c r="K51" s="184"/>
      <c r="L51" s="184"/>
    </row>
    <row r="52" spans="1:12" ht="20.100000000000001" customHeight="1" x14ac:dyDescent="0.2">
      <c r="A52" s="5" t="str">
        <f>HYPERLINK("#'14.1.1-2 Purchased electricity'!A1", "14.1.1-2 Purchased electricity")</f>
        <v>14.1.1-2 Purchased electricity</v>
      </c>
      <c r="D52" s="25" t="str" cm="1">
        <f t="array" ref="D52">"⚠️" &amp; Fuel_SourceData.Fuel_Scope1Scope3EmissionFactorsStationaryLiquid_Variation()</f>
        <v>⚠️VARIATION OF SOURCE DATA: 'NE' values returned as zero for calculations.</v>
      </c>
      <c r="E52" s="184"/>
      <c r="F52" s="184"/>
      <c r="G52" s="184"/>
      <c r="H52" s="184"/>
      <c r="I52" s="184"/>
      <c r="J52" s="184"/>
      <c r="K52" s="184"/>
      <c r="L52" s="184"/>
    </row>
    <row r="53" spans="1:12" ht="20.100000000000001" customHeight="1" x14ac:dyDescent="0.2">
      <c r="A53" s="5" t="str">
        <f>HYPERLINK("#'15 Scope 3'!A1", "15 Scope 3")</f>
        <v>15 Scope 3</v>
      </c>
      <c r="D53" s="201" t="s">
        <v>956</v>
      </c>
      <c r="E53" s="232" t="s">
        <v>957</v>
      </c>
      <c r="F53" s="201" t="s">
        <v>958</v>
      </c>
      <c r="G53" s="232" t="s">
        <v>959</v>
      </c>
      <c r="H53" s="232" t="s">
        <v>960</v>
      </c>
      <c r="I53" s="232" t="s">
        <v>961</v>
      </c>
      <c r="J53" s="232" t="s">
        <v>962</v>
      </c>
      <c r="K53" s="232" t="s">
        <v>963</v>
      </c>
      <c r="L53" s="184"/>
    </row>
    <row r="54" spans="1:12" ht="20.100000000000001" customHeight="1" x14ac:dyDescent="0.2">
      <c r="A54" s="5" t="str">
        <f>HYPERLINK("#'Calcs - Manure sent off-site'!A1", "Calcs - Manure sent off-site")</f>
        <v>Calcs - Manure sent off-site</v>
      </c>
      <c r="D54" s="233" t="s">
        <v>2609</v>
      </c>
      <c r="E54" s="233">
        <v>38.799999999999997</v>
      </c>
      <c r="F54" s="233" t="s">
        <v>2591</v>
      </c>
      <c r="G54" s="233">
        <v>13.9</v>
      </c>
      <c r="H54" s="233">
        <v>0</v>
      </c>
      <c r="I54" s="233">
        <v>0</v>
      </c>
      <c r="J54" s="233">
        <v>13.9</v>
      </c>
      <c r="K54" s="233">
        <v>18</v>
      </c>
      <c r="L54" s="184"/>
    </row>
    <row r="55" spans="1:12" ht="20.100000000000001" customHeight="1" x14ac:dyDescent="0.2">
      <c r="D55" s="233" t="s">
        <v>2610</v>
      </c>
      <c r="E55" s="233">
        <v>38.799999999999997</v>
      </c>
      <c r="F55" s="233" t="s">
        <v>2591</v>
      </c>
      <c r="G55" s="233">
        <v>3.5</v>
      </c>
      <c r="H55" s="233">
        <v>0</v>
      </c>
      <c r="I55" s="233">
        <v>0</v>
      </c>
      <c r="J55" s="233">
        <v>3.5</v>
      </c>
      <c r="K55" s="233">
        <v>18</v>
      </c>
      <c r="L55" s="184"/>
    </row>
    <row r="56" spans="1:12" ht="20.100000000000001" customHeight="1" x14ac:dyDescent="0.2">
      <c r="D56" s="233" t="s">
        <v>2611</v>
      </c>
      <c r="E56" s="233">
        <v>45.3</v>
      </c>
      <c r="F56" s="233" t="s">
        <v>1980</v>
      </c>
      <c r="G56" s="233">
        <v>69.599999999999994</v>
      </c>
      <c r="H56" s="233">
        <v>0.08</v>
      </c>
      <c r="I56" s="233">
        <v>0.2</v>
      </c>
      <c r="J56" s="233">
        <v>69.88</v>
      </c>
      <c r="K56" s="233" t="s">
        <v>1492</v>
      </c>
      <c r="L56" s="184"/>
    </row>
    <row r="57" spans="1:12" ht="20.100000000000001" customHeight="1" x14ac:dyDescent="0.2">
      <c r="A57" s="82" t="s">
        <v>1</v>
      </c>
      <c r="D57" s="233" t="s">
        <v>2612</v>
      </c>
      <c r="E57" s="233">
        <v>46.5</v>
      </c>
      <c r="F57" s="233" t="s">
        <v>1980</v>
      </c>
      <c r="G57" s="233">
        <v>61</v>
      </c>
      <c r="H57" s="233">
        <v>0.08</v>
      </c>
      <c r="I57" s="233">
        <v>0.2</v>
      </c>
      <c r="J57" s="233">
        <v>61.28</v>
      </c>
      <c r="K57" s="233" t="s">
        <v>1492</v>
      </c>
      <c r="L57" s="184"/>
    </row>
    <row r="58" spans="1:12" ht="20.100000000000001" customHeight="1" x14ac:dyDescent="0.2">
      <c r="A58" s="5" t="str">
        <f>HYPERLINK("#'Constants - Dairy'!A1", "Constants - Dairy")</f>
        <v>Constants - Dairy</v>
      </c>
      <c r="D58" s="233" t="s">
        <v>2613</v>
      </c>
      <c r="E58" s="233">
        <v>34.200000000000003</v>
      </c>
      <c r="F58" s="233" t="s">
        <v>978</v>
      </c>
      <c r="G58" s="233">
        <v>67.400000000000006</v>
      </c>
      <c r="H58" s="233">
        <v>0.2</v>
      </c>
      <c r="I58" s="233">
        <v>0.2</v>
      </c>
      <c r="J58" s="233">
        <v>67.8</v>
      </c>
      <c r="K58" s="233">
        <v>17.2</v>
      </c>
      <c r="L58" s="184"/>
    </row>
    <row r="59" spans="1:12" ht="20.100000000000001" customHeight="1" x14ac:dyDescent="0.2">
      <c r="A59" s="5" t="str">
        <f>HYPERLINK("#'Constants - Ag Residue'!A1", "Constants - Ag residue")</f>
        <v>Constants - Ag residue</v>
      </c>
      <c r="D59" s="233" t="s">
        <v>2614</v>
      </c>
      <c r="E59" s="233">
        <v>33.1</v>
      </c>
      <c r="F59" s="233" t="s">
        <v>978</v>
      </c>
      <c r="G59" s="233">
        <v>67</v>
      </c>
      <c r="H59" s="233">
        <v>0.2</v>
      </c>
      <c r="I59" s="233">
        <v>0.2</v>
      </c>
      <c r="J59" s="233">
        <v>67.400000000000006</v>
      </c>
      <c r="K59" s="233">
        <v>18</v>
      </c>
      <c r="L59" s="184"/>
    </row>
    <row r="60" spans="1:12" ht="20.100000000000001" customHeight="1" x14ac:dyDescent="0.2">
      <c r="A60" s="5" t="str">
        <f>HYPERLINK("#'Constants - Common Livestock'!A1", "Constants - Common Livestock")</f>
        <v>Constants - Common Livestock</v>
      </c>
      <c r="D60" s="233" t="s">
        <v>2615</v>
      </c>
      <c r="E60" s="233">
        <v>37.5</v>
      </c>
      <c r="F60" s="233" t="s">
        <v>978</v>
      </c>
      <c r="G60" s="233">
        <v>68.900000000000006</v>
      </c>
      <c r="H60" s="233">
        <v>0.01</v>
      </c>
      <c r="I60" s="233">
        <v>0.2</v>
      </c>
      <c r="J60" s="233">
        <v>69.11</v>
      </c>
      <c r="K60" s="233">
        <v>18</v>
      </c>
      <c r="L60" s="184"/>
    </row>
    <row r="61" spans="1:12" ht="20.100000000000001" customHeight="1" x14ac:dyDescent="0.2">
      <c r="A61" s="5" t="str">
        <f>HYPERLINK("#'Constants - Electricity'!A1", "Constants - Electricity")</f>
        <v>Constants - Electricity</v>
      </c>
      <c r="D61" s="233" t="s">
        <v>2616</v>
      </c>
      <c r="E61" s="233">
        <v>36.799999999999997</v>
      </c>
      <c r="F61" s="233" t="s">
        <v>978</v>
      </c>
      <c r="G61" s="233">
        <v>69.599999999999994</v>
      </c>
      <c r="H61" s="233">
        <v>0.02</v>
      </c>
      <c r="I61" s="233">
        <v>0.2</v>
      </c>
      <c r="J61" s="233">
        <v>69.819999999999993</v>
      </c>
      <c r="K61" s="233">
        <v>18</v>
      </c>
      <c r="L61" s="184"/>
    </row>
    <row r="62" spans="1:12" ht="20.100000000000001" customHeight="1" x14ac:dyDescent="0.2">
      <c r="A62" s="5" t="str">
        <f>HYPERLINK("#'Constants - Fertiliser'!A1", "Constants - Fertiliser")</f>
        <v>Constants - Fertiliser</v>
      </c>
      <c r="D62" s="233" t="s">
        <v>2617</v>
      </c>
      <c r="E62" s="233">
        <v>37.299999999999997</v>
      </c>
      <c r="F62" s="233" t="s">
        <v>978</v>
      </c>
      <c r="G62" s="233">
        <v>69.5</v>
      </c>
      <c r="H62" s="233">
        <v>0.03</v>
      </c>
      <c r="I62" s="233">
        <v>0.2</v>
      </c>
      <c r="J62" s="233">
        <v>69.73</v>
      </c>
      <c r="K62" s="233">
        <v>18</v>
      </c>
      <c r="L62" s="184"/>
    </row>
    <row r="63" spans="1:12" ht="20.100000000000001" customHeight="1" x14ac:dyDescent="0.2">
      <c r="A63" s="83" t="str">
        <f>HYPERLINK("#'Constants - Fuel'!A1", "Constants - Fuel")</f>
        <v>Constants - Fuel</v>
      </c>
      <c r="D63" s="233" t="s">
        <v>2592</v>
      </c>
      <c r="E63" s="233">
        <v>38.6</v>
      </c>
      <c r="F63" s="233" t="s">
        <v>978</v>
      </c>
      <c r="G63" s="233">
        <v>69.900000000000006</v>
      </c>
      <c r="H63" s="233">
        <v>0.1</v>
      </c>
      <c r="I63" s="233">
        <v>0.2</v>
      </c>
      <c r="J63" s="233">
        <v>70.2</v>
      </c>
      <c r="K63" s="233">
        <v>17.3</v>
      </c>
      <c r="L63" s="184"/>
    </row>
    <row r="64" spans="1:12" ht="20.100000000000001" customHeight="1" x14ac:dyDescent="0.2">
      <c r="A64" s="5" t="str">
        <f>HYPERLINK("#'Constants - Scope 3'!A1", "Constants - Scope 3")</f>
        <v>Constants - Scope 3</v>
      </c>
      <c r="D64" s="233" t="s">
        <v>922</v>
      </c>
      <c r="E64" s="233">
        <v>39.700000000000003</v>
      </c>
      <c r="F64" s="233" t="s">
        <v>978</v>
      </c>
      <c r="G64" s="233">
        <v>73.599999999999994</v>
      </c>
      <c r="H64" s="233">
        <v>0.04</v>
      </c>
      <c r="I64" s="233">
        <v>0.2</v>
      </c>
      <c r="J64" s="233">
        <v>73.84</v>
      </c>
      <c r="K64" s="233">
        <v>18</v>
      </c>
      <c r="L64" s="184"/>
    </row>
    <row r="65" spans="1:13" ht="20.100000000000001" customHeight="1" x14ac:dyDescent="0.2">
      <c r="A65" s="5" t="str">
        <f>HYPERLINK("#'Constants - Common'!A1", "Constants - Common")</f>
        <v>Constants - Common</v>
      </c>
      <c r="D65" s="233" t="s">
        <v>2618</v>
      </c>
      <c r="E65" s="233">
        <v>34.4</v>
      </c>
      <c r="F65" s="233" t="s">
        <v>978</v>
      </c>
      <c r="G65" s="233">
        <v>69.7</v>
      </c>
      <c r="H65" s="233">
        <v>0.03</v>
      </c>
      <c r="I65" s="233">
        <v>0.2</v>
      </c>
      <c r="J65" s="233">
        <v>69.930000000000007</v>
      </c>
      <c r="K65" s="233">
        <v>18</v>
      </c>
      <c r="L65" s="184"/>
    </row>
    <row r="66" spans="1:13" ht="20.100000000000001" customHeight="1" x14ac:dyDescent="0.2">
      <c r="A66" s="5" t="str">
        <f>HYPERLINK("#'Constants - Refrigerants'!A1", "Constants - Refrigerants")</f>
        <v>Constants - Refrigerants</v>
      </c>
      <c r="D66" s="233" t="s">
        <v>2619</v>
      </c>
      <c r="E66" s="233">
        <v>34.4</v>
      </c>
      <c r="F66" s="233" t="s">
        <v>978</v>
      </c>
      <c r="G66" s="233">
        <v>69.7</v>
      </c>
      <c r="H66" s="233">
        <v>0.03</v>
      </c>
      <c r="I66" s="233">
        <v>0.2</v>
      </c>
      <c r="J66" s="233">
        <v>69.930000000000007</v>
      </c>
      <c r="K66" s="233">
        <v>18</v>
      </c>
      <c r="L66" s="184"/>
    </row>
    <row r="67" spans="1:13" ht="20.100000000000001" customHeight="1" x14ac:dyDescent="0.2">
      <c r="A67" s="5" t="str">
        <f>HYPERLINK("#'Constants - Solid Waste'!A1", "Constants - Solid Waste")</f>
        <v>Constants - Solid Waste</v>
      </c>
      <c r="D67" s="233" t="s">
        <v>980</v>
      </c>
      <c r="E67" s="233">
        <v>25.7</v>
      </c>
      <c r="F67" s="233" t="s">
        <v>978</v>
      </c>
      <c r="G67" s="233">
        <v>60.2</v>
      </c>
      <c r="H67" s="233">
        <v>0.2</v>
      </c>
      <c r="I67" s="233">
        <v>0.2</v>
      </c>
      <c r="J67" s="233">
        <v>60.6</v>
      </c>
      <c r="K67" s="233">
        <v>20.2</v>
      </c>
      <c r="L67" s="184"/>
    </row>
    <row r="68" spans="1:13" ht="20.100000000000001" customHeight="1" x14ac:dyDescent="0.2">
      <c r="A68" s="5" t="str">
        <f>HYPERLINK("#'Acknowledgements'!A1", "Acknowledgements")</f>
        <v>Acknowledgements</v>
      </c>
      <c r="D68" s="233" t="s">
        <v>2620</v>
      </c>
      <c r="E68" s="233">
        <v>31.4</v>
      </c>
      <c r="F68" s="233" t="s">
        <v>978</v>
      </c>
      <c r="G68" s="233">
        <v>69.8</v>
      </c>
      <c r="H68" s="233">
        <v>0.01</v>
      </c>
      <c r="I68" s="233">
        <v>0.01</v>
      </c>
      <c r="J68" s="233">
        <v>69.819999999999993</v>
      </c>
      <c r="K68" s="233">
        <v>18</v>
      </c>
      <c r="L68" s="184"/>
    </row>
    <row r="69" spans="1:13" ht="20.100000000000001" customHeight="1" x14ac:dyDescent="0.2">
      <c r="D69" s="233" t="s">
        <v>2621</v>
      </c>
      <c r="E69" s="233">
        <v>34.200000000000003</v>
      </c>
      <c r="F69" s="233" t="s">
        <v>1980</v>
      </c>
      <c r="G69" s="233">
        <v>92.6</v>
      </c>
      <c r="H69" s="233">
        <v>0.08</v>
      </c>
      <c r="I69" s="233">
        <v>0.2</v>
      </c>
      <c r="J69" s="233">
        <v>92.88</v>
      </c>
      <c r="K69" s="233">
        <v>18</v>
      </c>
      <c r="L69" s="184"/>
    </row>
    <row r="70" spans="1:13" ht="20.100000000000001" customHeight="1" x14ac:dyDescent="0.2">
      <c r="D70" s="233" t="s">
        <v>2622</v>
      </c>
      <c r="E70" s="233">
        <v>42.9</v>
      </c>
      <c r="F70" s="233" t="s">
        <v>1980</v>
      </c>
      <c r="G70" s="233">
        <v>54.7</v>
      </c>
      <c r="H70" s="233">
        <v>0.03</v>
      </c>
      <c r="I70" s="233">
        <v>0.03</v>
      </c>
      <c r="J70" s="233">
        <v>54.76</v>
      </c>
      <c r="K70" s="233">
        <v>18</v>
      </c>
      <c r="L70" s="184"/>
    </row>
    <row r="71" spans="1:13" ht="20.100000000000001" customHeight="1" x14ac:dyDescent="0.2">
      <c r="D71" s="233" t="s">
        <v>2623</v>
      </c>
      <c r="E71" s="233">
        <v>34.200000000000003</v>
      </c>
      <c r="F71" s="233" t="s">
        <v>1980</v>
      </c>
      <c r="G71" s="233">
        <v>92.6</v>
      </c>
      <c r="H71" s="233">
        <v>0.08</v>
      </c>
      <c r="I71" s="233">
        <v>0.2</v>
      </c>
      <c r="J71" s="233">
        <v>92.88</v>
      </c>
      <c r="K71" s="233">
        <v>18</v>
      </c>
      <c r="L71" s="184"/>
    </row>
    <row r="72" spans="1:13" ht="20.100000000000001" customHeight="1" x14ac:dyDescent="0.2">
      <c r="D72" s="233" t="s">
        <v>2624</v>
      </c>
      <c r="E72" s="233">
        <v>34.4</v>
      </c>
      <c r="F72" s="233" t="s">
        <v>978</v>
      </c>
      <c r="G72" s="233">
        <v>69.8</v>
      </c>
      <c r="H72" s="233">
        <v>0.02</v>
      </c>
      <c r="I72" s="233">
        <v>0.1</v>
      </c>
      <c r="J72" s="233">
        <v>69.92</v>
      </c>
      <c r="K72" s="233">
        <v>18</v>
      </c>
      <c r="L72" s="184"/>
    </row>
    <row r="73" spans="1:13" ht="20.100000000000001" customHeight="1" x14ac:dyDescent="0.2">
      <c r="D73" s="233" t="s">
        <v>981</v>
      </c>
      <c r="E73" s="233">
        <v>34.6</v>
      </c>
      <c r="F73" s="233" t="s">
        <v>978</v>
      </c>
      <c r="G73" s="233">
        <v>0</v>
      </c>
      <c r="H73" s="233">
        <v>0.08</v>
      </c>
      <c r="I73" s="233">
        <v>0.2</v>
      </c>
      <c r="J73" s="233">
        <v>0.28000000000000003</v>
      </c>
      <c r="K73" s="233" t="s">
        <v>1492</v>
      </c>
      <c r="L73" s="184"/>
    </row>
    <row r="74" spans="1:13" ht="20.100000000000001" customHeight="1" x14ac:dyDescent="0.2">
      <c r="D74" s="233" t="s">
        <v>2625</v>
      </c>
      <c r="E74" s="233">
        <v>23.4</v>
      </c>
      <c r="F74" s="233" t="s">
        <v>978</v>
      </c>
      <c r="G74" s="233">
        <v>0</v>
      </c>
      <c r="H74" s="233">
        <v>0.08</v>
      </c>
      <c r="I74" s="233">
        <v>0.2</v>
      </c>
      <c r="J74" s="233">
        <v>0.28000000000000003</v>
      </c>
      <c r="K74" s="233" t="s">
        <v>1492</v>
      </c>
      <c r="L74" s="184"/>
    </row>
    <row r="75" spans="1:13" ht="20.100000000000001" customHeight="1" x14ac:dyDescent="0.2">
      <c r="D75" s="233" t="s">
        <v>2626</v>
      </c>
      <c r="E75" s="233">
        <v>23.4</v>
      </c>
      <c r="F75" s="233" t="s">
        <v>978</v>
      </c>
      <c r="G75" s="233">
        <v>0</v>
      </c>
      <c r="H75" s="233">
        <v>0.08</v>
      </c>
      <c r="I75" s="233">
        <v>0.2</v>
      </c>
      <c r="J75" s="233">
        <v>0.28000000000000003</v>
      </c>
      <c r="K75" s="233" t="s">
        <v>1492</v>
      </c>
      <c r="L75" s="184"/>
    </row>
    <row r="76" spans="1:13" ht="20.100000000000001" customHeight="1" x14ac:dyDescent="0.2">
      <c r="D76" s="233" t="s">
        <v>987</v>
      </c>
      <c r="E76" s="233">
        <v>36.799999999999997</v>
      </c>
      <c r="F76" s="233" t="s">
        <v>978</v>
      </c>
      <c r="G76" s="233">
        <v>0</v>
      </c>
      <c r="H76" s="233">
        <v>0.02</v>
      </c>
      <c r="I76" s="233">
        <v>0.2</v>
      </c>
      <c r="J76" s="233">
        <v>0.22</v>
      </c>
      <c r="K76" s="233" t="s">
        <v>1492</v>
      </c>
      <c r="L76" s="184"/>
    </row>
    <row r="77" spans="1:13" ht="20.100000000000001" customHeight="1" x14ac:dyDescent="0.2">
      <c r="D77" s="233" t="s">
        <v>984</v>
      </c>
      <c r="E77" s="233">
        <v>38.6</v>
      </c>
      <c r="F77" s="233" t="s">
        <v>978</v>
      </c>
      <c r="G77" s="233">
        <v>0</v>
      </c>
      <c r="H77" s="233">
        <v>0.1</v>
      </c>
      <c r="I77" s="233">
        <v>0.2</v>
      </c>
      <c r="J77" s="233">
        <v>0.3</v>
      </c>
      <c r="K77" s="233" t="s">
        <v>1492</v>
      </c>
      <c r="L77" s="184"/>
    </row>
    <row r="78" spans="1:13" ht="20.100000000000001" customHeight="1" x14ac:dyDescent="0.2">
      <c r="D78" s="184"/>
      <c r="E78" s="184"/>
      <c r="F78" s="184"/>
      <c r="G78" s="184"/>
      <c r="H78" s="184"/>
      <c r="I78" s="184"/>
      <c r="J78" s="184"/>
      <c r="K78" s="184"/>
      <c r="L78" s="184"/>
    </row>
    <row r="79" spans="1:13" ht="20.100000000000001" customHeight="1" x14ac:dyDescent="0.2">
      <c r="A79" s="129" t="str">
        <f>HYPERLINK("#A1", "▲ Back to top")</f>
        <v>▲ Back to top</v>
      </c>
      <c r="D79" s="184"/>
      <c r="E79" s="184"/>
      <c r="F79" s="184"/>
      <c r="G79" s="184"/>
      <c r="H79" s="184"/>
      <c r="I79" s="184"/>
      <c r="J79" s="184"/>
      <c r="K79" s="184"/>
      <c r="L79" s="184"/>
      <c r="M79" s="184"/>
    </row>
    <row r="80" spans="1:13" ht="20.100000000000001" customHeight="1" x14ac:dyDescent="0.2">
      <c r="D80" s="184"/>
      <c r="E80" s="184"/>
      <c r="F80" s="184"/>
      <c r="G80" s="184"/>
      <c r="H80" s="184"/>
      <c r="I80" s="184"/>
      <c r="J80" s="184"/>
      <c r="K80" s="184"/>
      <c r="L80" s="184"/>
      <c r="M80" s="184"/>
    </row>
    <row r="81" spans="4:12" ht="20.100000000000001" customHeight="1" x14ac:dyDescent="0.2">
      <c r="D81" s="2" t="s">
        <v>2627</v>
      </c>
      <c r="E81" s="184"/>
      <c r="F81" s="184"/>
      <c r="G81" s="184"/>
      <c r="H81" s="184"/>
      <c r="I81" s="184"/>
      <c r="J81" s="184"/>
      <c r="K81" s="184"/>
      <c r="L81" s="184"/>
    </row>
    <row r="82" spans="4:12" ht="20.100000000000001" customHeight="1" x14ac:dyDescent="0.2">
      <c r="D82" s="1" t="s">
        <v>2628</v>
      </c>
      <c r="E82" s="184"/>
      <c r="F82" s="184"/>
      <c r="G82" s="184"/>
      <c r="H82" s="184"/>
      <c r="I82" s="184"/>
      <c r="J82" s="184"/>
      <c r="K82" s="184"/>
      <c r="L82" s="184"/>
    </row>
    <row r="83" spans="4:12" ht="20.100000000000001" customHeight="1" x14ac:dyDescent="0.2">
      <c r="D83" s="17" t="s">
        <v>2629</v>
      </c>
      <c r="E83" s="184"/>
      <c r="F83" s="184"/>
      <c r="G83" s="184"/>
      <c r="H83" s="184"/>
      <c r="I83" s="184"/>
      <c r="J83" s="184"/>
      <c r="K83" s="184"/>
      <c r="L83" s="184"/>
    </row>
    <row r="84" spans="4:12" ht="20.100000000000001" customHeight="1" x14ac:dyDescent="0.2">
      <c r="D84" s="2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84"/>
      <c r="F84" s="184"/>
      <c r="G84" s="184"/>
      <c r="H84" s="184"/>
      <c r="I84" s="184"/>
      <c r="J84" s="184"/>
      <c r="K84" s="184"/>
      <c r="L84" s="184"/>
    </row>
    <row r="85" spans="4:12" ht="20.100000000000001" customHeight="1" x14ac:dyDescent="0.2">
      <c r="D85" s="184"/>
      <c r="E85" s="184"/>
      <c r="F85" s="184"/>
      <c r="G85" s="184"/>
      <c r="H85" s="184"/>
      <c r="I85" s="184"/>
      <c r="J85" s="184"/>
      <c r="K85" s="184"/>
      <c r="L85" s="184"/>
    </row>
    <row r="86" spans="4:12" ht="20.100000000000001" customHeight="1" x14ac:dyDescent="0.2">
      <c r="D86" s="201" t="s">
        <v>956</v>
      </c>
      <c r="E86" s="232" t="s">
        <v>957</v>
      </c>
      <c r="F86" s="201" t="s">
        <v>958</v>
      </c>
      <c r="G86" s="232" t="s">
        <v>959</v>
      </c>
      <c r="H86" s="232" t="s">
        <v>960</v>
      </c>
      <c r="I86" s="232" t="s">
        <v>961</v>
      </c>
      <c r="J86" s="232" t="s">
        <v>962</v>
      </c>
      <c r="K86" s="184"/>
      <c r="L86" s="184"/>
    </row>
    <row r="87" spans="4:12" ht="20.100000000000001" customHeight="1" x14ac:dyDescent="0.2">
      <c r="D87" s="233" t="s">
        <v>2630</v>
      </c>
      <c r="E87" s="233">
        <v>3.9300000000000002E-2</v>
      </c>
      <c r="F87" s="233" t="s">
        <v>1988</v>
      </c>
      <c r="G87" s="233">
        <v>51.4</v>
      </c>
      <c r="H87" s="233">
        <v>0.1</v>
      </c>
      <c r="I87" s="233">
        <v>0.03</v>
      </c>
      <c r="J87" s="233">
        <v>51.53</v>
      </c>
      <c r="K87" s="184"/>
      <c r="L87" s="184"/>
    </row>
    <row r="88" spans="4:12" ht="20.100000000000001" customHeight="1" x14ac:dyDescent="0.2">
      <c r="D88" s="233" t="s">
        <v>2631</v>
      </c>
      <c r="E88" s="233">
        <v>3.7699999999999997E-2</v>
      </c>
      <c r="F88" s="233" t="s">
        <v>1988</v>
      </c>
      <c r="G88" s="233">
        <v>51.4</v>
      </c>
      <c r="H88" s="233">
        <v>0.2</v>
      </c>
      <c r="I88" s="233">
        <v>0.03</v>
      </c>
      <c r="J88" s="233">
        <v>51.63</v>
      </c>
      <c r="K88" s="184"/>
      <c r="L88" s="184"/>
    </row>
    <row r="89" spans="4:12" ht="20.100000000000001" customHeight="1" x14ac:dyDescent="0.2">
      <c r="D89" s="233" t="s">
        <v>2632</v>
      </c>
      <c r="E89" s="233">
        <v>3.7699999999999997E-2</v>
      </c>
      <c r="F89" s="233" t="s">
        <v>1988</v>
      </c>
      <c r="G89" s="233">
        <v>51.9</v>
      </c>
      <c r="H89" s="233">
        <v>4.5999999999999996</v>
      </c>
      <c r="I89" s="233">
        <v>0.3</v>
      </c>
      <c r="J89" s="233">
        <v>56.8</v>
      </c>
      <c r="K89" s="184"/>
      <c r="L89" s="184"/>
    </row>
    <row r="90" spans="4:12" ht="20.100000000000001" customHeight="1" x14ac:dyDescent="0.2">
      <c r="D90" s="233" t="s">
        <v>2633</v>
      </c>
      <c r="E90" s="233">
        <v>3.9300000000000002E-2</v>
      </c>
      <c r="F90" s="233" t="s">
        <v>1988</v>
      </c>
      <c r="G90" s="233">
        <v>51.4</v>
      </c>
      <c r="H90" s="233">
        <v>0.1</v>
      </c>
      <c r="I90" s="233">
        <v>0.03</v>
      </c>
      <c r="J90" s="233">
        <v>51.53</v>
      </c>
      <c r="K90" s="184"/>
      <c r="L90" s="184"/>
    </row>
    <row r="91" spans="4:12" ht="20.100000000000001" customHeight="1" x14ac:dyDescent="0.2">
      <c r="D91" s="233" t="s">
        <v>2634</v>
      </c>
      <c r="E91" s="233">
        <v>3.9300000000000002E-2</v>
      </c>
      <c r="F91" s="233" t="s">
        <v>1988</v>
      </c>
      <c r="G91" s="233">
        <v>51.4</v>
      </c>
      <c r="H91" s="233">
        <v>0.1</v>
      </c>
      <c r="I91" s="233">
        <v>0.03</v>
      </c>
      <c r="J91" s="233">
        <v>51.53</v>
      </c>
      <c r="K91" s="184"/>
      <c r="L91" s="184"/>
    </row>
    <row r="92" spans="4:12" ht="20.100000000000001" customHeight="1" x14ac:dyDescent="0.2">
      <c r="D92" s="233" t="s">
        <v>2635</v>
      </c>
      <c r="E92" s="233">
        <v>6.2899999999999998E-2</v>
      </c>
      <c r="F92" s="233" t="s">
        <v>1988</v>
      </c>
      <c r="G92" s="233">
        <v>56.5</v>
      </c>
      <c r="H92" s="233">
        <v>0.03</v>
      </c>
      <c r="I92" s="233">
        <v>0.03</v>
      </c>
      <c r="J92" s="233">
        <v>56.56</v>
      </c>
      <c r="K92" s="184"/>
      <c r="L92" s="184"/>
    </row>
    <row r="93" spans="4:12" ht="20.100000000000001" customHeight="1" x14ac:dyDescent="0.2">
      <c r="D93" s="233" t="s">
        <v>2636</v>
      </c>
      <c r="E93" s="233">
        <v>1.8100000000000002E-2</v>
      </c>
      <c r="F93" s="233" t="s">
        <v>1988</v>
      </c>
      <c r="G93" s="233">
        <v>37</v>
      </c>
      <c r="H93" s="233">
        <v>0.03</v>
      </c>
      <c r="I93" s="233">
        <v>0.05</v>
      </c>
      <c r="J93" s="233">
        <v>37.08</v>
      </c>
      <c r="K93" s="184"/>
      <c r="L93" s="184"/>
    </row>
    <row r="94" spans="4:12" ht="20.100000000000001" customHeight="1" x14ac:dyDescent="0.2">
      <c r="D94" s="233" t="s">
        <v>2637</v>
      </c>
      <c r="E94" s="233">
        <v>4.0000000000000001E-3</v>
      </c>
      <c r="F94" s="233" t="s">
        <v>1988</v>
      </c>
      <c r="G94" s="233">
        <v>234</v>
      </c>
      <c r="H94" s="233">
        <v>0.03</v>
      </c>
      <c r="I94" s="233">
        <v>0.02</v>
      </c>
      <c r="J94" s="233">
        <v>234.05</v>
      </c>
      <c r="K94" s="184"/>
      <c r="L94" s="184"/>
    </row>
    <row r="95" spans="4:12" ht="20.100000000000001" customHeight="1" x14ac:dyDescent="0.2">
      <c r="D95" s="233" t="s">
        <v>2638</v>
      </c>
      <c r="E95" s="233">
        <v>3.9E-2</v>
      </c>
      <c r="F95" s="233" t="s">
        <v>1988</v>
      </c>
      <c r="G95" s="233">
        <v>60.2</v>
      </c>
      <c r="H95" s="233">
        <v>0.04</v>
      </c>
      <c r="I95" s="233">
        <v>0.03</v>
      </c>
      <c r="J95" s="233">
        <v>60.27</v>
      </c>
      <c r="K95" s="184"/>
      <c r="L95" s="184"/>
    </row>
    <row r="96" spans="4:12" ht="20.100000000000001" customHeight="1" x14ac:dyDescent="0.2">
      <c r="D96" s="233" t="s">
        <v>2595</v>
      </c>
      <c r="E96" s="233">
        <v>25.3</v>
      </c>
      <c r="F96" s="233" t="s">
        <v>978</v>
      </c>
      <c r="G96" s="233">
        <v>51.4</v>
      </c>
      <c r="H96" s="233">
        <v>0.1</v>
      </c>
      <c r="I96" s="233">
        <v>0.03</v>
      </c>
      <c r="J96" s="233">
        <v>51.53</v>
      </c>
      <c r="K96" s="184"/>
      <c r="L96" s="184"/>
    </row>
    <row r="97" spans="1:13" ht="20.100000000000001" customHeight="1" x14ac:dyDescent="0.2">
      <c r="D97" s="233" t="s">
        <v>2639</v>
      </c>
      <c r="E97" s="233">
        <v>3.9E-2</v>
      </c>
      <c r="F97" s="233" t="s">
        <v>1988</v>
      </c>
      <c r="G97" s="233">
        <v>51.4</v>
      </c>
      <c r="H97" s="233">
        <v>0.1</v>
      </c>
      <c r="I97" s="233">
        <v>0.03</v>
      </c>
      <c r="J97" s="233">
        <v>51.53</v>
      </c>
      <c r="K97" s="184"/>
      <c r="L97" s="184"/>
    </row>
    <row r="98" spans="1:13" ht="20.100000000000001" customHeight="1" x14ac:dyDescent="0.2">
      <c r="D98" s="233" t="s">
        <v>2640</v>
      </c>
      <c r="E98" s="233">
        <v>3.7699999999999997E-2</v>
      </c>
      <c r="F98" s="233" t="s">
        <v>1988</v>
      </c>
      <c r="G98" s="233">
        <v>0</v>
      </c>
      <c r="H98" s="233">
        <v>6.4</v>
      </c>
      <c r="I98" s="233">
        <v>0.03</v>
      </c>
      <c r="J98" s="233">
        <v>6.43</v>
      </c>
      <c r="K98" s="184"/>
      <c r="L98" s="184"/>
    </row>
    <row r="99" spans="1:13" ht="20.100000000000001" customHeight="1" x14ac:dyDescent="0.2">
      <c r="D99" s="233" t="s">
        <v>2641</v>
      </c>
      <c r="E99" s="233">
        <v>3.7699999999999997E-2</v>
      </c>
      <c r="F99" s="233" t="s">
        <v>1988</v>
      </c>
      <c r="G99" s="233">
        <v>0</v>
      </c>
      <c r="H99" s="233">
        <v>6.4</v>
      </c>
      <c r="I99" s="233">
        <v>0.03</v>
      </c>
      <c r="J99" s="233">
        <v>6.43</v>
      </c>
      <c r="K99" s="184"/>
      <c r="L99" s="184"/>
    </row>
    <row r="100" spans="1:13" ht="20.100000000000001" customHeight="1" x14ac:dyDescent="0.2">
      <c r="D100" s="233" t="s">
        <v>2642</v>
      </c>
      <c r="E100" s="233">
        <v>3.6999999999999998E-2</v>
      </c>
      <c r="F100" s="233" t="s">
        <v>1988</v>
      </c>
      <c r="G100" s="233">
        <v>0</v>
      </c>
      <c r="H100" s="233">
        <v>6.4</v>
      </c>
      <c r="I100" s="233">
        <v>0.03</v>
      </c>
      <c r="J100" s="233">
        <v>6.43</v>
      </c>
      <c r="K100" s="184"/>
      <c r="L100" s="184"/>
    </row>
    <row r="101" spans="1:13" ht="20.100000000000001" customHeight="1" x14ac:dyDescent="0.2">
      <c r="D101" s="233" t="s">
        <v>2643</v>
      </c>
      <c r="E101" s="233">
        <v>3.9300000000000002E-2</v>
      </c>
      <c r="F101" s="233" t="s">
        <v>1988</v>
      </c>
      <c r="G101" s="233">
        <v>0</v>
      </c>
      <c r="H101" s="233">
        <v>0.1</v>
      </c>
      <c r="I101" s="233">
        <v>0.03</v>
      </c>
      <c r="J101" s="233">
        <v>0.13</v>
      </c>
      <c r="K101" s="184"/>
      <c r="L101" s="184"/>
    </row>
    <row r="102" spans="1:13" ht="20.100000000000001" customHeight="1" x14ac:dyDescent="0.2">
      <c r="D102" s="233" t="s">
        <v>2644</v>
      </c>
      <c r="E102" s="233">
        <v>1.2200000000000001E-2</v>
      </c>
      <c r="F102" s="233" t="s">
        <v>1988</v>
      </c>
      <c r="G102" s="233">
        <v>0</v>
      </c>
      <c r="H102" s="233">
        <v>0</v>
      </c>
      <c r="I102" s="233">
        <v>0.5</v>
      </c>
      <c r="J102" s="233">
        <v>0.5</v>
      </c>
      <c r="K102" s="184"/>
      <c r="L102" s="184"/>
    </row>
    <row r="103" spans="1:13" ht="20.100000000000001" customHeight="1" x14ac:dyDescent="0.2">
      <c r="D103" s="233" t="s">
        <v>2645</v>
      </c>
      <c r="E103" s="233">
        <v>1</v>
      </c>
      <c r="F103" s="233" t="s">
        <v>996</v>
      </c>
      <c r="G103" s="233">
        <v>51.4</v>
      </c>
      <c r="H103" s="233">
        <v>0.1</v>
      </c>
      <c r="I103" s="233">
        <v>0.03</v>
      </c>
      <c r="J103" s="233">
        <v>51.53</v>
      </c>
      <c r="K103" s="184"/>
      <c r="L103" s="184"/>
    </row>
    <row r="104" spans="1:13" ht="20.100000000000001" customHeight="1" x14ac:dyDescent="0.2">
      <c r="D104" s="233" t="s">
        <v>2646</v>
      </c>
      <c r="E104" s="233">
        <v>1</v>
      </c>
      <c r="F104" s="233" t="s">
        <v>996</v>
      </c>
      <c r="G104" s="233">
        <v>60.2</v>
      </c>
      <c r="H104" s="233">
        <v>0.04</v>
      </c>
      <c r="I104" s="233">
        <v>0.03</v>
      </c>
      <c r="J104" s="233">
        <v>60.27</v>
      </c>
      <c r="K104" s="184"/>
      <c r="L104" s="184"/>
    </row>
    <row r="105" spans="1:13" ht="20.100000000000001" customHeight="1" x14ac:dyDescent="0.2">
      <c r="D105" s="184"/>
      <c r="E105" s="184"/>
      <c r="F105" s="184"/>
      <c r="G105" s="184"/>
      <c r="H105" s="184"/>
      <c r="I105" s="184"/>
      <c r="J105" s="184"/>
      <c r="K105" s="184"/>
      <c r="L105" s="184"/>
      <c r="M105" s="184"/>
    </row>
    <row r="106" spans="1:13" ht="20.100000000000001" customHeight="1" x14ac:dyDescent="0.2">
      <c r="D106" s="184"/>
      <c r="E106" s="184"/>
      <c r="F106" s="184"/>
      <c r="G106" s="184"/>
      <c r="H106" s="184"/>
      <c r="I106" s="184"/>
      <c r="J106" s="184"/>
      <c r="K106" s="184"/>
      <c r="L106" s="184"/>
      <c r="M106" s="184"/>
    </row>
    <row r="107" spans="1:13" ht="20.100000000000001" customHeight="1" x14ac:dyDescent="0.2">
      <c r="D107" s="2" t="s">
        <v>2647</v>
      </c>
      <c r="E107" s="184"/>
      <c r="F107" s="184"/>
      <c r="G107" s="184"/>
      <c r="H107" s="184"/>
      <c r="I107" s="184"/>
      <c r="J107" s="184"/>
      <c r="K107" s="184"/>
      <c r="L107" s="184"/>
    </row>
    <row r="108" spans="1:13" ht="20.100000000000001" customHeight="1" x14ac:dyDescent="0.2">
      <c r="D108" s="1" t="s">
        <v>2648</v>
      </c>
      <c r="E108" s="184"/>
      <c r="F108" s="184"/>
      <c r="G108" s="184"/>
      <c r="H108" s="184"/>
      <c r="I108" s="184"/>
      <c r="J108" s="184"/>
      <c r="K108" s="184"/>
      <c r="L108" s="184"/>
    </row>
    <row r="109" spans="1:13" ht="20.100000000000001" customHeight="1" x14ac:dyDescent="0.2">
      <c r="A109" s="129" t="str">
        <f>HYPERLINK("#A1", "▲ Back to top")</f>
        <v>▲ Back to top</v>
      </c>
      <c r="D109" s="17" t="s">
        <v>2649</v>
      </c>
      <c r="E109" s="184"/>
      <c r="F109" s="184"/>
      <c r="G109" s="184"/>
      <c r="H109" s="184"/>
      <c r="I109" s="184"/>
      <c r="J109" s="184"/>
      <c r="K109" s="184"/>
      <c r="L109" s="184"/>
    </row>
    <row r="110" spans="1:13" ht="20.100000000000001" customHeight="1" x14ac:dyDescent="0.2">
      <c r="D110" s="2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84"/>
      <c r="F110" s="184"/>
      <c r="G110" s="184"/>
      <c r="H110" s="184"/>
      <c r="I110" s="184"/>
      <c r="J110" s="184"/>
      <c r="K110" s="184"/>
      <c r="L110" s="184"/>
    </row>
    <row r="111" spans="1:13" ht="20.100000000000001" customHeight="1" x14ac:dyDescent="0.2">
      <c r="D111" s="184"/>
      <c r="E111" s="184"/>
      <c r="F111" s="184"/>
      <c r="G111" s="184"/>
      <c r="H111" s="184"/>
      <c r="I111" s="184"/>
      <c r="J111" s="184"/>
      <c r="K111" s="184"/>
      <c r="L111" s="184"/>
    </row>
    <row r="112" spans="1:13" ht="20.100000000000001" customHeight="1" x14ac:dyDescent="0.2">
      <c r="D112" s="201" t="s">
        <v>971</v>
      </c>
      <c r="E112" s="232" t="s">
        <v>906</v>
      </c>
      <c r="F112" s="232" t="s">
        <v>972</v>
      </c>
      <c r="G112" s="242" t="s">
        <v>2651</v>
      </c>
      <c r="H112" s="76" t="s">
        <v>973</v>
      </c>
      <c r="I112" s="184"/>
      <c r="J112" s="184"/>
      <c r="K112" s="184"/>
      <c r="L112" s="184"/>
    </row>
    <row r="113" spans="4:13" ht="20.100000000000001" customHeight="1" x14ac:dyDescent="0.2">
      <c r="D113" s="235" t="s">
        <v>2341</v>
      </c>
      <c r="E113" s="235">
        <v>13.1</v>
      </c>
      <c r="F113" s="235">
        <v>14</v>
      </c>
      <c r="G113" s="236" t="s">
        <v>2650</v>
      </c>
      <c r="H113" s="1" t="s">
        <v>2652</v>
      </c>
      <c r="I113" s="184"/>
      <c r="J113" s="184"/>
      <c r="K113" s="184"/>
      <c r="L113" s="184"/>
    </row>
    <row r="114" spans="4:13" ht="20.100000000000001" customHeight="1" x14ac:dyDescent="0.2">
      <c r="D114" s="235" t="s">
        <v>630</v>
      </c>
      <c r="E114" s="235">
        <v>13.1</v>
      </c>
      <c r="F114" s="235">
        <v>14</v>
      </c>
      <c r="G114" s="236"/>
      <c r="H114" s="1" t="s">
        <v>2653</v>
      </c>
      <c r="I114" s="184"/>
      <c r="J114" s="184"/>
      <c r="K114" s="184"/>
      <c r="L114" s="184"/>
    </row>
    <row r="115" spans="4:13" ht="20.100000000000001" customHeight="1" x14ac:dyDescent="0.2">
      <c r="D115" s="235" t="s">
        <v>2342</v>
      </c>
      <c r="E115" s="235">
        <v>4</v>
      </c>
      <c r="F115" s="235">
        <v>4</v>
      </c>
      <c r="G115" s="236"/>
      <c r="H115" s="1" t="s">
        <v>2654</v>
      </c>
      <c r="I115" s="184"/>
      <c r="J115" s="184"/>
      <c r="K115" s="184"/>
      <c r="L115" s="184"/>
    </row>
    <row r="116" spans="4:13" ht="20.100000000000001" customHeight="1" x14ac:dyDescent="0.2">
      <c r="D116" s="235" t="s">
        <v>2343</v>
      </c>
      <c r="E116" s="235">
        <v>8.8000000000000007</v>
      </c>
      <c r="F116" s="235">
        <v>7.9</v>
      </c>
      <c r="G116" s="236" t="s">
        <v>2650</v>
      </c>
      <c r="H116" s="1" t="s">
        <v>2655</v>
      </c>
      <c r="I116" s="184"/>
      <c r="J116" s="184"/>
      <c r="K116" s="184"/>
      <c r="L116" s="184"/>
    </row>
    <row r="117" spans="4:13" ht="20.100000000000001" customHeight="1" x14ac:dyDescent="0.2">
      <c r="D117" s="235" t="s">
        <v>2344</v>
      </c>
      <c r="E117" s="235">
        <v>10.7</v>
      </c>
      <c r="F117" s="235">
        <v>10.6</v>
      </c>
      <c r="G117" s="236"/>
      <c r="H117" s="1" t="s">
        <v>2656</v>
      </c>
      <c r="I117" s="184"/>
      <c r="J117" s="184"/>
      <c r="K117" s="184"/>
      <c r="L117" s="184"/>
    </row>
    <row r="118" spans="4:13" ht="20.100000000000001" customHeight="1" x14ac:dyDescent="0.2">
      <c r="D118" s="235" t="s">
        <v>99</v>
      </c>
      <c r="E118" s="235">
        <v>4.0999999999999996</v>
      </c>
      <c r="F118" s="235">
        <v>4</v>
      </c>
      <c r="G118" s="236" t="s">
        <v>2650</v>
      </c>
      <c r="H118" s="1" t="s">
        <v>2657</v>
      </c>
      <c r="I118" s="184"/>
      <c r="J118" s="184"/>
      <c r="K118" s="184"/>
      <c r="L118" s="184"/>
    </row>
    <row r="119" spans="4:13" ht="20.100000000000001" customHeight="1" x14ac:dyDescent="0.2">
      <c r="D119" s="235" t="s">
        <v>2346</v>
      </c>
      <c r="E119" s="235">
        <v>4</v>
      </c>
      <c r="F119" s="235">
        <v>4</v>
      </c>
      <c r="G119" s="236" t="s">
        <v>2650</v>
      </c>
      <c r="H119" s="1" t="s">
        <v>2658</v>
      </c>
      <c r="I119" s="184"/>
      <c r="J119" s="184"/>
      <c r="K119" s="184"/>
      <c r="L119" s="184"/>
    </row>
    <row r="120" spans="4:13" ht="20.100000000000001" customHeight="1" x14ac:dyDescent="0.2">
      <c r="D120" s="235" t="s">
        <v>2664</v>
      </c>
      <c r="E120" s="235">
        <v>4.0999999999999996</v>
      </c>
      <c r="F120" s="235">
        <v>4</v>
      </c>
      <c r="G120" s="236" t="s">
        <v>2650</v>
      </c>
      <c r="H120" s="1" t="s">
        <v>2659</v>
      </c>
      <c r="I120" s="184"/>
      <c r="J120" s="184"/>
      <c r="K120" s="184"/>
      <c r="L120" s="184"/>
    </row>
    <row r="121" spans="4:13" ht="20.100000000000001" customHeight="1" x14ac:dyDescent="0.2">
      <c r="D121" s="8"/>
      <c r="E121" s="8"/>
      <c r="F121" s="8"/>
      <c r="G121" s="236"/>
      <c r="H121" s="1" t="s">
        <v>2660</v>
      </c>
      <c r="I121" s="184"/>
      <c r="J121" s="184"/>
      <c r="K121" s="184"/>
      <c r="L121" s="184"/>
    </row>
    <row r="122" spans="4:13" ht="20.100000000000001" customHeight="1" x14ac:dyDescent="0.2">
      <c r="D122" s="184"/>
      <c r="F122" s="237"/>
      <c r="G122" s="236"/>
      <c r="H122" s="1" t="s">
        <v>2661</v>
      </c>
      <c r="I122" s="184"/>
      <c r="J122" s="184"/>
      <c r="K122" s="184"/>
      <c r="L122" s="184"/>
    </row>
    <row r="123" spans="4:13" ht="20.100000000000001" customHeight="1" x14ac:dyDescent="0.2">
      <c r="D123" s="238"/>
      <c r="F123" s="237"/>
      <c r="G123" s="236" t="s">
        <v>2650</v>
      </c>
      <c r="H123" s="1" t="s">
        <v>2662</v>
      </c>
      <c r="I123" s="184"/>
      <c r="J123" s="184"/>
      <c r="K123" s="184"/>
      <c r="L123" s="184"/>
    </row>
    <row r="124" spans="4:13" ht="20.100000000000001" customHeight="1" x14ac:dyDescent="0.2">
      <c r="D124" s="238"/>
      <c r="F124" s="237"/>
      <c r="G124" s="184"/>
      <c r="H124" s="1" t="s">
        <v>2663</v>
      </c>
      <c r="I124" s="184"/>
      <c r="J124" s="184"/>
      <c r="K124" s="184"/>
      <c r="L124" s="184"/>
    </row>
    <row r="125" spans="4:13" ht="20.100000000000001" customHeight="1" x14ac:dyDescent="0.2">
      <c r="D125" s="238"/>
      <c r="F125" s="237"/>
      <c r="G125" s="184"/>
      <c r="H125" s="184"/>
      <c r="I125" s="184"/>
      <c r="J125" s="184"/>
      <c r="K125" s="184"/>
      <c r="L125" s="184"/>
    </row>
    <row r="126" spans="4:13" ht="20.100000000000001" customHeight="1" x14ac:dyDescent="0.2">
      <c r="D126" s="184"/>
      <c r="E126" s="184"/>
      <c r="F126" s="184"/>
      <c r="G126" s="184"/>
      <c r="H126" s="184"/>
      <c r="I126" s="184"/>
      <c r="J126" s="184"/>
      <c r="K126" s="184"/>
      <c r="L126" s="184"/>
      <c r="M126" s="184"/>
    </row>
    <row r="127" spans="4:13" ht="20.100000000000001" customHeight="1" x14ac:dyDescent="0.2">
      <c r="D127" s="184"/>
      <c r="E127" s="184"/>
      <c r="F127" s="184"/>
      <c r="G127" s="184"/>
      <c r="H127" s="184"/>
      <c r="I127" s="184"/>
      <c r="J127" s="184"/>
      <c r="K127" s="184"/>
      <c r="L127" s="184"/>
      <c r="M127" s="184"/>
    </row>
    <row r="128" spans="4:13" ht="20.100000000000001" customHeight="1" x14ac:dyDescent="0.2">
      <c r="D128" s="184"/>
      <c r="E128" s="184"/>
      <c r="F128" s="184"/>
      <c r="G128" s="184"/>
      <c r="H128" s="184"/>
      <c r="I128" s="184"/>
      <c r="J128" s="184"/>
      <c r="K128" s="184"/>
      <c r="L128" s="184"/>
      <c r="M128" s="184"/>
    </row>
    <row r="129" spans="1:33" ht="20.100000000000001" customHeight="1" x14ac:dyDescent="0.2">
      <c r="D129" s="239"/>
      <c r="E129" s="184"/>
      <c r="F129" s="184"/>
      <c r="G129" s="184"/>
      <c r="H129" s="184"/>
      <c r="I129" s="184"/>
      <c r="J129" s="184"/>
      <c r="K129" s="184"/>
      <c r="L129" s="184"/>
    </row>
    <row r="130" spans="1:33" ht="20.100000000000001" customHeight="1" x14ac:dyDescent="0.2">
      <c r="D130" s="240" t="s">
        <v>974</v>
      </c>
      <c r="E130" s="240" t="s">
        <v>915</v>
      </c>
      <c r="F130" s="240" t="s">
        <v>975</v>
      </c>
      <c r="G130" s="240" t="s">
        <v>918</v>
      </c>
      <c r="H130" s="240" t="s">
        <v>920</v>
      </c>
      <c r="I130" s="240" t="s">
        <v>921</v>
      </c>
      <c r="J130" s="184"/>
      <c r="K130" s="184"/>
      <c r="L130" s="184"/>
    </row>
    <row r="131" spans="1:33" ht="20.100000000000001" customHeight="1" x14ac:dyDescent="0.2">
      <c r="D131" s="241" t="str">
        <f>$D$143</f>
        <v>Petrol</v>
      </c>
      <c r="E131" s="241" t="str">
        <f>$D$143</f>
        <v>Petrol</v>
      </c>
      <c r="F131" s="241" t="str">
        <f>$D$150</f>
        <v>Avgas</v>
      </c>
      <c r="G131" s="241" t="str">
        <f>$D$143</f>
        <v>Petrol</v>
      </c>
      <c r="H131" s="241" t="str">
        <f>$D$144</f>
        <v>Diesel</v>
      </c>
      <c r="I131" s="241" t="str">
        <f>$D$143</f>
        <v>Petrol</v>
      </c>
      <c r="J131" s="184"/>
      <c r="K131" s="184"/>
      <c r="L131" s="184"/>
    </row>
    <row r="132" spans="1:33" ht="20.100000000000001" customHeight="1" x14ac:dyDescent="0.2">
      <c r="D132" s="241" t="str">
        <f>$D$144</f>
        <v>Diesel</v>
      </c>
      <c r="E132" s="241" t="str">
        <f>$D$144</f>
        <v>Diesel</v>
      </c>
      <c r="F132" s="241" t="str">
        <f>$D$151</f>
        <v>Jet A1, Jet B</v>
      </c>
      <c r="G132" s="241" t="str">
        <f>$D$144</f>
        <v>Diesel</v>
      </c>
      <c r="H132" s="241"/>
      <c r="I132" s="241" t="str">
        <f>$D$144</f>
        <v>Diesel</v>
      </c>
      <c r="J132" s="184"/>
      <c r="K132" s="184"/>
      <c r="L132" s="184"/>
    </row>
    <row r="133" spans="1:33" ht="20.100000000000001" customHeight="1" x14ac:dyDescent="0.2">
      <c r="D133" s="241" t="str">
        <f>$D$145</f>
        <v>Liquefied petroleum gas (LPG)</v>
      </c>
      <c r="E133" s="241" t="str">
        <f>$D$145</f>
        <v>Liquefied petroleum gas (LPG)</v>
      </c>
      <c r="F133" s="241" t="str">
        <f>$D$152</f>
        <v>Renewable aviation kerosene</v>
      </c>
      <c r="G133" s="241" t="str">
        <f>$D$145</f>
        <v>Liquefied petroleum gas (LPG)</v>
      </c>
      <c r="H133" s="241"/>
      <c r="I133" s="241" t="s">
        <v>922</v>
      </c>
      <c r="J133" s="184"/>
      <c r="K133" s="184"/>
      <c r="L133" s="184"/>
    </row>
    <row r="134" spans="1:33" ht="20.100000000000001" customHeight="1" x14ac:dyDescent="0.2">
      <c r="D134" s="241" t="str">
        <f>$D$146</f>
        <v>Biodiesel</v>
      </c>
      <c r="E134" s="241" t="str">
        <f>$D$146</f>
        <v>Biodiesel</v>
      </c>
      <c r="F134" s="240"/>
      <c r="G134" s="241" t="str">
        <f>$D$160</f>
        <v>Fuel oil</v>
      </c>
      <c r="H134" s="241"/>
      <c r="I134" s="241"/>
      <c r="J134" s="184"/>
      <c r="K134" s="184"/>
      <c r="L134" s="184"/>
    </row>
    <row r="135" spans="1:33" ht="20.100000000000001" customHeight="1" x14ac:dyDescent="0.2">
      <c r="D135" s="241" t="str">
        <f>$D$147</f>
        <v>Ethanol</v>
      </c>
      <c r="E135" s="241" t="str">
        <f>$D$147</f>
        <v>Ethanol</v>
      </c>
      <c r="F135" s="240"/>
      <c r="G135" s="241" t="str">
        <f>$D$147</f>
        <v>Ethanol</v>
      </c>
      <c r="H135" s="241"/>
      <c r="I135" s="241"/>
      <c r="J135" s="184"/>
      <c r="K135" s="184"/>
      <c r="L135" s="184"/>
    </row>
    <row r="136" spans="1:33" ht="20.100000000000001" customHeight="1" x14ac:dyDescent="0.2">
      <c r="D136" s="241" t="str">
        <f>$D$148</f>
        <v>Other biofuels</v>
      </c>
      <c r="E136" s="241" t="str">
        <f>$D$148</f>
        <v>Other biofuels</v>
      </c>
      <c r="F136" s="240"/>
      <c r="G136" s="241" t="str">
        <f>$D$146</f>
        <v>Biodiesel</v>
      </c>
      <c r="H136" s="241"/>
      <c r="I136" s="241"/>
      <c r="J136" s="184"/>
      <c r="K136" s="184"/>
      <c r="L136" s="184"/>
    </row>
    <row r="137" spans="1:33" ht="20.100000000000001" customHeight="1" x14ac:dyDescent="0.2">
      <c r="D137" s="241" t="str">
        <f>$D$149</f>
        <v>Renewable diesel</v>
      </c>
      <c r="E137" s="241" t="str">
        <f>$D$149</f>
        <v>Renewable diesel</v>
      </c>
      <c r="F137" s="240"/>
      <c r="G137" s="241" t="str">
        <f>$D$149</f>
        <v>Renewable diesel</v>
      </c>
      <c r="H137" s="241"/>
      <c r="I137" s="241"/>
      <c r="J137" s="184"/>
      <c r="K137" s="184"/>
      <c r="L137" s="184"/>
    </row>
    <row r="138" spans="1:33" ht="20.100000000000001" customHeight="1" x14ac:dyDescent="0.2">
      <c r="D138" s="240"/>
      <c r="E138" s="242" t="str">
        <f>$D$161</f>
        <v>Natural gas (via pipeline) in GJ</v>
      </c>
      <c r="F138" s="242"/>
      <c r="G138" s="241" t="str">
        <f>$D$148</f>
        <v>Other biofuels</v>
      </c>
      <c r="H138" s="241"/>
      <c r="I138" s="241"/>
      <c r="J138" s="184"/>
      <c r="K138" s="184"/>
      <c r="L138" s="184"/>
    </row>
    <row r="139" spans="1:33" ht="20.100000000000001" customHeight="1" x14ac:dyDescent="0.2">
      <c r="A139" s="129" t="str">
        <f>HYPERLINK("#A1", "▲ Back to top")</f>
        <v>▲ Back to top</v>
      </c>
      <c r="D139" s="242"/>
      <c r="E139" s="242" t="str">
        <f>$D$162</f>
        <v>Town gas in GJ</v>
      </c>
      <c r="F139" s="242"/>
      <c r="G139" s="242"/>
      <c r="H139" s="242"/>
      <c r="I139" s="242"/>
      <c r="J139" s="184"/>
      <c r="K139" s="184"/>
      <c r="L139" s="184"/>
    </row>
    <row r="140" spans="1:33" ht="20.100000000000001" customHeight="1" x14ac:dyDescent="0.2">
      <c r="D140" s="184"/>
      <c r="E140" s="184"/>
      <c r="F140" s="184"/>
      <c r="G140" s="184"/>
      <c r="H140" s="184"/>
      <c r="I140" s="184"/>
      <c r="J140" s="184"/>
      <c r="K140" s="184"/>
      <c r="L140" s="184"/>
    </row>
    <row r="141" spans="1:33" ht="20.100000000000001" customHeight="1" x14ac:dyDescent="0.2">
      <c r="D141" s="184"/>
      <c r="E141" s="184"/>
      <c r="F141" s="184"/>
      <c r="G141" s="184"/>
      <c r="H141" s="184"/>
      <c r="I141" s="184"/>
      <c r="J141" s="184"/>
      <c r="K141" s="184"/>
      <c r="L141" s="184"/>
    </row>
    <row r="142" spans="1:33" ht="20.100000000000001" customHeight="1" x14ac:dyDescent="0.2">
      <c r="D142" t="s">
        <v>976</v>
      </c>
      <c r="E142" t="s">
        <v>118</v>
      </c>
      <c r="F142" t="s">
        <v>977</v>
      </c>
      <c r="G142" s="184"/>
      <c r="H142" s="184"/>
      <c r="I142" s="184"/>
      <c r="J142" s="184"/>
      <c r="K142" s="184"/>
      <c r="L142" s="184"/>
      <c r="M142" s="184"/>
      <c r="AG142" s="1"/>
    </row>
    <row r="143" spans="1:33" ht="20.100000000000001" customHeight="1" x14ac:dyDescent="0.2">
      <c r="D143" s="241" t="s">
        <v>917</v>
      </c>
      <c r="E143" t="s">
        <v>978</v>
      </c>
      <c r="F143" t="s">
        <v>979</v>
      </c>
      <c r="G143" s="184"/>
      <c r="H143" s="184"/>
      <c r="I143" s="184"/>
      <c r="J143" s="184"/>
      <c r="K143" s="184"/>
      <c r="L143" s="184"/>
      <c r="M143" s="184"/>
      <c r="AG143" s="1"/>
    </row>
    <row r="144" spans="1:33" ht="20.100000000000001" customHeight="1" x14ac:dyDescent="0.2">
      <c r="D144" s="241" t="s">
        <v>919</v>
      </c>
      <c r="E144" t="s">
        <v>978</v>
      </c>
      <c r="F144" t="s">
        <v>979</v>
      </c>
      <c r="G144" s="184"/>
      <c r="H144" s="184"/>
      <c r="I144" s="184"/>
      <c r="J144" s="184"/>
      <c r="K144" s="184"/>
      <c r="L144" s="184"/>
      <c r="M144" s="184"/>
      <c r="AG144" s="1"/>
    </row>
    <row r="145" spans="4:33" ht="20.100000000000001" customHeight="1" x14ac:dyDescent="0.2">
      <c r="D145" s="241" t="s">
        <v>980</v>
      </c>
      <c r="E145" t="s">
        <v>978</v>
      </c>
      <c r="F145" t="s">
        <v>979</v>
      </c>
      <c r="G145" s="184"/>
      <c r="H145" s="184"/>
      <c r="I145" s="184"/>
      <c r="J145" s="184"/>
      <c r="K145" s="184"/>
      <c r="L145" s="184"/>
      <c r="M145" s="184"/>
      <c r="AG145" s="1"/>
    </row>
    <row r="146" spans="4:33" ht="20.100000000000001" customHeight="1" x14ac:dyDescent="0.2">
      <c r="D146" s="241" t="s">
        <v>981</v>
      </c>
      <c r="E146" t="s">
        <v>978</v>
      </c>
      <c r="F146" t="s">
        <v>979</v>
      </c>
      <c r="G146" s="184"/>
      <c r="H146" s="184"/>
      <c r="I146" s="184"/>
      <c r="J146" s="184"/>
      <c r="K146" s="184"/>
      <c r="L146" s="184"/>
      <c r="M146" s="184"/>
      <c r="AG146" s="1"/>
    </row>
    <row r="147" spans="4:33" ht="20.100000000000001" customHeight="1" x14ac:dyDescent="0.2">
      <c r="D147" s="241" t="s">
        <v>982</v>
      </c>
      <c r="E147" t="s">
        <v>978</v>
      </c>
      <c r="F147" t="s">
        <v>979</v>
      </c>
      <c r="G147" s="184"/>
      <c r="H147" s="184"/>
      <c r="I147" s="184"/>
      <c r="J147" s="184"/>
      <c r="K147" s="184"/>
      <c r="L147" s="184"/>
      <c r="M147" s="184"/>
      <c r="AG147" s="1"/>
    </row>
    <row r="148" spans="4:33" ht="20.100000000000001" customHeight="1" x14ac:dyDescent="0.2">
      <c r="D148" s="241" t="s">
        <v>983</v>
      </c>
      <c r="E148" t="s">
        <v>978</v>
      </c>
      <c r="F148" t="s">
        <v>979</v>
      </c>
      <c r="G148" s="184"/>
      <c r="H148" s="184"/>
      <c r="I148" s="184"/>
      <c r="J148" s="184"/>
      <c r="K148" s="184"/>
      <c r="L148" s="184"/>
      <c r="M148" s="184"/>
      <c r="AG148" s="1"/>
    </row>
    <row r="149" spans="4:33" ht="20.100000000000001" customHeight="1" x14ac:dyDescent="0.2">
      <c r="D149" s="241" t="s">
        <v>984</v>
      </c>
      <c r="E149" t="s">
        <v>978</v>
      </c>
      <c r="F149" t="s">
        <v>979</v>
      </c>
      <c r="G149" s="184"/>
      <c r="H149" s="184"/>
      <c r="I149" s="184"/>
      <c r="J149" s="184"/>
      <c r="K149" s="184"/>
      <c r="L149" s="184"/>
      <c r="M149" s="184"/>
      <c r="AG149" s="1"/>
    </row>
    <row r="150" spans="4:33" ht="20.100000000000001" customHeight="1" x14ac:dyDescent="0.2">
      <c r="D150" s="241" t="s">
        <v>985</v>
      </c>
      <c r="E150" t="s">
        <v>978</v>
      </c>
      <c r="F150" t="s">
        <v>979</v>
      </c>
      <c r="G150" s="184"/>
      <c r="H150" s="184"/>
      <c r="I150" s="184"/>
      <c r="J150" s="184"/>
      <c r="K150" s="184"/>
      <c r="L150" s="184"/>
      <c r="M150" s="184"/>
      <c r="AG150" s="1"/>
    </row>
    <row r="151" spans="4:33" ht="20.100000000000001" customHeight="1" x14ac:dyDescent="0.2">
      <c r="D151" s="241" t="s">
        <v>986</v>
      </c>
      <c r="E151" t="s">
        <v>978</v>
      </c>
      <c r="F151" t="s">
        <v>979</v>
      </c>
      <c r="G151" s="184"/>
      <c r="H151" s="184"/>
      <c r="I151" s="184"/>
      <c r="J151" s="184"/>
      <c r="K151" s="184"/>
      <c r="L151" s="184"/>
      <c r="M151" s="184"/>
      <c r="AG151" s="1"/>
    </row>
    <row r="152" spans="4:33" ht="20.100000000000001" customHeight="1" x14ac:dyDescent="0.2">
      <c r="D152" s="243" t="s">
        <v>987</v>
      </c>
      <c r="E152" s="8" t="s">
        <v>978</v>
      </c>
      <c r="F152" t="s">
        <v>979</v>
      </c>
      <c r="G152" s="184"/>
      <c r="H152" s="184"/>
      <c r="I152" s="184"/>
      <c r="J152" s="184"/>
      <c r="K152" s="184"/>
      <c r="L152" s="184"/>
      <c r="M152" s="184"/>
      <c r="AG152" s="1"/>
    </row>
    <row r="153" spans="4:33" ht="20.100000000000001" customHeight="1" x14ac:dyDescent="0.2">
      <c r="D153" s="243" t="s">
        <v>988</v>
      </c>
      <c r="E153" s="8" t="s">
        <v>978</v>
      </c>
      <c r="F153" t="s">
        <v>979</v>
      </c>
      <c r="G153" s="184"/>
      <c r="H153" s="184"/>
      <c r="I153" s="184"/>
      <c r="J153" s="184"/>
      <c r="K153" s="184"/>
      <c r="L153" s="184"/>
      <c r="M153" s="184"/>
      <c r="AG153" s="1"/>
    </row>
    <row r="154" spans="4:33" ht="20.100000000000001" customHeight="1" x14ac:dyDescent="0.2">
      <c r="D154" s="243" t="s">
        <v>989</v>
      </c>
      <c r="E154" s="8" t="s">
        <v>978</v>
      </c>
      <c r="F154" t="s">
        <v>979</v>
      </c>
      <c r="G154" s="184"/>
      <c r="H154" s="184"/>
      <c r="I154" s="184"/>
      <c r="J154" s="184"/>
      <c r="K154" s="184"/>
      <c r="L154" s="184"/>
      <c r="M154" s="184"/>
      <c r="AG154" s="1"/>
    </row>
    <row r="155" spans="4:33" ht="20.100000000000001" customHeight="1" x14ac:dyDescent="0.2">
      <c r="D155" s="243" t="s">
        <v>990</v>
      </c>
      <c r="E155" s="8" t="s">
        <v>978</v>
      </c>
      <c r="F155" t="s">
        <v>979</v>
      </c>
      <c r="G155" s="184"/>
      <c r="H155" s="184"/>
      <c r="I155" s="184"/>
      <c r="J155" s="184"/>
      <c r="K155" s="184"/>
      <c r="L155" s="184"/>
      <c r="M155" s="184"/>
      <c r="AG155" s="1"/>
    </row>
    <row r="156" spans="4:33" ht="20.100000000000001" customHeight="1" x14ac:dyDescent="0.2">
      <c r="D156" s="243" t="s">
        <v>991</v>
      </c>
      <c r="E156" s="8" t="s">
        <v>978</v>
      </c>
      <c r="F156" t="s">
        <v>979</v>
      </c>
      <c r="G156" s="184"/>
      <c r="H156" s="184"/>
      <c r="I156" s="184"/>
      <c r="J156" s="184"/>
      <c r="K156" s="184"/>
      <c r="L156" s="184"/>
      <c r="M156" s="184"/>
      <c r="AG156" s="1"/>
    </row>
    <row r="157" spans="4:33" ht="20.100000000000001" customHeight="1" x14ac:dyDescent="0.2">
      <c r="D157" s="243" t="s">
        <v>992</v>
      </c>
      <c r="E157" s="8" t="s">
        <v>978</v>
      </c>
      <c r="F157" t="s">
        <v>979</v>
      </c>
      <c r="G157" s="184"/>
      <c r="H157" s="184"/>
      <c r="I157" s="184"/>
      <c r="J157" s="184"/>
      <c r="K157" s="184"/>
      <c r="L157" s="184"/>
      <c r="M157" s="184"/>
      <c r="AG157" s="1"/>
    </row>
    <row r="158" spans="4:33" ht="20.100000000000001" customHeight="1" x14ac:dyDescent="0.2">
      <c r="D158" s="243" t="s">
        <v>993</v>
      </c>
      <c r="E158" s="8" t="s">
        <v>978</v>
      </c>
      <c r="F158" t="s">
        <v>979</v>
      </c>
      <c r="G158" s="184"/>
      <c r="H158" s="184"/>
      <c r="I158" s="184"/>
      <c r="J158" s="184"/>
      <c r="K158" s="184"/>
      <c r="L158" s="184"/>
      <c r="M158" s="184"/>
      <c r="AG158" s="1"/>
    </row>
    <row r="159" spans="4:33" ht="20.100000000000001" customHeight="1" x14ac:dyDescent="0.2">
      <c r="D159" s="243" t="s">
        <v>994</v>
      </c>
      <c r="E159" s="8" t="s">
        <v>978</v>
      </c>
      <c r="F159" t="s">
        <v>979</v>
      </c>
      <c r="G159" s="184"/>
      <c r="H159" s="184"/>
      <c r="I159" s="184"/>
      <c r="J159" s="184"/>
      <c r="K159" s="184"/>
      <c r="L159" s="184"/>
      <c r="M159" s="184"/>
      <c r="AG159" s="1"/>
    </row>
    <row r="160" spans="4:33" ht="20.100000000000001" customHeight="1" x14ac:dyDescent="0.2">
      <c r="D160" s="243" t="s">
        <v>922</v>
      </c>
      <c r="E160" s="8" t="s">
        <v>978</v>
      </c>
      <c r="F160" t="s">
        <v>979</v>
      </c>
      <c r="G160" s="184"/>
      <c r="H160" s="184"/>
      <c r="I160" s="184"/>
      <c r="J160" s="184"/>
      <c r="K160" s="184"/>
      <c r="L160" s="184"/>
      <c r="M160" s="184"/>
      <c r="AG160" s="1"/>
    </row>
    <row r="161" spans="4:33" ht="20.100000000000001" customHeight="1" x14ac:dyDescent="0.2">
      <c r="D161" s="242" t="s">
        <v>995</v>
      </c>
      <c r="E161" s="184" t="s">
        <v>996</v>
      </c>
      <c r="F161" s="184" t="s">
        <v>996</v>
      </c>
      <c r="G161" s="184"/>
      <c r="H161" s="184"/>
      <c r="I161" s="184"/>
      <c r="J161" s="184"/>
      <c r="K161" s="184"/>
      <c r="L161" s="184"/>
      <c r="M161" s="184"/>
      <c r="AG161" s="1"/>
    </row>
    <row r="162" spans="4:33" ht="20.100000000000001" customHeight="1" x14ac:dyDescent="0.2">
      <c r="D162" s="184" t="s">
        <v>916</v>
      </c>
      <c r="E162" s="184" t="s">
        <v>996</v>
      </c>
      <c r="F162" s="184" t="s">
        <v>996</v>
      </c>
      <c r="G162" s="184"/>
      <c r="H162" s="184"/>
      <c r="I162" s="184"/>
      <c r="J162" s="184"/>
      <c r="K162" s="184"/>
      <c r="L162" s="184"/>
      <c r="M162" s="184"/>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FD740-ED25-40D4-85CD-C3A02011BDA4}">
  <sheetPr>
    <tabColor theme="2" tint="-0.499984740745262"/>
  </sheetPr>
  <dimension ref="A1:R247"/>
  <sheetViews>
    <sheetView showGridLines="0" zoomScaleNormal="100" workbookViewId="0">
      <pane xSplit="1" topLeftCell="B1" activePane="topRight" state="frozenSplit"/>
      <selection pane="topRight" activeCell="A259" sqref="A259"/>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Emissions Intensity")</f>
        <v>Results - Product Emissions Intensity</v>
      </c>
    </row>
    <row r="6" spans="1:17" ht="20.100000000000001" customHeight="1" x14ac:dyDescent="0.2">
      <c r="A6" s="5" t="str">
        <f>HYPERLINK("#'Results'!A1", "Results")</f>
        <v>Results</v>
      </c>
    </row>
    <row r="9" spans="1:17" ht="20.100000000000001" customHeight="1" x14ac:dyDescent="0.2">
      <c r="A9" s="7" t="s">
        <v>0</v>
      </c>
    </row>
    <row r="10" spans="1:17" ht="20.100000000000001" customHeight="1" x14ac:dyDescent="0.2">
      <c r="A10" s="5" t="str">
        <f>HYPERLINK("#'Input - Enterprise'!A1", "Enterprise")</f>
        <v>Enterprise</v>
      </c>
    </row>
    <row r="11" spans="1:17" ht="20.100000000000001" customHeight="1" x14ac:dyDescent="0.2">
      <c r="A11" s="5" t="str">
        <f>HYPERLINK("#'Input - Site'!A1", "Site")</f>
        <v>Site</v>
      </c>
    </row>
    <row r="12" spans="1:17" ht="20.100000000000001" customHeight="1" x14ac:dyDescent="0.2">
      <c r="A12" s="5" t="str">
        <f>HYPERLINK("#'Input - Dairy'!A1", "Dairy")</f>
        <v>Dairy</v>
      </c>
    </row>
    <row r="13" spans="1:17" ht="20.100000000000001" customHeight="1" x14ac:dyDescent="0.2">
      <c r="A13" s="5" t="str">
        <f>HYPERLINK("#'Input - Livestock sales'!A1", "Livestock sales")</f>
        <v>Livestock sales</v>
      </c>
    </row>
    <row r="14" spans="1:17" ht="20.100000000000001" customHeight="1" x14ac:dyDescent="0.2">
      <c r="A14" s="5" t="str">
        <f>HYPERLINK("#'Input - Dairy cattle purchases'!A1", "Dairy cattle purchases")</f>
        <v>Dairy cattle purchases</v>
      </c>
    </row>
    <row r="15" spans="1:17" ht="20.100000000000001" customHeight="1" x14ac:dyDescent="0.2">
      <c r="A15" s="5" t="str">
        <f>HYPERLINK("#'Input - Pasture'!A1", "Pasture")</f>
        <v>Pasture</v>
      </c>
    </row>
    <row r="16" spans="1:17" ht="20.100000000000001" customHeight="1" x14ac:dyDescent="0.2">
      <c r="A16" s="5" t="str">
        <f>HYPERLINK("#'Input - Fert Prod System'!A1", "Fert Prod System")</f>
        <v>Fert Prod System</v>
      </c>
    </row>
    <row r="17" spans="1:12" ht="20.100000000000001" customHeight="1" x14ac:dyDescent="0.2">
      <c r="A17" s="5" t="str">
        <f>HYPERLINK("#'Input - Fertiliser'!A1", "Fertiliser")</f>
        <v>Fertiliser</v>
      </c>
    </row>
    <row r="18" spans="1:12" ht="20.100000000000001" customHeight="1" x14ac:dyDescent="0.2">
      <c r="A18" s="5" t="str">
        <f>HYPERLINK("#'Input - Fuel'!A1", "Fuel")</f>
        <v>Fuel</v>
      </c>
    </row>
    <row r="19" spans="1:12" ht="20.100000000000001" customHeight="1" x14ac:dyDescent="0.2">
      <c r="A19" s="5" t="str">
        <f>HYPERLINK("#'Input - Electricity'!A1", "Electricity")</f>
        <v>Electricity</v>
      </c>
    </row>
    <row r="20" spans="1:12" ht="20.100000000000001" customHeight="1" x14ac:dyDescent="0.2">
      <c r="A20" s="5" t="str">
        <f>HYPERLINK("#'Input - Common farm inputs'!A1", "Common farm inputs")</f>
        <v>Common farm inputs</v>
      </c>
    </row>
    <row r="21" spans="1:12" ht="20.100000000000001" customHeight="1" x14ac:dyDescent="0.2">
      <c r="A21" s="5" t="str">
        <f>HYPERLINK("#'Input - Crop pasture farm input'!A1", "Crop pasture farm input")</f>
        <v>Crop pasture farm input</v>
      </c>
    </row>
    <row r="22" spans="1:12" ht="20.100000000000001" customHeight="1" x14ac:dyDescent="0.2">
      <c r="A22" s="5" t="str">
        <f>HYPERLINK("#'Input - Livestock farm Inputs'!A1", "Livestock farm Inputs")</f>
        <v>Livestock farm Inputs</v>
      </c>
    </row>
    <row r="23" spans="1:12" ht="20.100000000000001" customHeight="1" x14ac:dyDescent="0.2">
      <c r="A23" s="5" t="str">
        <f>HYPERLINK("#'Input - Freight'!A1", "Freight")</f>
        <v>Freight</v>
      </c>
    </row>
    <row r="24" spans="1:12" ht="20.100000000000001" customHeight="1" x14ac:dyDescent="0.2">
      <c r="A24" s="5" t="str">
        <f>HYPERLINK("#'Input - Solid waste'!A1", "Solid waste")</f>
        <v>Solid waste</v>
      </c>
    </row>
    <row r="25" spans="1:12" ht="20.100000000000001" customHeight="1" x14ac:dyDescent="0.2">
      <c r="A25" s="5" t="str">
        <f>HYPERLINK("#'Input - Manure sent off-site'!A1", "Manure sent off-site")</f>
        <v>Manure sent off-site</v>
      </c>
    </row>
    <row r="26" spans="1:12" ht="20.100000000000001" customHeight="1" x14ac:dyDescent="0.2">
      <c r="A26" s="5" t="str">
        <f>HYPERLINK("#'Input - Refrigerants'!A1", "Refrigerants")</f>
        <v>Refrigerants</v>
      </c>
    </row>
    <row r="27" spans="1:12" ht="20.100000000000001" customHeight="1" x14ac:dyDescent="0.2">
      <c r="A27" s="5" t="str">
        <f>HYPERLINK("#'Input - Data quality'!A1", "Data quality")</f>
        <v>Data quality</v>
      </c>
    </row>
    <row r="30" spans="1:12" ht="20.100000000000001" customHeight="1" x14ac:dyDescent="0.2">
      <c r="A30" s="6" t="s">
        <v>2</v>
      </c>
    </row>
    <row r="31" spans="1:12" ht="20.100000000000001" customHeight="1" x14ac:dyDescent="0.2">
      <c r="A31" s="5" t="str">
        <f>HYPERLINK("#'3.3.1.1-2 Enteric Methane'!A1", "3.3.1.1-2 Enteric methane")</f>
        <v>3.3.1.1-2 Enteric methane</v>
      </c>
    </row>
    <row r="32" spans="1:12" ht="20.100000000000001" customHeight="1" x14ac:dyDescent="0.2">
      <c r="A32" s="5" t="str">
        <f>HYPERLINK("#'4.3.1.1-2 Methane'!A1", "4.3.1.1-2 Manure methane")</f>
        <v>4.3.1.1-2 Manure methane</v>
      </c>
      <c r="D32" s="2" t="s">
        <v>1432</v>
      </c>
      <c r="L32" s="1" t="s">
        <v>1433</v>
      </c>
    </row>
    <row r="33" spans="1:13" ht="20.100000000000001" customHeight="1" x14ac:dyDescent="0.2">
      <c r="A33" s="5" t="str">
        <f>HYPERLINK("#'4.3.1.3-4 Direct N20'!A1", "4.3.1.3-4 Direct N20")</f>
        <v>4.3.1.3-4 Direct N20</v>
      </c>
      <c r="D33" s="19" t="s">
        <v>1434</v>
      </c>
      <c r="E33" s="19" t="s">
        <v>131</v>
      </c>
      <c r="F33" s="19" t="s">
        <v>1435</v>
      </c>
      <c r="G33" s="19" t="s">
        <v>1436</v>
      </c>
      <c r="H33" s="19" t="s">
        <v>1437</v>
      </c>
      <c r="I33" s="19" t="s">
        <v>1438</v>
      </c>
      <c r="J33" s="19" t="s">
        <v>829</v>
      </c>
      <c r="L33" s="19" t="s">
        <v>1439</v>
      </c>
      <c r="M33" s="19" t="s">
        <v>1440</v>
      </c>
    </row>
    <row r="34" spans="1:13" ht="20.100000000000001" customHeight="1" x14ac:dyDescent="0.2">
      <c r="A34" s="5" t="str">
        <f>HYPERLINK("#'4.3.1.5 Atmos deposition'!A1", "4.3.1.5 Atmos deposition")</f>
        <v>4.3.1.5 Atmos deposition</v>
      </c>
      <c r="D34" s="19" t="s">
        <v>1307</v>
      </c>
      <c r="E34" s="19" t="s">
        <v>2665</v>
      </c>
      <c r="F34" s="19" t="s">
        <v>1263</v>
      </c>
      <c r="G34" s="19" t="s">
        <v>2666</v>
      </c>
      <c r="H34" s="19">
        <v>11</v>
      </c>
      <c r="I34" s="19" t="s">
        <v>2667</v>
      </c>
      <c r="J34" s="19" t="s">
        <v>1441</v>
      </c>
      <c r="L34" s="19" t="s">
        <v>630</v>
      </c>
      <c r="M34" s="19" t="s">
        <v>631</v>
      </c>
    </row>
    <row r="35" spans="1:13" ht="20.100000000000001" customHeight="1" x14ac:dyDescent="0.2">
      <c r="A35" s="5" t="str">
        <f>HYPERLINK("#'4.3.1.6-7 Leaching and runoff'!A1", "4.3.1.6-7 Leaching &amp; runoff")</f>
        <v>4.3.1.6-7 Leaching &amp; runoff</v>
      </c>
      <c r="D35" s="19" t="s">
        <v>1307</v>
      </c>
      <c r="E35" s="19" t="s">
        <v>2665</v>
      </c>
      <c r="F35" s="19" t="s">
        <v>631</v>
      </c>
      <c r="G35" s="19" t="s">
        <v>2666</v>
      </c>
      <c r="H35" s="19">
        <v>8.2100000000000009</v>
      </c>
      <c r="I35" s="19" t="s">
        <v>2667</v>
      </c>
      <c r="J35" s="19" t="s">
        <v>1441</v>
      </c>
      <c r="L35" s="19" t="s">
        <v>631</v>
      </c>
      <c r="M35" s="19" t="s">
        <v>631</v>
      </c>
    </row>
    <row r="36" spans="1:13" ht="20.100000000000001" customHeight="1" x14ac:dyDescent="0.2">
      <c r="A36" s="5" t="str">
        <f>HYPERLINK("#'4.3.1.8 Manure applied to soils'!A1", "4.3.1.8 Manure applied to soils")</f>
        <v>4.3.1.8 Manure applied to soils</v>
      </c>
      <c r="D36" s="19" t="s">
        <v>1307</v>
      </c>
      <c r="E36" s="19" t="s">
        <v>2665</v>
      </c>
      <c r="F36" s="19" t="s">
        <v>632</v>
      </c>
      <c r="G36" s="19" t="s">
        <v>2666</v>
      </c>
      <c r="H36" s="19">
        <v>12.2</v>
      </c>
      <c r="I36" s="19" t="s">
        <v>2667</v>
      </c>
      <c r="J36" s="19" t="s">
        <v>1441</v>
      </c>
      <c r="L36" s="19" t="s">
        <v>634</v>
      </c>
      <c r="M36" s="19" t="s">
        <v>634</v>
      </c>
    </row>
    <row r="37" spans="1:13" ht="20.100000000000001" customHeight="1" x14ac:dyDescent="0.2">
      <c r="A37" s="5" t="str">
        <f>HYPERLINK("#'4.3.1.9 Soil direct N2O'!A1", "4.3.1.9 Soil direct N2O")</f>
        <v>4.3.1.9 Soil direct N2O</v>
      </c>
      <c r="D37" s="19" t="s">
        <v>1307</v>
      </c>
      <c r="E37" s="19" t="s">
        <v>2665</v>
      </c>
      <c r="F37" s="19" t="s">
        <v>633</v>
      </c>
      <c r="G37" s="19" t="s">
        <v>2666</v>
      </c>
      <c r="H37" s="19">
        <v>10.9</v>
      </c>
      <c r="I37" s="19" t="s">
        <v>2667</v>
      </c>
      <c r="J37" s="19" t="s">
        <v>1441</v>
      </c>
      <c r="L37" s="19" t="s">
        <v>635</v>
      </c>
      <c r="M37" s="19" t="s">
        <v>635</v>
      </c>
    </row>
    <row r="38" spans="1:13" ht="20.100000000000001" customHeight="1" x14ac:dyDescent="0.2">
      <c r="A38" s="5" t="str">
        <f>HYPERLINK("#'4.3.1.10-11 Soil Atmos Dep'!A1", "4.3.1.10-11 Soil Atmos Deposition")</f>
        <v>4.3.1.10-11 Soil Atmos Deposition</v>
      </c>
      <c r="D38" s="19" t="s">
        <v>1307</v>
      </c>
      <c r="E38" s="19" t="s">
        <v>2665</v>
      </c>
      <c r="F38" s="19" t="s">
        <v>634</v>
      </c>
      <c r="G38" s="19" t="s">
        <v>2666</v>
      </c>
      <c r="H38" s="19">
        <v>7.63</v>
      </c>
      <c r="I38" s="19" t="s">
        <v>2667</v>
      </c>
      <c r="J38" s="19" t="s">
        <v>1441</v>
      </c>
      <c r="L38" s="19" t="s">
        <v>636</v>
      </c>
      <c r="M38" s="19" t="s">
        <v>636</v>
      </c>
    </row>
    <row r="39" spans="1:13" ht="20.100000000000001" customHeight="1" x14ac:dyDescent="0.2">
      <c r="A39" s="5" t="str">
        <f>HYPERLINK("#'4.3.1.12-13 Soil leach runoff'!A1", "4.3.1.12-13 Soil leach &amp; runoff")</f>
        <v>4.3.1.12-13 Soil leach &amp; runoff</v>
      </c>
      <c r="D39" s="19" t="s">
        <v>1307</v>
      </c>
      <c r="E39" s="19" t="s">
        <v>2665</v>
      </c>
      <c r="F39" s="19" t="s">
        <v>635</v>
      </c>
      <c r="G39" s="19" t="s">
        <v>2666</v>
      </c>
      <c r="H39" s="19">
        <v>8.75</v>
      </c>
      <c r="I39" s="19" t="s">
        <v>2667</v>
      </c>
      <c r="J39" s="19" t="s">
        <v>1441</v>
      </c>
      <c r="L39" s="19" t="s">
        <v>1442</v>
      </c>
      <c r="M39" s="19" t="s">
        <v>637</v>
      </c>
    </row>
    <row r="40" spans="1:13" ht="20.100000000000001" customHeight="1" x14ac:dyDescent="0.2">
      <c r="A40" s="5" t="str">
        <f>HYPERLINK("#'5.1.1.1-2 Inorganic fert N2O'!A1", "5.1.1.1-2 Inorganic fert N2O")</f>
        <v>5.1.1.1-2 Inorganic fert N2O</v>
      </c>
      <c r="D40" s="19" t="s">
        <v>1307</v>
      </c>
      <c r="E40" s="19" t="s">
        <v>2665</v>
      </c>
      <c r="F40" s="19" t="s">
        <v>636</v>
      </c>
      <c r="G40" s="19" t="s">
        <v>2666</v>
      </c>
      <c r="H40" s="19">
        <v>8.17</v>
      </c>
      <c r="I40" s="19" t="s">
        <v>2667</v>
      </c>
      <c r="J40" s="19" t="s">
        <v>1441</v>
      </c>
      <c r="L40" s="19" t="s">
        <v>1443</v>
      </c>
      <c r="M40" s="19" t="s">
        <v>637</v>
      </c>
    </row>
    <row r="41" spans="1:13" ht="20.100000000000001" customHeight="1" x14ac:dyDescent="0.2">
      <c r="A41" s="5" t="str">
        <f>HYPERLINK("#'5.1.1.3-4 Inorganic fert CO2'!A1", "5.1.1.3-4 Inorganic fert CO2")</f>
        <v>5.1.1.3-4 Inorganic fert CO2</v>
      </c>
      <c r="D41" s="19" t="s">
        <v>1307</v>
      </c>
      <c r="E41" s="19" t="s">
        <v>2665</v>
      </c>
      <c r="F41" s="19" t="s">
        <v>637</v>
      </c>
      <c r="G41" s="19" t="s">
        <v>2666</v>
      </c>
      <c r="H41" s="19">
        <v>13.1</v>
      </c>
      <c r="I41" s="19" t="s">
        <v>2667</v>
      </c>
      <c r="J41" s="19" t="s">
        <v>1441</v>
      </c>
      <c r="L41" s="19" t="s">
        <v>1444</v>
      </c>
      <c r="M41" s="19" t="s">
        <v>637</v>
      </c>
    </row>
    <row r="42" spans="1:13" ht="20.100000000000001" customHeight="1" x14ac:dyDescent="0.2">
      <c r="A42" s="5" t="str">
        <f>HYPERLINK("#'5.2.1.1-2 Organic Fert N2O'!A1", "5.2.1.1-2 Organic fert N2O")</f>
        <v>5.2.1.1-2 Organic fert N2O</v>
      </c>
      <c r="D42" s="19" t="s">
        <v>1307</v>
      </c>
      <c r="E42" s="19" t="s">
        <v>2668</v>
      </c>
      <c r="F42" s="19" t="s">
        <v>1263</v>
      </c>
      <c r="G42" s="19" t="s">
        <v>2666</v>
      </c>
      <c r="H42" s="19">
        <v>14.5</v>
      </c>
      <c r="I42" s="19" t="s">
        <v>2667</v>
      </c>
      <c r="J42" s="19" t="s">
        <v>1441</v>
      </c>
      <c r="L42" s="19" t="s">
        <v>1445</v>
      </c>
      <c r="M42" s="19" t="s">
        <v>632</v>
      </c>
    </row>
    <row r="43" spans="1:13" ht="20.100000000000001" customHeight="1" x14ac:dyDescent="0.2">
      <c r="A43" s="5" t="str">
        <f>HYPERLINK("#'5.3.1.1-2 Lime CO2'!A1", "5.3.1.1-2 Lime CO2")</f>
        <v>5.3.1.1-2 Lime CO2</v>
      </c>
      <c r="D43" s="19" t="s">
        <v>1307</v>
      </c>
      <c r="E43" s="19" t="s">
        <v>2668</v>
      </c>
      <c r="F43" s="19" t="s">
        <v>631</v>
      </c>
      <c r="G43" s="19" t="s">
        <v>2666</v>
      </c>
      <c r="H43" s="19">
        <v>11.3</v>
      </c>
      <c r="I43" s="19" t="s">
        <v>2667</v>
      </c>
      <c r="J43" s="19" t="s">
        <v>1441</v>
      </c>
      <c r="L43" s="19" t="s">
        <v>1446</v>
      </c>
      <c r="M43" s="19" t="s">
        <v>632</v>
      </c>
    </row>
    <row r="44" spans="1:13" ht="20.100000000000001" customHeight="1" x14ac:dyDescent="0.2">
      <c r="A44" s="5" t="str">
        <f>HYPERLINK("#'5.4.1.1-4 Atmos deposition'!A1", "5.4.1.1-4 Atmos. deposition")</f>
        <v>5.4.1.1-4 Atmos. deposition</v>
      </c>
      <c r="D44" s="19" t="s">
        <v>1307</v>
      </c>
      <c r="E44" s="19" t="s">
        <v>2668</v>
      </c>
      <c r="F44" s="19" t="s">
        <v>632</v>
      </c>
      <c r="G44" s="19" t="s">
        <v>2666</v>
      </c>
      <c r="H44" s="19">
        <v>18.899999999999999</v>
      </c>
      <c r="I44" s="19" t="s">
        <v>2667</v>
      </c>
      <c r="J44" s="19" t="s">
        <v>1441</v>
      </c>
      <c r="L44" s="19" t="s">
        <v>1447</v>
      </c>
      <c r="M44" s="19" t="s">
        <v>632</v>
      </c>
    </row>
    <row r="45" spans="1:13" ht="20.100000000000001" customHeight="1" x14ac:dyDescent="0.2">
      <c r="A45" s="5" t="str">
        <f>HYPERLINK("#'5.5.1.1-2 Leaching and runoff'!A1", "5.5.1.1-2 Leaching &amp; runoff")</f>
        <v>5.5.1.1-2 Leaching &amp; runoff</v>
      </c>
      <c r="D45" s="19" t="s">
        <v>1307</v>
      </c>
      <c r="E45" s="19" t="s">
        <v>2668</v>
      </c>
      <c r="F45" s="19" t="s">
        <v>633</v>
      </c>
      <c r="G45" s="19" t="s">
        <v>2666</v>
      </c>
      <c r="H45" s="19">
        <v>13.9</v>
      </c>
      <c r="I45" s="19" t="s">
        <v>2667</v>
      </c>
      <c r="J45" s="19" t="s">
        <v>1441</v>
      </c>
      <c r="L45" s="19" t="s">
        <v>1448</v>
      </c>
      <c r="M45" s="19" t="s">
        <v>633</v>
      </c>
    </row>
    <row r="46" spans="1:13" ht="20.100000000000001" customHeight="1" x14ac:dyDescent="0.2">
      <c r="A46" s="5" t="str">
        <f>HYPERLINK("#'6.2.1.1-2 Pasture residue N2O'!A1", "6.2.1.1-2 Pasture residue N2O")</f>
        <v>6.2.1.1-2 Pasture residue N2O</v>
      </c>
      <c r="D46" s="19" t="s">
        <v>1307</v>
      </c>
      <c r="E46" s="19" t="s">
        <v>2668</v>
      </c>
      <c r="F46" s="19" t="s">
        <v>634</v>
      </c>
      <c r="G46" s="19" t="s">
        <v>2666</v>
      </c>
      <c r="H46" s="19">
        <v>12.3</v>
      </c>
      <c r="I46" s="19" t="s">
        <v>2667</v>
      </c>
      <c r="J46" s="19" t="s">
        <v>1441</v>
      </c>
      <c r="L46" s="19" t="s">
        <v>1449</v>
      </c>
      <c r="M46" s="19" t="s">
        <v>633</v>
      </c>
    </row>
    <row r="47" spans="1:13" ht="20.100000000000001" customHeight="1" x14ac:dyDescent="0.2">
      <c r="A47" s="5" t="str">
        <f>HYPERLINK("#'6.3.1.1-2 Leach runoff pasture'!A1", "6.3.1.1-2 Leach &amp; runoff (pasture)")</f>
        <v>6.3.1.1-2 Leach &amp; runoff (pasture)</v>
      </c>
      <c r="D47" s="19" t="s">
        <v>1307</v>
      </c>
      <c r="E47" s="19" t="s">
        <v>2668</v>
      </c>
      <c r="F47" s="19" t="s">
        <v>635</v>
      </c>
      <c r="G47" s="19" t="s">
        <v>2666</v>
      </c>
      <c r="H47" s="19">
        <v>11.5</v>
      </c>
      <c r="I47" s="19" t="s">
        <v>2667</v>
      </c>
      <c r="J47" s="19" t="s">
        <v>1441</v>
      </c>
      <c r="L47" s="19" t="s">
        <v>1450</v>
      </c>
      <c r="M47" s="19" t="s">
        <v>633</v>
      </c>
    </row>
    <row r="48" spans="1:13" ht="20.100000000000001" customHeight="1" x14ac:dyDescent="0.2">
      <c r="A48" s="5" t="str">
        <f>HYPERLINK("#'8.1.1.1-2 Transport fuel'!A1", "8.1.1.1-2 Transport fuel")</f>
        <v>8.1.1.1-2 Transport fuel</v>
      </c>
      <c r="D48" s="19" t="s">
        <v>1307</v>
      </c>
      <c r="E48" s="19" t="s">
        <v>2668</v>
      </c>
      <c r="F48" s="19" t="s">
        <v>636</v>
      </c>
      <c r="G48" s="19" t="s">
        <v>2666</v>
      </c>
      <c r="H48" s="19">
        <v>11.5</v>
      </c>
      <c r="I48" s="19" t="s">
        <v>2667</v>
      </c>
      <c r="J48" s="19" t="s">
        <v>1441</v>
      </c>
      <c r="L48" s="19" t="s">
        <v>1451</v>
      </c>
      <c r="M48" s="19" t="s">
        <v>633</v>
      </c>
    </row>
    <row r="49" spans="1:13" ht="20.100000000000001" customHeight="1" x14ac:dyDescent="0.2">
      <c r="A49" s="5" t="str">
        <f>HYPERLINK("#'8.2.1.1-2 Stationary fuel'!A1", "8.2.1.1-2 Stationary fuel")</f>
        <v>8.2.1.1-2 Stationary fuel</v>
      </c>
      <c r="D49" s="19" t="s">
        <v>1307</v>
      </c>
      <c r="E49" s="19" t="s">
        <v>2668</v>
      </c>
      <c r="F49" s="19" t="s">
        <v>637</v>
      </c>
      <c r="G49" s="19" t="s">
        <v>2666</v>
      </c>
      <c r="H49" s="19">
        <v>20.8</v>
      </c>
      <c r="I49" s="19" t="s">
        <v>2667</v>
      </c>
      <c r="J49" s="19" t="s">
        <v>1441</v>
      </c>
      <c r="L49" s="1" t="s">
        <v>1263</v>
      </c>
      <c r="M49" s="1" t="s">
        <v>1263</v>
      </c>
    </row>
    <row r="50" spans="1:13" ht="20.100000000000001" customHeight="1" x14ac:dyDescent="0.2">
      <c r="A50" s="5" t="str">
        <f>HYPERLINK("#'9.1.1.1-2 Refrigerant use'!A1", "9.1.1.1-2 Refrigerant use")</f>
        <v>9.1.1.1-2 Refrigerant use</v>
      </c>
      <c r="D50" s="19" t="s">
        <v>1307</v>
      </c>
      <c r="E50" s="19" t="s">
        <v>2669</v>
      </c>
      <c r="F50" s="19" t="s">
        <v>1263</v>
      </c>
      <c r="G50" s="19" t="s">
        <v>2666</v>
      </c>
      <c r="H50" s="19">
        <v>15.5</v>
      </c>
      <c r="I50" s="19" t="s">
        <v>2667</v>
      </c>
      <c r="J50" s="19" t="s">
        <v>1441</v>
      </c>
    </row>
    <row r="51" spans="1:13" ht="20.100000000000001" customHeight="1" x14ac:dyDescent="0.2">
      <c r="A51" s="5" t="str">
        <f>HYPERLINK("#'10.1.1-2 Solid waste treatment'!A1", "10.1.1.1-2 Solid waste")</f>
        <v>10.1.1.1-2 Solid waste</v>
      </c>
      <c r="D51" s="19" t="s">
        <v>1307</v>
      </c>
      <c r="E51" s="19" t="s">
        <v>2669</v>
      </c>
      <c r="F51" s="19" t="s">
        <v>631</v>
      </c>
      <c r="G51" s="19" t="s">
        <v>2666</v>
      </c>
      <c r="H51" s="19">
        <v>12.7</v>
      </c>
      <c r="I51" s="19" t="s">
        <v>2667</v>
      </c>
      <c r="J51" s="19" t="s">
        <v>1441</v>
      </c>
    </row>
    <row r="52" spans="1:13" ht="20.100000000000001" customHeight="1" x14ac:dyDescent="0.2">
      <c r="A52" s="5" t="str">
        <f>HYPERLINK("#'14.1.1-2 Purchased electricity'!A1", "14.1.1-2 Purchased electricity")</f>
        <v>14.1.1-2 Purchased electricity</v>
      </c>
      <c r="D52" s="19" t="s">
        <v>1307</v>
      </c>
      <c r="E52" s="19" t="s">
        <v>2669</v>
      </c>
      <c r="F52" s="19" t="s">
        <v>632</v>
      </c>
      <c r="G52" s="19" t="s">
        <v>2666</v>
      </c>
      <c r="H52" s="19">
        <v>19.100000000000001</v>
      </c>
      <c r="I52" s="19" t="s">
        <v>2667</v>
      </c>
      <c r="J52" s="19" t="s">
        <v>1441</v>
      </c>
    </row>
    <row r="53" spans="1:13" ht="20.100000000000001" customHeight="1" x14ac:dyDescent="0.2">
      <c r="A53" s="5" t="str">
        <f>HYPERLINK("#'15 Scope 3'!A1", "15 Scope 3")</f>
        <v>15 Scope 3</v>
      </c>
      <c r="D53" s="19" t="s">
        <v>1307</v>
      </c>
      <c r="E53" s="19" t="s">
        <v>2669</v>
      </c>
      <c r="F53" s="19" t="s">
        <v>633</v>
      </c>
      <c r="G53" s="19" t="s">
        <v>2666</v>
      </c>
      <c r="H53" s="19">
        <v>20.5</v>
      </c>
      <c r="I53" s="19" t="s">
        <v>2667</v>
      </c>
      <c r="J53" s="19" t="s">
        <v>1441</v>
      </c>
    </row>
    <row r="54" spans="1:13" ht="20.100000000000001" customHeight="1" x14ac:dyDescent="0.2">
      <c r="A54" s="5" t="str">
        <f>HYPERLINK("#'Calcs - Manure sent off-site'!A1", "Calcs - Manure sent off-site")</f>
        <v>Calcs - Manure sent off-site</v>
      </c>
      <c r="D54" s="19" t="s">
        <v>1307</v>
      </c>
      <c r="E54" s="19" t="s">
        <v>2669</v>
      </c>
      <c r="F54" s="19" t="s">
        <v>634</v>
      </c>
      <c r="G54" s="19" t="s">
        <v>2666</v>
      </c>
      <c r="H54" s="19">
        <v>10.8</v>
      </c>
      <c r="I54" s="19" t="s">
        <v>2667</v>
      </c>
      <c r="J54" s="19" t="s">
        <v>1441</v>
      </c>
    </row>
    <row r="55" spans="1:13" ht="20.100000000000001" customHeight="1" x14ac:dyDescent="0.2">
      <c r="D55" s="19" t="s">
        <v>1307</v>
      </c>
      <c r="E55" s="19" t="s">
        <v>2669</v>
      </c>
      <c r="F55" s="19" t="s">
        <v>635</v>
      </c>
      <c r="G55" s="19" t="s">
        <v>2666</v>
      </c>
      <c r="H55" s="19">
        <v>13.4</v>
      </c>
      <c r="I55" s="19" t="s">
        <v>2667</v>
      </c>
      <c r="J55" s="19" t="s">
        <v>1441</v>
      </c>
    </row>
    <row r="56" spans="1:13" ht="20.100000000000001" customHeight="1" x14ac:dyDescent="0.2">
      <c r="D56" s="19" t="s">
        <v>1307</v>
      </c>
      <c r="E56" s="19" t="s">
        <v>2669</v>
      </c>
      <c r="F56" s="19" t="s">
        <v>636</v>
      </c>
      <c r="G56" s="19" t="s">
        <v>2666</v>
      </c>
      <c r="H56" s="19">
        <v>12</v>
      </c>
      <c r="I56" s="19" t="s">
        <v>2667</v>
      </c>
      <c r="J56" s="19" t="s">
        <v>1441</v>
      </c>
    </row>
    <row r="57" spans="1:13" ht="20.100000000000001" customHeight="1" x14ac:dyDescent="0.2">
      <c r="A57" s="82" t="s">
        <v>1</v>
      </c>
      <c r="D57" s="19" t="s">
        <v>1307</v>
      </c>
      <c r="E57" s="19" t="s">
        <v>2669</v>
      </c>
      <c r="F57" s="19" t="s">
        <v>637</v>
      </c>
      <c r="G57" s="19" t="s">
        <v>2666</v>
      </c>
      <c r="H57" s="19">
        <v>12.4</v>
      </c>
      <c r="I57" s="19" t="s">
        <v>2667</v>
      </c>
      <c r="J57" s="19" t="s">
        <v>1441</v>
      </c>
    </row>
    <row r="58" spans="1:13" ht="20.100000000000001" customHeight="1" x14ac:dyDescent="0.2">
      <c r="A58" s="5" t="str">
        <f>HYPERLINK("#'Constants - Dairy'!A1", "Constants - Dairy")</f>
        <v>Constants - Dairy</v>
      </c>
      <c r="D58" s="19" t="s">
        <v>2670</v>
      </c>
      <c r="E58" s="19" t="s">
        <v>2670</v>
      </c>
      <c r="F58" s="19" t="s">
        <v>1263</v>
      </c>
      <c r="G58" s="19" t="s">
        <v>2666</v>
      </c>
      <c r="H58" s="19">
        <v>1.36</v>
      </c>
      <c r="I58" s="19" t="s">
        <v>2667</v>
      </c>
      <c r="J58" s="19" t="s">
        <v>1441</v>
      </c>
    </row>
    <row r="59" spans="1:13" ht="20.100000000000001" customHeight="1" x14ac:dyDescent="0.2">
      <c r="A59" s="5" t="str">
        <f>HYPERLINK("#'Constants - Ag Residue'!A1", "Constants - Ag residue")</f>
        <v>Constants - Ag residue</v>
      </c>
      <c r="D59" s="19" t="s">
        <v>308</v>
      </c>
      <c r="E59" s="19" t="s">
        <v>2671</v>
      </c>
      <c r="F59" s="19" t="s">
        <v>636</v>
      </c>
      <c r="G59" s="19" t="s">
        <v>2666</v>
      </c>
      <c r="H59" s="19">
        <v>4.41</v>
      </c>
      <c r="I59" s="19" t="s">
        <v>2667</v>
      </c>
      <c r="J59" s="19" t="s">
        <v>1441</v>
      </c>
    </row>
    <row r="60" spans="1:13" ht="20.100000000000001" customHeight="1" x14ac:dyDescent="0.2">
      <c r="A60" s="5" t="str">
        <f>HYPERLINK("#'Constants - Common Livestock'!A1", "Constants - Common Livestock")</f>
        <v>Constants - Common Livestock</v>
      </c>
      <c r="D60" s="19" t="s">
        <v>1329</v>
      </c>
      <c r="E60" s="19" t="s">
        <v>1329</v>
      </c>
      <c r="F60" s="19" t="s">
        <v>1263</v>
      </c>
      <c r="G60" s="19" t="s">
        <v>2666</v>
      </c>
      <c r="H60" s="19">
        <v>3.38</v>
      </c>
      <c r="I60" s="19" t="s">
        <v>2667</v>
      </c>
      <c r="J60" s="19" t="s">
        <v>1441</v>
      </c>
    </row>
    <row r="61" spans="1:13" ht="20.100000000000001" customHeight="1" x14ac:dyDescent="0.2">
      <c r="A61" s="5" t="str">
        <f>HYPERLINK("#'Constants - Electricity'!A1", "Constants - Electricity")</f>
        <v>Constants - Electricity</v>
      </c>
      <c r="D61" s="19" t="s">
        <v>2672</v>
      </c>
      <c r="E61" s="19" t="s">
        <v>2673</v>
      </c>
      <c r="F61" s="19" t="s">
        <v>1263</v>
      </c>
      <c r="G61" s="19" t="s">
        <v>2666</v>
      </c>
      <c r="H61" s="19">
        <v>6.81</v>
      </c>
      <c r="I61" s="19" t="s">
        <v>2667</v>
      </c>
      <c r="J61" s="19" t="s">
        <v>1441</v>
      </c>
    </row>
    <row r="62" spans="1:13" ht="20.100000000000001" customHeight="1" x14ac:dyDescent="0.2">
      <c r="A62" s="5" t="str">
        <f>HYPERLINK("#'Constants - Fertiliser'!A1", "Constants - Fertiliser")</f>
        <v>Constants - Fertiliser</v>
      </c>
      <c r="D62" s="19" t="s">
        <v>2672</v>
      </c>
      <c r="E62" s="19" t="s">
        <v>2673</v>
      </c>
      <c r="F62" s="19" t="s">
        <v>631</v>
      </c>
      <c r="G62" s="19" t="s">
        <v>2666</v>
      </c>
      <c r="H62" s="19">
        <v>2.2599999999999998</v>
      </c>
      <c r="I62" s="19" t="s">
        <v>2667</v>
      </c>
      <c r="J62" s="19" t="s">
        <v>1441</v>
      </c>
    </row>
    <row r="63" spans="1:13" ht="20.100000000000001" customHeight="1" x14ac:dyDescent="0.2">
      <c r="A63" s="5" t="str">
        <f>HYPERLINK("#'Constants - Fuel'!A1", "Constants - Fuel")</f>
        <v>Constants - Fuel</v>
      </c>
      <c r="D63" s="19" t="s">
        <v>2672</v>
      </c>
      <c r="E63" s="19" t="s">
        <v>2673</v>
      </c>
      <c r="F63" s="19" t="s">
        <v>633</v>
      </c>
      <c r="G63" s="19" t="s">
        <v>2666</v>
      </c>
      <c r="H63" s="19">
        <v>6.33</v>
      </c>
      <c r="I63" s="19" t="s">
        <v>2667</v>
      </c>
      <c r="J63" s="19" t="s">
        <v>1441</v>
      </c>
    </row>
    <row r="64" spans="1:13" ht="20.100000000000001" customHeight="1" x14ac:dyDescent="0.2">
      <c r="A64" s="83" t="str">
        <f>HYPERLINK("#'Constants - Scope 3'!A1", "Constants - Scope 3")</f>
        <v>Constants - Scope 3</v>
      </c>
      <c r="D64" s="19" t="s">
        <v>2672</v>
      </c>
      <c r="E64" s="19" t="s">
        <v>2673</v>
      </c>
      <c r="F64" s="19" t="s">
        <v>634</v>
      </c>
      <c r="G64" s="19" t="s">
        <v>2666</v>
      </c>
      <c r="H64" s="19">
        <v>6.18</v>
      </c>
      <c r="I64" s="19" t="s">
        <v>2667</v>
      </c>
      <c r="J64" s="19" t="s">
        <v>1441</v>
      </c>
    </row>
    <row r="65" spans="1:10" ht="20.100000000000001" customHeight="1" x14ac:dyDescent="0.2">
      <c r="A65" s="5" t="str">
        <f>HYPERLINK("#'Constants - Common'!A1", "Constants - Common")</f>
        <v>Constants - Common</v>
      </c>
      <c r="D65" s="19" t="s">
        <v>2672</v>
      </c>
      <c r="E65" s="19" t="s">
        <v>2673</v>
      </c>
      <c r="F65" s="19" t="s">
        <v>635</v>
      </c>
      <c r="G65" s="19" t="s">
        <v>2666</v>
      </c>
      <c r="H65" s="19">
        <v>7.5</v>
      </c>
      <c r="I65" s="19" t="s">
        <v>2667</v>
      </c>
      <c r="J65" s="19" t="s">
        <v>1441</v>
      </c>
    </row>
    <row r="66" spans="1:10" ht="20.100000000000001" customHeight="1" x14ac:dyDescent="0.2">
      <c r="A66" s="5" t="str">
        <f>HYPERLINK("#'Constants - Refrigerants'!A1", "Constants - Refrigerants")</f>
        <v>Constants - Refrigerants</v>
      </c>
      <c r="D66" s="19" t="s">
        <v>2672</v>
      </c>
      <c r="E66" s="19" t="s">
        <v>2673</v>
      </c>
      <c r="F66" s="19" t="s">
        <v>636</v>
      </c>
      <c r="G66" s="19" t="s">
        <v>2666</v>
      </c>
      <c r="H66" s="19">
        <v>8.08</v>
      </c>
      <c r="I66" s="19" t="s">
        <v>2667</v>
      </c>
      <c r="J66" s="19" t="s">
        <v>1441</v>
      </c>
    </row>
    <row r="67" spans="1:10" ht="20.100000000000001" customHeight="1" x14ac:dyDescent="0.2">
      <c r="A67" s="5" t="str">
        <f>HYPERLINK("#'Constants - Solid Waste'!A1", "Constants - Solid Waste")</f>
        <v>Constants - Solid Waste</v>
      </c>
      <c r="D67" s="19" t="s">
        <v>2672</v>
      </c>
      <c r="E67" s="19" t="s">
        <v>2673</v>
      </c>
      <c r="F67" s="19" t="s">
        <v>637</v>
      </c>
      <c r="G67" s="19" t="s">
        <v>2666</v>
      </c>
      <c r="H67" s="19">
        <v>5.45</v>
      </c>
      <c r="I67" s="19" t="s">
        <v>2667</v>
      </c>
      <c r="J67" s="19" t="s">
        <v>1441</v>
      </c>
    </row>
    <row r="68" spans="1:10" ht="20.100000000000001" customHeight="1" x14ac:dyDescent="0.2">
      <c r="A68" s="5" t="str">
        <f>HYPERLINK("#'Acknowledgements'!A1", "Acknowledgements")</f>
        <v>Acknowledgements</v>
      </c>
      <c r="D68" s="19" t="s">
        <v>2672</v>
      </c>
      <c r="E68" s="19" t="s">
        <v>2674</v>
      </c>
      <c r="F68" s="19" t="s">
        <v>1263</v>
      </c>
      <c r="G68" s="19" t="s">
        <v>2666</v>
      </c>
      <c r="H68" s="19">
        <v>7.15</v>
      </c>
      <c r="I68" s="19" t="s">
        <v>2667</v>
      </c>
      <c r="J68" s="19" t="s">
        <v>1441</v>
      </c>
    </row>
    <row r="69" spans="1:10" ht="20.100000000000001" customHeight="1" x14ac:dyDescent="0.2">
      <c r="D69" s="19" t="s">
        <v>2672</v>
      </c>
      <c r="E69" s="19" t="s">
        <v>2674</v>
      </c>
      <c r="F69" s="19" t="s">
        <v>631</v>
      </c>
      <c r="G69" s="19" t="s">
        <v>2666</v>
      </c>
      <c r="H69" s="19">
        <v>8.2899999999999991</v>
      </c>
      <c r="I69" s="19" t="s">
        <v>2667</v>
      </c>
      <c r="J69" s="19" t="s">
        <v>1441</v>
      </c>
    </row>
    <row r="70" spans="1:10" ht="20.100000000000001" customHeight="1" x14ac:dyDescent="0.2">
      <c r="D70" s="19" t="s">
        <v>2672</v>
      </c>
      <c r="E70" s="19" t="s">
        <v>2674</v>
      </c>
      <c r="F70" s="19" t="s">
        <v>633</v>
      </c>
      <c r="G70" s="19" t="s">
        <v>2666</v>
      </c>
      <c r="H70" s="19">
        <v>6.39</v>
      </c>
      <c r="I70" s="19" t="s">
        <v>2667</v>
      </c>
      <c r="J70" s="19" t="s">
        <v>1441</v>
      </c>
    </row>
    <row r="71" spans="1:10" ht="20.100000000000001" customHeight="1" x14ac:dyDescent="0.2">
      <c r="D71" s="19" t="s">
        <v>2672</v>
      </c>
      <c r="E71" s="19" t="s">
        <v>2674</v>
      </c>
      <c r="F71" s="19" t="s">
        <v>634</v>
      </c>
      <c r="G71" s="19" t="s">
        <v>2666</v>
      </c>
      <c r="H71" s="19">
        <v>6.87</v>
      </c>
      <c r="I71" s="19" t="s">
        <v>2667</v>
      </c>
      <c r="J71" s="19" t="s">
        <v>1441</v>
      </c>
    </row>
    <row r="72" spans="1:10" ht="20.100000000000001" customHeight="1" x14ac:dyDescent="0.2">
      <c r="D72" s="19" t="s">
        <v>2672</v>
      </c>
      <c r="E72" s="19" t="s">
        <v>2674</v>
      </c>
      <c r="F72" s="19" t="s">
        <v>635</v>
      </c>
      <c r="G72" s="19" t="s">
        <v>2666</v>
      </c>
      <c r="H72" s="19">
        <v>8.66</v>
      </c>
      <c r="I72" s="19" t="s">
        <v>2667</v>
      </c>
      <c r="J72" s="19" t="s">
        <v>1441</v>
      </c>
    </row>
    <row r="73" spans="1:10" ht="20.100000000000001" customHeight="1" x14ac:dyDescent="0.2">
      <c r="D73" s="19" t="s">
        <v>2672</v>
      </c>
      <c r="E73" s="19" t="s">
        <v>2674</v>
      </c>
      <c r="F73" s="19" t="s">
        <v>636</v>
      </c>
      <c r="G73" s="19" t="s">
        <v>2666</v>
      </c>
      <c r="H73" s="19">
        <v>10</v>
      </c>
      <c r="I73" s="19" t="s">
        <v>2667</v>
      </c>
      <c r="J73" s="19" t="s">
        <v>1441</v>
      </c>
    </row>
    <row r="74" spans="1:10" ht="20.100000000000001" customHeight="1" x14ac:dyDescent="0.2">
      <c r="D74" s="19" t="s">
        <v>2672</v>
      </c>
      <c r="E74" s="19" t="s">
        <v>2674</v>
      </c>
      <c r="F74" s="19" t="s">
        <v>637</v>
      </c>
      <c r="G74" s="19" t="s">
        <v>2666</v>
      </c>
      <c r="H74" s="19">
        <v>5.67</v>
      </c>
      <c r="I74" s="19" t="s">
        <v>2667</v>
      </c>
      <c r="J74" s="19" t="s">
        <v>1441</v>
      </c>
    </row>
    <row r="76" spans="1:10" ht="20.100000000000001" customHeight="1" x14ac:dyDescent="0.2">
      <c r="D76" s="2" t="s">
        <v>1452</v>
      </c>
    </row>
    <row r="77" spans="1:10" ht="20.100000000000001" customHeight="1" x14ac:dyDescent="0.2">
      <c r="D77" s="19" t="s">
        <v>1434</v>
      </c>
      <c r="E77" s="19" t="s">
        <v>131</v>
      </c>
      <c r="F77" s="19" t="s">
        <v>1435</v>
      </c>
      <c r="G77" s="19" t="s">
        <v>1436</v>
      </c>
      <c r="H77" s="19" t="s">
        <v>1437</v>
      </c>
      <c r="I77" s="19" t="s">
        <v>1438</v>
      </c>
      <c r="J77" s="19" t="s">
        <v>829</v>
      </c>
    </row>
    <row r="78" spans="1:10" ht="20.100000000000001" customHeight="1" x14ac:dyDescent="0.2">
      <c r="D78" s="19" t="s">
        <v>1194</v>
      </c>
      <c r="E78" s="19" t="s">
        <v>1201</v>
      </c>
      <c r="F78" s="19" t="s">
        <v>2398</v>
      </c>
      <c r="G78" s="19" t="s">
        <v>738</v>
      </c>
      <c r="H78" s="19">
        <v>0.72199999999999998</v>
      </c>
      <c r="I78" s="19" t="s">
        <v>2675</v>
      </c>
      <c r="J78" s="19" t="s">
        <v>1441</v>
      </c>
    </row>
    <row r="79" spans="1:10" ht="20.100000000000001" customHeight="1" x14ac:dyDescent="0.2">
      <c r="A79" s="129" t="str">
        <f>HYPERLINK("#A1", "▲ Back to top")</f>
        <v>▲ Back to top</v>
      </c>
      <c r="D79" s="19" t="s">
        <v>1194</v>
      </c>
      <c r="E79" s="19" t="s">
        <v>1203</v>
      </c>
      <c r="F79" s="19" t="s">
        <v>2398</v>
      </c>
      <c r="G79" s="19" t="s">
        <v>738</v>
      </c>
      <c r="H79" s="19">
        <v>0.80400000000000005</v>
      </c>
      <c r="I79" s="19" t="s">
        <v>2675</v>
      </c>
      <c r="J79" s="19" t="s">
        <v>1441</v>
      </c>
    </row>
    <row r="80" spans="1:10" ht="20.100000000000001" customHeight="1" x14ac:dyDescent="0.2">
      <c r="D80" s="19" t="s">
        <v>1194</v>
      </c>
      <c r="E80" s="19" t="s">
        <v>1199</v>
      </c>
      <c r="F80" s="19" t="s">
        <v>2398</v>
      </c>
      <c r="G80" s="19" t="s">
        <v>738</v>
      </c>
      <c r="H80" s="19">
        <v>0.90700000000000003</v>
      </c>
      <c r="I80" s="19" t="s">
        <v>2675</v>
      </c>
      <c r="J80" s="19" t="s">
        <v>1441</v>
      </c>
    </row>
    <row r="82" spans="4:17" ht="20.100000000000001" customHeight="1" x14ac:dyDescent="0.2">
      <c r="D82" s="19" t="s">
        <v>1434</v>
      </c>
      <c r="E82" s="19" t="s">
        <v>131</v>
      </c>
      <c r="F82" s="19" t="s">
        <v>1435</v>
      </c>
      <c r="G82" s="19" t="s">
        <v>1436</v>
      </c>
      <c r="H82" s="19" t="s">
        <v>1437</v>
      </c>
      <c r="I82" s="19" t="s">
        <v>1438</v>
      </c>
      <c r="J82" s="19" t="s">
        <v>829</v>
      </c>
    </row>
    <row r="83" spans="4:17" ht="20.100000000000001" customHeight="1" x14ac:dyDescent="0.2">
      <c r="D83" s="19" t="s">
        <v>2676</v>
      </c>
      <c r="E83" s="19" t="s">
        <v>1274</v>
      </c>
      <c r="F83" s="19" t="s">
        <v>2398</v>
      </c>
      <c r="G83" s="19" t="s">
        <v>2677</v>
      </c>
      <c r="H83" s="19">
        <v>5.4699999999999999E-2</v>
      </c>
      <c r="I83" s="19" t="s">
        <v>2675</v>
      </c>
      <c r="J83" s="19" t="s">
        <v>1441</v>
      </c>
    </row>
    <row r="84" spans="4:17" ht="20.100000000000001" customHeight="1" x14ac:dyDescent="0.2">
      <c r="D84" s="19" t="s">
        <v>2676</v>
      </c>
      <c r="E84" s="19" t="s">
        <v>1276</v>
      </c>
      <c r="F84" s="19" t="s">
        <v>2398</v>
      </c>
      <c r="G84" s="19" t="s">
        <v>2677</v>
      </c>
      <c r="H84" s="19">
        <v>1.4200000000000001E-2</v>
      </c>
      <c r="I84" s="19" t="s">
        <v>2675</v>
      </c>
      <c r="J84" s="19" t="s">
        <v>1441</v>
      </c>
    </row>
    <row r="85" spans="4:17" ht="20.100000000000001" customHeight="1" x14ac:dyDescent="0.2">
      <c r="D85" s="19" t="s">
        <v>2676</v>
      </c>
      <c r="E85" s="19" t="s">
        <v>1278</v>
      </c>
      <c r="F85" s="19" t="s">
        <v>2398</v>
      </c>
      <c r="G85" s="19" t="s">
        <v>2677</v>
      </c>
      <c r="H85" s="19">
        <v>1.43E-2</v>
      </c>
      <c r="I85" s="19" t="s">
        <v>2675</v>
      </c>
      <c r="J85" s="19" t="s">
        <v>1441</v>
      </c>
    </row>
    <row r="86" spans="4:17" ht="20.100000000000001" customHeight="1" x14ac:dyDescent="0.2">
      <c r="D86" s="19" t="s">
        <v>2676</v>
      </c>
      <c r="E86" s="19" t="s">
        <v>1280</v>
      </c>
      <c r="F86" s="19" t="s">
        <v>2398</v>
      </c>
      <c r="G86" s="19" t="s">
        <v>2677</v>
      </c>
      <c r="H86" s="19">
        <v>4.2599999999999999E-3</v>
      </c>
      <c r="I86" s="19" t="s">
        <v>2675</v>
      </c>
      <c r="J86" s="19" t="s">
        <v>1441</v>
      </c>
    </row>
    <row r="88" spans="4:17" ht="20.100000000000001" customHeight="1" x14ac:dyDescent="0.2">
      <c r="D88" s="2" t="s">
        <v>1247</v>
      </c>
    </row>
    <row r="89" spans="4:17" ht="20.100000000000001" customHeight="1" x14ac:dyDescent="0.2">
      <c r="D89" s="19" t="s">
        <v>1434</v>
      </c>
      <c r="E89" s="19" t="s">
        <v>131</v>
      </c>
      <c r="F89" s="19" t="s">
        <v>1435</v>
      </c>
      <c r="G89" s="19" t="s">
        <v>1436</v>
      </c>
      <c r="H89" s="19" t="s">
        <v>1437</v>
      </c>
      <c r="I89" s="19" t="s">
        <v>1438</v>
      </c>
      <c r="J89" s="19" t="s">
        <v>829</v>
      </c>
      <c r="O89" s="19" t="s">
        <v>131</v>
      </c>
      <c r="P89" s="19" t="s">
        <v>1439</v>
      </c>
      <c r="Q89" s="1" t="str">
        <f>"Table_ProductRegions_" &amp; SUBSTITUTE(SUBSTITUTE(SUBSTITUTE(SUBSTITUTE(O90, " ", ""), ",", ""), "(", ""), ")", "")</f>
        <v>Table_ProductRegions_Barleygrain</v>
      </c>
    </row>
    <row r="90" spans="4:17" ht="20.100000000000001" customHeight="1" x14ac:dyDescent="0.2">
      <c r="D90" s="19" t="s">
        <v>2678</v>
      </c>
      <c r="E90" s="19" t="s">
        <v>2679</v>
      </c>
      <c r="F90" s="19" t="s">
        <v>1263</v>
      </c>
      <c r="G90" s="19" t="s">
        <v>738</v>
      </c>
      <c r="H90" s="19">
        <v>0.23899999999999999</v>
      </c>
      <c r="I90" s="19" t="s">
        <v>2667</v>
      </c>
      <c r="J90" s="19" t="s">
        <v>1441</v>
      </c>
      <c r="O90" s="19" t="str">
        <f>Table_SourceData_Scope3_Feed[[#This Row],[Product]]</f>
        <v>Barley grain</v>
      </c>
      <c r="P90" s="19" t="str">
        <f>Table_SourceData_Scope3_Feed[[#This Row],[Region of origin]]</f>
        <v>Australia</v>
      </c>
    </row>
    <row r="91" spans="4:17" ht="20.100000000000001" customHeight="1" x14ac:dyDescent="0.2">
      <c r="D91" s="19" t="s">
        <v>2678</v>
      </c>
      <c r="E91" s="19" t="s">
        <v>2679</v>
      </c>
      <c r="F91" s="19" t="s">
        <v>631</v>
      </c>
      <c r="G91" s="19" t="s">
        <v>738</v>
      </c>
      <c r="H91" s="19">
        <v>0.25600000000000001</v>
      </c>
      <c r="I91" s="19" t="s">
        <v>2667</v>
      </c>
      <c r="J91" s="19" t="s">
        <v>1441</v>
      </c>
      <c r="O91" s="19" t="str">
        <f>Table_SourceData_Scope3_Feed[[#This Row],[Product]]</f>
        <v>Barley grain</v>
      </c>
      <c r="P91" s="19" t="str">
        <f>Table_SourceData_Scope3_Feed[[#This Row],[Region of origin]]</f>
        <v>NSW</v>
      </c>
    </row>
    <row r="92" spans="4:17" ht="20.100000000000001" customHeight="1" x14ac:dyDescent="0.2">
      <c r="D92" s="19" t="s">
        <v>2678</v>
      </c>
      <c r="E92" s="19" t="s">
        <v>2679</v>
      </c>
      <c r="F92" s="19" t="s">
        <v>632</v>
      </c>
      <c r="G92" s="19" t="s">
        <v>738</v>
      </c>
      <c r="H92" s="19">
        <v>0.33200000000000002</v>
      </c>
      <c r="I92" s="19" t="s">
        <v>2667</v>
      </c>
      <c r="J92" s="19" t="s">
        <v>1441</v>
      </c>
      <c r="O92" s="19" t="str">
        <f>Table_SourceData_Scope3_Feed[[#This Row],[Product]]</f>
        <v>Barley grain</v>
      </c>
      <c r="P92" s="19" t="str">
        <f>Table_SourceData_Scope3_Feed[[#This Row],[Region of origin]]</f>
        <v>NT</v>
      </c>
    </row>
    <row r="93" spans="4:17" ht="20.100000000000001" customHeight="1" x14ac:dyDescent="0.2">
      <c r="D93" s="19" t="s">
        <v>2678</v>
      </c>
      <c r="E93" s="19" t="s">
        <v>2679</v>
      </c>
      <c r="F93" s="19" t="s">
        <v>633</v>
      </c>
      <c r="G93" s="19" t="s">
        <v>738</v>
      </c>
      <c r="H93" s="19">
        <v>0.26900000000000002</v>
      </c>
      <c r="I93" s="19" t="s">
        <v>2667</v>
      </c>
      <c r="J93" s="19" t="s">
        <v>1441</v>
      </c>
      <c r="O93" s="19" t="str">
        <f>Table_SourceData_Scope3_Feed[[#This Row],[Product]]</f>
        <v>Barley grain</v>
      </c>
      <c r="P93" s="19" t="str">
        <f>Table_SourceData_Scope3_Feed[[#This Row],[Region of origin]]</f>
        <v>QLD</v>
      </c>
    </row>
    <row r="94" spans="4:17" ht="20.100000000000001" customHeight="1" x14ac:dyDescent="0.2">
      <c r="D94" s="19" t="s">
        <v>2678</v>
      </c>
      <c r="E94" s="19" t="s">
        <v>2679</v>
      </c>
      <c r="F94" s="19" t="s">
        <v>634</v>
      </c>
      <c r="G94" s="19" t="s">
        <v>738</v>
      </c>
      <c r="H94" s="19">
        <v>0.223</v>
      </c>
      <c r="I94" s="19" t="s">
        <v>2667</v>
      </c>
      <c r="J94" s="19" t="s">
        <v>1441</v>
      </c>
      <c r="O94" s="19" t="str">
        <f>Table_SourceData_Scope3_Feed[[#This Row],[Product]]</f>
        <v>Barley grain</v>
      </c>
      <c r="P94" s="19" t="str">
        <f>Table_SourceData_Scope3_Feed[[#This Row],[Region of origin]]</f>
        <v>SA</v>
      </c>
    </row>
    <row r="95" spans="4:17" ht="20.100000000000001" customHeight="1" x14ac:dyDescent="0.2">
      <c r="D95" s="19" t="s">
        <v>2678</v>
      </c>
      <c r="E95" s="19" t="s">
        <v>2679</v>
      </c>
      <c r="F95" s="19" t="s">
        <v>635</v>
      </c>
      <c r="G95" s="19" t="s">
        <v>738</v>
      </c>
      <c r="H95" s="19">
        <v>0.307</v>
      </c>
      <c r="I95" s="19" t="s">
        <v>2667</v>
      </c>
      <c r="J95" s="19" t="s">
        <v>1441</v>
      </c>
      <c r="O95" s="19" t="str">
        <f>Table_SourceData_Scope3_Feed[[#This Row],[Product]]</f>
        <v>Barley grain</v>
      </c>
      <c r="P95" s="19" t="str">
        <f>Table_SourceData_Scope3_Feed[[#This Row],[Region of origin]]</f>
        <v>TAS</v>
      </c>
    </row>
    <row r="96" spans="4:17" ht="20.100000000000001" customHeight="1" x14ac:dyDescent="0.2">
      <c r="D96" s="19" t="s">
        <v>2678</v>
      </c>
      <c r="E96" s="19" t="s">
        <v>2679</v>
      </c>
      <c r="F96" s="19" t="s">
        <v>636</v>
      </c>
      <c r="G96" s="19" t="s">
        <v>738</v>
      </c>
      <c r="H96" s="19">
        <v>0.24099999999999999</v>
      </c>
      <c r="I96" s="19" t="s">
        <v>2667</v>
      </c>
      <c r="J96" s="19" t="s">
        <v>1441</v>
      </c>
      <c r="O96" s="19" t="str">
        <f>Table_SourceData_Scope3_Feed[[#This Row],[Product]]</f>
        <v>Barley grain</v>
      </c>
      <c r="P96" s="19" t="str">
        <f>Table_SourceData_Scope3_Feed[[#This Row],[Region of origin]]</f>
        <v>VIC</v>
      </c>
    </row>
    <row r="97" spans="1:17" ht="20.100000000000001" customHeight="1" x14ac:dyDescent="0.2">
      <c r="D97" s="19" t="s">
        <v>2678</v>
      </c>
      <c r="E97" s="19" t="s">
        <v>2679</v>
      </c>
      <c r="F97" s="19" t="s">
        <v>637</v>
      </c>
      <c r="G97" s="19" t="s">
        <v>738</v>
      </c>
      <c r="H97" s="19">
        <v>0.23599999999999999</v>
      </c>
      <c r="I97" s="19" t="s">
        <v>2667</v>
      </c>
      <c r="J97" s="19" t="s">
        <v>1441</v>
      </c>
      <c r="L97" s="19" t="s">
        <v>131</v>
      </c>
      <c r="M97" s="19" t="s">
        <v>1439</v>
      </c>
      <c r="N97" s="1" t="str">
        <f>"Table_ProductRegions_" &amp; SUBSTITUTE(SUBSTITUTE(SUBSTITUTE(SUBSTITUTE(L98, " ", ""), ",", ""), "(", ""), ")", "")</f>
        <v>Table_ProductRegions_Maizegrain</v>
      </c>
      <c r="O97" s="19" t="str">
        <f>Table_SourceData_Scope3_Feed[[#This Row],[Product]]</f>
        <v>Barley grain</v>
      </c>
      <c r="P97" s="19" t="str">
        <f>Table_SourceData_Scope3_Feed[[#This Row],[Region of origin]]</f>
        <v>WA</v>
      </c>
    </row>
    <row r="98" spans="1:17" ht="20.100000000000001" customHeight="1" x14ac:dyDescent="0.2">
      <c r="D98" s="19" t="s">
        <v>2678</v>
      </c>
      <c r="E98" s="19" t="s">
        <v>2680</v>
      </c>
      <c r="F98" s="19" t="s">
        <v>1263</v>
      </c>
      <c r="G98" s="19" t="s">
        <v>738</v>
      </c>
      <c r="H98" s="19">
        <v>0.18099999999999999</v>
      </c>
      <c r="I98" s="19" t="s">
        <v>2667</v>
      </c>
      <c r="J98" s="19" t="s">
        <v>1441</v>
      </c>
      <c r="L98" s="19" t="str">
        <f>Table_SourceData_Scope3_Feed[[#This Row],[Product]]</f>
        <v>Maize grain</v>
      </c>
      <c r="M98" s="19" t="str">
        <f>Table_SourceData_Scope3_Feed[[#This Row],[Region of origin]]</f>
        <v>Australia</v>
      </c>
    </row>
    <row r="99" spans="1:17" ht="20.100000000000001" customHeight="1" x14ac:dyDescent="0.2">
      <c r="D99" s="19" t="s">
        <v>2678</v>
      </c>
      <c r="E99" s="19" t="s">
        <v>2680</v>
      </c>
      <c r="F99" s="19" t="s">
        <v>631</v>
      </c>
      <c r="G99" s="19" t="s">
        <v>738</v>
      </c>
      <c r="H99" s="19">
        <v>0.16900000000000001</v>
      </c>
      <c r="I99" s="19" t="s">
        <v>2667</v>
      </c>
      <c r="J99" s="19" t="s">
        <v>1441</v>
      </c>
      <c r="L99" s="19" t="str">
        <f>Table_SourceData_Scope3_Feed[[#This Row],[Product]]</f>
        <v>Maize grain</v>
      </c>
      <c r="M99" s="19" t="str">
        <f>Table_SourceData_Scope3_Feed[[#This Row],[Region of origin]]</f>
        <v>NSW</v>
      </c>
    </row>
    <row r="100" spans="1:17" ht="20.100000000000001" customHeight="1" x14ac:dyDescent="0.2">
      <c r="D100" s="19" t="s">
        <v>2678</v>
      </c>
      <c r="E100" s="19" t="s">
        <v>2680</v>
      </c>
      <c r="F100" s="19" t="s">
        <v>632</v>
      </c>
      <c r="G100" s="19" t="s">
        <v>738</v>
      </c>
      <c r="H100" s="19">
        <v>0.25600000000000001</v>
      </c>
      <c r="I100" s="19" t="s">
        <v>2667</v>
      </c>
      <c r="J100" s="19" t="s">
        <v>1441</v>
      </c>
      <c r="L100" s="19" t="str">
        <f>Table_SourceData_Scope3_Feed[[#This Row],[Product]]</f>
        <v>Maize grain</v>
      </c>
      <c r="M100" s="19" t="str">
        <f>Table_SourceData_Scope3_Feed[[#This Row],[Region of origin]]</f>
        <v>NT</v>
      </c>
    </row>
    <row r="101" spans="1:17" ht="20.100000000000001" customHeight="1" x14ac:dyDescent="0.2">
      <c r="D101" s="19" t="s">
        <v>2678</v>
      </c>
      <c r="E101" s="19" t="s">
        <v>2680</v>
      </c>
      <c r="F101" s="19" t="s">
        <v>633</v>
      </c>
      <c r="G101" s="19" t="s">
        <v>738</v>
      </c>
      <c r="H101" s="19">
        <v>0.186</v>
      </c>
      <c r="I101" s="19" t="s">
        <v>2667</v>
      </c>
      <c r="J101" s="19" t="s">
        <v>1441</v>
      </c>
      <c r="L101" s="19" t="str">
        <f>Table_SourceData_Scope3_Feed[[#This Row],[Product]]</f>
        <v>Maize grain</v>
      </c>
      <c r="M101" s="19" t="str">
        <f>Table_SourceData_Scope3_Feed[[#This Row],[Region of origin]]</f>
        <v>QLD</v>
      </c>
    </row>
    <row r="102" spans="1:17" ht="20.100000000000001" customHeight="1" x14ac:dyDescent="0.2">
      <c r="D102" s="19" t="s">
        <v>2678</v>
      </c>
      <c r="E102" s="19" t="s">
        <v>2680</v>
      </c>
      <c r="F102" s="19" t="s">
        <v>634</v>
      </c>
      <c r="G102" s="19" t="s">
        <v>738</v>
      </c>
      <c r="H102" s="19">
        <v>0.17599999999999999</v>
      </c>
      <c r="I102" s="19" t="s">
        <v>2667</v>
      </c>
      <c r="J102" s="19" t="s">
        <v>1441</v>
      </c>
      <c r="L102" s="19" t="str">
        <f>Table_SourceData_Scope3_Feed[[#This Row],[Product]]</f>
        <v>Maize grain</v>
      </c>
      <c r="M102" s="19" t="str">
        <f>Table_SourceData_Scope3_Feed[[#This Row],[Region of origin]]</f>
        <v>SA</v>
      </c>
    </row>
    <row r="103" spans="1:17" ht="20.100000000000001" customHeight="1" x14ac:dyDescent="0.2">
      <c r="D103" s="19" t="s">
        <v>2678</v>
      </c>
      <c r="E103" s="19" t="s">
        <v>2680</v>
      </c>
      <c r="F103" s="19" t="s">
        <v>636</v>
      </c>
      <c r="G103" s="19" t="s">
        <v>738</v>
      </c>
      <c r="H103" s="19">
        <v>0.159</v>
      </c>
      <c r="I103" s="19" t="s">
        <v>2667</v>
      </c>
      <c r="J103" s="19" t="s">
        <v>1441</v>
      </c>
      <c r="L103" s="19" t="str">
        <f>Table_SourceData_Scope3_Feed[[#This Row],[Product]]</f>
        <v>Maize grain</v>
      </c>
      <c r="M103" s="19" t="str">
        <f>Table_SourceData_Scope3_Feed[[#This Row],[Region of origin]]</f>
        <v>VIC</v>
      </c>
    </row>
    <row r="104" spans="1:17" ht="20.100000000000001" customHeight="1" x14ac:dyDescent="0.2">
      <c r="D104" s="19" t="s">
        <v>2678</v>
      </c>
      <c r="E104" s="19" t="s">
        <v>2680</v>
      </c>
      <c r="F104" s="19" t="s">
        <v>637</v>
      </c>
      <c r="G104" s="19" t="s">
        <v>738</v>
      </c>
      <c r="H104" s="19">
        <v>0.28499999999999998</v>
      </c>
      <c r="I104" s="19" t="s">
        <v>2667</v>
      </c>
      <c r="J104" s="19" t="s">
        <v>1441</v>
      </c>
      <c r="L104" s="19" t="str">
        <f>Table_SourceData_Scope3_Feed[[#This Row],[Product]]</f>
        <v>Maize grain</v>
      </c>
      <c r="M104" s="19" t="str">
        <f>Table_SourceData_Scope3_Feed[[#This Row],[Region of origin]]</f>
        <v>WA</v>
      </c>
      <c r="O104" s="19" t="s">
        <v>131</v>
      </c>
      <c r="P104" s="19" t="s">
        <v>1439</v>
      </c>
      <c r="Q104" s="1" t="str">
        <f>"Table_ProductRegions_" &amp; SUBSTITUTE(SUBSTITUTE(SUBSTITUTE(SUBSTITUTE(O105, " ", ""), ",", ""), "(", ""), ")", "")</f>
        <v>Table_ProductRegions_Sorghumgrain</v>
      </c>
    </row>
    <row r="105" spans="1:17" ht="20.100000000000001" customHeight="1" x14ac:dyDescent="0.2">
      <c r="D105" s="19" t="s">
        <v>2678</v>
      </c>
      <c r="E105" s="19" t="s">
        <v>2681</v>
      </c>
      <c r="F105" s="19" t="s">
        <v>1263</v>
      </c>
      <c r="G105" s="19" t="s">
        <v>738</v>
      </c>
      <c r="H105" s="19">
        <v>0.23200000000000001</v>
      </c>
      <c r="I105" s="19" t="s">
        <v>2667</v>
      </c>
      <c r="J105" s="19" t="s">
        <v>1441</v>
      </c>
      <c r="O105" s="19" t="str">
        <f>Table_SourceData_Scope3_Feed[[#This Row],[Product]]</f>
        <v>Sorghum grain</v>
      </c>
      <c r="P105" s="19" t="str">
        <f>Table_SourceData_Scope3_Feed[[#This Row],[Region of origin]]</f>
        <v>Australia</v>
      </c>
    </row>
    <row r="106" spans="1:17" ht="20.100000000000001" customHeight="1" x14ac:dyDescent="0.2">
      <c r="D106" s="19" t="s">
        <v>2678</v>
      </c>
      <c r="E106" s="19" t="s">
        <v>2681</v>
      </c>
      <c r="F106" s="19" t="s">
        <v>631</v>
      </c>
      <c r="G106" s="19" t="s">
        <v>738</v>
      </c>
      <c r="H106" s="19">
        <v>0.23200000000000001</v>
      </c>
      <c r="I106" s="19" t="s">
        <v>2667</v>
      </c>
      <c r="J106" s="19" t="s">
        <v>1441</v>
      </c>
      <c r="O106" s="19" t="str">
        <f>Table_SourceData_Scope3_Feed[[#This Row],[Product]]</f>
        <v>Sorghum grain</v>
      </c>
      <c r="P106" s="19" t="str">
        <f>Table_SourceData_Scope3_Feed[[#This Row],[Region of origin]]</f>
        <v>NSW</v>
      </c>
    </row>
    <row r="107" spans="1:17" ht="20.100000000000001" customHeight="1" x14ac:dyDescent="0.2">
      <c r="D107" s="19" t="s">
        <v>2678</v>
      </c>
      <c r="E107" s="19" t="s">
        <v>2681</v>
      </c>
      <c r="F107" s="19" t="s">
        <v>633</v>
      </c>
      <c r="G107" s="19" t="s">
        <v>738</v>
      </c>
      <c r="H107" s="19">
        <v>0.23100000000000001</v>
      </c>
      <c r="I107" s="19" t="s">
        <v>2667</v>
      </c>
      <c r="J107" s="19" t="s">
        <v>1441</v>
      </c>
      <c r="O107" s="19" t="str">
        <f>Table_SourceData_Scope3_Feed[[#This Row],[Product]]</f>
        <v>Sorghum grain</v>
      </c>
      <c r="P107" s="19" t="str">
        <f>Table_SourceData_Scope3_Feed[[#This Row],[Region of origin]]</f>
        <v>QLD</v>
      </c>
    </row>
    <row r="108" spans="1:17" ht="20.100000000000001" customHeight="1" x14ac:dyDescent="0.2">
      <c r="D108" s="19" t="s">
        <v>2678</v>
      </c>
      <c r="E108" s="19" t="s">
        <v>2681</v>
      </c>
      <c r="F108" s="19" t="s">
        <v>634</v>
      </c>
      <c r="G108" s="19" t="s">
        <v>738</v>
      </c>
      <c r="H108" s="19">
        <v>0.218</v>
      </c>
      <c r="I108" s="19" t="s">
        <v>2667</v>
      </c>
      <c r="J108" s="19" t="s">
        <v>1441</v>
      </c>
      <c r="O108" s="19" t="str">
        <f>Table_SourceData_Scope3_Feed[[#This Row],[Product]]</f>
        <v>Sorghum grain</v>
      </c>
      <c r="P108" s="19" t="str">
        <f>Table_SourceData_Scope3_Feed[[#This Row],[Region of origin]]</f>
        <v>SA</v>
      </c>
    </row>
    <row r="109" spans="1:17" ht="20.100000000000001" customHeight="1" x14ac:dyDescent="0.2">
      <c r="A109" s="129" t="str">
        <f>HYPERLINK("#A1", "▲ Back to top")</f>
        <v>▲ Back to top</v>
      </c>
      <c r="D109" s="19" t="s">
        <v>2678</v>
      </c>
      <c r="E109" s="19" t="s">
        <v>2681</v>
      </c>
      <c r="F109" s="19" t="s">
        <v>636</v>
      </c>
      <c r="G109" s="19" t="s">
        <v>738</v>
      </c>
      <c r="H109" s="19">
        <v>0.246</v>
      </c>
      <c r="I109" s="19" t="s">
        <v>2667</v>
      </c>
      <c r="J109" s="19" t="s">
        <v>1441</v>
      </c>
      <c r="L109" s="19" t="s">
        <v>131</v>
      </c>
      <c r="M109" s="19" t="s">
        <v>1439</v>
      </c>
      <c r="N109" s="1" t="str">
        <f>"Table_ProductRegions_" &amp; SUBSTITUTE(SUBSTITUTE(SUBSTITUTE(SUBSTITUTE(L110, " ", ""), ",", ""), "(", ""), ")", "")</f>
        <v>Table_ProductRegions_Wheatgrain</v>
      </c>
      <c r="O109" s="19" t="str">
        <f>Table_SourceData_Scope3_Feed[[#This Row],[Product]]</f>
        <v>Sorghum grain</v>
      </c>
      <c r="P109" s="19" t="str">
        <f>Table_SourceData_Scope3_Feed[[#This Row],[Region of origin]]</f>
        <v>VIC</v>
      </c>
    </row>
    <row r="110" spans="1:17" ht="20.100000000000001" customHeight="1" x14ac:dyDescent="0.2">
      <c r="D110" s="19" t="s">
        <v>2678</v>
      </c>
      <c r="E110" s="19" t="s">
        <v>1267</v>
      </c>
      <c r="F110" s="19" t="s">
        <v>1263</v>
      </c>
      <c r="G110" s="19" t="s">
        <v>738</v>
      </c>
      <c r="H110" s="19">
        <v>0.26800000000000002</v>
      </c>
      <c r="I110" s="19" t="s">
        <v>2667</v>
      </c>
      <c r="J110" s="19" t="s">
        <v>1441</v>
      </c>
      <c r="L110" s="19" t="str">
        <f>Table_SourceData_Scope3_Feed[[#This Row],[Product]]</f>
        <v>Wheat grain</v>
      </c>
      <c r="M110" s="19" t="str">
        <f>Table_SourceData_Scope3_Feed[[#This Row],[Region of origin]]</f>
        <v>Australia</v>
      </c>
    </row>
    <row r="111" spans="1:17" ht="20.100000000000001" customHeight="1" x14ac:dyDescent="0.2">
      <c r="D111" s="19" t="s">
        <v>2678</v>
      </c>
      <c r="E111" s="19" t="s">
        <v>1267</v>
      </c>
      <c r="F111" s="19" t="s">
        <v>631</v>
      </c>
      <c r="G111" s="19" t="s">
        <v>738</v>
      </c>
      <c r="H111" s="19">
        <v>0.28199999999999997</v>
      </c>
      <c r="I111" s="19" t="s">
        <v>2667</v>
      </c>
      <c r="J111" s="19" t="s">
        <v>1441</v>
      </c>
      <c r="L111" s="19" t="str">
        <f>Table_SourceData_Scope3_Feed[[#This Row],[Product]]</f>
        <v>Wheat grain</v>
      </c>
      <c r="M111" s="19" t="str">
        <f>Table_SourceData_Scope3_Feed[[#This Row],[Region of origin]]</f>
        <v>NSW</v>
      </c>
    </row>
    <row r="112" spans="1:17" ht="20.100000000000001" customHeight="1" x14ac:dyDescent="0.2">
      <c r="D112" s="19" t="s">
        <v>2678</v>
      </c>
      <c r="E112" s="19" t="s">
        <v>1267</v>
      </c>
      <c r="F112" s="19" t="s">
        <v>632</v>
      </c>
      <c r="G112" s="19" t="s">
        <v>738</v>
      </c>
      <c r="H112" s="19">
        <v>0.38500000000000001</v>
      </c>
      <c r="I112" s="19" t="s">
        <v>2667</v>
      </c>
      <c r="J112" s="19" t="s">
        <v>1441</v>
      </c>
      <c r="L112" s="19" t="str">
        <f>Table_SourceData_Scope3_Feed[[#This Row],[Product]]</f>
        <v>Wheat grain</v>
      </c>
      <c r="M112" s="19" t="str">
        <f>Table_SourceData_Scope3_Feed[[#This Row],[Region of origin]]</f>
        <v>NT</v>
      </c>
    </row>
    <row r="113" spans="4:17" ht="20.100000000000001" customHeight="1" x14ac:dyDescent="0.2">
      <c r="D113" s="19" t="s">
        <v>2678</v>
      </c>
      <c r="E113" s="19" t="s">
        <v>1267</v>
      </c>
      <c r="F113" s="19" t="s">
        <v>633</v>
      </c>
      <c r="G113" s="19" t="s">
        <v>738</v>
      </c>
      <c r="H113" s="19">
        <v>0.29599999999999999</v>
      </c>
      <c r="I113" s="19" t="s">
        <v>2667</v>
      </c>
      <c r="J113" s="19" t="s">
        <v>1441</v>
      </c>
      <c r="L113" s="19" t="str">
        <f>Table_SourceData_Scope3_Feed[[#This Row],[Product]]</f>
        <v>Wheat grain</v>
      </c>
      <c r="M113" s="19" t="str">
        <f>Table_SourceData_Scope3_Feed[[#This Row],[Region of origin]]</f>
        <v>QLD</v>
      </c>
    </row>
    <row r="114" spans="4:17" ht="20.100000000000001" customHeight="1" x14ac:dyDescent="0.2">
      <c r="D114" s="19" t="s">
        <v>2678</v>
      </c>
      <c r="E114" s="19" t="s">
        <v>1267</v>
      </c>
      <c r="F114" s="19" t="s">
        <v>634</v>
      </c>
      <c r="G114" s="19" t="s">
        <v>738</v>
      </c>
      <c r="H114" s="19">
        <v>0.24099999999999999</v>
      </c>
      <c r="I114" s="19" t="s">
        <v>2667</v>
      </c>
      <c r="J114" s="19" t="s">
        <v>1441</v>
      </c>
      <c r="L114" s="19" t="str">
        <f>Table_SourceData_Scope3_Feed[[#This Row],[Product]]</f>
        <v>Wheat grain</v>
      </c>
      <c r="M114" s="19" t="str">
        <f>Table_SourceData_Scope3_Feed[[#This Row],[Region of origin]]</f>
        <v>SA</v>
      </c>
    </row>
    <row r="115" spans="4:17" ht="20.100000000000001" customHeight="1" x14ac:dyDescent="0.2">
      <c r="D115" s="19" t="s">
        <v>2678</v>
      </c>
      <c r="E115" s="19" t="s">
        <v>1267</v>
      </c>
      <c r="F115" s="19" t="s">
        <v>635</v>
      </c>
      <c r="G115" s="19" t="s">
        <v>738</v>
      </c>
      <c r="H115" s="19">
        <v>0.33800000000000002</v>
      </c>
      <c r="I115" s="19" t="s">
        <v>2667</v>
      </c>
      <c r="J115" s="19" t="s">
        <v>1441</v>
      </c>
      <c r="L115" s="19" t="str">
        <f>Table_SourceData_Scope3_Feed[[#This Row],[Product]]</f>
        <v>Wheat grain</v>
      </c>
      <c r="M115" s="19" t="str">
        <f>Table_SourceData_Scope3_Feed[[#This Row],[Region of origin]]</f>
        <v>TAS</v>
      </c>
    </row>
    <row r="116" spans="4:17" ht="20.100000000000001" customHeight="1" x14ac:dyDescent="0.2">
      <c r="D116" s="19" t="s">
        <v>2678</v>
      </c>
      <c r="E116" s="19" t="s">
        <v>1267</v>
      </c>
      <c r="F116" s="19" t="s">
        <v>636</v>
      </c>
      <c r="G116" s="19" t="s">
        <v>738</v>
      </c>
      <c r="H116" s="19">
        <v>0.26600000000000001</v>
      </c>
      <c r="I116" s="19" t="s">
        <v>2667</v>
      </c>
      <c r="J116" s="19" t="s">
        <v>1441</v>
      </c>
      <c r="L116" s="19" t="str">
        <f>Table_SourceData_Scope3_Feed[[#This Row],[Product]]</f>
        <v>Wheat grain</v>
      </c>
      <c r="M116" s="19" t="str">
        <f>Table_SourceData_Scope3_Feed[[#This Row],[Region of origin]]</f>
        <v>VIC</v>
      </c>
    </row>
    <row r="117" spans="4:17" ht="20.100000000000001" customHeight="1" x14ac:dyDescent="0.2">
      <c r="D117" s="19" t="s">
        <v>2678</v>
      </c>
      <c r="E117" s="19" t="s">
        <v>1267</v>
      </c>
      <c r="F117" s="19" t="s">
        <v>637</v>
      </c>
      <c r="G117" s="19" t="s">
        <v>738</v>
      </c>
      <c r="H117" s="19">
        <v>0.26100000000000001</v>
      </c>
      <c r="I117" s="19" t="s">
        <v>2667</v>
      </c>
      <c r="J117" s="19" t="s">
        <v>1441</v>
      </c>
      <c r="L117" s="19" t="str">
        <f>Table_SourceData_Scope3_Feed[[#This Row],[Product]]</f>
        <v>Wheat grain</v>
      </c>
      <c r="M117" s="19" t="str">
        <f>Table_SourceData_Scope3_Feed[[#This Row],[Region of origin]]</f>
        <v>WA</v>
      </c>
      <c r="O117" s="19" t="s">
        <v>131</v>
      </c>
      <c r="P117" s="19" t="s">
        <v>1439</v>
      </c>
      <c r="Q117" s="1" t="str">
        <f>"Table_ProductRegions_" &amp; SUBSTITUTE(SUBSTITUTE(SUBSTITUTE(SUBSTITUTE(O118, " ", ""), ",", ""), "(", ""), ")", "")</f>
        <v>Table_ProductRegions_Cerealhay</v>
      </c>
    </row>
    <row r="118" spans="4:17" ht="20.100000000000001" customHeight="1" x14ac:dyDescent="0.2">
      <c r="D118" s="19" t="s">
        <v>2682</v>
      </c>
      <c r="E118" s="19" t="s">
        <v>1261</v>
      </c>
      <c r="F118" s="19" t="s">
        <v>1263</v>
      </c>
      <c r="G118" s="19" t="s">
        <v>738</v>
      </c>
      <c r="H118" s="19">
        <v>0.11700000000000001</v>
      </c>
      <c r="I118" s="19" t="s">
        <v>2667</v>
      </c>
      <c r="J118" s="19" t="s">
        <v>1441</v>
      </c>
      <c r="O118" s="19" t="str">
        <f>Table_SourceData_Scope3_Feed[[#This Row],[Product]]</f>
        <v>Cereal hay</v>
      </c>
      <c r="P118" s="19" t="str">
        <f>Table_SourceData_Scope3_Feed[[#This Row],[Region of origin]]</f>
        <v>Australia</v>
      </c>
    </row>
    <row r="119" spans="4:17" ht="20.100000000000001" customHeight="1" x14ac:dyDescent="0.2">
      <c r="D119" s="19" t="s">
        <v>2682</v>
      </c>
      <c r="E119" s="19" t="s">
        <v>1261</v>
      </c>
      <c r="F119" s="19" t="s">
        <v>631</v>
      </c>
      <c r="G119" s="19" t="s">
        <v>738</v>
      </c>
      <c r="H119" s="19">
        <v>0.11600000000000001</v>
      </c>
      <c r="I119" s="19" t="s">
        <v>2667</v>
      </c>
      <c r="J119" s="19" t="s">
        <v>1441</v>
      </c>
      <c r="O119" s="19" t="str">
        <f>Table_SourceData_Scope3_Feed[[#This Row],[Product]]</f>
        <v>Cereal hay</v>
      </c>
      <c r="P119" s="19" t="str">
        <f>Table_SourceData_Scope3_Feed[[#This Row],[Region of origin]]</f>
        <v>NSW</v>
      </c>
    </row>
    <row r="120" spans="4:17" ht="20.100000000000001" customHeight="1" x14ac:dyDescent="0.2">
      <c r="D120" s="19" t="s">
        <v>2682</v>
      </c>
      <c r="E120" s="19" t="s">
        <v>1261</v>
      </c>
      <c r="F120" s="19" t="s">
        <v>633</v>
      </c>
      <c r="G120" s="19" t="s">
        <v>738</v>
      </c>
      <c r="H120" s="19">
        <v>0.11799999999999999</v>
      </c>
      <c r="I120" s="19" t="s">
        <v>2667</v>
      </c>
      <c r="J120" s="19" t="s">
        <v>1441</v>
      </c>
      <c r="O120" s="19" t="str">
        <f>Table_SourceData_Scope3_Feed[[#This Row],[Product]]</f>
        <v>Cereal hay</v>
      </c>
      <c r="P120" s="19" t="str">
        <f>Table_SourceData_Scope3_Feed[[#This Row],[Region of origin]]</f>
        <v>QLD</v>
      </c>
    </row>
    <row r="121" spans="4:17" ht="20.100000000000001" customHeight="1" x14ac:dyDescent="0.2">
      <c r="D121" s="19" t="s">
        <v>2682</v>
      </c>
      <c r="E121" s="19" t="s">
        <v>1261</v>
      </c>
      <c r="F121" s="19" t="s">
        <v>634</v>
      </c>
      <c r="G121" s="19" t="s">
        <v>738</v>
      </c>
      <c r="H121" s="19">
        <v>0.111</v>
      </c>
      <c r="I121" s="19" t="s">
        <v>2667</v>
      </c>
      <c r="J121" s="19" t="s">
        <v>1441</v>
      </c>
      <c r="O121" s="19" t="str">
        <f>Table_SourceData_Scope3_Feed[[#This Row],[Product]]</f>
        <v>Cereal hay</v>
      </c>
      <c r="P121" s="19" t="str">
        <f>Table_SourceData_Scope3_Feed[[#This Row],[Region of origin]]</f>
        <v>SA</v>
      </c>
    </row>
    <row r="122" spans="4:17" ht="20.100000000000001" customHeight="1" x14ac:dyDescent="0.2">
      <c r="D122" s="19" t="s">
        <v>2682</v>
      </c>
      <c r="E122" s="19" t="s">
        <v>1261</v>
      </c>
      <c r="F122" s="19" t="s">
        <v>635</v>
      </c>
      <c r="G122" s="19" t="s">
        <v>738</v>
      </c>
      <c r="H122" s="19">
        <v>0.13900000000000001</v>
      </c>
      <c r="I122" s="19" t="s">
        <v>2667</v>
      </c>
      <c r="J122" s="19" t="s">
        <v>1441</v>
      </c>
      <c r="O122" s="19" t="str">
        <f>Table_SourceData_Scope3_Feed[[#This Row],[Product]]</f>
        <v>Cereal hay</v>
      </c>
      <c r="P122" s="19" t="str">
        <f>Table_SourceData_Scope3_Feed[[#This Row],[Region of origin]]</f>
        <v>TAS</v>
      </c>
    </row>
    <row r="123" spans="4:17" ht="20.100000000000001" customHeight="1" x14ac:dyDescent="0.2">
      <c r="D123" s="19" t="s">
        <v>2682</v>
      </c>
      <c r="E123" s="19" t="s">
        <v>1261</v>
      </c>
      <c r="F123" s="19" t="s">
        <v>636</v>
      </c>
      <c r="G123" s="19" t="s">
        <v>738</v>
      </c>
      <c r="H123" s="19">
        <v>0.11600000000000001</v>
      </c>
      <c r="I123" s="19" t="s">
        <v>2667</v>
      </c>
      <c r="J123" s="19" t="s">
        <v>1441</v>
      </c>
      <c r="O123" s="19" t="str">
        <f>Table_SourceData_Scope3_Feed[[#This Row],[Product]]</f>
        <v>Cereal hay</v>
      </c>
      <c r="P123" s="19" t="str">
        <f>Table_SourceData_Scope3_Feed[[#This Row],[Region of origin]]</f>
        <v>VIC</v>
      </c>
    </row>
    <row r="124" spans="4:17" ht="20.100000000000001" customHeight="1" x14ac:dyDescent="0.2">
      <c r="D124" s="19" t="s">
        <v>2682</v>
      </c>
      <c r="E124" s="19" t="s">
        <v>1261</v>
      </c>
      <c r="F124" s="19" t="s">
        <v>637</v>
      </c>
      <c r="G124" s="19" t="s">
        <v>738</v>
      </c>
      <c r="H124" s="19">
        <v>0.122</v>
      </c>
      <c r="I124" s="19" t="s">
        <v>2667</v>
      </c>
      <c r="J124" s="19" t="s">
        <v>1441</v>
      </c>
      <c r="L124" s="19" t="s">
        <v>131</v>
      </c>
      <c r="M124" s="19" t="s">
        <v>1439</v>
      </c>
      <c r="N124" s="1" t="str">
        <f>"Table_ProductRegions_" &amp; SUBSTITUTE(SUBSTITUTE(SUBSTITUTE(SUBSTITUTE(L125, " ", ""), ",", ""), "(", ""), ")", "")</f>
        <v>Table_ProductRegions_Cerealsilage</v>
      </c>
      <c r="O124" s="19" t="str">
        <f>Table_SourceData_Scope3_Feed[[#This Row],[Product]]</f>
        <v>Cereal hay</v>
      </c>
      <c r="P124" s="19" t="str">
        <f>Table_SourceData_Scope3_Feed[[#This Row],[Region of origin]]</f>
        <v>WA</v>
      </c>
    </row>
    <row r="125" spans="4:17" ht="20.100000000000001" customHeight="1" x14ac:dyDescent="0.2">
      <c r="D125" s="19" t="s">
        <v>2682</v>
      </c>
      <c r="E125" s="19" t="s">
        <v>1260</v>
      </c>
      <c r="F125" s="19" t="s">
        <v>1263</v>
      </c>
      <c r="G125" s="19" t="s">
        <v>738</v>
      </c>
      <c r="H125" s="19">
        <v>7.4399999999999994E-2</v>
      </c>
      <c r="I125" s="19" t="s">
        <v>2667</v>
      </c>
      <c r="J125" s="19" t="s">
        <v>1441</v>
      </c>
      <c r="L125" s="19" t="str">
        <f>Table_SourceData_Scope3_Feed[[#This Row],[Product]]</f>
        <v>Cereal silage</v>
      </c>
      <c r="M125" s="19" t="str">
        <f>Table_SourceData_Scope3_Feed[[#This Row],[Region of origin]]</f>
        <v>Australia</v>
      </c>
    </row>
    <row r="126" spans="4:17" ht="20.100000000000001" customHeight="1" x14ac:dyDescent="0.2">
      <c r="D126" s="19" t="s">
        <v>2682</v>
      </c>
      <c r="E126" s="19" t="s">
        <v>1260</v>
      </c>
      <c r="F126" s="19" t="s">
        <v>631</v>
      </c>
      <c r="G126" s="19" t="s">
        <v>738</v>
      </c>
      <c r="H126" s="19">
        <v>7.3899999999999993E-2</v>
      </c>
      <c r="I126" s="19" t="s">
        <v>2667</v>
      </c>
      <c r="J126" s="19" t="s">
        <v>1441</v>
      </c>
      <c r="L126" s="19" t="str">
        <f>Table_SourceData_Scope3_Feed[[#This Row],[Product]]</f>
        <v>Cereal silage</v>
      </c>
      <c r="M126" s="19" t="str">
        <f>Table_SourceData_Scope3_Feed[[#This Row],[Region of origin]]</f>
        <v>NSW</v>
      </c>
    </row>
    <row r="127" spans="4:17" ht="20.100000000000001" customHeight="1" x14ac:dyDescent="0.2">
      <c r="D127" s="19" t="s">
        <v>2682</v>
      </c>
      <c r="E127" s="19" t="s">
        <v>1260</v>
      </c>
      <c r="F127" s="19" t="s">
        <v>633</v>
      </c>
      <c r="G127" s="19" t="s">
        <v>738</v>
      </c>
      <c r="H127" s="19">
        <v>7.9000000000000001E-2</v>
      </c>
      <c r="I127" s="19" t="s">
        <v>2667</v>
      </c>
      <c r="J127" s="19" t="s">
        <v>1441</v>
      </c>
      <c r="L127" s="19" t="str">
        <f>Table_SourceData_Scope3_Feed[[#This Row],[Product]]</f>
        <v>Cereal silage</v>
      </c>
      <c r="M127" s="19" t="str">
        <f>Table_SourceData_Scope3_Feed[[#This Row],[Region of origin]]</f>
        <v>QLD</v>
      </c>
    </row>
    <row r="128" spans="4:17" ht="20.100000000000001" customHeight="1" x14ac:dyDescent="0.2">
      <c r="D128" s="19" t="s">
        <v>2682</v>
      </c>
      <c r="E128" s="19" t="s">
        <v>1260</v>
      </c>
      <c r="F128" s="19" t="s">
        <v>634</v>
      </c>
      <c r="G128" s="19" t="s">
        <v>738</v>
      </c>
      <c r="H128" s="19">
        <v>7.0599999999999996E-2</v>
      </c>
      <c r="I128" s="19" t="s">
        <v>2667</v>
      </c>
      <c r="J128" s="19" t="s">
        <v>1441</v>
      </c>
      <c r="L128" s="19" t="str">
        <f>Table_SourceData_Scope3_Feed[[#This Row],[Product]]</f>
        <v>Cereal silage</v>
      </c>
      <c r="M128" s="19" t="str">
        <f>Table_SourceData_Scope3_Feed[[#This Row],[Region of origin]]</f>
        <v>SA</v>
      </c>
    </row>
    <row r="129" spans="1:17" ht="20.100000000000001" customHeight="1" x14ac:dyDescent="0.2">
      <c r="D129" s="19" t="s">
        <v>2682</v>
      </c>
      <c r="E129" s="19" t="s">
        <v>1260</v>
      </c>
      <c r="F129" s="19" t="s">
        <v>635</v>
      </c>
      <c r="G129" s="19" t="s">
        <v>738</v>
      </c>
      <c r="H129" s="19">
        <v>8.0799999999999997E-2</v>
      </c>
      <c r="I129" s="19" t="s">
        <v>2667</v>
      </c>
      <c r="J129" s="19" t="s">
        <v>1441</v>
      </c>
      <c r="L129" s="19" t="str">
        <f>Table_SourceData_Scope3_Feed[[#This Row],[Product]]</f>
        <v>Cereal silage</v>
      </c>
      <c r="M129" s="19" t="str">
        <f>Table_SourceData_Scope3_Feed[[#This Row],[Region of origin]]</f>
        <v>TAS</v>
      </c>
    </row>
    <row r="130" spans="1:17" ht="20.100000000000001" customHeight="1" x14ac:dyDescent="0.2">
      <c r="D130" s="19" t="s">
        <v>2682</v>
      </c>
      <c r="E130" s="19" t="s">
        <v>1260</v>
      </c>
      <c r="F130" s="19" t="s">
        <v>636</v>
      </c>
      <c r="G130" s="19" t="s">
        <v>738</v>
      </c>
      <c r="H130" s="19">
        <v>7.3599999999999999E-2</v>
      </c>
      <c r="I130" s="19" t="s">
        <v>2667</v>
      </c>
      <c r="J130" s="19" t="s">
        <v>1441</v>
      </c>
      <c r="L130" s="19" t="str">
        <f>Table_SourceData_Scope3_Feed[[#This Row],[Product]]</f>
        <v>Cereal silage</v>
      </c>
      <c r="M130" s="19" t="str">
        <f>Table_SourceData_Scope3_Feed[[#This Row],[Region of origin]]</f>
        <v>VIC</v>
      </c>
      <c r="O130" s="19" t="s">
        <v>131</v>
      </c>
      <c r="P130" s="19" t="s">
        <v>1439</v>
      </c>
      <c r="Q130" s="1" t="str">
        <f>"Table_ProductRegions_" &amp; SUBSTITUTE(SUBSTITUTE(SUBSTITUTE(SUBSTITUTE(O131, " ", ""), ",", ""), "(", ""), ")", "")</f>
        <v>Table_ProductRegions_Lucernehay</v>
      </c>
    </row>
    <row r="131" spans="1:17" ht="20.100000000000001" customHeight="1" x14ac:dyDescent="0.2">
      <c r="D131" s="19" t="s">
        <v>2682</v>
      </c>
      <c r="E131" s="19" t="s">
        <v>1265</v>
      </c>
      <c r="F131" s="19" t="s">
        <v>1263</v>
      </c>
      <c r="G131" s="19" t="s">
        <v>738</v>
      </c>
      <c r="H131" s="19">
        <v>0.11700000000000001</v>
      </c>
      <c r="I131" s="19" t="s">
        <v>2667</v>
      </c>
      <c r="J131" s="19" t="s">
        <v>1441</v>
      </c>
      <c r="O131" s="19" t="str">
        <f>Table_SourceData_Scope3_Feed[[#This Row],[Product]]</f>
        <v>Lucerne hay</v>
      </c>
      <c r="P131" s="19" t="str">
        <f>Table_SourceData_Scope3_Feed[[#This Row],[Region of origin]]</f>
        <v>Australia</v>
      </c>
    </row>
    <row r="132" spans="1:17" ht="20.100000000000001" customHeight="1" x14ac:dyDescent="0.2">
      <c r="D132" s="19" t="s">
        <v>2682</v>
      </c>
      <c r="E132" s="19" t="s">
        <v>1265</v>
      </c>
      <c r="F132" s="19" t="s">
        <v>631</v>
      </c>
      <c r="G132" s="19" t="s">
        <v>738</v>
      </c>
      <c r="H132" s="19">
        <v>0.113</v>
      </c>
      <c r="I132" s="19" t="s">
        <v>2667</v>
      </c>
      <c r="J132" s="19" t="s">
        <v>1441</v>
      </c>
      <c r="O132" s="19" t="str">
        <f>Table_SourceData_Scope3_Feed[[#This Row],[Product]]</f>
        <v>Lucerne hay</v>
      </c>
      <c r="P132" s="19" t="str">
        <f>Table_SourceData_Scope3_Feed[[#This Row],[Region of origin]]</f>
        <v>NSW</v>
      </c>
    </row>
    <row r="133" spans="1:17" ht="20.100000000000001" customHeight="1" x14ac:dyDescent="0.2">
      <c r="D133" s="19" t="s">
        <v>2682</v>
      </c>
      <c r="E133" s="19" t="s">
        <v>1265</v>
      </c>
      <c r="F133" s="19" t="s">
        <v>633</v>
      </c>
      <c r="G133" s="19" t="s">
        <v>738</v>
      </c>
      <c r="H133" s="19">
        <v>0.14299999999999999</v>
      </c>
      <c r="I133" s="19" t="s">
        <v>2667</v>
      </c>
      <c r="J133" s="19" t="s">
        <v>1441</v>
      </c>
      <c r="O133" s="19" t="str">
        <f>Table_SourceData_Scope3_Feed[[#This Row],[Product]]</f>
        <v>Lucerne hay</v>
      </c>
      <c r="P133" s="19" t="str">
        <f>Table_SourceData_Scope3_Feed[[#This Row],[Region of origin]]</f>
        <v>QLD</v>
      </c>
    </row>
    <row r="134" spans="1:17" ht="20.100000000000001" customHeight="1" x14ac:dyDescent="0.2">
      <c r="D134" s="19" t="s">
        <v>2682</v>
      </c>
      <c r="E134" s="19" t="s">
        <v>1265</v>
      </c>
      <c r="F134" s="19" t="s">
        <v>634</v>
      </c>
      <c r="G134" s="19" t="s">
        <v>738</v>
      </c>
      <c r="H134" s="19">
        <v>0.106</v>
      </c>
      <c r="I134" s="19" t="s">
        <v>2667</v>
      </c>
      <c r="J134" s="19" t="s">
        <v>1441</v>
      </c>
      <c r="O134" s="19" t="str">
        <f>Table_SourceData_Scope3_Feed[[#This Row],[Product]]</f>
        <v>Lucerne hay</v>
      </c>
      <c r="P134" s="19" t="str">
        <f>Table_SourceData_Scope3_Feed[[#This Row],[Region of origin]]</f>
        <v>SA</v>
      </c>
    </row>
    <row r="135" spans="1:17" ht="20.100000000000001" customHeight="1" x14ac:dyDescent="0.2">
      <c r="D135" s="19" t="s">
        <v>2682</v>
      </c>
      <c r="E135" s="19" t="s">
        <v>1265</v>
      </c>
      <c r="F135" s="19" t="s">
        <v>635</v>
      </c>
      <c r="G135" s="19" t="s">
        <v>738</v>
      </c>
      <c r="H135" s="19">
        <v>0.113</v>
      </c>
      <c r="I135" s="19" t="s">
        <v>2667</v>
      </c>
      <c r="J135" s="19" t="s">
        <v>1441</v>
      </c>
      <c r="O135" s="19" t="str">
        <f>Table_SourceData_Scope3_Feed[[#This Row],[Product]]</f>
        <v>Lucerne hay</v>
      </c>
      <c r="P135" s="19" t="str">
        <f>Table_SourceData_Scope3_Feed[[#This Row],[Region of origin]]</f>
        <v>TAS</v>
      </c>
    </row>
    <row r="136" spans="1:17" ht="20.100000000000001" customHeight="1" x14ac:dyDescent="0.2">
      <c r="D136" s="19" t="s">
        <v>2682</v>
      </c>
      <c r="E136" s="19" t="s">
        <v>1265</v>
      </c>
      <c r="F136" s="19" t="s">
        <v>636</v>
      </c>
      <c r="G136" s="19" t="s">
        <v>738</v>
      </c>
      <c r="H136" s="19">
        <v>0.106</v>
      </c>
      <c r="I136" s="19" t="s">
        <v>2667</v>
      </c>
      <c r="J136" s="19" t="s">
        <v>1441</v>
      </c>
      <c r="O136" s="19" t="str">
        <f>Table_SourceData_Scope3_Feed[[#This Row],[Product]]</f>
        <v>Lucerne hay</v>
      </c>
      <c r="P136" s="19" t="str">
        <f>Table_SourceData_Scope3_Feed[[#This Row],[Region of origin]]</f>
        <v>VIC</v>
      </c>
    </row>
    <row r="137" spans="1:17" ht="20.100000000000001" customHeight="1" x14ac:dyDescent="0.2">
      <c r="D137" s="19" t="s">
        <v>2682</v>
      </c>
      <c r="E137" s="19" t="s">
        <v>2683</v>
      </c>
      <c r="F137" s="19" t="s">
        <v>636</v>
      </c>
      <c r="G137" s="19" t="s">
        <v>738</v>
      </c>
      <c r="H137" s="19">
        <v>0.16300000000000001</v>
      </c>
      <c r="I137" s="19" t="s">
        <v>2667</v>
      </c>
      <c r="J137" s="19" t="s">
        <v>1441</v>
      </c>
      <c r="L137" s="19" t="s">
        <v>131</v>
      </c>
      <c r="M137" s="19" t="s">
        <v>1439</v>
      </c>
      <c r="N137" s="1" t="str">
        <f>"Table_ProductRegions_" &amp; SUBSTITUTE(SUBSTITUTE(SUBSTITUTE(SUBSTITUTE(L138, " ", ""), ",", ""), "(", ""), ")", "")</f>
        <v>Table_ProductRegions_Oatenhay</v>
      </c>
      <c r="O137" s="19" t="str">
        <f>Table_SourceData_Scope3_Feed[[#This Row],[Product]]</f>
        <v>Maize silage</v>
      </c>
      <c r="P137" s="19" t="str">
        <f>Table_SourceData_Scope3_Feed[[#This Row],[Region of origin]]</f>
        <v>VIC</v>
      </c>
    </row>
    <row r="138" spans="1:17" ht="20.100000000000001" customHeight="1" x14ac:dyDescent="0.2">
      <c r="D138" s="19" t="s">
        <v>2682</v>
      </c>
      <c r="E138" s="19" t="s">
        <v>2684</v>
      </c>
      <c r="F138" s="19" t="s">
        <v>1263</v>
      </c>
      <c r="G138" s="19" t="s">
        <v>738</v>
      </c>
      <c r="H138" s="19">
        <v>0.12</v>
      </c>
      <c r="I138" s="19" t="s">
        <v>2667</v>
      </c>
      <c r="J138" s="19" t="s">
        <v>1441</v>
      </c>
      <c r="L138" s="19" t="str">
        <f>Table_SourceData_Scope3_Feed[[#This Row],[Product]]</f>
        <v>Oaten hay</v>
      </c>
      <c r="M138" s="19" t="str">
        <f>Table_SourceData_Scope3_Feed[[#This Row],[Region of origin]]</f>
        <v>Australia</v>
      </c>
    </row>
    <row r="139" spans="1:17" ht="20.100000000000001" customHeight="1" x14ac:dyDescent="0.2">
      <c r="A139" s="129" t="str">
        <f>HYPERLINK("#A1", "▲ Back to top")</f>
        <v>▲ Back to top</v>
      </c>
      <c r="D139" s="19" t="s">
        <v>2682</v>
      </c>
      <c r="E139" s="19" t="s">
        <v>2684</v>
      </c>
      <c r="F139" s="19" t="s">
        <v>631</v>
      </c>
      <c r="G139" s="19" t="s">
        <v>738</v>
      </c>
      <c r="H139" s="19">
        <v>0.11899999999999999</v>
      </c>
      <c r="I139" s="19" t="s">
        <v>2667</v>
      </c>
      <c r="J139" s="19" t="s">
        <v>1441</v>
      </c>
      <c r="L139" s="19" t="str">
        <f>Table_SourceData_Scope3_Feed[[#This Row],[Product]]</f>
        <v>Oaten hay</v>
      </c>
      <c r="M139" s="19" t="str">
        <f>Table_SourceData_Scope3_Feed[[#This Row],[Region of origin]]</f>
        <v>NSW</v>
      </c>
    </row>
    <row r="140" spans="1:17" ht="20.100000000000001" customHeight="1" x14ac:dyDescent="0.2">
      <c r="D140" s="19" t="s">
        <v>2682</v>
      </c>
      <c r="E140" s="19" t="s">
        <v>2684</v>
      </c>
      <c r="F140" s="19" t="s">
        <v>633</v>
      </c>
      <c r="G140" s="19" t="s">
        <v>738</v>
      </c>
      <c r="H140" s="19">
        <v>0.11700000000000001</v>
      </c>
      <c r="I140" s="19" t="s">
        <v>2667</v>
      </c>
      <c r="J140" s="19" t="s">
        <v>1441</v>
      </c>
      <c r="L140" s="19" t="str">
        <f>Table_SourceData_Scope3_Feed[[#This Row],[Product]]</f>
        <v>Oaten hay</v>
      </c>
      <c r="M140" s="19" t="str">
        <f>Table_SourceData_Scope3_Feed[[#This Row],[Region of origin]]</f>
        <v>QLD</v>
      </c>
    </row>
    <row r="141" spans="1:17" ht="20.100000000000001" customHeight="1" x14ac:dyDescent="0.2">
      <c r="D141" s="19" t="s">
        <v>2682</v>
      </c>
      <c r="E141" s="19" t="s">
        <v>2684</v>
      </c>
      <c r="F141" s="19" t="s">
        <v>634</v>
      </c>
      <c r="G141" s="19" t="s">
        <v>738</v>
      </c>
      <c r="H141" s="19">
        <v>0.114</v>
      </c>
      <c r="I141" s="19" t="s">
        <v>2667</v>
      </c>
      <c r="J141" s="19" t="s">
        <v>1441</v>
      </c>
      <c r="L141" s="19" t="str">
        <f>Table_SourceData_Scope3_Feed[[#This Row],[Product]]</f>
        <v>Oaten hay</v>
      </c>
      <c r="M141" s="19" t="str">
        <f>Table_SourceData_Scope3_Feed[[#This Row],[Region of origin]]</f>
        <v>SA</v>
      </c>
    </row>
    <row r="142" spans="1:17" ht="20.100000000000001" customHeight="1" x14ac:dyDescent="0.2">
      <c r="D142" s="19" t="s">
        <v>2682</v>
      </c>
      <c r="E142" s="19" t="s">
        <v>2684</v>
      </c>
      <c r="F142" s="19" t="s">
        <v>636</v>
      </c>
      <c r="G142" s="19" t="s">
        <v>738</v>
      </c>
      <c r="H142" s="19">
        <v>0.11799999999999999</v>
      </c>
      <c r="I142" s="19" t="s">
        <v>2667</v>
      </c>
      <c r="J142" s="19" t="s">
        <v>1441</v>
      </c>
      <c r="L142" s="19" t="str">
        <f>Table_SourceData_Scope3_Feed[[#This Row],[Product]]</f>
        <v>Oaten hay</v>
      </c>
      <c r="M142" s="19" t="str">
        <f>Table_SourceData_Scope3_Feed[[#This Row],[Region of origin]]</f>
        <v>VIC</v>
      </c>
    </row>
    <row r="143" spans="1:17" ht="20.100000000000001" customHeight="1" x14ac:dyDescent="0.2">
      <c r="D143" s="19" t="s">
        <v>2682</v>
      </c>
      <c r="E143" s="19" t="s">
        <v>2684</v>
      </c>
      <c r="F143" s="19" t="s">
        <v>637</v>
      </c>
      <c r="G143" s="19" t="s">
        <v>738</v>
      </c>
      <c r="H143" s="19">
        <v>0.124</v>
      </c>
      <c r="I143" s="19" t="s">
        <v>2667</v>
      </c>
      <c r="J143" s="19" t="s">
        <v>1441</v>
      </c>
      <c r="L143" s="19" t="str">
        <f>Table_SourceData_Scope3_Feed[[#This Row],[Product]]</f>
        <v>Oaten hay</v>
      </c>
      <c r="M143" s="19" t="str">
        <f>Table_SourceData_Scope3_Feed[[#This Row],[Region of origin]]</f>
        <v>WA</v>
      </c>
      <c r="O143" s="19" t="s">
        <v>131</v>
      </c>
      <c r="P143" s="19" t="s">
        <v>1439</v>
      </c>
      <c r="Q143" s="1" t="str">
        <f>"Table_ProductRegions_" &amp; SUBSTITUTE(SUBSTITUTE(SUBSTITUTE(SUBSTITUTE(O144, " ", ""), ",", ""), "(", ""), ")", "")</f>
        <v>Table_ProductRegions_Pasturehay</v>
      </c>
    </row>
    <row r="144" spans="1:17" ht="20.100000000000001" customHeight="1" x14ac:dyDescent="0.2">
      <c r="D144" s="19" t="s">
        <v>2682</v>
      </c>
      <c r="E144" s="19" t="s">
        <v>1270</v>
      </c>
      <c r="F144" s="19" t="s">
        <v>1263</v>
      </c>
      <c r="G144" s="19" t="s">
        <v>738</v>
      </c>
      <c r="H144" s="19">
        <v>0.33900000000000002</v>
      </c>
      <c r="I144" s="19" t="s">
        <v>2667</v>
      </c>
      <c r="J144" s="19" t="s">
        <v>1441</v>
      </c>
      <c r="O144" s="19" t="str">
        <f>Table_SourceData_Scope3_Feed[[#This Row],[Product]]</f>
        <v>Pasture hay</v>
      </c>
      <c r="P144" s="19" t="str">
        <f>Table_SourceData_Scope3_Feed[[#This Row],[Region of origin]]</f>
        <v>Australia</v>
      </c>
    </row>
    <row r="145" spans="4:17" ht="20.100000000000001" customHeight="1" x14ac:dyDescent="0.2">
      <c r="D145" s="19" t="s">
        <v>2682</v>
      </c>
      <c r="E145" s="19" t="s">
        <v>1270</v>
      </c>
      <c r="F145" s="19" t="s">
        <v>631</v>
      </c>
      <c r="G145" s="19" t="s">
        <v>738</v>
      </c>
      <c r="H145" s="19">
        <v>0.311</v>
      </c>
      <c r="I145" s="19" t="s">
        <v>2667</v>
      </c>
      <c r="J145" s="19" t="s">
        <v>1441</v>
      </c>
      <c r="O145" s="19" t="str">
        <f>Table_SourceData_Scope3_Feed[[#This Row],[Product]]</f>
        <v>Pasture hay</v>
      </c>
      <c r="P145" s="19" t="str">
        <f>Table_SourceData_Scope3_Feed[[#This Row],[Region of origin]]</f>
        <v>NSW</v>
      </c>
    </row>
    <row r="146" spans="4:17" ht="20.100000000000001" customHeight="1" x14ac:dyDescent="0.2">
      <c r="D146" s="19" t="s">
        <v>2682</v>
      </c>
      <c r="E146" s="19" t="s">
        <v>1270</v>
      </c>
      <c r="F146" s="19" t="s">
        <v>633</v>
      </c>
      <c r="G146" s="19" t="s">
        <v>738</v>
      </c>
      <c r="H146" s="19">
        <v>0.254</v>
      </c>
      <c r="I146" s="19" t="s">
        <v>2667</v>
      </c>
      <c r="J146" s="19" t="s">
        <v>1441</v>
      </c>
      <c r="O146" s="19" t="str">
        <f>Table_SourceData_Scope3_Feed[[#This Row],[Product]]</f>
        <v>Pasture hay</v>
      </c>
      <c r="P146" s="19" t="str">
        <f>Table_SourceData_Scope3_Feed[[#This Row],[Region of origin]]</f>
        <v>QLD</v>
      </c>
    </row>
    <row r="147" spans="4:17" ht="20.100000000000001" customHeight="1" x14ac:dyDescent="0.2">
      <c r="D147" s="19" t="s">
        <v>2682</v>
      </c>
      <c r="E147" s="19" t="s">
        <v>1270</v>
      </c>
      <c r="F147" s="19" t="s">
        <v>634</v>
      </c>
      <c r="G147" s="19" t="s">
        <v>738</v>
      </c>
      <c r="H147" s="19">
        <v>0.313</v>
      </c>
      <c r="I147" s="19" t="s">
        <v>2667</v>
      </c>
      <c r="J147" s="19" t="s">
        <v>1441</v>
      </c>
      <c r="O147" s="19" t="str">
        <f>Table_SourceData_Scope3_Feed[[#This Row],[Product]]</f>
        <v>Pasture hay</v>
      </c>
      <c r="P147" s="19" t="str">
        <f>Table_SourceData_Scope3_Feed[[#This Row],[Region of origin]]</f>
        <v>SA</v>
      </c>
    </row>
    <row r="148" spans="4:17" ht="20.100000000000001" customHeight="1" x14ac:dyDescent="0.2">
      <c r="D148" s="19" t="s">
        <v>2682</v>
      </c>
      <c r="E148" s="19" t="s">
        <v>1270</v>
      </c>
      <c r="F148" s="19" t="s">
        <v>635</v>
      </c>
      <c r="G148" s="19" t="s">
        <v>738</v>
      </c>
      <c r="H148" s="19">
        <v>0.39800000000000002</v>
      </c>
      <c r="I148" s="19" t="s">
        <v>2667</v>
      </c>
      <c r="J148" s="19" t="s">
        <v>1441</v>
      </c>
      <c r="O148" s="19" t="str">
        <f>Table_SourceData_Scope3_Feed[[#This Row],[Product]]</f>
        <v>Pasture hay</v>
      </c>
      <c r="P148" s="19" t="str">
        <f>Table_SourceData_Scope3_Feed[[#This Row],[Region of origin]]</f>
        <v>TAS</v>
      </c>
    </row>
    <row r="149" spans="4:17" ht="20.100000000000001" customHeight="1" x14ac:dyDescent="0.2">
      <c r="D149" s="19" t="s">
        <v>2682</v>
      </c>
      <c r="E149" s="19" t="s">
        <v>1270</v>
      </c>
      <c r="F149" s="19" t="s">
        <v>636</v>
      </c>
      <c r="G149" s="19" t="s">
        <v>738</v>
      </c>
      <c r="H149" s="19">
        <v>0.34499999999999997</v>
      </c>
      <c r="I149" s="19" t="s">
        <v>2667</v>
      </c>
      <c r="J149" s="19" t="s">
        <v>1441</v>
      </c>
      <c r="O149" s="19" t="str">
        <f>Table_SourceData_Scope3_Feed[[#This Row],[Product]]</f>
        <v>Pasture hay</v>
      </c>
      <c r="P149" s="19" t="str">
        <f>Table_SourceData_Scope3_Feed[[#This Row],[Region of origin]]</f>
        <v>VIC</v>
      </c>
    </row>
    <row r="150" spans="4:17" ht="20.100000000000001" customHeight="1" x14ac:dyDescent="0.2">
      <c r="D150" s="19" t="s">
        <v>2682</v>
      </c>
      <c r="E150" s="19" t="s">
        <v>1270</v>
      </c>
      <c r="F150" s="19" t="s">
        <v>637</v>
      </c>
      <c r="G150" s="19" t="s">
        <v>738</v>
      </c>
      <c r="H150" s="19">
        <v>0.36799999999999999</v>
      </c>
      <c r="I150" s="19" t="s">
        <v>2667</v>
      </c>
      <c r="J150" s="19" t="s">
        <v>1441</v>
      </c>
      <c r="L150" s="143" t="s">
        <v>131</v>
      </c>
      <c r="M150" s="143" t="s">
        <v>1439</v>
      </c>
      <c r="N150" s="1" t="str">
        <f>"Table_ProductRegions_" &amp; SUBSTITUTE(SUBSTITUTE(SUBSTITUTE(SUBSTITUTE(L151, " ", ""), ",", ""), "(", ""), ")", "")</f>
        <v>Table_ProductRegions_Canolameal</v>
      </c>
      <c r="O150" s="19" t="str">
        <f>Table_SourceData_Scope3_Feed[[#This Row],[Product]]</f>
        <v>Pasture hay</v>
      </c>
      <c r="P150" s="19" t="str">
        <f>Table_SourceData_Scope3_Feed[[#This Row],[Region of origin]]</f>
        <v>WA</v>
      </c>
    </row>
    <row r="151" spans="4:17" ht="20.100000000000001" customHeight="1" x14ac:dyDescent="0.2">
      <c r="D151" s="19" t="s">
        <v>2685</v>
      </c>
      <c r="E151" s="19" t="s">
        <v>2686</v>
      </c>
      <c r="F151" s="19" t="s">
        <v>1263</v>
      </c>
      <c r="G151" s="19" t="s">
        <v>738</v>
      </c>
      <c r="H151" s="19">
        <v>0.24399999999999999</v>
      </c>
      <c r="I151" s="19" t="s">
        <v>2667</v>
      </c>
      <c r="J151" s="19" t="s">
        <v>1441</v>
      </c>
      <c r="L151" s="1" t="str">
        <f>Table_SourceData_Scope3_Feed[[#This Row],[Product]]</f>
        <v>Canola meal</v>
      </c>
      <c r="M151" s="1" t="str">
        <f>Table_SourceData_Scope3_Feed[[#This Row],[Region of origin]]</f>
        <v>Australia</v>
      </c>
      <c r="O151" s="19" t="s">
        <v>131</v>
      </c>
      <c r="P151" s="19" t="s">
        <v>1439</v>
      </c>
      <c r="Q151" s="1" t="str">
        <f>"Table_ProductRegions_" &amp; SUBSTITUTE(SUBSTITUTE(SUBSTITUTE(SUBSTITUTE(O152, " ", ""), ",", ""), "(", ""), ")", "")</f>
        <v>Table_ProductRegions_Meatmeal</v>
      </c>
    </row>
    <row r="152" spans="4:17" ht="20.100000000000001" customHeight="1" x14ac:dyDescent="0.2">
      <c r="D152" s="19" t="s">
        <v>2685</v>
      </c>
      <c r="E152" s="19" t="s">
        <v>2687</v>
      </c>
      <c r="F152" s="19" t="s">
        <v>1263</v>
      </c>
      <c r="G152" s="19" t="s">
        <v>738</v>
      </c>
      <c r="H152" s="19">
        <v>0.40799999999999997</v>
      </c>
      <c r="I152" s="19" t="s">
        <v>2667</v>
      </c>
      <c r="J152" s="19" t="s">
        <v>1441</v>
      </c>
      <c r="L152" s="19" t="s">
        <v>131</v>
      </c>
      <c r="M152" s="19" t="s">
        <v>1439</v>
      </c>
      <c r="N152" s="1" t="str">
        <f>"Table_ProductRegions_" &amp; SUBSTITUTE(SUBSTITUTE(SUBSTITUTE(SUBSTITUTE(L153, " ", ""), ",", ""), "(", ""), ")", "")</f>
        <v>Table_ProductRegions_Soybeanmeal</v>
      </c>
      <c r="O152" s="19" t="str">
        <f>Table_SourceData_Scope3_Feed[[#This Row],[Product]]</f>
        <v>Meat meal</v>
      </c>
      <c r="P152" s="19" t="str">
        <f>Table_SourceData_Scope3_Feed[[#This Row],[Region of origin]]</f>
        <v>Australia</v>
      </c>
    </row>
    <row r="153" spans="4:17" ht="20.100000000000001" customHeight="1" x14ac:dyDescent="0.2">
      <c r="D153" s="19" t="s">
        <v>2685</v>
      </c>
      <c r="E153" s="19" t="s">
        <v>1268</v>
      </c>
      <c r="F153" s="19" t="s">
        <v>1269</v>
      </c>
      <c r="G153" s="19" t="s">
        <v>738</v>
      </c>
      <c r="H153" s="19">
        <v>0.42599999999999999</v>
      </c>
      <c r="I153" s="19" t="s">
        <v>2667</v>
      </c>
      <c r="J153" s="19" t="s">
        <v>1441</v>
      </c>
      <c r="L153" s="19" t="str">
        <f>Table_SourceData_Scope3_Feed[[#This Row],[Product]]</f>
        <v>Soybean meal</v>
      </c>
      <c r="M153" s="19" t="str">
        <f>Table_SourceData_Scope3_Feed[[#This Row],[Region of origin]]</f>
        <v>Brazil</v>
      </c>
      <c r="O153" s="19" t="s">
        <v>131</v>
      </c>
      <c r="P153" s="19" t="s">
        <v>1439</v>
      </c>
      <c r="Q153" s="1" t="str">
        <f>"Table_ProductRegions_" &amp; SUBSTITUTE(SUBSTITUTE(SUBSTITUTE(SUBSTITUTE(O154, " ", ""), ",", ""), "(", ""), ")", "")</f>
        <v>Table_ProductRegions_Wheatbran</v>
      </c>
    </row>
    <row r="154" spans="4:17" ht="20.100000000000001" customHeight="1" x14ac:dyDescent="0.2">
      <c r="D154" s="19" t="s">
        <v>2685</v>
      </c>
      <c r="E154" s="19" t="s">
        <v>2688</v>
      </c>
      <c r="F154" s="19" t="s">
        <v>1263</v>
      </c>
      <c r="G154" s="19" t="s">
        <v>738</v>
      </c>
      <c r="H154" s="19">
        <v>0.19600000000000001</v>
      </c>
      <c r="I154" s="19" t="s">
        <v>2667</v>
      </c>
      <c r="J154" s="19" t="s">
        <v>1441</v>
      </c>
      <c r="L154" s="19" t="s">
        <v>131</v>
      </c>
      <c r="M154" s="19" t="s">
        <v>1439</v>
      </c>
      <c r="N154" s="1" t="str">
        <f>"Table_ProductRegions_" &amp; SUBSTITUTE(SUBSTITUTE(SUBSTITUTE(SUBSTITUTE(L155, " ", ""), ",", ""), "(", ""), ")", "")</f>
        <v>Table_ProductRegions_Bentonite</v>
      </c>
      <c r="O154" s="19" t="str">
        <f>Table_SourceData_Scope3_Feed[[#This Row],[Product]]</f>
        <v>Wheat bran</v>
      </c>
      <c r="P154" s="19" t="str">
        <f>Table_SourceData_Scope3_Feed[[#This Row],[Region of origin]]</f>
        <v>Australia</v>
      </c>
    </row>
    <row r="155" spans="4:17" ht="20.100000000000001" customHeight="1" x14ac:dyDescent="0.2">
      <c r="D155" s="1" t="s">
        <v>2689</v>
      </c>
      <c r="E155" s="1" t="s">
        <v>2690</v>
      </c>
      <c r="F155" s="1" t="s">
        <v>1263</v>
      </c>
      <c r="G155" s="1" t="s">
        <v>738</v>
      </c>
      <c r="H155" s="1">
        <v>6.5199999999999994E-2</v>
      </c>
      <c r="I155" s="1" t="s">
        <v>2667</v>
      </c>
      <c r="J155" s="19" t="s">
        <v>1441</v>
      </c>
      <c r="L155" s="19" t="str">
        <f>Table_SourceData_Scope3_Feed[[#This Row],[Product]]</f>
        <v>Bentonite</v>
      </c>
      <c r="M155" s="19" t="str">
        <f>Table_SourceData_Scope3_Feed[[#This Row],[Region of origin]]</f>
        <v>Australia</v>
      </c>
      <c r="O155" s="19" t="s">
        <v>131</v>
      </c>
      <c r="P155" s="19" t="s">
        <v>1439</v>
      </c>
      <c r="Q155" s="1" t="str">
        <f>"Table_ProductRegions_" &amp; SUBSTITUTE(SUBSTITUTE(SUBSTITUTE(SUBSTITUTE(O156, " ", ""), ",", ""), "(", ""), ")", "")</f>
        <v>Table_ProductRegions_Canolaoil</v>
      </c>
    </row>
    <row r="156" spans="4:17" ht="20.100000000000001" customHeight="1" x14ac:dyDescent="0.2">
      <c r="D156" s="1" t="s">
        <v>2689</v>
      </c>
      <c r="E156" s="1" t="s">
        <v>1262</v>
      </c>
      <c r="F156" s="1" t="s">
        <v>1263</v>
      </c>
      <c r="G156" s="1" t="s">
        <v>738</v>
      </c>
      <c r="H156" s="1">
        <v>0.87</v>
      </c>
      <c r="I156" s="1" t="s">
        <v>2667</v>
      </c>
      <c r="J156" s="19" t="s">
        <v>1441</v>
      </c>
      <c r="L156" s="19" t="s">
        <v>131</v>
      </c>
      <c r="M156" s="19" t="s">
        <v>1439</v>
      </c>
      <c r="N156" s="1" t="str">
        <f>"Table_ProductRegions_" &amp; SUBSTITUTE(SUBSTITUTE(SUBSTITUTE(SUBSTITUTE(L157, " ", ""), ",", ""), "(", ""), ")", "")</f>
        <v>Table_ProductRegions_Cottonseed</v>
      </c>
      <c r="O156" s="19" t="str">
        <f>Table_SourceData_Scope3_Feed[[#This Row],[Product]]</f>
        <v>Canola oil</v>
      </c>
      <c r="P156" s="19" t="str">
        <f>Table_SourceData_Scope3_Feed[[#This Row],[Region of origin]]</f>
        <v>Australia</v>
      </c>
    </row>
    <row r="157" spans="4:17" ht="20.100000000000001" customHeight="1" x14ac:dyDescent="0.2">
      <c r="D157" s="1" t="s">
        <v>2689</v>
      </c>
      <c r="E157" s="1" t="s">
        <v>2691</v>
      </c>
      <c r="F157" s="1" t="s">
        <v>1263</v>
      </c>
      <c r="G157" s="1" t="s">
        <v>738</v>
      </c>
      <c r="H157" s="1">
        <v>0.19700000000000001</v>
      </c>
      <c r="I157" s="1" t="s">
        <v>2667</v>
      </c>
      <c r="J157" s="19" t="s">
        <v>1441</v>
      </c>
      <c r="L157" s="19" t="str">
        <f>Table_SourceData_Scope3_Feed[[#This Row],[Product]]</f>
        <v>Cotton seed</v>
      </c>
      <c r="M157" s="19" t="str">
        <f>Table_SourceData_Scope3_Feed[[#This Row],[Region of origin]]</f>
        <v>Australia</v>
      </c>
      <c r="O157" s="19" t="s">
        <v>131</v>
      </c>
      <c r="P157" s="19" t="s">
        <v>1439</v>
      </c>
      <c r="Q157" s="1" t="str">
        <f>"Table_ProductRegions_" &amp; SUBSTITUTE(SUBSTITUTE(SUBSTITUTE(SUBSTITUTE(O158, " ", ""), ",", ""), "(", ""), ")", "")</f>
        <v>Table_ProductRegions_Molasses</v>
      </c>
    </row>
    <row r="158" spans="4:17" ht="20.100000000000001" customHeight="1" x14ac:dyDescent="0.2">
      <c r="D158" s="19" t="s">
        <v>2689</v>
      </c>
      <c r="E158" s="19" t="s">
        <v>1264</v>
      </c>
      <c r="F158" s="19" t="s">
        <v>633</v>
      </c>
      <c r="G158" s="19" t="s">
        <v>738</v>
      </c>
      <c r="H158" s="19">
        <v>0.184</v>
      </c>
      <c r="I158" s="19" t="s">
        <v>2667</v>
      </c>
      <c r="J158" s="19"/>
      <c r="O158" s="19" t="str">
        <f>Table_SourceData_Scope3_Feed[[#This Row],[Product]]</f>
        <v>Molasses</v>
      </c>
      <c r="P158" s="19" t="str">
        <f>Table_SourceData_Scope3_Feed[[#This Row],[Region of origin]]</f>
        <v>QLD</v>
      </c>
    </row>
    <row r="161" spans="1:14" ht="20.100000000000001" customHeight="1" x14ac:dyDescent="0.2">
      <c r="D161" s="19" t="s">
        <v>1434</v>
      </c>
      <c r="E161" s="19" t="s">
        <v>131</v>
      </c>
      <c r="F161" s="19" t="s">
        <v>1435</v>
      </c>
      <c r="G161" s="19" t="s">
        <v>1436</v>
      </c>
      <c r="H161" s="19" t="s">
        <v>1437</v>
      </c>
      <c r="I161" s="19" t="s">
        <v>1438</v>
      </c>
      <c r="J161" s="19" t="s">
        <v>829</v>
      </c>
    </row>
    <row r="162" spans="1:14" ht="20.100000000000001" customHeight="1" x14ac:dyDescent="0.2">
      <c r="D162" s="19" t="s">
        <v>2692</v>
      </c>
      <c r="E162" s="19" t="s">
        <v>2693</v>
      </c>
      <c r="F162" s="19" t="s">
        <v>1263</v>
      </c>
      <c r="G162" s="19" t="s">
        <v>738</v>
      </c>
      <c r="H162" s="19">
        <v>0.59399999999999997</v>
      </c>
      <c r="I162" s="19" t="s">
        <v>2667</v>
      </c>
      <c r="J162" s="19" t="s">
        <v>1441</v>
      </c>
    </row>
    <row r="163" spans="1:14" ht="20.100000000000001" customHeight="1" x14ac:dyDescent="0.2">
      <c r="D163" s="19" t="s">
        <v>2692</v>
      </c>
      <c r="E163" s="19" t="s">
        <v>2694</v>
      </c>
      <c r="F163" s="19" t="s">
        <v>1263</v>
      </c>
      <c r="G163" s="19" t="s">
        <v>738</v>
      </c>
      <c r="H163" s="19">
        <v>0.41899999999999998</v>
      </c>
      <c r="I163" s="19" t="s">
        <v>2667</v>
      </c>
      <c r="J163" s="19" t="s">
        <v>1441</v>
      </c>
    </row>
    <row r="164" spans="1:14" ht="20.100000000000001" customHeight="1" x14ac:dyDescent="0.2">
      <c r="D164" s="19" t="s">
        <v>2692</v>
      </c>
      <c r="E164" s="19" t="s">
        <v>2695</v>
      </c>
      <c r="F164" s="19" t="s">
        <v>1263</v>
      </c>
      <c r="G164" s="19" t="s">
        <v>738</v>
      </c>
      <c r="H164" s="19">
        <v>0.33300000000000002</v>
      </c>
      <c r="I164" s="19" t="s">
        <v>2667</v>
      </c>
      <c r="J164" s="19" t="s">
        <v>1441</v>
      </c>
    </row>
    <row r="165" spans="1:14" ht="20.100000000000001" customHeight="1" x14ac:dyDescent="0.2">
      <c r="D165" s="19" t="s">
        <v>2692</v>
      </c>
      <c r="E165" s="19" t="s">
        <v>2696</v>
      </c>
      <c r="F165" s="19" t="s">
        <v>1263</v>
      </c>
      <c r="G165" s="19" t="s">
        <v>738</v>
      </c>
      <c r="H165" s="19">
        <v>0.40300000000000002</v>
      </c>
      <c r="I165" s="19" t="s">
        <v>2667</v>
      </c>
      <c r="J165" s="19" t="s">
        <v>1441</v>
      </c>
    </row>
    <row r="167" spans="1:14" ht="20.100000000000001" customHeight="1" x14ac:dyDescent="0.2">
      <c r="D167" s="19" t="s">
        <v>1434</v>
      </c>
      <c r="E167" s="19" t="s">
        <v>131</v>
      </c>
      <c r="F167" s="19" t="s">
        <v>1435</v>
      </c>
      <c r="G167" s="19" t="s">
        <v>1436</v>
      </c>
      <c r="H167" s="19" t="s">
        <v>1437</v>
      </c>
      <c r="I167" s="19" t="s">
        <v>1438</v>
      </c>
      <c r="J167" s="19" t="s">
        <v>829</v>
      </c>
    </row>
    <row r="168" spans="1:14" ht="20.100000000000001" customHeight="1" x14ac:dyDescent="0.2">
      <c r="D168" s="19" t="s">
        <v>2689</v>
      </c>
      <c r="E168" s="19" t="s">
        <v>2697</v>
      </c>
      <c r="F168" s="19" t="s">
        <v>1263</v>
      </c>
      <c r="G168" s="19" t="s">
        <v>738</v>
      </c>
      <c r="H168" s="19">
        <v>0.88100000000000001</v>
      </c>
      <c r="I168" s="19" t="s">
        <v>2667</v>
      </c>
      <c r="J168" s="19" t="s">
        <v>1441</v>
      </c>
    </row>
    <row r="169" spans="1:14" ht="20.100000000000001" customHeight="1" x14ac:dyDescent="0.2">
      <c r="A169" s="129" t="str">
        <f>HYPERLINK("#A1", "▲ Back to top")</f>
        <v>▲ Back to top</v>
      </c>
      <c r="D169" s="19" t="s">
        <v>2689</v>
      </c>
      <c r="E169" s="19" t="s">
        <v>2698</v>
      </c>
      <c r="F169" s="19" t="s">
        <v>1263</v>
      </c>
      <c r="G169" s="19" t="s">
        <v>738</v>
      </c>
      <c r="H169" s="19">
        <v>0.67700000000000005</v>
      </c>
      <c r="I169" s="19" t="s">
        <v>2667</v>
      </c>
      <c r="J169" s="19" t="s">
        <v>1441</v>
      </c>
    </row>
    <row r="170" spans="1:14" ht="20.100000000000001" customHeight="1" x14ac:dyDescent="0.2">
      <c r="D170" s="19" t="s">
        <v>2689</v>
      </c>
      <c r="E170" s="19" t="s">
        <v>2699</v>
      </c>
      <c r="F170" s="19" t="s">
        <v>1263</v>
      </c>
      <c r="G170" s="19" t="s">
        <v>738</v>
      </c>
      <c r="H170" s="19">
        <v>0.23100000000000001</v>
      </c>
      <c r="I170" s="19" t="s">
        <v>2667</v>
      </c>
      <c r="J170" s="19" t="s">
        <v>1441</v>
      </c>
    </row>
    <row r="172" spans="1:14" ht="20.100000000000001" customHeight="1" x14ac:dyDescent="0.2">
      <c r="D172" s="2" t="s">
        <v>1453</v>
      </c>
    </row>
    <row r="173" spans="1:14" ht="20.100000000000001" customHeight="1" x14ac:dyDescent="0.2">
      <c r="D173" s="19" t="s">
        <v>1434</v>
      </c>
      <c r="E173" s="19" t="s">
        <v>131</v>
      </c>
      <c r="F173" s="19" t="s">
        <v>1435</v>
      </c>
      <c r="G173" s="19" t="s">
        <v>799</v>
      </c>
      <c r="H173" s="19" t="s">
        <v>690</v>
      </c>
      <c r="I173" s="19" t="s">
        <v>691</v>
      </c>
      <c r="J173" s="19" t="s">
        <v>1454</v>
      </c>
      <c r="K173" s="19" t="s">
        <v>1436</v>
      </c>
      <c r="L173" s="19" t="s">
        <v>1437</v>
      </c>
      <c r="M173" s="19" t="s">
        <v>1438</v>
      </c>
      <c r="N173" s="19" t="s">
        <v>829</v>
      </c>
    </row>
    <row r="174" spans="1:14" ht="20.100000000000001" customHeight="1" x14ac:dyDescent="0.2">
      <c r="D174" s="19" t="s">
        <v>1453</v>
      </c>
      <c r="E174" s="19" t="s">
        <v>2700</v>
      </c>
      <c r="F174" s="19" t="s">
        <v>2398</v>
      </c>
      <c r="G174" s="19" t="str">
        <f>'Constants - Fertiliser'!$D$37</f>
        <v>Ammonia</v>
      </c>
      <c r="H174" s="19"/>
      <c r="I174" s="19" t="str">
        <f>'Constants - Fertiliser'!$V$20</f>
        <v>Global</v>
      </c>
      <c r="J174" s="19"/>
      <c r="K174" s="19" t="s">
        <v>738</v>
      </c>
      <c r="L174" s="19">
        <v>2.3199999999999998</v>
      </c>
      <c r="M174" s="19" t="s">
        <v>2667</v>
      </c>
      <c r="N174" s="19" t="s">
        <v>1441</v>
      </c>
    </row>
    <row r="175" spans="1:14" ht="20.100000000000001" customHeight="1" x14ac:dyDescent="0.2">
      <c r="D175" s="19" t="s">
        <v>1453</v>
      </c>
      <c r="E175" s="19" t="s">
        <v>2701</v>
      </c>
      <c r="F175" s="19" t="s">
        <v>2399</v>
      </c>
      <c r="G175" s="19" t="str">
        <f>'Constants - Fertiliser'!$D$37</f>
        <v>Ammonia</v>
      </c>
      <c r="H175" s="19"/>
      <c r="I175" s="19" t="str">
        <f>'Constants - Fertiliser'!$V$21</f>
        <v>Canada</v>
      </c>
      <c r="J175" s="19"/>
      <c r="K175" s="19" t="s">
        <v>738</v>
      </c>
      <c r="L175" s="19">
        <v>2.12</v>
      </c>
      <c r="M175" s="19" t="s">
        <v>2667</v>
      </c>
      <c r="N175" s="19" t="s">
        <v>1441</v>
      </c>
    </row>
    <row r="176" spans="1:14" ht="20.100000000000001" customHeight="1" x14ac:dyDescent="0.2">
      <c r="D176" s="19" t="s">
        <v>1453</v>
      </c>
      <c r="E176" s="19" t="s">
        <v>2702</v>
      </c>
      <c r="F176" s="19" t="s">
        <v>2400</v>
      </c>
      <c r="G176" s="19" t="str">
        <f>'Constants - Fertiliser'!$D$37</f>
        <v>Ammonia</v>
      </c>
      <c r="H176" s="19"/>
      <c r="I176" s="19" t="str">
        <f>'Constants - Fertiliser'!$V$22</f>
        <v>China</v>
      </c>
      <c r="J176" s="19"/>
      <c r="K176" s="19" t="s">
        <v>738</v>
      </c>
      <c r="L176" s="19">
        <v>4.17</v>
      </c>
      <c r="M176" s="19" t="s">
        <v>2667</v>
      </c>
      <c r="N176" s="19" t="s">
        <v>1441</v>
      </c>
    </row>
    <row r="177" spans="4:14" ht="20.100000000000001" customHeight="1" x14ac:dyDescent="0.2">
      <c r="D177" s="19" t="s">
        <v>1453</v>
      </c>
      <c r="E177" s="19" t="s">
        <v>2703</v>
      </c>
      <c r="F177" s="19" t="s">
        <v>2401</v>
      </c>
      <c r="G177" s="19" t="str">
        <f>'Constants - Fertiliser'!$D$37</f>
        <v>Ammonia</v>
      </c>
      <c r="H177" s="19"/>
      <c r="I177" s="19" t="str">
        <f>'Constants - Fertiliser'!$V$23</f>
        <v>Yemen</v>
      </c>
      <c r="J177" s="19"/>
      <c r="K177" s="19" t="s">
        <v>738</v>
      </c>
      <c r="L177" s="19">
        <v>2.2599999999999998</v>
      </c>
      <c r="M177" s="19" t="s">
        <v>2667</v>
      </c>
      <c r="N177" s="19" t="s">
        <v>1441</v>
      </c>
    </row>
    <row r="178" spans="4:14" ht="20.100000000000001" customHeight="1" x14ac:dyDescent="0.2">
      <c r="D178" s="19" t="s">
        <v>1453</v>
      </c>
      <c r="E178" s="19" t="s">
        <v>2704</v>
      </c>
      <c r="F178" s="19" t="s">
        <v>2398</v>
      </c>
      <c r="G178" s="19" t="str">
        <f>'Constants - Fertiliser'!$D$25</f>
        <v>Ammonium nitrate (AN)</v>
      </c>
      <c r="H178" s="19"/>
      <c r="I178" s="19"/>
      <c r="J178" s="19"/>
      <c r="K178" s="19" t="s">
        <v>738</v>
      </c>
      <c r="L178" s="19">
        <v>2.21</v>
      </c>
      <c r="M178" s="19" t="s">
        <v>2667</v>
      </c>
      <c r="N178" s="19" t="s">
        <v>1441</v>
      </c>
    </row>
    <row r="179" spans="4:14" ht="20.100000000000001" customHeight="1" x14ac:dyDescent="0.2">
      <c r="D179" s="19" t="s">
        <v>1453</v>
      </c>
      <c r="E179" s="19" t="s">
        <v>2705</v>
      </c>
      <c r="F179" s="19" t="s">
        <v>2398</v>
      </c>
      <c r="G179" s="19" t="str">
        <f>'Constants - Fertiliser'!$D$26</f>
        <v>Calcium ammonium nitrate (CAN)</v>
      </c>
      <c r="H179" s="19"/>
      <c r="I179" s="19"/>
      <c r="J179" s="19"/>
      <c r="K179" s="19" t="s">
        <v>738</v>
      </c>
      <c r="L179" s="19">
        <v>1.1499999999999999</v>
      </c>
      <c r="M179" s="19" t="s">
        <v>2667</v>
      </c>
      <c r="N179" s="19" t="s">
        <v>1441</v>
      </c>
    </row>
    <row r="180" spans="4:14" ht="20.100000000000001" customHeight="1" x14ac:dyDescent="0.2">
      <c r="D180" s="19" t="s">
        <v>1453</v>
      </c>
      <c r="E180" s="19" t="s">
        <v>702</v>
      </c>
      <c r="F180" s="19" t="s">
        <v>2398</v>
      </c>
      <c r="G180" s="19" t="str">
        <f>'Constants - Fertiliser'!$D$38</f>
        <v>Calcium nitrate</v>
      </c>
      <c r="H180" s="19"/>
      <c r="I180" s="19"/>
      <c r="J180" s="19"/>
      <c r="K180" s="19" t="s">
        <v>738</v>
      </c>
      <c r="L180" s="19">
        <v>0.75</v>
      </c>
      <c r="M180" s="19" t="s">
        <v>2667</v>
      </c>
      <c r="N180" s="19" t="s">
        <v>1441</v>
      </c>
    </row>
    <row r="181" spans="4:14" ht="20.100000000000001" customHeight="1" x14ac:dyDescent="0.2">
      <c r="D181" s="19" t="s">
        <v>1453</v>
      </c>
      <c r="E181" s="19" t="s">
        <v>2706</v>
      </c>
      <c r="F181" s="19" t="s">
        <v>2398</v>
      </c>
      <c r="G181" s="19" t="str">
        <f>'Constants - Fertiliser'!$D$21</f>
        <v>Diammonium phosphate (DAP)</v>
      </c>
      <c r="H181" s="19"/>
      <c r="I181" s="19"/>
      <c r="J181" s="19"/>
      <c r="K181" s="19" t="s">
        <v>738</v>
      </c>
      <c r="L181" s="19">
        <v>1.34</v>
      </c>
      <c r="M181" s="19" t="s">
        <v>2667</v>
      </c>
      <c r="N181" s="19" t="s">
        <v>1441</v>
      </c>
    </row>
    <row r="182" spans="4:14" ht="20.100000000000001" customHeight="1" x14ac:dyDescent="0.2">
      <c r="D182" s="19" t="s">
        <v>1453</v>
      </c>
      <c r="E182" s="19" t="s">
        <v>2707</v>
      </c>
      <c r="F182" s="19" t="s">
        <v>2398</v>
      </c>
      <c r="G182" s="19" t="str">
        <f>'Constants - Fertiliser'!$D$35</f>
        <v>Double superphosphate</v>
      </c>
      <c r="H182" s="19"/>
      <c r="I182" s="19"/>
      <c r="J182" s="19"/>
      <c r="K182" s="19" t="s">
        <v>738</v>
      </c>
      <c r="L182" s="19">
        <v>0.39200000000000002</v>
      </c>
      <c r="M182" s="19" t="s">
        <v>2667</v>
      </c>
      <c r="N182" s="19" t="s">
        <v>1441</v>
      </c>
    </row>
    <row r="183" spans="4:14" ht="20.100000000000001" customHeight="1" x14ac:dyDescent="0.2">
      <c r="D183" s="19" t="s">
        <v>1453</v>
      </c>
      <c r="E183" s="19" t="s">
        <v>2708</v>
      </c>
      <c r="F183" s="19" t="s">
        <v>2398</v>
      </c>
      <c r="G183" s="19" t="str">
        <f>'Constants - Fertiliser'!$D$20</f>
        <v>Monoammonium phosphate (MAP)</v>
      </c>
      <c r="H183" s="19"/>
      <c r="I183" s="19"/>
      <c r="J183" s="19"/>
      <c r="K183" s="19" t="s">
        <v>738</v>
      </c>
      <c r="L183" s="19">
        <v>0.82699999999999996</v>
      </c>
      <c r="M183" s="19" t="s">
        <v>2667</v>
      </c>
      <c r="N183" s="19" t="s">
        <v>1441</v>
      </c>
    </row>
    <row r="184" spans="4:14" ht="20.100000000000001" customHeight="1" x14ac:dyDescent="0.2">
      <c r="D184" s="19" t="s">
        <v>1453</v>
      </c>
      <c r="E184" s="19" t="s">
        <v>2709</v>
      </c>
      <c r="F184" s="19" t="s">
        <v>2398</v>
      </c>
      <c r="G184" s="19" t="str">
        <f>'Constants - Fertiliser'!$D$34</f>
        <v>Muriate of potash (MOP)</v>
      </c>
      <c r="H184" s="19"/>
      <c r="I184" s="19"/>
      <c r="J184" s="19"/>
      <c r="K184" s="19" t="s">
        <v>738</v>
      </c>
      <c r="L184" s="19">
        <v>0.54900000000000004</v>
      </c>
      <c r="M184" s="19" t="s">
        <v>2667</v>
      </c>
      <c r="N184" s="19" t="s">
        <v>1441</v>
      </c>
    </row>
    <row r="185" spans="4:14" ht="20.100000000000001" customHeight="1" x14ac:dyDescent="0.2">
      <c r="D185" s="19" t="s">
        <v>1453</v>
      </c>
      <c r="E185" s="19" t="s">
        <v>2710</v>
      </c>
      <c r="F185" s="19" t="s">
        <v>2398</v>
      </c>
      <c r="G185" s="19" t="str">
        <f>'Constants - Fertiliser'!$D$27</f>
        <v>Nitrogen - Ammoniacal</v>
      </c>
      <c r="H185" s="19"/>
      <c r="I185" s="19"/>
      <c r="J185" s="19"/>
      <c r="K185" s="19" t="s">
        <v>1301</v>
      </c>
      <c r="L185" s="19">
        <v>2.83</v>
      </c>
      <c r="M185" s="19" t="s">
        <v>2667</v>
      </c>
      <c r="N185" s="19" t="s">
        <v>1441</v>
      </c>
    </row>
    <row r="186" spans="4:14" ht="20.100000000000001" customHeight="1" x14ac:dyDescent="0.2">
      <c r="D186" s="19" t="s">
        <v>1453</v>
      </c>
      <c r="E186" s="19" t="s">
        <v>2711</v>
      </c>
      <c r="F186" s="19" t="s">
        <v>2398</v>
      </c>
      <c r="G186" s="19" t="str">
        <f>'Constants - Fertiliser'!$D$29</f>
        <v>Nitrogen - Generic</v>
      </c>
      <c r="H186" s="19"/>
      <c r="I186" s="19"/>
      <c r="J186" s="19"/>
      <c r="K186" s="19" t="s">
        <v>1301</v>
      </c>
      <c r="L186" s="19">
        <v>4.2</v>
      </c>
      <c r="M186" s="19" t="s">
        <v>2667</v>
      </c>
      <c r="N186" s="19" t="s">
        <v>1441</v>
      </c>
    </row>
    <row r="187" spans="4:14" ht="20.100000000000001" customHeight="1" x14ac:dyDescent="0.2">
      <c r="D187" s="19" t="s">
        <v>1453</v>
      </c>
      <c r="E187" s="19" t="s">
        <v>2712</v>
      </c>
      <c r="F187" s="19" t="s">
        <v>2398</v>
      </c>
      <c r="G187" s="19" t="str">
        <f>'Constants - Fertiliser'!$D$28</f>
        <v>Nitrogen - Nitrate</v>
      </c>
      <c r="H187" s="19"/>
      <c r="I187" s="19"/>
      <c r="J187" s="19"/>
      <c r="K187" s="19" t="s">
        <v>1301</v>
      </c>
      <c r="L187" s="19">
        <v>5.47</v>
      </c>
      <c r="M187" s="19" t="s">
        <v>2667</v>
      </c>
      <c r="N187" s="19" t="s">
        <v>1441</v>
      </c>
    </row>
    <row r="188" spans="4:14" ht="20.100000000000001" customHeight="1" x14ac:dyDescent="0.2">
      <c r="D188" s="19" t="s">
        <v>1453</v>
      </c>
      <c r="E188" s="19" t="s">
        <v>2713</v>
      </c>
      <c r="F188" s="19" t="s">
        <v>2398</v>
      </c>
      <c r="G188" s="19" t="str">
        <f>'Constants - Fertiliser'!$D$30</f>
        <v>Phosphorus - Generic</v>
      </c>
      <c r="H188" s="19"/>
      <c r="I188" s="19"/>
      <c r="J188" s="19"/>
      <c r="K188" s="19" t="s">
        <v>2719</v>
      </c>
      <c r="L188" s="19">
        <v>3.96</v>
      </c>
      <c r="M188" s="19" t="s">
        <v>2667</v>
      </c>
      <c r="N188" s="19" t="s">
        <v>1441</v>
      </c>
    </row>
    <row r="189" spans="4:14" ht="20.100000000000001" customHeight="1" x14ac:dyDescent="0.2">
      <c r="D189" s="19" t="s">
        <v>1453</v>
      </c>
      <c r="E189" s="19" t="s">
        <v>2714</v>
      </c>
      <c r="F189" s="19" t="s">
        <v>2398</v>
      </c>
      <c r="G189" s="19" t="str">
        <f>'Constants - Fertiliser'!$D$31</f>
        <v>Potassium - Generic</v>
      </c>
      <c r="H189" s="19"/>
      <c r="I189" s="19"/>
      <c r="J189" s="19"/>
      <c r="K189" s="19" t="s">
        <v>2720</v>
      </c>
      <c r="L189" s="19">
        <v>0.90900000000000003</v>
      </c>
      <c r="M189" s="19" t="s">
        <v>2667</v>
      </c>
      <c r="N189" s="19" t="s">
        <v>1441</v>
      </c>
    </row>
    <row r="190" spans="4:14" ht="20.100000000000001" customHeight="1" x14ac:dyDescent="0.2">
      <c r="D190" s="19" t="s">
        <v>1453</v>
      </c>
      <c r="E190" s="19" t="s">
        <v>2715</v>
      </c>
      <c r="F190" s="19" t="s">
        <v>2398</v>
      </c>
      <c r="G190" s="19" t="str">
        <f>'Constants - Fertiliser'!$D$36</f>
        <v>Single superphosphate (SSP)</v>
      </c>
      <c r="H190" s="19"/>
      <c r="I190" s="19"/>
      <c r="J190" s="19"/>
      <c r="K190" s="19" t="s">
        <v>738</v>
      </c>
      <c r="L190" s="19">
        <v>0.22700000000000001</v>
      </c>
      <c r="M190" s="19" t="s">
        <v>2667</v>
      </c>
      <c r="N190" s="19" t="s">
        <v>1441</v>
      </c>
    </row>
    <row r="191" spans="4:14" ht="20.100000000000001" customHeight="1" x14ac:dyDescent="0.2">
      <c r="D191" s="19" t="s">
        <v>1453</v>
      </c>
      <c r="E191" s="19" t="s">
        <v>2716</v>
      </c>
      <c r="F191" s="19" t="s">
        <v>2398</v>
      </c>
      <c r="G191" s="19" t="str">
        <f>'Constants - Fertiliser'!$D$32</f>
        <v>Sulfur - Generic</v>
      </c>
      <c r="H191" s="19"/>
      <c r="I191" s="19"/>
      <c r="J191" s="19"/>
      <c r="K191" s="19" t="s">
        <v>2721</v>
      </c>
      <c r="L191" s="19">
        <v>2.5</v>
      </c>
      <c r="M191" s="19" t="s">
        <v>2667</v>
      </c>
      <c r="N191" s="19" t="s">
        <v>1441</v>
      </c>
    </row>
    <row r="192" spans="4:14" ht="20.100000000000001" customHeight="1" x14ac:dyDescent="0.2">
      <c r="D192" s="19" t="s">
        <v>1453</v>
      </c>
      <c r="E192" s="19" t="s">
        <v>2717</v>
      </c>
      <c r="F192" s="19" t="s">
        <v>2398</v>
      </c>
      <c r="G192" s="19" t="str">
        <f>'Constants - Fertiliser'!$D$23</f>
        <v>Sulphate of ammonia (SOA)</v>
      </c>
      <c r="H192" s="19"/>
      <c r="I192" s="19"/>
      <c r="J192" s="19"/>
      <c r="K192" s="19" t="s">
        <v>738</v>
      </c>
      <c r="L192" s="19">
        <v>0.86499999999999999</v>
      </c>
      <c r="M192" s="19" t="s">
        <v>2667</v>
      </c>
      <c r="N192" s="19" t="s">
        <v>1441</v>
      </c>
    </row>
    <row r="193" spans="1:14" ht="20.100000000000001" customHeight="1" x14ac:dyDescent="0.2">
      <c r="D193" s="19" t="s">
        <v>1453</v>
      </c>
      <c r="E193" s="19" t="s">
        <v>2718</v>
      </c>
      <c r="F193" s="19" t="s">
        <v>2398</v>
      </c>
      <c r="G193" s="19" t="str">
        <f>'Constants - Fertiliser'!$D$24</f>
        <v>Urea-ammonium nitrate (UAN)</v>
      </c>
      <c r="H193" s="19"/>
      <c r="I193" s="19"/>
      <c r="J193" s="19"/>
      <c r="K193" s="19" t="s">
        <v>738</v>
      </c>
      <c r="L193" s="19">
        <v>1.75</v>
      </c>
      <c r="M193" s="19" t="s">
        <v>2667</v>
      </c>
      <c r="N193" s="19" t="s">
        <v>1441</v>
      </c>
    </row>
    <row r="194" spans="1:14" ht="20.100000000000001" customHeight="1" x14ac:dyDescent="0.2">
      <c r="D194" s="19" t="s">
        <v>1453</v>
      </c>
      <c r="E194" s="19" t="s">
        <v>2723</v>
      </c>
      <c r="F194" s="19" t="s">
        <v>2398</v>
      </c>
      <c r="G194" s="19" t="str">
        <f>'Constants - Fertiliser'!$D$22</f>
        <v>Urea</v>
      </c>
      <c r="H194" s="19" t="str">
        <f>'Constants - Fertiliser'!$V$20</f>
        <v>Global</v>
      </c>
      <c r="I194" s="19"/>
      <c r="J194" s="19"/>
      <c r="K194" s="19" t="s">
        <v>738</v>
      </c>
      <c r="L194" s="19">
        <v>0.96799999999999997</v>
      </c>
      <c r="M194" s="19" t="s">
        <v>2667</v>
      </c>
      <c r="N194" s="19" t="s">
        <v>1441</v>
      </c>
    </row>
    <row r="195" spans="1:14" ht="20.100000000000001" customHeight="1" x14ac:dyDescent="0.2">
      <c r="D195" s="19" t="s">
        <v>1453</v>
      </c>
      <c r="E195" s="19" t="s">
        <v>2724</v>
      </c>
      <c r="F195" s="19" t="s">
        <v>2399</v>
      </c>
      <c r="G195" s="19" t="str">
        <f>'Constants - Fertiliser'!$D$22</f>
        <v>Urea</v>
      </c>
      <c r="H195" s="19" t="str">
        <f>'Constants - Fertiliser'!$V$21</f>
        <v>Canada</v>
      </c>
      <c r="I195" s="19"/>
      <c r="J195" s="19"/>
      <c r="K195" s="19" t="s">
        <v>738</v>
      </c>
      <c r="L195" s="19">
        <v>0.82299999999999995</v>
      </c>
      <c r="M195" s="19" t="s">
        <v>2667</v>
      </c>
      <c r="N195" s="19" t="s">
        <v>1441</v>
      </c>
    </row>
    <row r="196" spans="1:14" ht="20.100000000000001" customHeight="1" x14ac:dyDescent="0.2">
      <c r="D196" s="19" t="s">
        <v>1453</v>
      </c>
      <c r="E196" s="19" t="s">
        <v>2725</v>
      </c>
      <c r="F196" s="19" t="s">
        <v>2400</v>
      </c>
      <c r="G196" s="19" t="str">
        <f>'Constants - Fertiliser'!$D$22</f>
        <v>Urea</v>
      </c>
      <c r="H196" s="19" t="str">
        <f>'Constants - Fertiliser'!$V$22</f>
        <v>China</v>
      </c>
      <c r="I196" s="19"/>
      <c r="J196" s="19"/>
      <c r="K196" s="19" t="s">
        <v>738</v>
      </c>
      <c r="L196" s="19">
        <v>2.09</v>
      </c>
      <c r="M196" s="19" t="s">
        <v>2667</v>
      </c>
      <c r="N196" s="19" t="s">
        <v>1441</v>
      </c>
    </row>
    <row r="197" spans="1:14" ht="20.100000000000001" customHeight="1" x14ac:dyDescent="0.2">
      <c r="D197" s="19" t="s">
        <v>1453</v>
      </c>
      <c r="E197" s="19" t="s">
        <v>2726</v>
      </c>
      <c r="F197" s="19" t="s">
        <v>2401</v>
      </c>
      <c r="G197" s="19" t="str">
        <f>'Constants - Fertiliser'!$D$22</f>
        <v>Urea</v>
      </c>
      <c r="H197" s="19" t="str">
        <f>'Constants - Fertiliser'!$V$23</f>
        <v>Yemen</v>
      </c>
      <c r="I197" s="19"/>
      <c r="J197" s="19"/>
      <c r="K197" s="19" t="s">
        <v>738</v>
      </c>
      <c r="L197" s="19">
        <v>0.96299999999999997</v>
      </c>
      <c r="M197" s="19" t="s">
        <v>2667</v>
      </c>
      <c r="N197" s="19" t="s">
        <v>1441</v>
      </c>
    </row>
    <row r="198" spans="1:14" ht="20.100000000000001" customHeight="1" x14ac:dyDescent="0.2">
      <c r="D198" s="19" t="s">
        <v>1453</v>
      </c>
      <c r="E198" s="19" t="s">
        <v>2727</v>
      </c>
      <c r="F198" s="19" t="s">
        <v>2398</v>
      </c>
      <c r="G198" s="19" t="str">
        <f>'Constants - Fertiliser'!$D$33</f>
        <v>Zinc - Generic</v>
      </c>
      <c r="H198" s="19"/>
      <c r="I198" s="19"/>
      <c r="J198" s="19"/>
      <c r="K198" s="19" t="s">
        <v>2722</v>
      </c>
      <c r="L198" s="19">
        <v>4.82</v>
      </c>
      <c r="M198" s="19" t="s">
        <v>2667</v>
      </c>
      <c r="N198" s="19" t="s">
        <v>1441</v>
      </c>
    </row>
    <row r="199" spans="1:14" ht="20.100000000000001" customHeight="1" x14ac:dyDescent="0.2">
      <c r="A199" s="129" t="str">
        <f>HYPERLINK("#A1", "▲ Back to top")</f>
        <v>▲ Back to top</v>
      </c>
    </row>
    <row r="200" spans="1:14" ht="20.100000000000001" customHeight="1" x14ac:dyDescent="0.2">
      <c r="D200" s="2" t="s">
        <v>1455</v>
      </c>
    </row>
    <row r="201" spans="1:14" ht="20.100000000000001" customHeight="1" x14ac:dyDescent="0.2">
      <c r="D201" s="19" t="s">
        <v>1434</v>
      </c>
      <c r="E201" s="19" t="s">
        <v>131</v>
      </c>
      <c r="F201" s="19" t="s">
        <v>1435</v>
      </c>
      <c r="G201" s="19" t="s">
        <v>1436</v>
      </c>
      <c r="H201" s="19" t="s">
        <v>1437</v>
      </c>
      <c r="I201" s="19" t="s">
        <v>1438</v>
      </c>
      <c r="J201" s="19" t="s">
        <v>829</v>
      </c>
    </row>
    <row r="202" spans="1:14" ht="20.100000000000001" customHeight="1" x14ac:dyDescent="0.2">
      <c r="D202" s="19" t="s">
        <v>2689</v>
      </c>
      <c r="E202" s="19" t="s">
        <v>2728</v>
      </c>
      <c r="F202" s="19" t="s">
        <v>1263</v>
      </c>
      <c r="G202" s="19" t="s">
        <v>1883</v>
      </c>
      <c r="H202" s="19">
        <v>4.24E-2</v>
      </c>
      <c r="I202" s="19" t="s">
        <v>2667</v>
      </c>
      <c r="J202" s="19" t="s">
        <v>1441</v>
      </c>
    </row>
    <row r="203" spans="1:14" ht="20.100000000000001" customHeight="1" x14ac:dyDescent="0.2">
      <c r="D203" s="19" t="s">
        <v>2689</v>
      </c>
      <c r="E203" s="19" t="s">
        <v>2729</v>
      </c>
      <c r="F203" s="19" t="s">
        <v>1263</v>
      </c>
      <c r="G203" s="19" t="s">
        <v>1883</v>
      </c>
      <c r="H203" s="19">
        <v>2.93E-2</v>
      </c>
      <c r="I203" s="19" t="s">
        <v>2667</v>
      </c>
      <c r="J203" s="19" t="s">
        <v>1441</v>
      </c>
    </row>
    <row r="204" spans="1:14" ht="20.100000000000001" customHeight="1" x14ac:dyDescent="0.2">
      <c r="D204" s="19" t="s">
        <v>2689</v>
      </c>
      <c r="E204" s="19" t="s">
        <v>2730</v>
      </c>
      <c r="F204" s="19" t="s">
        <v>1263</v>
      </c>
      <c r="G204" s="19" t="s">
        <v>738</v>
      </c>
      <c r="H204" s="19">
        <v>0.23899999999999999</v>
      </c>
      <c r="I204" s="19" t="s">
        <v>2667</v>
      </c>
      <c r="J204" s="19" t="s">
        <v>1441</v>
      </c>
    </row>
    <row r="205" spans="1:14" ht="20.100000000000001" customHeight="1" x14ac:dyDescent="0.2">
      <c r="D205" s="19" t="s">
        <v>2689</v>
      </c>
      <c r="E205" s="19" t="s">
        <v>2731</v>
      </c>
      <c r="F205" s="19" t="s">
        <v>1263</v>
      </c>
      <c r="G205" s="19" t="s">
        <v>738</v>
      </c>
      <c r="H205" s="19">
        <v>0.18099999999999999</v>
      </c>
      <c r="I205" s="19" t="s">
        <v>2667</v>
      </c>
      <c r="J205" s="19" t="s">
        <v>1441</v>
      </c>
    </row>
    <row r="206" spans="1:14" ht="20.100000000000001" customHeight="1" x14ac:dyDescent="0.2">
      <c r="D206" s="19" t="s">
        <v>2689</v>
      </c>
      <c r="E206" s="19" t="s">
        <v>2732</v>
      </c>
      <c r="F206" s="19" t="s">
        <v>2398</v>
      </c>
      <c r="G206" s="19" t="s">
        <v>738</v>
      </c>
      <c r="H206" s="19">
        <v>9.81</v>
      </c>
      <c r="I206" s="19" t="s">
        <v>2667</v>
      </c>
      <c r="J206" s="19" t="s">
        <v>1441</v>
      </c>
    </row>
    <row r="207" spans="1:14" ht="20.100000000000001" customHeight="1" x14ac:dyDescent="0.2">
      <c r="D207" s="19" t="s">
        <v>2689</v>
      </c>
      <c r="E207" s="19" t="s">
        <v>2733</v>
      </c>
      <c r="F207" s="19" t="s">
        <v>1263</v>
      </c>
      <c r="G207" s="19" t="s">
        <v>738</v>
      </c>
      <c r="H207" s="19">
        <v>0.27</v>
      </c>
      <c r="I207" s="19" t="s">
        <v>2667</v>
      </c>
      <c r="J207" s="19" t="s">
        <v>1441</v>
      </c>
    </row>
    <row r="208" spans="1:14" ht="20.100000000000001" customHeight="1" x14ac:dyDescent="0.2">
      <c r="D208" s="19" t="s">
        <v>2689</v>
      </c>
      <c r="E208" s="19" t="s">
        <v>2734</v>
      </c>
      <c r="F208" s="19" t="s">
        <v>1263</v>
      </c>
      <c r="G208" s="19" t="s">
        <v>738</v>
      </c>
      <c r="H208" s="19">
        <v>0.23200000000000001</v>
      </c>
      <c r="I208" s="19" t="s">
        <v>2667</v>
      </c>
      <c r="J208" s="19" t="s">
        <v>1441</v>
      </c>
    </row>
    <row r="209" spans="4:10" ht="20.100000000000001" customHeight="1" x14ac:dyDescent="0.2">
      <c r="D209" s="19" t="s">
        <v>2689</v>
      </c>
      <c r="E209" s="19" t="s">
        <v>2735</v>
      </c>
      <c r="F209" s="19" t="s">
        <v>1263</v>
      </c>
      <c r="G209" s="19" t="s">
        <v>738</v>
      </c>
      <c r="H209" s="19">
        <v>0.26800000000000002</v>
      </c>
      <c r="I209" s="19" t="s">
        <v>2667</v>
      </c>
      <c r="J209" s="19" t="s">
        <v>1441</v>
      </c>
    </row>
    <row r="211" spans="4:10" ht="20.100000000000001" customHeight="1" x14ac:dyDescent="0.2">
      <c r="D211" s="2" t="s">
        <v>1456</v>
      </c>
    </row>
    <row r="212" spans="4:10" ht="20.100000000000001" customHeight="1" x14ac:dyDescent="0.2">
      <c r="D212" s="19" t="s">
        <v>1434</v>
      </c>
      <c r="E212" s="19" t="s">
        <v>131</v>
      </c>
      <c r="F212" s="19" t="s">
        <v>1435</v>
      </c>
      <c r="G212" s="19" t="s">
        <v>1436</v>
      </c>
      <c r="H212" s="19" t="s">
        <v>1437</v>
      </c>
      <c r="I212" s="19" t="s">
        <v>1438</v>
      </c>
      <c r="J212" s="19" t="s">
        <v>829</v>
      </c>
    </row>
    <row r="213" spans="4:10" ht="20.100000000000001" customHeight="1" x14ac:dyDescent="0.2">
      <c r="D213" s="19" t="s">
        <v>1456</v>
      </c>
      <c r="E213" s="19" t="s">
        <v>2736</v>
      </c>
      <c r="F213" s="19" t="s">
        <v>2398</v>
      </c>
      <c r="G213" s="19" t="s">
        <v>738</v>
      </c>
      <c r="H213" s="19">
        <v>1.05</v>
      </c>
      <c r="I213" s="19" t="s">
        <v>2675</v>
      </c>
      <c r="J213" s="19" t="s">
        <v>1441</v>
      </c>
    </row>
    <row r="214" spans="4:10" ht="20.100000000000001" customHeight="1" x14ac:dyDescent="0.2">
      <c r="D214" s="19" t="s">
        <v>1456</v>
      </c>
      <c r="E214" s="19" t="s">
        <v>2737</v>
      </c>
      <c r="F214" s="19" t="s">
        <v>2398</v>
      </c>
      <c r="G214" s="19" t="s">
        <v>1883</v>
      </c>
      <c r="H214" s="19">
        <v>3.99</v>
      </c>
      <c r="I214" s="19" t="s">
        <v>2675</v>
      </c>
      <c r="J214" s="19" t="s">
        <v>1441</v>
      </c>
    </row>
    <row r="215" spans="4:10" ht="20.100000000000001" customHeight="1" x14ac:dyDescent="0.2">
      <c r="D215" s="19" t="s">
        <v>1456</v>
      </c>
      <c r="E215" s="19" t="s">
        <v>2738</v>
      </c>
      <c r="F215" s="19" t="s">
        <v>2398</v>
      </c>
      <c r="G215" s="19" t="s">
        <v>738</v>
      </c>
      <c r="H215" s="19">
        <v>3.44</v>
      </c>
      <c r="I215" s="19" t="s">
        <v>2675</v>
      </c>
      <c r="J215" s="19" t="s">
        <v>1441</v>
      </c>
    </row>
    <row r="216" spans="4:10" ht="20.100000000000001" customHeight="1" x14ac:dyDescent="0.2">
      <c r="D216" s="19" t="s">
        <v>1456</v>
      </c>
      <c r="E216" s="19" t="s">
        <v>2739</v>
      </c>
      <c r="F216" s="19" t="s">
        <v>2398</v>
      </c>
      <c r="G216" s="19" t="s">
        <v>738</v>
      </c>
      <c r="H216" s="19">
        <v>3.72</v>
      </c>
      <c r="I216" s="19" t="s">
        <v>2675</v>
      </c>
      <c r="J216" s="19" t="s">
        <v>1441</v>
      </c>
    </row>
    <row r="218" spans="4:10" ht="20.100000000000001" customHeight="1" x14ac:dyDescent="0.2">
      <c r="D218" s="2" t="s">
        <v>1218</v>
      </c>
    </row>
    <row r="219" spans="4:10" ht="20.100000000000001" customHeight="1" x14ac:dyDescent="0.2">
      <c r="D219" s="19" t="s">
        <v>1434</v>
      </c>
      <c r="E219" s="19" t="s">
        <v>131</v>
      </c>
      <c r="F219" s="19" t="s">
        <v>1435</v>
      </c>
      <c r="G219" s="19" t="s">
        <v>1436</v>
      </c>
      <c r="H219" s="19" t="s">
        <v>1437</v>
      </c>
      <c r="I219" s="19" t="s">
        <v>1438</v>
      </c>
      <c r="J219" s="19" t="s">
        <v>829</v>
      </c>
    </row>
    <row r="220" spans="4:10" ht="20.100000000000001" customHeight="1" x14ac:dyDescent="0.2">
      <c r="D220" s="19" t="s">
        <v>1218</v>
      </c>
      <c r="E220" s="19" t="s">
        <v>1240</v>
      </c>
      <c r="F220" s="19" t="s">
        <v>2398</v>
      </c>
      <c r="G220" s="19" t="s">
        <v>2740</v>
      </c>
      <c r="H220" s="19">
        <v>5.2</v>
      </c>
      <c r="I220" s="19" t="s">
        <v>2667</v>
      </c>
      <c r="J220" s="19" t="s">
        <v>1441</v>
      </c>
    </row>
    <row r="221" spans="4:10" ht="20.100000000000001" customHeight="1" x14ac:dyDescent="0.2">
      <c r="D221" s="19" t="s">
        <v>1218</v>
      </c>
      <c r="E221" s="19" t="s">
        <v>2741</v>
      </c>
      <c r="F221" s="19" t="s">
        <v>2398</v>
      </c>
      <c r="G221" s="19" t="s">
        <v>2740</v>
      </c>
      <c r="H221" s="19">
        <v>8.3800000000000008</v>
      </c>
      <c r="I221" s="19" t="s">
        <v>2667</v>
      </c>
      <c r="J221" s="19" t="s">
        <v>1441</v>
      </c>
    </row>
    <row r="222" spans="4:10" ht="20.100000000000001" customHeight="1" x14ac:dyDescent="0.2">
      <c r="D222" s="19" t="s">
        <v>1218</v>
      </c>
      <c r="E222" s="19" t="s">
        <v>2742</v>
      </c>
      <c r="F222" s="19" t="s">
        <v>2398</v>
      </c>
      <c r="G222" s="19" t="s">
        <v>2740</v>
      </c>
      <c r="H222" s="19">
        <v>8.8000000000000007</v>
      </c>
      <c r="I222" s="19" t="s">
        <v>2667</v>
      </c>
      <c r="J222" s="19" t="s">
        <v>1441</v>
      </c>
    </row>
    <row r="223" spans="4:10" ht="20.100000000000001" customHeight="1" x14ac:dyDescent="0.2">
      <c r="D223" s="19" t="s">
        <v>1218</v>
      </c>
      <c r="E223" s="19" t="s">
        <v>1237</v>
      </c>
      <c r="F223" s="19" t="s">
        <v>2398</v>
      </c>
      <c r="G223" s="19" t="s">
        <v>2740</v>
      </c>
      <c r="H223" s="19">
        <v>10.3</v>
      </c>
      <c r="I223" s="19" t="s">
        <v>2667</v>
      </c>
      <c r="J223" s="19" t="s">
        <v>1441</v>
      </c>
    </row>
    <row r="224" spans="4:10" ht="20.100000000000001" customHeight="1" x14ac:dyDescent="0.2">
      <c r="D224" s="19" t="s">
        <v>1218</v>
      </c>
      <c r="E224" s="19" t="s">
        <v>2743</v>
      </c>
      <c r="F224" s="19" t="s">
        <v>2398</v>
      </c>
      <c r="G224" s="19" t="s">
        <v>2740</v>
      </c>
      <c r="H224" s="19">
        <v>4.55</v>
      </c>
      <c r="I224" s="19" t="s">
        <v>2667</v>
      </c>
      <c r="J224" s="19" t="s">
        <v>1441</v>
      </c>
    </row>
    <row r="225" spans="1:10" ht="20.100000000000001" customHeight="1" x14ac:dyDescent="0.2">
      <c r="D225" s="19" t="s">
        <v>1218</v>
      </c>
      <c r="E225" s="19" t="s">
        <v>2744</v>
      </c>
      <c r="F225" s="19" t="s">
        <v>2398</v>
      </c>
      <c r="G225" s="19" t="s">
        <v>2740</v>
      </c>
      <c r="H225" s="19">
        <v>5.6</v>
      </c>
      <c r="I225" s="19" t="s">
        <v>2667</v>
      </c>
      <c r="J225" s="19" t="s">
        <v>1441</v>
      </c>
    </row>
    <row r="226" spans="1:10" ht="20.100000000000001" customHeight="1" x14ac:dyDescent="0.2">
      <c r="D226" s="19" t="s">
        <v>1218</v>
      </c>
      <c r="E226" s="19" t="s">
        <v>1243</v>
      </c>
      <c r="F226" s="19" t="s">
        <v>2398</v>
      </c>
      <c r="G226" s="19" t="s">
        <v>2740</v>
      </c>
      <c r="H226" s="19">
        <v>8.06</v>
      </c>
      <c r="I226" s="19" t="s">
        <v>2667</v>
      </c>
      <c r="J226" s="19" t="s">
        <v>1441</v>
      </c>
    </row>
    <row r="227" spans="1:10" ht="20.100000000000001" customHeight="1" x14ac:dyDescent="0.2">
      <c r="D227" s="19" t="s">
        <v>1218</v>
      </c>
      <c r="E227" s="19" t="s">
        <v>2745</v>
      </c>
      <c r="F227" s="19" t="s">
        <v>2398</v>
      </c>
      <c r="G227" s="19" t="s">
        <v>2740</v>
      </c>
      <c r="H227" s="19">
        <v>8.8000000000000007</v>
      </c>
      <c r="I227" s="19" t="s">
        <v>2667</v>
      </c>
      <c r="J227" s="19" t="s">
        <v>1441</v>
      </c>
    </row>
    <row r="228" spans="1:10" ht="20.100000000000001" customHeight="1" x14ac:dyDescent="0.2">
      <c r="D228" s="19" t="s">
        <v>1218</v>
      </c>
      <c r="E228" s="19" t="s">
        <v>1236</v>
      </c>
      <c r="F228" s="19" t="s">
        <v>2398</v>
      </c>
      <c r="G228" s="19" t="s">
        <v>2740</v>
      </c>
      <c r="H228" s="19">
        <v>9.16</v>
      </c>
      <c r="I228" s="19" t="s">
        <v>2667</v>
      </c>
      <c r="J228" s="19" t="s">
        <v>1441</v>
      </c>
    </row>
    <row r="229" spans="1:10" ht="20.100000000000001" customHeight="1" x14ac:dyDescent="0.2">
      <c r="A229" s="129" t="str">
        <f>HYPERLINK("#A1", "▲ Back to top")</f>
        <v>▲ Back to top</v>
      </c>
      <c r="D229" s="19" t="s">
        <v>1218</v>
      </c>
      <c r="E229" s="19" t="s">
        <v>2746</v>
      </c>
      <c r="F229" s="19" t="s">
        <v>2398</v>
      </c>
      <c r="G229" s="19" t="s">
        <v>2740</v>
      </c>
      <c r="H229" s="19">
        <v>8.57</v>
      </c>
      <c r="I229" s="19" t="s">
        <v>2667</v>
      </c>
      <c r="J229" s="19" t="s">
        <v>1441</v>
      </c>
    </row>
    <row r="230" spans="1:10" ht="20.100000000000001" customHeight="1" x14ac:dyDescent="0.2">
      <c r="D230" s="19" t="s">
        <v>1218</v>
      </c>
      <c r="E230" s="19" t="s">
        <v>1241</v>
      </c>
      <c r="F230" s="19" t="s">
        <v>2398</v>
      </c>
      <c r="G230" s="19" t="s">
        <v>2740</v>
      </c>
      <c r="H230" s="19">
        <v>8.8000000000000007</v>
      </c>
      <c r="I230" s="19" t="s">
        <v>2667</v>
      </c>
      <c r="J230" s="19" t="s">
        <v>1441</v>
      </c>
    </row>
    <row r="231" spans="1:10" ht="20.100000000000001" customHeight="1" x14ac:dyDescent="0.2">
      <c r="D231" s="19" t="s">
        <v>1218</v>
      </c>
      <c r="E231" s="19" t="s">
        <v>1244</v>
      </c>
      <c r="F231" s="19" t="s">
        <v>2398</v>
      </c>
      <c r="G231" s="19" t="s">
        <v>2740</v>
      </c>
      <c r="H231" s="19">
        <v>6.16</v>
      </c>
      <c r="I231" s="19" t="s">
        <v>2667</v>
      </c>
      <c r="J231" s="19" t="s">
        <v>1441</v>
      </c>
    </row>
    <row r="233" spans="1:10" ht="20.100000000000001" customHeight="1" x14ac:dyDescent="0.2">
      <c r="D233" s="2" t="s">
        <v>1457</v>
      </c>
    </row>
    <row r="234" spans="1:10" ht="20.100000000000001" customHeight="1" x14ac:dyDescent="0.2">
      <c r="D234" s="19" t="s">
        <v>1434</v>
      </c>
      <c r="E234" s="19" t="s">
        <v>131</v>
      </c>
      <c r="F234" s="19" t="s">
        <v>1435</v>
      </c>
      <c r="G234" s="19" t="s">
        <v>1436</v>
      </c>
      <c r="H234" s="19" t="s">
        <v>1437</v>
      </c>
      <c r="I234" s="19" t="s">
        <v>1438</v>
      </c>
      <c r="J234" s="19" t="s">
        <v>829</v>
      </c>
    </row>
    <row r="235" spans="1:10" ht="20.100000000000001" customHeight="1" x14ac:dyDescent="0.2">
      <c r="D235" s="19" t="s">
        <v>1457</v>
      </c>
      <c r="E235" s="19" t="s">
        <v>2747</v>
      </c>
      <c r="F235" s="19" t="s">
        <v>1263</v>
      </c>
      <c r="G235" s="19" t="s">
        <v>738</v>
      </c>
      <c r="H235" s="19">
        <v>6.5199999999999994E-2</v>
      </c>
      <c r="I235" s="19" t="s">
        <v>2667</v>
      </c>
      <c r="J235" s="19" t="s">
        <v>1441</v>
      </c>
    </row>
    <row r="236" spans="1:10" ht="20.100000000000001" customHeight="1" x14ac:dyDescent="0.2">
      <c r="D236" s="19" t="s">
        <v>1457</v>
      </c>
      <c r="E236" s="19" t="s">
        <v>2411</v>
      </c>
      <c r="F236" s="19" t="s">
        <v>1263</v>
      </c>
      <c r="G236" s="19" t="s">
        <v>738</v>
      </c>
      <c r="H236" s="19">
        <v>6.5199999999999994E-2</v>
      </c>
      <c r="I236" s="19" t="s">
        <v>2667</v>
      </c>
      <c r="J236" s="19" t="s">
        <v>1441</v>
      </c>
    </row>
    <row r="237" spans="1:10" ht="20.100000000000001" customHeight="1" x14ac:dyDescent="0.2">
      <c r="D237" s="19" t="s">
        <v>1457</v>
      </c>
      <c r="E237" s="19" t="s">
        <v>2748</v>
      </c>
      <c r="F237" s="19" t="s">
        <v>1263</v>
      </c>
      <c r="G237" s="19" t="s">
        <v>738</v>
      </c>
      <c r="H237" s="19">
        <v>4.8500000000000001E-2</v>
      </c>
      <c r="I237" s="19" t="s">
        <v>2667</v>
      </c>
      <c r="J237" s="19" t="s">
        <v>1441</v>
      </c>
    </row>
    <row r="240" spans="1:10" ht="20.100000000000001" customHeight="1" x14ac:dyDescent="0.2">
      <c r="D240" s="2" t="s">
        <v>1458</v>
      </c>
    </row>
    <row r="241" spans="4:18" ht="20.100000000000001" customHeight="1" x14ac:dyDescent="0.2">
      <c r="D241" s="19" t="s">
        <v>1434</v>
      </c>
      <c r="E241" s="19" t="s">
        <v>131</v>
      </c>
      <c r="F241" s="19" t="s">
        <v>1435</v>
      </c>
      <c r="G241" s="19" t="s">
        <v>1436</v>
      </c>
      <c r="H241" s="19" t="s">
        <v>1437</v>
      </c>
      <c r="I241" s="19" t="s">
        <v>1438</v>
      </c>
      <c r="J241" s="19" t="s">
        <v>829</v>
      </c>
      <c r="L241" s="19" t="s">
        <v>131</v>
      </c>
      <c r="M241" s="19" t="s">
        <v>1439</v>
      </c>
      <c r="N241" s="1" t="str">
        <f>"Table_ProductRegions_" &amp; SUBSTITUTE(SUBSTITUTE(SUBSTITUTE(SUBSTITUTE(L242, " ", ""), ",", ""), "(", ""), ")", "")</f>
        <v>Table_ProductRegions_Sardineswhole</v>
      </c>
      <c r="R241" s="1"/>
    </row>
    <row r="242" spans="4:18" ht="20.100000000000001" customHeight="1" x14ac:dyDescent="0.2">
      <c r="D242" s="19" t="s">
        <v>2749</v>
      </c>
      <c r="E242" s="19" t="s">
        <v>2750</v>
      </c>
      <c r="F242" s="19" t="s">
        <v>634</v>
      </c>
      <c r="G242" s="19" t="s">
        <v>738</v>
      </c>
      <c r="H242" s="19">
        <v>0.376</v>
      </c>
      <c r="I242" s="19" t="s">
        <v>2667</v>
      </c>
      <c r="J242" s="19" t="s">
        <v>1441</v>
      </c>
      <c r="L242" s="19" t="str">
        <f>Table_SourceData_Scope3_FishFeedAndBait[[#This Row],[Product]]</f>
        <v>Sardines (whole)</v>
      </c>
      <c r="M242" s="19" t="str">
        <f>Table_SourceData_Scope3_FishFeedAndBait[[#This Row],[Region of origin]]</f>
        <v>SA</v>
      </c>
      <c r="R242" s="1"/>
    </row>
    <row r="243" spans="4:18" ht="20.100000000000001" customHeight="1" x14ac:dyDescent="0.2">
      <c r="D243" s="19" t="s">
        <v>1458</v>
      </c>
      <c r="E243" s="19" t="s">
        <v>2750</v>
      </c>
      <c r="F243" s="19" t="s">
        <v>1263</v>
      </c>
      <c r="G243" s="19" t="s">
        <v>738</v>
      </c>
      <c r="H243" s="19">
        <v>0.3</v>
      </c>
      <c r="I243" s="19" t="s">
        <v>2751</v>
      </c>
      <c r="J243" s="19" t="s">
        <v>1459</v>
      </c>
      <c r="L243" s="1" t="str">
        <f>Table_SourceData_Scope3_FishFeedAndBait[[#This Row],[Product]]</f>
        <v>Sardines (whole)</v>
      </c>
      <c r="M243" s="1" t="str">
        <f>Table_SourceData_Scope3_FishFeedAndBait[[#This Row],[Region of origin]]</f>
        <v>Australia</v>
      </c>
      <c r="R243" s="1"/>
    </row>
    <row r="244" spans="4:18" ht="20.100000000000001" customHeight="1" x14ac:dyDescent="0.2">
      <c r="D244" s="19" t="s">
        <v>1458</v>
      </c>
      <c r="E244" s="19" t="s">
        <v>2752</v>
      </c>
      <c r="F244" s="19" t="s">
        <v>1263</v>
      </c>
      <c r="G244" s="19" t="s">
        <v>738</v>
      </c>
      <c r="H244" s="19">
        <v>2.2000000000000002</v>
      </c>
      <c r="I244" s="19" t="s">
        <v>2751</v>
      </c>
      <c r="J244" s="19" t="s">
        <v>1459</v>
      </c>
      <c r="R244" s="1"/>
    </row>
    <row r="245" spans="4:18" ht="20.100000000000001" customHeight="1" x14ac:dyDescent="0.2">
      <c r="D245" s="19" t="s">
        <v>1458</v>
      </c>
      <c r="E245" s="19" t="s">
        <v>2753</v>
      </c>
      <c r="F245" s="19" t="s">
        <v>1263</v>
      </c>
      <c r="G245" s="19" t="s">
        <v>738</v>
      </c>
      <c r="H245" s="19">
        <v>0.3</v>
      </c>
      <c r="I245" s="19" t="s">
        <v>2751</v>
      </c>
      <c r="J245" s="19" t="s">
        <v>1459</v>
      </c>
      <c r="R245" s="1"/>
    </row>
    <row r="246" spans="4:18" ht="20.100000000000001" customHeight="1" x14ac:dyDescent="0.2">
      <c r="D246" s="19" t="s">
        <v>1458</v>
      </c>
      <c r="E246" s="19" t="s">
        <v>2754</v>
      </c>
      <c r="F246" s="19" t="s">
        <v>1263</v>
      </c>
      <c r="G246" s="19" t="s">
        <v>738</v>
      </c>
      <c r="H246" s="19">
        <v>0.3</v>
      </c>
      <c r="I246" s="19" t="s">
        <v>2751</v>
      </c>
      <c r="J246" s="19" t="s">
        <v>1459</v>
      </c>
      <c r="R246" s="1"/>
    </row>
    <row r="247" spans="4:18" ht="20.100000000000001" customHeight="1" x14ac:dyDescent="0.2">
      <c r="D247" s="19" t="s">
        <v>1458</v>
      </c>
      <c r="E247" s="19" t="s">
        <v>2755</v>
      </c>
      <c r="F247" s="19" t="s">
        <v>1263</v>
      </c>
      <c r="G247" s="19" t="s">
        <v>738</v>
      </c>
      <c r="H247" s="19">
        <v>0.08</v>
      </c>
      <c r="I247" s="19" t="s">
        <v>2751</v>
      </c>
      <c r="J247" s="19" t="s">
        <v>1459</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BCD3A-3A3D-4316-924F-18DA0DDB7C4E}">
  <sheetPr>
    <tabColor theme="2" tint="-0.499984740745262"/>
  </sheetPr>
  <dimension ref="A1:BY332"/>
  <sheetViews>
    <sheetView showGridLines="0" zoomScaleNormal="100" workbookViewId="0">
      <pane xSplit="1" topLeftCell="B1" activePane="topRight" state="frozenSplit"/>
      <selection pane="topRight" activeCell="A67" sqref="A67"/>
    </sheetView>
  </sheetViews>
  <sheetFormatPr defaultColWidth="9.140625" defaultRowHeight="20.100000000000001" customHeight="1" x14ac:dyDescent="0.2"/>
  <cols>
    <col min="1" max="1" width="36.7109375" style="21" customWidth="1"/>
    <col min="2" max="2" width="2.7109375" style="2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1" customWidth="1"/>
    <col min="34" max="39" width="21.85546875" style="21" customWidth="1"/>
    <col min="40" max="44" width="20.7109375" style="21" customWidth="1"/>
    <col min="45" max="65" width="9.140625" style="21"/>
    <col min="66" max="16384" width="9.140625" style="24"/>
  </cols>
  <sheetData>
    <row r="1" spans="1:65" s="20" customFormat="1" ht="30" customHeight="1" x14ac:dyDescent="0.35">
      <c r="A1" s="10" t="e" vm="1">
        <v>#VALUE!</v>
      </c>
      <c r="C1" s="20" t="s">
        <v>20</v>
      </c>
    </row>
    <row r="2" spans="1:65" s="3" customFormat="1" ht="20.100000000000001" customHeight="1" x14ac:dyDescent="0.2">
      <c r="A2"/>
    </row>
    <row r="3" spans="1:6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3"/>
      <c r="W3" s="23"/>
    </row>
    <row r="4" spans="1:65" ht="20.100000000000001" customHeight="1" x14ac:dyDescent="0.2">
      <c r="A4" s="5" t="str">
        <f>HYPERLINK("#'Results - Activity period'!A1", "Results - Activity period")</f>
        <v>Results - Activity period</v>
      </c>
      <c r="BM4" s="24"/>
    </row>
    <row r="5" spans="1:65" ht="20.100000000000001" customHeight="1" x14ac:dyDescent="0.2">
      <c r="A5" s="5" t="str">
        <f>HYPERLINK("#'Results - Product EI'!A1", "Results - Product Emissions Intensity")</f>
        <v>Results - Product Emissions Intensity</v>
      </c>
      <c r="D5" s="2" t="s">
        <v>2756</v>
      </c>
      <c r="BM5" s="24"/>
    </row>
    <row r="6" spans="1:65" ht="20.100000000000001" customHeight="1" x14ac:dyDescent="0.2">
      <c r="A6" s="5" t="str">
        <f>HYPERLINK("#'Results'!A1", "Results")</f>
        <v>Results</v>
      </c>
      <c r="D6" s="19" t="s">
        <v>21</v>
      </c>
      <c r="E6" s="19" t="s">
        <v>22</v>
      </c>
      <c r="F6" s="19" t="s">
        <v>23</v>
      </c>
    </row>
    <row r="7" spans="1:65" ht="20.100000000000001" customHeight="1" x14ac:dyDescent="0.2">
      <c r="A7"/>
      <c r="D7" s="19" t="s">
        <v>2341</v>
      </c>
      <c r="E7" s="19" t="s">
        <v>2341</v>
      </c>
      <c r="F7" s="19" t="s">
        <v>631</v>
      </c>
    </row>
    <row r="8" spans="1:65" ht="20.100000000000001" customHeight="1" x14ac:dyDescent="0.2">
      <c r="A8"/>
      <c r="D8" s="19" t="s">
        <v>2757</v>
      </c>
      <c r="E8" s="19" t="s">
        <v>630</v>
      </c>
      <c r="F8" s="19" t="s">
        <v>630</v>
      </c>
    </row>
    <row r="9" spans="1:65" ht="20.100000000000001" customHeight="1" x14ac:dyDescent="0.2">
      <c r="A9" s="7" t="s">
        <v>0</v>
      </c>
      <c r="D9" s="19" t="s">
        <v>2342</v>
      </c>
      <c r="E9" s="19" t="s">
        <v>2342</v>
      </c>
      <c r="F9" s="19" t="s">
        <v>636</v>
      </c>
    </row>
    <row r="10" spans="1:65" ht="20.100000000000001" customHeight="1" x14ac:dyDescent="0.2">
      <c r="A10" s="5" t="str">
        <f>HYPERLINK("#'Input - Enterprise'!A1", "Enterprise")</f>
        <v>Enterprise</v>
      </c>
      <c r="D10" s="19" t="s">
        <v>2343</v>
      </c>
      <c r="E10" s="19" t="s">
        <v>2343</v>
      </c>
      <c r="F10" s="19" t="s">
        <v>633</v>
      </c>
    </row>
    <row r="11" spans="1:65" ht="20.100000000000001" customHeight="1" x14ac:dyDescent="0.2">
      <c r="A11" s="5" t="str">
        <f>HYPERLINK("#'Input - Site'!A1", "Site")</f>
        <v>Site</v>
      </c>
      <c r="D11" s="19" t="s">
        <v>2344</v>
      </c>
      <c r="E11" s="19" t="s">
        <v>2344</v>
      </c>
      <c r="F11" s="19" t="s">
        <v>634</v>
      </c>
      <c r="BM11" s="24"/>
    </row>
    <row r="12" spans="1:65" ht="20.100000000000001" customHeight="1" x14ac:dyDescent="0.2">
      <c r="A12" s="5" t="str">
        <f>HYPERLINK("#'Input - Dairy'!A1", "Dairy")</f>
        <v>Dairy</v>
      </c>
      <c r="D12" s="19" t="s">
        <v>99</v>
      </c>
      <c r="E12" s="19" t="s">
        <v>99</v>
      </c>
      <c r="F12" s="19" t="s">
        <v>637</v>
      </c>
      <c r="BM12" s="24"/>
    </row>
    <row r="13" spans="1:65" ht="20.100000000000001" customHeight="1" x14ac:dyDescent="0.2">
      <c r="A13" s="5" t="str">
        <f>HYPERLINK("#'Input - Livestock sales'!A1", "Livestock sales")</f>
        <v>Livestock sales</v>
      </c>
      <c r="D13" s="19" t="s">
        <v>2346</v>
      </c>
      <c r="E13" s="19" t="s">
        <v>2346</v>
      </c>
      <c r="F13" s="19" t="s">
        <v>635</v>
      </c>
    </row>
    <row r="14" spans="1:65" ht="20.100000000000001" customHeight="1" x14ac:dyDescent="0.2">
      <c r="A14" s="5" t="str">
        <f>HYPERLINK("#'Input - Dairy cattle purchases'!A1", "Dairy cattle purchases")</f>
        <v>Dairy cattle purchases</v>
      </c>
      <c r="D14" s="19" t="s">
        <v>2664</v>
      </c>
      <c r="E14" s="19" t="s">
        <v>2664</v>
      </c>
      <c r="F14" s="19" t="s">
        <v>632</v>
      </c>
    </row>
    <row r="15" spans="1:65" ht="20.100000000000001" customHeight="1" x14ac:dyDescent="0.2">
      <c r="A15" s="5" t="str">
        <f>HYPERLINK("#'Input - Pasture'!A1", "Pasture")</f>
        <v>Pasture</v>
      </c>
    </row>
    <row r="16" spans="1:65" ht="20.100000000000001" customHeight="1" x14ac:dyDescent="0.2">
      <c r="A16" s="5" t="str">
        <f>HYPERLINK("#'Input - Fert Prod System'!A1", "Fert Prod System")</f>
        <v>Fert Prod System</v>
      </c>
    </row>
    <row r="17" spans="1:4" ht="20.100000000000001" customHeight="1" x14ac:dyDescent="0.2">
      <c r="A17" s="5" t="str">
        <f>HYPERLINK("#'Input - Fertiliser'!A1", "Fertiliser")</f>
        <v>Fertiliser</v>
      </c>
    </row>
    <row r="18" spans="1:4" ht="20.100000000000001" customHeight="1" x14ac:dyDescent="0.2">
      <c r="A18" s="5" t="str">
        <f>HYPERLINK("#'Input - Fuel'!A1", "Fuel")</f>
        <v>Fuel</v>
      </c>
      <c r="D18" s="2" t="s">
        <v>2758</v>
      </c>
    </row>
    <row r="19" spans="1:4" ht="20.100000000000001" customHeight="1" x14ac:dyDescent="0.2">
      <c r="A19" s="5" t="str">
        <f>HYPERLINK("#'Input - Electricity'!A1", "Electricity")</f>
        <v>Electricity</v>
      </c>
      <c r="D19" s="17" t="s">
        <v>2759</v>
      </c>
    </row>
    <row r="20" spans="1:4" ht="20.100000000000001" customHeight="1" x14ac:dyDescent="0.2">
      <c r="A20" s="5" t="str">
        <f>HYPERLINK("#'Input - Common farm inputs'!A1", "Common farm inputs")</f>
        <v>Common farm inputs</v>
      </c>
      <c r="D20" s="19" t="s">
        <v>24</v>
      </c>
    </row>
    <row r="21" spans="1:4" ht="20.100000000000001" customHeight="1" x14ac:dyDescent="0.2">
      <c r="A21" s="5" t="str">
        <f>HYPERLINK("#'Input - Crop pasture farm input'!A1", "Crop pasture farm input")</f>
        <v>Crop pasture farm input</v>
      </c>
      <c r="D21" s="19" t="s">
        <v>2760</v>
      </c>
    </row>
    <row r="22" spans="1:4" ht="20.100000000000001" customHeight="1" x14ac:dyDescent="0.2">
      <c r="A22" s="5" t="str">
        <f>HYPERLINK("#'Input - Livestock farm Inputs'!A1", "Livestock farm Inputs")</f>
        <v>Livestock farm Inputs</v>
      </c>
      <c r="D22" s="19" t="s">
        <v>2761</v>
      </c>
    </row>
    <row r="23" spans="1:4" ht="20.100000000000001" customHeight="1" x14ac:dyDescent="0.2">
      <c r="A23" s="5" t="str">
        <f>HYPERLINK("#'Input - Freight'!A1", "Freight")</f>
        <v>Freight</v>
      </c>
      <c r="D23" s="19" t="s">
        <v>2762</v>
      </c>
    </row>
    <row r="24" spans="1:4" ht="20.100000000000001" customHeight="1" x14ac:dyDescent="0.2">
      <c r="A24" s="5" t="str">
        <f>HYPERLINK("#'Input - Solid waste'!A1", "Solid waste")</f>
        <v>Solid waste</v>
      </c>
      <c r="D24" s="19" t="s">
        <v>2763</v>
      </c>
    </row>
    <row r="25" spans="1:4" ht="20.100000000000001" customHeight="1" x14ac:dyDescent="0.2">
      <c r="A25" s="5" t="str">
        <f>HYPERLINK("#'Input - Manure sent off-site'!A1", "Manure sent off-site")</f>
        <v>Manure sent off-site</v>
      </c>
      <c r="D25" s="19" t="s">
        <v>2764</v>
      </c>
    </row>
    <row r="26" spans="1:4" ht="20.100000000000001" customHeight="1" x14ac:dyDescent="0.2">
      <c r="A26" s="5" t="str">
        <f>HYPERLINK("#'Input - Refrigerants'!A1", "Refrigerants")</f>
        <v>Refrigerants</v>
      </c>
      <c r="D26" s="19" t="s">
        <v>2765</v>
      </c>
    </row>
    <row r="27" spans="1:4" ht="20.100000000000001" customHeight="1" x14ac:dyDescent="0.2">
      <c r="A27" s="5" t="str">
        <f>HYPERLINK("#'Input - Data quality'!A1", "Data quality")</f>
        <v>Data quality</v>
      </c>
      <c r="D27" s="19" t="s">
        <v>2766</v>
      </c>
    </row>
    <row r="28" spans="1:4" ht="20.100000000000001" customHeight="1" x14ac:dyDescent="0.2">
      <c r="A28"/>
      <c r="D28" s="19" t="s">
        <v>2767</v>
      </c>
    </row>
    <row r="29" spans="1:4" ht="20.100000000000001" customHeight="1" x14ac:dyDescent="0.2">
      <c r="A29"/>
      <c r="D29" s="19" t="s">
        <v>2768</v>
      </c>
    </row>
    <row r="30" spans="1:4" ht="20.100000000000001" customHeight="1" x14ac:dyDescent="0.2">
      <c r="A30" s="6" t="s">
        <v>2</v>
      </c>
      <c r="D30" s="19" t="s">
        <v>102</v>
      </c>
    </row>
    <row r="31" spans="1:4" ht="20.100000000000001" customHeight="1" x14ac:dyDescent="0.2">
      <c r="A31" s="5" t="str">
        <f>HYPERLINK("#'3.3.1.1-2 Enteric Methane'!A1", "3.3.1.1-2 Enteric methane")</f>
        <v>3.3.1.1-2 Enteric methane</v>
      </c>
    </row>
    <row r="32" spans="1:4" ht="20.100000000000001" customHeight="1" x14ac:dyDescent="0.2">
      <c r="A32" s="5" t="str">
        <f>HYPERLINK("#'4.3.1.1-2 Methane'!A1", "4.3.1.1-2 Manure methane")</f>
        <v>4.3.1.1-2 Manure methane</v>
      </c>
    </row>
    <row r="33" spans="1:8" ht="20.100000000000001" customHeight="1" x14ac:dyDescent="0.2">
      <c r="A33" s="5" t="str">
        <f>HYPERLINK("#'4.3.1.3-4 Direct N20'!A1", "4.3.1.3-4 Direct N20")</f>
        <v>4.3.1.3-4 Direct N20</v>
      </c>
    </row>
    <row r="34" spans="1:8" ht="20.100000000000001" customHeight="1" x14ac:dyDescent="0.2">
      <c r="A34" s="5" t="str">
        <f>HYPERLINK("#'4.3.1.5 Atmos deposition'!A1", "4.3.1.5 Atmos deposition")</f>
        <v>4.3.1.5 Atmos deposition</v>
      </c>
      <c r="D34" s="2" t="s">
        <v>2769</v>
      </c>
    </row>
    <row r="35" spans="1:8" ht="20.100000000000001" customHeight="1" x14ac:dyDescent="0.2">
      <c r="A35" s="5" t="str">
        <f>HYPERLINK("#'4.3.1.6-7 Leaching and runoff'!A1", "4.3.1.6-7 Leaching &amp; runoff")</f>
        <v>4.3.1.6-7 Leaching &amp; runoff</v>
      </c>
      <c r="D35" s="17" t="s">
        <v>2770</v>
      </c>
    </row>
    <row r="36" spans="1:8" ht="20.100000000000001" customHeight="1" x14ac:dyDescent="0.2">
      <c r="A36" s="5" t="str">
        <f>HYPERLINK("#'4.3.1.8 Manure applied to soils'!A1", "4.3.1.8 Manure applied to soils")</f>
        <v>4.3.1.8 Manure applied to soils</v>
      </c>
      <c r="D36" s="19" t="s">
        <v>25</v>
      </c>
      <c r="E36" s="19" t="s">
        <v>26</v>
      </c>
    </row>
    <row r="37" spans="1:8" ht="20.100000000000001" customHeight="1" x14ac:dyDescent="0.2">
      <c r="A37" s="5" t="str">
        <f>HYPERLINK("#'4.3.1.9 Soil direct N2O'!A1", "4.3.1.9 Soil direct N2O")</f>
        <v>4.3.1.9 Soil direct N2O</v>
      </c>
      <c r="D37" s="19" t="s">
        <v>940</v>
      </c>
      <c r="E37" s="19">
        <v>1</v>
      </c>
    </row>
    <row r="38" spans="1:8" ht="20.100000000000001" customHeight="1" x14ac:dyDescent="0.2">
      <c r="A38" s="5" t="str">
        <f>HYPERLINK("#'4.3.1.10-11 Soil Atmos Dep'!A1", "4.3.1.10-11 Soil Atmos Deposition")</f>
        <v>4.3.1.10-11 Soil Atmos Deposition</v>
      </c>
      <c r="D38" s="19" t="s">
        <v>941</v>
      </c>
      <c r="E38" s="19">
        <v>28</v>
      </c>
    </row>
    <row r="39" spans="1:8" ht="20.100000000000001" customHeight="1" x14ac:dyDescent="0.2">
      <c r="A39" s="5" t="str">
        <f>HYPERLINK("#'4.3.1.12-13 Soil leach runoff'!A1", "4.3.1.12-13 Soil leach &amp; runoff")</f>
        <v>4.3.1.12-13 Soil leach &amp; runoff</v>
      </c>
      <c r="D39" s="19" t="s">
        <v>942</v>
      </c>
      <c r="E39" s="19">
        <v>265</v>
      </c>
    </row>
    <row r="40" spans="1:8" ht="20.100000000000001" customHeight="1" x14ac:dyDescent="0.2">
      <c r="A40" s="5" t="str">
        <f>HYPERLINK("#'5.1.1.1-2 Inorganic fert N2O'!A1", "5.1.1.1-2 Inorganic fert N2O")</f>
        <v>5.1.1.1-2 Inorganic fert N2O</v>
      </c>
      <c r="D40" s="19" t="s">
        <v>2771</v>
      </c>
      <c r="E40" s="19">
        <v>6630</v>
      </c>
    </row>
    <row r="41" spans="1:8" ht="20.100000000000001" customHeight="1" x14ac:dyDescent="0.2">
      <c r="A41" s="5" t="str">
        <f>HYPERLINK("#'5.1.1.3-4 Inorganic fert CO2'!A1", "5.1.1.3-4 Inorganic fert CO2")</f>
        <v>5.1.1.3-4 Inorganic fert CO2</v>
      </c>
      <c r="D41" s="19" t="s">
        <v>2772</v>
      </c>
      <c r="E41" s="19">
        <v>12200</v>
      </c>
    </row>
    <row r="42" spans="1:8" ht="20.100000000000001" customHeight="1" x14ac:dyDescent="0.2">
      <c r="A42" s="5" t="str">
        <f>HYPERLINK("#'5.2.1.1-2 Organic Fert N2O'!A1", "5.2.1.1-2 Organic fert N2O")</f>
        <v>5.2.1.1-2 Organic fert N2O</v>
      </c>
      <c r="D42" s="19" t="s">
        <v>2773</v>
      </c>
      <c r="E42" s="19">
        <v>22800</v>
      </c>
    </row>
    <row r="43" spans="1:8" ht="20.100000000000001" customHeight="1" x14ac:dyDescent="0.2">
      <c r="A43" s="5" t="str">
        <f>HYPERLINK("#'5.3.1.1-2 Lime CO2'!A1", "5.3.1.1-2 Lime CO2")</f>
        <v>5.3.1.1-2 Lime CO2</v>
      </c>
      <c r="D43" s="19" t="s">
        <v>2774</v>
      </c>
      <c r="E43" s="19">
        <v>17200</v>
      </c>
    </row>
    <row r="44" spans="1:8" ht="20.100000000000001" customHeight="1" x14ac:dyDescent="0.2">
      <c r="A44" s="5" t="str">
        <f>HYPERLINK("#'5.4.1.1-4 Atmos deposition'!A1", "5.4.1.1-4 Atmos. deposition")</f>
        <v>5.4.1.1-4 Atmos. deposition</v>
      </c>
    </row>
    <row r="45" spans="1:8" ht="20.100000000000001" customHeight="1" x14ac:dyDescent="0.2">
      <c r="A45" s="5" t="str">
        <f>HYPERLINK("#'5.5.1.1-2 Leaching and runoff'!A1", "5.5.1.1-2 Leaching &amp; runoff")</f>
        <v>5.5.1.1-2 Leaching &amp; runoff</v>
      </c>
      <c r="D45" s="2" t="s">
        <v>2775</v>
      </c>
    </row>
    <row r="46" spans="1:8" ht="20.100000000000001" customHeight="1" x14ac:dyDescent="0.2">
      <c r="A46" s="5" t="str">
        <f>HYPERLINK("#'6.2.1.1-2 Pasture residue N2O'!A1", "6.2.1.1-2 Pasture residue N2O")</f>
        <v>6.2.1.1-2 Pasture residue N2O</v>
      </c>
      <c r="D46" s="17" t="s">
        <v>2770</v>
      </c>
    </row>
    <row r="47" spans="1:8" ht="20.100000000000001" customHeight="1" x14ac:dyDescent="0.2">
      <c r="A47" s="5" t="str">
        <f>HYPERLINK("#'6.3.1.1-2 Leach runoff pasture'!A1", "6.3.1.1-2 Leach &amp; runoff (pasture)")</f>
        <v>6.3.1.1-2 Leach &amp; runoff (pasture)</v>
      </c>
      <c r="D47" s="19" t="s">
        <v>25</v>
      </c>
      <c r="E47" s="19" t="s">
        <v>27</v>
      </c>
      <c r="F47" s="19" t="s">
        <v>28</v>
      </c>
      <c r="G47" s="19" t="s">
        <v>29</v>
      </c>
      <c r="H47" s="19" t="s">
        <v>30</v>
      </c>
    </row>
    <row r="48" spans="1:8" ht="20.100000000000001" customHeight="1" x14ac:dyDescent="0.2">
      <c r="A48" s="5" t="str">
        <f>HYPERLINK("#'8.1.1.1-2 Transport fuel'!A1", "8.1.1.1-2 Transport fuel")</f>
        <v>8.1.1.1-2 Transport fuel</v>
      </c>
      <c r="D48" s="19" t="s">
        <v>940</v>
      </c>
      <c r="E48" s="19" t="s">
        <v>2776</v>
      </c>
      <c r="F48" s="19">
        <v>44</v>
      </c>
      <c r="G48" s="19">
        <v>12</v>
      </c>
      <c r="H48" s="19">
        <f>Table_GasToMolecularConversionFactor[[#This Row],[Conversion factor 1]]/Table_GasToMolecularConversionFactor[[#This Row],[Conversion factor 2]]</f>
        <v>3.6666666666666665</v>
      </c>
    </row>
    <row r="49" spans="1:8" ht="20.100000000000001" customHeight="1" x14ac:dyDescent="0.2">
      <c r="A49" s="5" t="str">
        <f>HYPERLINK("#'8.2.1.1-2 Stationary fuel'!A1", "8.2.1.1-2 Stationary fuel")</f>
        <v>8.2.1.1-2 Stationary fuel</v>
      </c>
      <c r="D49" s="19" t="s">
        <v>941</v>
      </c>
      <c r="E49" s="19" t="s">
        <v>2299</v>
      </c>
      <c r="F49" s="19">
        <v>16</v>
      </c>
      <c r="G49" s="19">
        <v>12</v>
      </c>
      <c r="H49" s="19">
        <f>Table_GasToMolecularConversionFactor[[#This Row],[Conversion factor 1]]/Table_GasToMolecularConversionFactor[[#This Row],[Conversion factor 2]]</f>
        <v>1.3333333333333333</v>
      </c>
    </row>
    <row r="50" spans="1:8" ht="20.100000000000001" customHeight="1" x14ac:dyDescent="0.2">
      <c r="A50" s="5" t="str">
        <f>HYPERLINK("#'9.1.1.1-2 Refrigerant use'!A1", "9.1.1.1-2 Refrigerant use")</f>
        <v>9.1.1.1-2 Refrigerant use</v>
      </c>
      <c r="D50" s="19" t="s">
        <v>942</v>
      </c>
      <c r="E50" s="19" t="s">
        <v>2300</v>
      </c>
      <c r="F50" s="19">
        <v>44</v>
      </c>
      <c r="G50" s="19">
        <v>28</v>
      </c>
      <c r="H50" s="19">
        <f>Table_GasToMolecularConversionFactor[[#This Row],[Conversion factor 1]]/Table_GasToMolecularConversionFactor[[#This Row],[Conversion factor 2]]</f>
        <v>1.5714285714285714</v>
      </c>
    </row>
    <row r="51" spans="1:8" ht="20.100000000000001" customHeight="1" x14ac:dyDescent="0.2">
      <c r="A51" s="5" t="str">
        <f>HYPERLINK("#'10.1.1-2 Solid waste treatment'!A1", "10.1.1.1-2 Solid waste")</f>
        <v>10.1.1.1-2 Solid waste</v>
      </c>
      <c r="D51" s="19" t="s">
        <v>2777</v>
      </c>
      <c r="E51" s="19" t="s">
        <v>2302</v>
      </c>
      <c r="F51" s="19">
        <v>46</v>
      </c>
      <c r="G51" s="19">
        <v>14</v>
      </c>
      <c r="H51" s="19">
        <f>Table_GasToMolecularConversionFactor[[#This Row],[Conversion factor 1]]/Table_GasToMolecularConversionFactor[[#This Row],[Conversion factor 2]]</f>
        <v>3.2857142857142856</v>
      </c>
    </row>
    <row r="52" spans="1:8" ht="20.100000000000001" customHeight="1" x14ac:dyDescent="0.2">
      <c r="A52" s="5" t="str">
        <f>HYPERLINK("#'14.1.1-2 Purchased electricity'!A1", "14.1.1-2 Purchased electricity")</f>
        <v>14.1.1-2 Purchased electricity</v>
      </c>
      <c r="D52" s="19" t="s">
        <v>2303</v>
      </c>
      <c r="E52" s="19" t="s">
        <v>2304</v>
      </c>
      <c r="F52" s="19">
        <v>28</v>
      </c>
      <c r="G52" s="19">
        <v>12</v>
      </c>
      <c r="H52" s="19">
        <f>Table_GasToMolecularConversionFactor[[#This Row],[Conversion factor 1]]/Table_GasToMolecularConversionFactor[[#This Row],[Conversion factor 2]]</f>
        <v>2.3333333333333335</v>
      </c>
    </row>
    <row r="53" spans="1:8" ht="20.100000000000001" customHeight="1" x14ac:dyDescent="0.2">
      <c r="A53" s="5" t="str">
        <f>HYPERLINK("#'15 Scope 3'!A1", "15 Scope 3")</f>
        <v>15 Scope 3</v>
      </c>
      <c r="D53" s="19" t="s">
        <v>2778</v>
      </c>
      <c r="E53" s="19" t="s">
        <v>2776</v>
      </c>
      <c r="F53" s="19">
        <v>44</v>
      </c>
      <c r="G53" s="19">
        <v>12</v>
      </c>
      <c r="H53" s="19">
        <f>Table_GasToMolecularConversionFactor[[#This Row],[Conversion factor 1]]/Table_GasToMolecularConversionFactor[[#This Row],[Conversion factor 2]]</f>
        <v>3.6666666666666665</v>
      </c>
    </row>
    <row r="54" spans="1:8" ht="20.100000000000001" customHeight="1" x14ac:dyDescent="0.2">
      <c r="A54" s="5" t="str">
        <f>HYPERLINK("#'Calcs - Manure sent off-site'!A1", "Calcs - Manure sent off-site")</f>
        <v>Calcs - Manure sent off-site</v>
      </c>
      <c r="D54" s="19" t="s">
        <v>2305</v>
      </c>
      <c r="E54" s="19" t="s">
        <v>2306</v>
      </c>
      <c r="F54" s="19">
        <v>14</v>
      </c>
      <c r="G54" s="19">
        <v>12</v>
      </c>
      <c r="H54" s="19">
        <f>Table_GasToMolecularConversionFactor[[#This Row],[Conversion factor 1]]/Table_GasToMolecularConversionFactor[[#This Row],[Conversion factor 2]]</f>
        <v>1.1666666666666667</v>
      </c>
    </row>
    <row r="55" spans="1:8" ht="20.100000000000001" customHeight="1" x14ac:dyDescent="0.2">
      <c r="A55"/>
    </row>
    <row r="56" spans="1:8" ht="20.100000000000001" customHeight="1" x14ac:dyDescent="0.2">
      <c r="A56"/>
    </row>
    <row r="57" spans="1:8" ht="20.100000000000001" customHeight="1" x14ac:dyDescent="0.2">
      <c r="A57" s="82" t="s">
        <v>1</v>
      </c>
      <c r="D57" s="2" t="s">
        <v>2779</v>
      </c>
    </row>
    <row r="58" spans="1:8" ht="20.100000000000001" customHeight="1" x14ac:dyDescent="0.2">
      <c r="A58" s="5" t="str">
        <f>HYPERLINK("#'Constants - Dairy'!A1", "Constants - Dairy")</f>
        <v>Constants - Dairy</v>
      </c>
      <c r="D58" s="17" t="s">
        <v>2780</v>
      </c>
    </row>
    <row r="59" spans="1:8" ht="20.100000000000001" customHeight="1" x14ac:dyDescent="0.2">
      <c r="A59" s="5" t="str">
        <f>HYPERLINK("#'Constants - Ag Residue'!A1", "Constants - Ag residue")</f>
        <v>Constants - Ag residue</v>
      </c>
      <c r="D59" s="25" t="str" cm="1">
        <f t="array" ref="D59:D61">"⚠️" &amp; Common_SourceData.Common_SourceData_WetAndDryZones_Variation()</f>
        <v>⚠️VARIATION OF SOURCE DATA:</v>
      </c>
    </row>
    <row r="60" spans="1:8" ht="20.100000000000001" customHeight="1" x14ac:dyDescent="0.2">
      <c r="A60" s="5" t="str">
        <f>HYPERLINK("#'Constants - Common Livestock'!A1", "Constants - Common Livestock")</f>
        <v>Constants - Common Livestock</v>
      </c>
      <c r="D60" s="25" t="str">
        <v>⚠️Added warm / cool temperate moist / dry - low frost and high temp classes to accommodate climate scenarios excluded by VEERG criteria.</v>
      </c>
    </row>
    <row r="61" spans="1:8" ht="20.100000000000001" customHeight="1" x14ac:dyDescent="0.2">
      <c r="A61" s="5" t="str">
        <f>HYPERLINK("#'Constants - Electricity'!A1", "Constants - Electricity")</f>
        <v>Constants - Electricity</v>
      </c>
      <c r="D61" s="25" t="str">
        <v>⚠️Fixed typo - Changed 'Fry' to 'Dry'.</v>
      </c>
    </row>
    <row r="62" spans="1:8" ht="20.100000000000001" customHeight="1" x14ac:dyDescent="0.2">
      <c r="A62" s="5" t="str">
        <f>HYPERLINK("#'Constants - Fertiliser'!A1", "Constants - Fertiliser")</f>
        <v>Constants - Fertiliser</v>
      </c>
    </row>
    <row r="63" spans="1:8" ht="20.100000000000001" customHeight="1" x14ac:dyDescent="0.2">
      <c r="A63" s="5" t="str">
        <f>HYPERLINK("#'Constants - Fuel'!A1", "Constants - Fuel")</f>
        <v>Constants - Fuel</v>
      </c>
      <c r="D63" s="19" t="s">
        <v>31</v>
      </c>
      <c r="E63" s="19" t="s">
        <v>32</v>
      </c>
    </row>
    <row r="64" spans="1:8" ht="20.100000000000001" customHeight="1" x14ac:dyDescent="0.2">
      <c r="A64" s="5" t="str">
        <f>HYPERLINK("#'Constants - Scope 3'!A1", "Constants - Scope 3")</f>
        <v>Constants - Scope 3</v>
      </c>
      <c r="D64" s="19" t="s">
        <v>2781</v>
      </c>
      <c r="E64" s="19" t="s">
        <v>2289</v>
      </c>
    </row>
    <row r="65" spans="1:5" ht="20.100000000000001" customHeight="1" x14ac:dyDescent="0.2">
      <c r="A65" s="83" t="str">
        <f>HYPERLINK("#'Constants - Common'!A1", "Constants - Common")</f>
        <v>Constants - Common</v>
      </c>
      <c r="D65" s="19" t="s">
        <v>2782</v>
      </c>
      <c r="E65" s="19" t="s">
        <v>2289</v>
      </c>
    </row>
    <row r="66" spans="1:5" ht="20.100000000000001" customHeight="1" x14ac:dyDescent="0.2">
      <c r="A66" s="5" t="str">
        <f>HYPERLINK("#'Constants - Refrigerants'!A1", "Constants - Refrigerants")</f>
        <v>Constants - Refrigerants</v>
      </c>
      <c r="D66" s="19" t="s">
        <v>2783</v>
      </c>
      <c r="E66" s="19" t="s">
        <v>2289</v>
      </c>
    </row>
    <row r="67" spans="1:5" ht="20.100000000000001" customHeight="1" x14ac:dyDescent="0.2">
      <c r="A67" s="5" t="str">
        <f>HYPERLINK("#'Constants - Solid Waste'!A1", "Constants - Solid Waste")</f>
        <v>Constants - Solid Waste</v>
      </c>
      <c r="D67" s="19" t="s">
        <v>2784</v>
      </c>
      <c r="E67" s="19" t="s">
        <v>2290</v>
      </c>
    </row>
    <row r="68" spans="1:5" ht="20.100000000000001" customHeight="1" x14ac:dyDescent="0.2">
      <c r="A68" s="5" t="str">
        <f>HYPERLINK("#'Acknowledgements'!A1", "Acknowledgements")</f>
        <v>Acknowledgements</v>
      </c>
      <c r="D68" s="19" t="s">
        <v>2785</v>
      </c>
      <c r="E68" s="19" t="s">
        <v>2289</v>
      </c>
    </row>
    <row r="69" spans="1:5" ht="20.100000000000001" customHeight="1" x14ac:dyDescent="0.2">
      <c r="A69"/>
      <c r="D69" s="19" t="s">
        <v>2786</v>
      </c>
      <c r="E69" s="19" t="s">
        <v>2290</v>
      </c>
    </row>
    <row r="70" spans="1:5" ht="20.100000000000001" customHeight="1" x14ac:dyDescent="0.2">
      <c r="A70"/>
      <c r="D70" s="19" t="s">
        <v>2787</v>
      </c>
      <c r="E70" s="19" t="s">
        <v>2289</v>
      </c>
    </row>
    <row r="71" spans="1:5" ht="20.100000000000001" customHeight="1" x14ac:dyDescent="0.2">
      <c r="A71"/>
      <c r="D71" s="19" t="s">
        <v>2788</v>
      </c>
      <c r="E71" s="19" t="s">
        <v>2290</v>
      </c>
    </row>
    <row r="72" spans="1:5" ht="20.100000000000001" customHeight="1" x14ac:dyDescent="0.2">
      <c r="A72"/>
      <c r="D72" s="19" t="s">
        <v>2789</v>
      </c>
      <c r="E72" s="19" t="s">
        <v>2289</v>
      </c>
    </row>
    <row r="73" spans="1:5" ht="20.100000000000001" customHeight="1" x14ac:dyDescent="0.2">
      <c r="A73"/>
      <c r="D73" s="19" t="s">
        <v>2790</v>
      </c>
      <c r="E73" s="19" t="s">
        <v>2290</v>
      </c>
    </row>
    <row r="74" spans="1:5" ht="20.100000000000001" customHeight="1" x14ac:dyDescent="0.2">
      <c r="A74"/>
      <c r="D74" s="19" t="s">
        <v>2791</v>
      </c>
      <c r="E74" s="19" t="s">
        <v>2289</v>
      </c>
    </row>
    <row r="75" spans="1:5" ht="20.100000000000001" customHeight="1" x14ac:dyDescent="0.2">
      <c r="A75"/>
      <c r="D75" s="19" t="s">
        <v>2792</v>
      </c>
      <c r="E75" s="19" t="s">
        <v>2290</v>
      </c>
    </row>
    <row r="76" spans="1:5" ht="20.100000000000001" customHeight="1" x14ac:dyDescent="0.2">
      <c r="A76"/>
      <c r="D76" s="19" t="s">
        <v>2793</v>
      </c>
      <c r="E76" s="19" t="s">
        <v>2289</v>
      </c>
    </row>
    <row r="77" spans="1:5" ht="20.100000000000001" customHeight="1" x14ac:dyDescent="0.2">
      <c r="A77"/>
      <c r="D77" s="19" t="s">
        <v>2794</v>
      </c>
      <c r="E77" s="19" t="s">
        <v>2290</v>
      </c>
    </row>
    <row r="78" spans="1:5" ht="20.100000000000001" customHeight="1" x14ac:dyDescent="0.2">
      <c r="A78"/>
    </row>
    <row r="79" spans="1:5" ht="20.100000000000001" customHeight="1" x14ac:dyDescent="0.2">
      <c r="A79" s="129" t="str">
        <f>HYPERLINK("#A1", "▲ Back to top")</f>
        <v>▲ Back to top</v>
      </c>
    </row>
    <row r="80" spans="1:5" ht="20.100000000000001" customHeight="1" x14ac:dyDescent="0.2">
      <c r="A80"/>
    </row>
    <row r="81" spans="1:20" ht="20.100000000000001" customHeight="1" x14ac:dyDescent="0.2">
      <c r="A81"/>
      <c r="D81" s="2" t="s">
        <v>2795</v>
      </c>
    </row>
    <row r="82" spans="1:20" ht="20.100000000000001" customHeight="1" x14ac:dyDescent="0.2">
      <c r="A82"/>
      <c r="D82" s="17" t="s">
        <v>2796</v>
      </c>
    </row>
    <row r="83" spans="1:20" ht="20.100000000000001" customHeight="1" x14ac:dyDescent="0.2">
      <c r="A83"/>
      <c r="D83" s="25" t="str" cm="1">
        <f t="array" ref="D83:D87">"⚠️" &amp; Common_SourceData.Common_SourceData_ClimateZones_Variation()</f>
        <v>⚠️VARIATION OF SOURCE DATA:</v>
      </c>
    </row>
    <row r="84" spans="1:20" ht="20.100000000000001" customHeight="1" x14ac:dyDescent="0.2">
      <c r="A84"/>
      <c r="D84" s="25" t="str">
        <v>⚠️Added warm / cool temperate moist / dry - low frost and high temp classes to accommodate climate scenarios excluded by VEERG criteria.</v>
      </c>
    </row>
    <row r="85" spans="1:20" ht="20.100000000000001" customHeight="1" x14ac:dyDescent="0.2">
      <c r="A85"/>
      <c r="D85" s="25" t="str">
        <v>⚠️Fixed typo in MAT value for warm temperate dry - changed 10 to 11.</v>
      </c>
    </row>
    <row r="86" spans="1:20" ht="20.100000000000001" customHeight="1" x14ac:dyDescent="0.2">
      <c r="A86"/>
      <c r="D86" s="25" t="str">
        <v>⚠️Added min and max columns for MAT, MAP, frost days per year, elevation, MAP:PET to calculate zones from real climate data.</v>
      </c>
    </row>
    <row r="87" spans="1:20" ht="20.100000000000001" customHeight="1" x14ac:dyDescent="0.2">
      <c r="A87"/>
      <c r="D87" s="25" t="str">
        <v>⚠️GAF accepts rainfall as a proxy for precipitation.</v>
      </c>
    </row>
    <row r="88" spans="1:20" ht="20.100000000000001" customHeight="1" x14ac:dyDescent="0.2">
      <c r="A88"/>
    </row>
    <row r="89" spans="1:20" ht="20.100000000000001" customHeight="1" x14ac:dyDescent="0.2">
      <c r="A89"/>
      <c r="D89" s="19" t="s">
        <v>31</v>
      </c>
      <c r="E89" s="19" t="s">
        <v>33</v>
      </c>
      <c r="F89" s="19" t="s">
        <v>34</v>
      </c>
      <c r="G89" s="19" t="s">
        <v>35</v>
      </c>
      <c r="H89" s="19" t="s">
        <v>36</v>
      </c>
      <c r="I89" s="19" t="s">
        <v>37</v>
      </c>
      <c r="J89" s="19" t="s">
        <v>38</v>
      </c>
      <c r="K89" s="19" t="s">
        <v>39</v>
      </c>
      <c r="L89" s="19" t="s">
        <v>40</v>
      </c>
      <c r="M89" s="19" t="s">
        <v>41</v>
      </c>
      <c r="N89" s="19" t="s">
        <v>42</v>
      </c>
      <c r="O89" s="19" t="s">
        <v>43</v>
      </c>
      <c r="P89" s="19" t="s">
        <v>44</v>
      </c>
      <c r="Q89" s="19" t="s">
        <v>45</v>
      </c>
      <c r="R89" s="19" t="s">
        <v>46</v>
      </c>
      <c r="S89" s="19" t="s">
        <v>47</v>
      </c>
      <c r="T89" s="19"/>
    </row>
    <row r="90" spans="1:20" ht="20.100000000000001" customHeight="1" x14ac:dyDescent="0.2">
      <c r="A90"/>
      <c r="D90" s="19" t="s">
        <v>2781</v>
      </c>
      <c r="E90" s="19" t="s">
        <v>2797</v>
      </c>
      <c r="F90" s="19" t="s">
        <v>2798</v>
      </c>
      <c r="G90" s="19" t="s">
        <v>2799</v>
      </c>
      <c r="H90" s="19" t="s">
        <v>2800</v>
      </c>
      <c r="I90" s="19" t="s">
        <v>2798</v>
      </c>
      <c r="J90" s="19">
        <v>18.001000000000001</v>
      </c>
      <c r="K90" s="19">
        <v>999999</v>
      </c>
      <c r="L90" s="19">
        <v>-999999</v>
      </c>
      <c r="M90" s="19">
        <v>999999</v>
      </c>
      <c r="N90" s="19">
        <v>-999999</v>
      </c>
      <c r="O90" s="19">
        <v>7</v>
      </c>
      <c r="P90" s="19">
        <v>1000</v>
      </c>
      <c r="Q90" s="19">
        <v>999999</v>
      </c>
      <c r="R90" s="19">
        <v>-999999</v>
      </c>
      <c r="S90" s="19">
        <v>999999</v>
      </c>
      <c r="T90" s="19"/>
    </row>
    <row r="91" spans="1:20" ht="20.100000000000001" customHeight="1" x14ac:dyDescent="0.2">
      <c r="A91"/>
      <c r="D91" s="19" t="s">
        <v>2782</v>
      </c>
      <c r="E91" s="19" t="s">
        <v>2797</v>
      </c>
      <c r="F91" s="19" t="s">
        <v>2801</v>
      </c>
      <c r="G91" s="19" t="s">
        <v>2799</v>
      </c>
      <c r="H91" s="19" t="s">
        <v>2802</v>
      </c>
      <c r="I91" s="19" t="s">
        <v>2798</v>
      </c>
      <c r="J91" s="19">
        <v>18.001000000000001</v>
      </c>
      <c r="K91" s="19">
        <v>999999</v>
      </c>
      <c r="L91" s="19">
        <v>2000.001</v>
      </c>
      <c r="M91" s="19">
        <v>999999</v>
      </c>
      <c r="N91" s="19">
        <v>-999999</v>
      </c>
      <c r="O91" s="19">
        <v>7</v>
      </c>
      <c r="P91" s="19">
        <v>-999999</v>
      </c>
      <c r="Q91" s="19">
        <v>999.99900000000002</v>
      </c>
      <c r="R91" s="19">
        <v>-999999</v>
      </c>
      <c r="S91" s="19">
        <v>999999</v>
      </c>
      <c r="T91" s="19"/>
    </row>
    <row r="92" spans="1:20" ht="20.100000000000001" customHeight="1" x14ac:dyDescent="0.2">
      <c r="A92"/>
      <c r="D92" s="19" t="s">
        <v>2783</v>
      </c>
      <c r="E92" s="19" t="s">
        <v>2797</v>
      </c>
      <c r="F92" s="19" t="s">
        <v>2803</v>
      </c>
      <c r="G92" s="19" t="s">
        <v>2799</v>
      </c>
      <c r="H92" s="19" t="s">
        <v>2802</v>
      </c>
      <c r="I92" s="19" t="s">
        <v>2798</v>
      </c>
      <c r="J92" s="19">
        <v>18.001000000000001</v>
      </c>
      <c r="K92" s="19">
        <v>999999</v>
      </c>
      <c r="L92" s="19">
        <v>1000.001</v>
      </c>
      <c r="M92" s="19">
        <v>2000</v>
      </c>
      <c r="N92" s="19">
        <v>-999999</v>
      </c>
      <c r="O92" s="19">
        <v>7</v>
      </c>
      <c r="P92" s="19">
        <v>-999999</v>
      </c>
      <c r="Q92" s="19">
        <v>999.99900000000002</v>
      </c>
      <c r="R92" s="19">
        <v>-999999</v>
      </c>
      <c r="S92" s="19">
        <v>999999</v>
      </c>
      <c r="T92" s="19"/>
    </row>
    <row r="93" spans="1:20" ht="20.100000000000001" customHeight="1" x14ac:dyDescent="0.2">
      <c r="A93"/>
      <c r="D93" s="19" t="s">
        <v>2784</v>
      </c>
      <c r="E93" s="19" t="s">
        <v>2797</v>
      </c>
      <c r="F93" s="19" t="s">
        <v>2804</v>
      </c>
      <c r="G93" s="19" t="s">
        <v>2799</v>
      </c>
      <c r="H93" s="19" t="s">
        <v>2802</v>
      </c>
      <c r="I93" s="19" t="s">
        <v>2798</v>
      </c>
      <c r="J93" s="19">
        <v>18.001000000000001</v>
      </c>
      <c r="K93" s="19">
        <v>999999</v>
      </c>
      <c r="L93" s="19">
        <v>-999999</v>
      </c>
      <c r="M93" s="19">
        <v>1000</v>
      </c>
      <c r="N93" s="19">
        <v>-999999</v>
      </c>
      <c r="O93" s="19">
        <v>7</v>
      </c>
      <c r="P93" s="19">
        <v>-999999</v>
      </c>
      <c r="Q93" s="19">
        <v>999.99900000000002</v>
      </c>
      <c r="R93" s="19">
        <v>-999999</v>
      </c>
      <c r="S93" s="19">
        <v>999999</v>
      </c>
      <c r="T93" s="19"/>
    </row>
    <row r="94" spans="1:20" ht="20.100000000000001" customHeight="1" x14ac:dyDescent="0.2">
      <c r="A94"/>
      <c r="D94" s="19" t="s">
        <v>2785</v>
      </c>
      <c r="E94" s="19" t="s">
        <v>2805</v>
      </c>
      <c r="F94" s="19" t="s">
        <v>2798</v>
      </c>
      <c r="G94" s="19" t="s">
        <v>2798</v>
      </c>
      <c r="H94" s="19" t="s">
        <v>2798</v>
      </c>
      <c r="I94" s="19" t="s">
        <v>2806</v>
      </c>
      <c r="J94" s="19">
        <v>10.000999999999999</v>
      </c>
      <c r="K94" s="19">
        <v>999999</v>
      </c>
      <c r="L94" s="19">
        <v>-999999</v>
      </c>
      <c r="M94" s="19">
        <v>999999</v>
      </c>
      <c r="N94" s="19">
        <v>-999999</v>
      </c>
      <c r="O94" s="19">
        <v>999999</v>
      </c>
      <c r="P94" s="19">
        <v>-999999</v>
      </c>
      <c r="Q94" s="19">
        <v>999999</v>
      </c>
      <c r="R94" s="19">
        <v>1.0009999999999999</v>
      </c>
      <c r="S94" s="19">
        <v>999999</v>
      </c>
      <c r="T94" s="19"/>
    </row>
    <row r="95" spans="1:20" ht="20.100000000000001" customHeight="1" x14ac:dyDescent="0.2">
      <c r="A95"/>
      <c r="D95" s="19" t="s">
        <v>2786</v>
      </c>
      <c r="E95" s="19" t="s">
        <v>2805</v>
      </c>
      <c r="F95" s="19" t="s">
        <v>2798</v>
      </c>
      <c r="G95" s="19" t="s">
        <v>2798</v>
      </c>
      <c r="H95" s="19" t="s">
        <v>2798</v>
      </c>
      <c r="I95" s="19" t="s">
        <v>2807</v>
      </c>
      <c r="J95" s="19">
        <v>10.000999999999999</v>
      </c>
      <c r="K95" s="19">
        <v>999999</v>
      </c>
      <c r="L95" s="19">
        <v>-999999</v>
      </c>
      <c r="M95" s="19">
        <v>999999</v>
      </c>
      <c r="N95" s="19">
        <v>-999999</v>
      </c>
      <c r="O95" s="19">
        <v>999999</v>
      </c>
      <c r="P95" s="19">
        <v>-999999</v>
      </c>
      <c r="Q95" s="19">
        <v>999999</v>
      </c>
      <c r="R95" s="19">
        <v>-999999</v>
      </c>
      <c r="S95" s="19">
        <v>1</v>
      </c>
      <c r="T95" s="19"/>
    </row>
    <row r="96" spans="1:20" ht="20.100000000000001" customHeight="1" x14ac:dyDescent="0.2">
      <c r="A96"/>
      <c r="D96" s="19" t="s">
        <v>2787</v>
      </c>
      <c r="E96" s="19" t="s">
        <v>2808</v>
      </c>
      <c r="F96" s="19" t="s">
        <v>2798</v>
      </c>
      <c r="G96" s="19" t="s">
        <v>2798</v>
      </c>
      <c r="H96" s="19" t="s">
        <v>2798</v>
      </c>
      <c r="I96" s="19" t="s">
        <v>2806</v>
      </c>
      <c r="J96" s="19">
        <v>-999999</v>
      </c>
      <c r="K96" s="19">
        <v>10</v>
      </c>
      <c r="L96" s="19">
        <v>-999999</v>
      </c>
      <c r="M96" s="19">
        <v>999999</v>
      </c>
      <c r="N96" s="19">
        <v>-999999</v>
      </c>
      <c r="O96" s="19">
        <v>999999</v>
      </c>
      <c r="P96" s="19">
        <v>-999999</v>
      </c>
      <c r="Q96" s="19">
        <v>999999</v>
      </c>
      <c r="R96" s="19">
        <v>1.0009999999999999</v>
      </c>
      <c r="S96" s="19">
        <v>999999</v>
      </c>
      <c r="T96" s="19"/>
    </row>
    <row r="97" spans="1:20" ht="20.100000000000001" customHeight="1" x14ac:dyDescent="0.2">
      <c r="A97"/>
      <c r="D97" s="19" t="s">
        <v>2788</v>
      </c>
      <c r="E97" s="19" t="s">
        <v>2808</v>
      </c>
      <c r="F97" s="19" t="s">
        <v>2798</v>
      </c>
      <c r="G97" s="19" t="s">
        <v>2798</v>
      </c>
      <c r="H97" s="19" t="s">
        <v>2798</v>
      </c>
      <c r="I97" s="19" t="s">
        <v>2807</v>
      </c>
      <c r="J97" s="19">
        <v>-999999</v>
      </c>
      <c r="K97" s="19">
        <v>10</v>
      </c>
      <c r="L97" s="19">
        <v>-999999</v>
      </c>
      <c r="M97" s="19">
        <v>999999</v>
      </c>
      <c r="N97" s="19">
        <v>-999999</v>
      </c>
      <c r="O97" s="19">
        <v>999999</v>
      </c>
      <c r="P97" s="19">
        <v>-999999</v>
      </c>
      <c r="Q97" s="19">
        <v>999999</v>
      </c>
      <c r="R97" s="19">
        <v>-999999</v>
      </c>
      <c r="S97" s="19">
        <v>1</v>
      </c>
      <c r="T97" s="19"/>
    </row>
    <row r="98" spans="1:20" ht="20.100000000000001" customHeight="1" x14ac:dyDescent="0.2">
      <c r="A98"/>
    </row>
    <row r="99" spans="1:20" ht="20.100000000000001" customHeight="1" x14ac:dyDescent="0.2">
      <c r="A99"/>
      <c r="D99" s="9" t="s">
        <v>2809</v>
      </c>
    </row>
    <row r="100" spans="1:20" ht="20.100000000000001" customHeight="1" x14ac:dyDescent="0.2">
      <c r="A100"/>
      <c r="D100" s="9" t="s">
        <v>2810</v>
      </c>
    </row>
    <row r="101" spans="1:20" ht="20.100000000000001" customHeight="1" x14ac:dyDescent="0.2">
      <c r="A101"/>
      <c r="D101" s="9" t="s">
        <v>2811</v>
      </c>
    </row>
    <row r="102" spans="1:20" ht="20.100000000000001" customHeight="1" x14ac:dyDescent="0.2">
      <c r="A102"/>
      <c r="D102" s="9" t="s">
        <v>2812</v>
      </c>
    </row>
    <row r="103" spans="1:20" ht="20.100000000000001" customHeight="1" x14ac:dyDescent="0.2">
      <c r="A103"/>
      <c r="D103" s="9"/>
    </row>
    <row r="104" spans="1:20" ht="20.100000000000001" customHeight="1" x14ac:dyDescent="0.2">
      <c r="A104"/>
    </row>
    <row r="105" spans="1:20" ht="20.100000000000001" customHeight="1" x14ac:dyDescent="0.2">
      <c r="A105"/>
      <c r="D105" s="2" t="s">
        <v>2813</v>
      </c>
    </row>
    <row r="106" spans="1:20" ht="20.100000000000001" customHeight="1" x14ac:dyDescent="0.2">
      <c r="A106"/>
      <c r="D106" s="17" t="s">
        <v>2796</v>
      </c>
    </row>
    <row r="107" spans="1:20" ht="20.100000000000001" customHeight="1" x14ac:dyDescent="0.2">
      <c r="A107"/>
      <c r="D107" s="2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s="129" t="str">
        <f>HYPERLINK("#A1", "▲ Back to top")</f>
        <v>▲ Back to top</v>
      </c>
      <c r="D109" s="19" t="s">
        <v>48</v>
      </c>
      <c r="E109" s="19" t="s">
        <v>33</v>
      </c>
      <c r="F109" s="19" t="s">
        <v>49</v>
      </c>
      <c r="G109" s="19" t="s">
        <v>50</v>
      </c>
    </row>
    <row r="110" spans="1:20" ht="20.100000000000001" customHeight="1" x14ac:dyDescent="0.2">
      <c r="A110"/>
      <c r="D110" s="19" t="s">
        <v>2814</v>
      </c>
      <c r="E110" s="19" t="s">
        <v>2815</v>
      </c>
      <c r="F110" s="19">
        <v>26</v>
      </c>
      <c r="G110" s="19">
        <v>999999</v>
      </c>
    </row>
    <row r="111" spans="1:20" ht="20.100000000000001" customHeight="1" x14ac:dyDescent="0.2">
      <c r="A111"/>
      <c r="D111" s="19" t="s">
        <v>2816</v>
      </c>
      <c r="E111" s="19" t="s">
        <v>2817</v>
      </c>
      <c r="F111" s="19">
        <v>15</v>
      </c>
      <c r="G111" s="19">
        <v>25.998999999999999</v>
      </c>
    </row>
    <row r="112" spans="1:20" ht="20.100000000000001" customHeight="1" x14ac:dyDescent="0.2">
      <c r="A112"/>
      <c r="D112" s="19" t="s">
        <v>2818</v>
      </c>
      <c r="E112" s="19" t="s">
        <v>2819</v>
      </c>
      <c r="F112" s="19">
        <v>-999999</v>
      </c>
      <c r="G112" s="19">
        <v>14.999000000000001</v>
      </c>
    </row>
    <row r="113" spans="1:66" ht="20.100000000000001" customHeight="1" x14ac:dyDescent="0.2">
      <c r="A113"/>
    </row>
    <row r="114" spans="1:66" ht="20.100000000000001" customHeight="1" x14ac:dyDescent="0.2">
      <c r="A114"/>
    </row>
    <row r="115" spans="1:66" ht="20.100000000000001" customHeight="1" x14ac:dyDescent="0.2">
      <c r="A115"/>
      <c r="D115" s="2" t="s">
        <v>2820</v>
      </c>
      <c r="BN115" s="21"/>
    </row>
    <row r="116" spans="1:66" ht="20.100000000000001" customHeight="1" x14ac:dyDescent="0.2">
      <c r="A116"/>
      <c r="D116" s="17" t="s">
        <v>2796</v>
      </c>
      <c r="BN116" s="21"/>
    </row>
    <row r="117" spans="1:66" ht="20.100000000000001" customHeight="1" x14ac:dyDescent="0.2">
      <c r="A117"/>
      <c r="D117" s="25" t="str" cm="1">
        <f t="array" ref="D117">"⚠️" &amp; Common_SourceData.Common_SourceData_RainfallZones_Variation()</f>
        <v>⚠️VARIATION OF SOURCE DATA: Added extra Rainfall min and Rainfall max columns to calculate zone from real rainfall data.</v>
      </c>
      <c r="BN117" s="21"/>
    </row>
    <row r="118" spans="1:66" ht="20.100000000000001" customHeight="1" x14ac:dyDescent="0.2">
      <c r="A118"/>
      <c r="BN118" s="21"/>
    </row>
    <row r="119" spans="1:66" ht="20.100000000000001" customHeight="1" x14ac:dyDescent="0.2">
      <c r="A119"/>
      <c r="D119" s="19" t="s">
        <v>51</v>
      </c>
      <c r="E119" s="19" t="s">
        <v>52</v>
      </c>
      <c r="F119" s="19" t="s">
        <v>40</v>
      </c>
      <c r="G119" s="19" t="s">
        <v>41</v>
      </c>
      <c r="BN119" s="21"/>
    </row>
    <row r="120" spans="1:66" ht="20.100000000000001" customHeight="1" x14ac:dyDescent="0.2">
      <c r="A120"/>
      <c r="D120" s="19" t="s">
        <v>2821</v>
      </c>
      <c r="E120" s="19" t="s">
        <v>2822</v>
      </c>
      <c r="F120" s="19">
        <v>600.00099999999998</v>
      </c>
      <c r="G120" s="19">
        <v>999999</v>
      </c>
      <c r="BN120" s="21"/>
    </row>
    <row r="121" spans="1:66" ht="20.100000000000001" customHeight="1" x14ac:dyDescent="0.2">
      <c r="A121"/>
      <c r="D121" s="19" t="s">
        <v>2823</v>
      </c>
      <c r="E121" s="19" t="s">
        <v>2824</v>
      </c>
      <c r="F121" s="19">
        <v>-999999</v>
      </c>
      <c r="G121" s="19">
        <v>600</v>
      </c>
      <c r="BN121" s="21"/>
    </row>
    <row r="122" spans="1:66" ht="20.100000000000001" customHeight="1" x14ac:dyDescent="0.2">
      <c r="A122"/>
      <c r="BN122" s="21"/>
    </row>
    <row r="123" spans="1:66" ht="20.100000000000001" customHeight="1" x14ac:dyDescent="0.2">
      <c r="A123"/>
    </row>
    <row r="124" spans="1:66" ht="20.100000000000001" customHeight="1" x14ac:dyDescent="0.2">
      <c r="A124"/>
      <c r="D124" s="2" t="s">
        <v>2825</v>
      </c>
    </row>
    <row r="125" spans="1:66" ht="20.100000000000001" customHeight="1" x14ac:dyDescent="0.2">
      <c r="A125"/>
      <c r="D125" s="17" t="s">
        <v>2796</v>
      </c>
    </row>
    <row r="126" spans="1:66" ht="20.100000000000001" customHeight="1" x14ac:dyDescent="0.2">
      <c r="A126"/>
    </row>
    <row r="127" spans="1:66" ht="20.100000000000001" customHeight="1" x14ac:dyDescent="0.2">
      <c r="A127"/>
      <c r="D127" s="19" t="s">
        <v>53</v>
      </c>
      <c r="E127" s="19" t="s">
        <v>54</v>
      </c>
    </row>
    <row r="128" spans="1:66" ht="20.100000000000001" customHeight="1" x14ac:dyDescent="0.2">
      <c r="A128"/>
      <c r="D128" s="19" t="s">
        <v>2826</v>
      </c>
      <c r="E128" s="19" t="s">
        <v>2827</v>
      </c>
    </row>
    <row r="129" spans="1:77" ht="20.100000000000001" customHeight="1" x14ac:dyDescent="0.2">
      <c r="A129"/>
      <c r="D129" s="19" t="s">
        <v>2828</v>
      </c>
      <c r="E129" s="19" t="s">
        <v>2829</v>
      </c>
    </row>
    <row r="130" spans="1:77" ht="20.100000000000001" customHeight="1" x14ac:dyDescent="0.2">
      <c r="A130"/>
    </row>
    <row r="131" spans="1:77" ht="20.100000000000001" customHeight="1" x14ac:dyDescent="0.2">
      <c r="A131"/>
    </row>
    <row r="132" spans="1:77" ht="20.100000000000001" customHeight="1" x14ac:dyDescent="0.2">
      <c r="A132"/>
      <c r="D132" s="2" t="s">
        <v>2830</v>
      </c>
      <c r="E132" s="8"/>
    </row>
    <row r="133" spans="1:77" ht="20.100000000000001" customHeight="1" x14ac:dyDescent="0.2">
      <c r="A133"/>
      <c r="D133" s="17" t="s">
        <v>2831</v>
      </c>
      <c r="E133" s="8"/>
    </row>
    <row r="134" spans="1:77" ht="20.100000000000001" customHeight="1" x14ac:dyDescent="0.2">
      <c r="A134"/>
      <c r="D134" t="s">
        <v>55</v>
      </c>
      <c r="E134" t="s">
        <v>56</v>
      </c>
    </row>
    <row r="135" spans="1:77" ht="20.100000000000001" customHeight="1" x14ac:dyDescent="0.2">
      <c r="A135"/>
      <c r="D135" t="s">
        <v>2832</v>
      </c>
      <c r="E135">
        <v>1</v>
      </c>
    </row>
    <row r="136" spans="1:77" ht="20.100000000000001" customHeight="1" x14ac:dyDescent="0.2">
      <c r="A136"/>
      <c r="D136" s="1" t="s">
        <v>2833</v>
      </c>
      <c r="E136" s="19">
        <v>0</v>
      </c>
    </row>
    <row r="137" spans="1:77" ht="20.100000000000001" customHeight="1" x14ac:dyDescent="0.2">
      <c r="A137"/>
    </row>
    <row r="138" spans="1:77" ht="20.100000000000001" customHeight="1" x14ac:dyDescent="0.2">
      <c r="A138"/>
      <c r="BN138" s="21"/>
      <c r="BO138" s="21"/>
      <c r="BP138" s="21"/>
      <c r="BQ138" s="21"/>
      <c r="BR138" s="21"/>
      <c r="BS138" s="21"/>
      <c r="BT138" s="21"/>
      <c r="BU138" s="21"/>
      <c r="BV138" s="21"/>
      <c r="BW138" s="21"/>
      <c r="BX138" s="21"/>
      <c r="BY138" s="21"/>
    </row>
    <row r="139" spans="1:77" ht="20.100000000000001" customHeight="1" x14ac:dyDescent="0.2">
      <c r="A139" s="129" t="str">
        <f>HYPERLINK("#A1", "▲ Back to top")</f>
        <v>▲ Back to top</v>
      </c>
      <c r="D139" s="2" t="s">
        <v>2834</v>
      </c>
      <c r="BN139" s="21"/>
      <c r="BO139" s="21"/>
      <c r="BP139" s="21"/>
      <c r="BQ139" s="21"/>
      <c r="BR139" s="21"/>
      <c r="BS139" s="21"/>
      <c r="BT139" s="21"/>
      <c r="BU139" s="21"/>
      <c r="BV139" s="21"/>
      <c r="BW139" s="21"/>
      <c r="BX139" s="21"/>
      <c r="BY139" s="21"/>
    </row>
    <row r="140" spans="1:77" ht="20.100000000000001" customHeight="1" x14ac:dyDescent="0.2">
      <c r="A140"/>
      <c r="D140" s="17" t="s">
        <v>2835</v>
      </c>
      <c r="BN140" s="21"/>
      <c r="BO140" s="21"/>
      <c r="BP140" s="21"/>
      <c r="BQ140" s="21"/>
      <c r="BR140" s="21"/>
      <c r="BS140" s="21"/>
      <c r="BT140" s="21"/>
      <c r="BU140" s="21"/>
      <c r="BV140" s="21"/>
      <c r="BW140" s="21"/>
      <c r="BX140" s="21"/>
      <c r="BY140" s="21"/>
    </row>
    <row r="141" spans="1:77" ht="20.100000000000001" customHeight="1" x14ac:dyDescent="0.2">
      <c r="A141"/>
      <c r="D141" s="25" t="s">
        <v>2836</v>
      </c>
      <c r="BN141" s="21"/>
    </row>
    <row r="142" spans="1:77" ht="20.100000000000001" customHeight="1" x14ac:dyDescent="0.2">
      <c r="A142"/>
      <c r="D142" s="19" t="s">
        <v>57</v>
      </c>
      <c r="E142" s="19" t="s">
        <v>56</v>
      </c>
      <c r="BN142" s="21"/>
    </row>
    <row r="143" spans="1:77" ht="20.100000000000001" customHeight="1" x14ac:dyDescent="0.2">
      <c r="A143"/>
      <c r="D143" s="19" t="s">
        <v>617</v>
      </c>
      <c r="E143" s="19">
        <v>0</v>
      </c>
      <c r="BN143" s="21"/>
    </row>
    <row r="144" spans="1:77" ht="20.100000000000001" customHeight="1" x14ac:dyDescent="0.2">
      <c r="A144"/>
      <c r="D144" s="1" t="s">
        <v>618</v>
      </c>
      <c r="E144" s="19">
        <v>0</v>
      </c>
      <c r="BN144" s="21"/>
    </row>
    <row r="145" spans="1:66" ht="20.100000000000001" customHeight="1" x14ac:dyDescent="0.2">
      <c r="A145"/>
      <c r="D145" s="1" t="s">
        <v>376</v>
      </c>
      <c r="E145" s="19">
        <v>1</v>
      </c>
      <c r="BN145" s="21"/>
    </row>
    <row r="146" spans="1:66" ht="20.100000000000001" customHeight="1" x14ac:dyDescent="0.2">
      <c r="A146"/>
      <c r="D146" s="1" t="s">
        <v>619</v>
      </c>
      <c r="E146" s="19">
        <v>1</v>
      </c>
      <c r="BN146" s="21"/>
    </row>
    <row r="147" spans="1:66" ht="20.100000000000001" customHeight="1" x14ac:dyDescent="0.2">
      <c r="A147"/>
      <c r="D147" s="1" t="s">
        <v>620</v>
      </c>
      <c r="E147" s="19">
        <v>1</v>
      </c>
      <c r="BN147" s="21"/>
    </row>
    <row r="148" spans="1:66" ht="20.100000000000001" customHeight="1" x14ac:dyDescent="0.2">
      <c r="A148"/>
      <c r="BN148" s="21"/>
    </row>
    <row r="149" spans="1:66" ht="20.100000000000001" customHeight="1" x14ac:dyDescent="0.2">
      <c r="A149"/>
      <c r="BN149" s="21"/>
    </row>
    <row r="150" spans="1:66" ht="20.100000000000001" customHeight="1" x14ac:dyDescent="0.2">
      <c r="A150"/>
      <c r="D150" s="2" t="s">
        <v>2837</v>
      </c>
      <c r="BN150" s="21"/>
    </row>
    <row r="151" spans="1:66" ht="20.100000000000001" customHeight="1" x14ac:dyDescent="0.2">
      <c r="A151"/>
      <c r="D151" s="17" t="s">
        <v>2838</v>
      </c>
      <c r="BN151" s="21"/>
    </row>
    <row r="152" spans="1:66" ht="20.100000000000001" customHeight="1" x14ac:dyDescent="0.2">
      <c r="A152"/>
      <c r="BN152" s="21"/>
    </row>
    <row r="153" spans="1:66" ht="20.100000000000001" customHeight="1" x14ac:dyDescent="0.2">
      <c r="A153"/>
      <c r="D153" s="19" t="s">
        <v>58</v>
      </c>
      <c r="E153" s="19" t="s">
        <v>59</v>
      </c>
      <c r="BC153" s="24"/>
      <c r="BD153" s="24"/>
      <c r="BE153" s="24"/>
      <c r="BF153" s="24"/>
      <c r="BG153" s="24"/>
      <c r="BH153" s="24"/>
      <c r="BI153" s="24"/>
      <c r="BJ153" s="24"/>
      <c r="BK153" s="24"/>
      <c r="BL153" s="24"/>
      <c r="BM153" s="24"/>
    </row>
    <row r="154" spans="1:66" ht="20.100000000000001" customHeight="1" x14ac:dyDescent="0.2">
      <c r="A154"/>
      <c r="D154" s="19" t="s">
        <v>2839</v>
      </c>
      <c r="E154" s="19">
        <v>1</v>
      </c>
      <c r="BC154" s="24"/>
      <c r="BD154" s="24"/>
      <c r="BE154" s="24"/>
      <c r="BF154" s="24"/>
      <c r="BG154" s="24"/>
      <c r="BH154" s="24"/>
      <c r="BI154" s="24"/>
      <c r="BJ154" s="24"/>
      <c r="BK154" s="24"/>
      <c r="BL154" s="24"/>
      <c r="BM154" s="24"/>
    </row>
    <row r="155" spans="1:66" ht="20.100000000000001" customHeight="1" x14ac:dyDescent="0.2">
      <c r="A155"/>
      <c r="D155" s="19" t="s">
        <v>2840</v>
      </c>
      <c r="E155" s="19">
        <v>2</v>
      </c>
      <c r="BC155" s="24"/>
      <c r="BD155" s="24"/>
      <c r="BE155" s="24"/>
      <c r="BF155" s="24"/>
      <c r="BG155" s="24"/>
      <c r="BH155" s="24"/>
      <c r="BI155" s="24"/>
      <c r="BJ155" s="24"/>
      <c r="BK155" s="24"/>
      <c r="BL155" s="24"/>
      <c r="BM155" s="24"/>
    </row>
    <row r="156" spans="1:66" ht="20.100000000000001" customHeight="1" x14ac:dyDescent="0.2">
      <c r="A156"/>
      <c r="D156" s="19" t="s">
        <v>2841</v>
      </c>
      <c r="E156" s="19">
        <v>3</v>
      </c>
    </row>
    <row r="157" spans="1:66" ht="20.100000000000001" customHeight="1" x14ac:dyDescent="0.2">
      <c r="A157"/>
      <c r="D157" s="19" t="s">
        <v>2842</v>
      </c>
      <c r="E157" s="19">
        <v>4</v>
      </c>
    </row>
    <row r="158" spans="1:66" ht="20.100000000000001" customHeight="1" x14ac:dyDescent="0.2">
      <c r="A158"/>
      <c r="D158" s="19" t="s">
        <v>1322</v>
      </c>
      <c r="E158" s="19">
        <v>5</v>
      </c>
    </row>
    <row r="159" spans="1:66" ht="20.100000000000001" customHeight="1" x14ac:dyDescent="0.2">
      <c r="A159"/>
    </row>
    <row r="160" spans="1:66" ht="20.100000000000001" customHeight="1" x14ac:dyDescent="0.2">
      <c r="A160"/>
    </row>
    <row r="161" spans="1:68" ht="20.100000000000001" customHeight="1" x14ac:dyDescent="0.2">
      <c r="A161"/>
      <c r="D161" s="2" t="s">
        <v>2830</v>
      </c>
      <c r="E161" s="8"/>
    </row>
    <row r="162" spans="1:68" ht="20.100000000000001" customHeight="1" x14ac:dyDescent="0.2">
      <c r="A162"/>
      <c r="D162" s="17" t="s">
        <v>2831</v>
      </c>
      <c r="E162" s="8"/>
    </row>
    <row r="163" spans="1:68" ht="20.100000000000001" customHeight="1" x14ac:dyDescent="0.2">
      <c r="A163"/>
      <c r="D163" s="17" t="s">
        <v>2843</v>
      </c>
      <c r="E163" s="8"/>
    </row>
    <row r="164" spans="1:68" ht="20.100000000000001" customHeight="1" x14ac:dyDescent="0.2">
      <c r="A164"/>
      <c r="D164" s="8" t="s">
        <v>1735</v>
      </c>
      <c r="E164" s="8">
        <v>0.24</v>
      </c>
    </row>
    <row r="165" spans="1:68" ht="20.100000000000001" customHeight="1" x14ac:dyDescent="0.2">
      <c r="A165"/>
      <c r="BN165" s="21"/>
      <c r="BO165" s="21"/>
      <c r="BP165" s="21"/>
    </row>
    <row r="166" spans="1:68" ht="20.100000000000001" customHeight="1" x14ac:dyDescent="0.2">
      <c r="A166"/>
      <c r="BN166" s="21"/>
      <c r="BO166" s="21"/>
      <c r="BP166" s="21"/>
    </row>
    <row r="167" spans="1:68" ht="20.100000000000001" customHeight="1" x14ac:dyDescent="0.2">
      <c r="A167"/>
      <c r="D167" s="2" t="s">
        <v>2416</v>
      </c>
      <c r="BN167" s="21"/>
      <c r="BO167" s="21"/>
      <c r="BP167" s="21"/>
    </row>
    <row r="168" spans="1:68" ht="20.100000000000001" customHeight="1" x14ac:dyDescent="0.2">
      <c r="A168"/>
      <c r="D168" s="17" t="s">
        <v>2831</v>
      </c>
      <c r="BN168" s="21"/>
      <c r="BO168" s="21"/>
      <c r="BP168" s="21"/>
    </row>
    <row r="169" spans="1:68" ht="20.100000000000001" customHeight="1" x14ac:dyDescent="0.2">
      <c r="A169" s="129" t="str">
        <f>HYPERLINK("#A1", "▲ Back to top")</f>
        <v>▲ Back to top</v>
      </c>
      <c r="D169" s="17" t="s">
        <v>2844</v>
      </c>
      <c r="BN169" s="21"/>
      <c r="BO169" s="21"/>
      <c r="BP169" s="21"/>
    </row>
    <row r="170" spans="1:68" ht="20.100000000000001" customHeight="1" x14ac:dyDescent="0.2">
      <c r="A170"/>
      <c r="D170" s="1" t="s">
        <v>2845</v>
      </c>
      <c r="E170" s="1">
        <v>1.0999999999999999E-2</v>
      </c>
      <c r="BN170" s="21"/>
      <c r="BO170" s="21"/>
      <c r="BP170" s="21"/>
    </row>
    <row r="171" spans="1:68" ht="20.100000000000001" customHeight="1" x14ac:dyDescent="0.2">
      <c r="A171"/>
      <c r="BN171" s="21"/>
      <c r="BO171" s="21"/>
      <c r="BP171" s="21"/>
    </row>
    <row r="172" spans="1:68" ht="20.100000000000001" customHeight="1" x14ac:dyDescent="0.2">
      <c r="A172"/>
      <c r="BN172" s="21"/>
      <c r="BO172" s="21"/>
      <c r="BP172" s="21"/>
    </row>
    <row r="173" spans="1:68" ht="20.100000000000001" customHeight="1" x14ac:dyDescent="0.2">
      <c r="A173"/>
      <c r="D173" s="2" t="s">
        <v>2846</v>
      </c>
      <c r="BN173" s="21"/>
      <c r="BO173" s="21"/>
      <c r="BP173" s="21"/>
    </row>
    <row r="174" spans="1:68" ht="20.100000000000001" customHeight="1" x14ac:dyDescent="0.2">
      <c r="A174"/>
      <c r="D174" s="17" t="s">
        <v>2847</v>
      </c>
      <c r="BN174" s="21"/>
      <c r="BO174" s="21"/>
      <c r="BP174" s="21"/>
    </row>
    <row r="175" spans="1:68" ht="20.100000000000001" customHeight="1" x14ac:dyDescent="0.2">
      <c r="A175"/>
      <c r="D175" s="1">
        <v>0.6784</v>
      </c>
      <c r="E175" s="9" t="s">
        <v>1582</v>
      </c>
      <c r="BN175" s="21"/>
      <c r="BO175" s="21"/>
      <c r="BP175" s="21"/>
    </row>
    <row r="176" spans="1:68" ht="20.100000000000001" customHeight="1" x14ac:dyDescent="0.2">
      <c r="A176"/>
      <c r="BN176" s="21"/>
      <c r="BO176" s="21"/>
      <c r="BP176" s="21"/>
    </row>
    <row r="177" spans="1:68" ht="20.100000000000001" customHeight="1" x14ac:dyDescent="0.2">
      <c r="A177"/>
      <c r="BN177" s="21"/>
      <c r="BO177" s="21"/>
      <c r="BP177" s="21"/>
    </row>
    <row r="178" spans="1:68" ht="20.100000000000001" customHeight="1" x14ac:dyDescent="0.2">
      <c r="A178"/>
      <c r="D178" s="2" t="s">
        <v>2848</v>
      </c>
      <c r="BN178" s="21"/>
      <c r="BO178" s="21"/>
      <c r="BP178" s="21"/>
    </row>
    <row r="179" spans="1:68" ht="20.100000000000001" customHeight="1" x14ac:dyDescent="0.2">
      <c r="A179"/>
      <c r="D179" s="17" t="s">
        <v>2849</v>
      </c>
      <c r="BN179" s="21"/>
      <c r="BO179" s="21"/>
      <c r="BP179" s="21"/>
    </row>
    <row r="180" spans="1:68" ht="20.100000000000001" customHeight="1" x14ac:dyDescent="0.2">
      <c r="A180"/>
      <c r="D180" s="9" t="s">
        <v>2850</v>
      </c>
    </row>
    <row r="181" spans="1:68" ht="20.100000000000001" customHeight="1" x14ac:dyDescent="0.2">
      <c r="A181"/>
      <c r="D181" s="25" t="s">
        <v>2851</v>
      </c>
    </row>
    <row r="182" spans="1:68" ht="20.100000000000001" customHeight="1" x14ac:dyDescent="0.2">
      <c r="A182"/>
      <c r="D182" s="25" t="s">
        <v>2852</v>
      </c>
    </row>
    <row r="183" spans="1:68" ht="20.100000000000001" customHeight="1" x14ac:dyDescent="0.2">
      <c r="A183"/>
      <c r="D183" s="25" t="s">
        <v>2853</v>
      </c>
    </row>
    <row r="184" spans="1:68" ht="20.100000000000001" customHeight="1" x14ac:dyDescent="0.2">
      <c r="A184"/>
      <c r="D184" s="25" t="s">
        <v>2854</v>
      </c>
    </row>
    <row r="185" spans="1:68" ht="20.100000000000001" customHeight="1" x14ac:dyDescent="0.2">
      <c r="A185"/>
      <c r="D185" s="25" t="s">
        <v>2855</v>
      </c>
    </row>
    <row r="186" spans="1:68" ht="20.100000000000001" customHeight="1" x14ac:dyDescent="0.2">
      <c r="A186"/>
      <c r="D186" s="19" t="s">
        <v>60</v>
      </c>
      <c r="E186" s="19" t="s">
        <v>61</v>
      </c>
      <c r="F186" s="19" t="s">
        <v>62</v>
      </c>
      <c r="G186" s="19" t="s">
        <v>63</v>
      </c>
      <c r="H186" s="19" t="s">
        <v>64</v>
      </c>
    </row>
    <row r="187" spans="1:68" ht="20.100000000000001" customHeight="1" x14ac:dyDescent="0.2">
      <c r="A187"/>
      <c r="D187" s="19" t="s">
        <v>2856</v>
      </c>
      <c r="E187" s="19">
        <v>5.8999999999999999E-3</v>
      </c>
      <c r="F187" s="19" t="s">
        <v>162</v>
      </c>
      <c r="G187" s="19" t="s">
        <v>2798</v>
      </c>
      <c r="H187" s="19" t="s">
        <v>2798</v>
      </c>
    </row>
    <row r="188" spans="1:68" ht="20.100000000000001" customHeight="1" x14ac:dyDescent="0.2">
      <c r="A188"/>
      <c r="D188" s="19" t="s">
        <v>2857</v>
      </c>
      <c r="E188" s="19">
        <v>7.0000000000000001E-3</v>
      </c>
      <c r="F188" s="19" t="s">
        <v>834</v>
      </c>
      <c r="G188" s="19" t="s">
        <v>2798</v>
      </c>
      <c r="H188" s="19" t="s">
        <v>2798</v>
      </c>
    </row>
    <row r="189" spans="1:68" ht="20.100000000000001" customHeight="1" x14ac:dyDescent="0.2">
      <c r="A189"/>
      <c r="D189" s="19" t="s">
        <v>2858</v>
      </c>
      <c r="E189" s="19">
        <v>1.8E-3</v>
      </c>
      <c r="F189" s="19" t="s">
        <v>162</v>
      </c>
      <c r="G189" s="19" t="s">
        <v>617</v>
      </c>
      <c r="H189" s="19" t="s">
        <v>2823</v>
      </c>
    </row>
    <row r="190" spans="1:68" ht="20.100000000000001" customHeight="1" x14ac:dyDescent="0.2">
      <c r="A190"/>
      <c r="D190" s="19" t="s">
        <v>2858</v>
      </c>
      <c r="E190" s="19">
        <v>1.8E-3</v>
      </c>
      <c r="F190" s="19" t="s">
        <v>162</v>
      </c>
      <c r="G190" s="19" t="s">
        <v>617</v>
      </c>
      <c r="H190" s="19" t="s">
        <v>2821</v>
      </c>
    </row>
    <row r="191" spans="1:68" ht="20.100000000000001" customHeight="1" x14ac:dyDescent="0.2">
      <c r="A191"/>
      <c r="D191" s="19" t="s">
        <v>2859</v>
      </c>
      <c r="E191" s="19">
        <v>2.8999999999999998E-3</v>
      </c>
      <c r="F191" s="19" t="s">
        <v>834</v>
      </c>
      <c r="G191" s="19" t="s">
        <v>617</v>
      </c>
      <c r="H191" s="19" t="s">
        <v>2823</v>
      </c>
    </row>
    <row r="192" spans="1:68" ht="20.100000000000001" customHeight="1" x14ac:dyDescent="0.2">
      <c r="A192"/>
      <c r="D192" s="19" t="s">
        <v>2860</v>
      </c>
      <c r="E192" s="19">
        <v>8.0000000000000002E-3</v>
      </c>
      <c r="F192" s="19" t="s">
        <v>834</v>
      </c>
      <c r="G192" s="19" t="s">
        <v>617</v>
      </c>
      <c r="H192" s="19" t="s">
        <v>2821</v>
      </c>
    </row>
    <row r="193" spans="1:8" ht="20.100000000000001" customHeight="1" x14ac:dyDescent="0.2">
      <c r="A193"/>
      <c r="D193" s="19" t="s">
        <v>2861</v>
      </c>
      <c r="E193" s="19">
        <v>1.9900000000000001E-2</v>
      </c>
      <c r="F193" s="19" t="s">
        <v>2861</v>
      </c>
      <c r="G193" s="19" t="s">
        <v>2798</v>
      </c>
      <c r="H193" s="19" t="s">
        <v>2798</v>
      </c>
    </row>
    <row r="194" spans="1:8" ht="20.100000000000001" customHeight="1" x14ac:dyDescent="0.2">
      <c r="A194"/>
      <c r="D194" s="19" t="s">
        <v>769</v>
      </c>
      <c r="E194" s="19">
        <v>5.3E-3</v>
      </c>
      <c r="F194" s="19" t="s">
        <v>769</v>
      </c>
      <c r="G194" s="19" t="s">
        <v>2798</v>
      </c>
      <c r="H194" s="19" t="s">
        <v>2798</v>
      </c>
    </row>
    <row r="195" spans="1:8" ht="20.100000000000001" customHeight="1" x14ac:dyDescent="0.2">
      <c r="A195"/>
      <c r="D195" s="19" t="s">
        <v>2862</v>
      </c>
      <c r="E195" s="19">
        <v>6.4000000000000003E-3</v>
      </c>
      <c r="F195" s="19" t="s">
        <v>2862</v>
      </c>
      <c r="G195" s="19" t="s">
        <v>2798</v>
      </c>
      <c r="H195" s="19" t="s">
        <v>2798</v>
      </c>
    </row>
    <row r="196" spans="1:8" ht="20.100000000000001" customHeight="1" x14ac:dyDescent="0.2">
      <c r="A196"/>
      <c r="D196" s="19" t="s">
        <v>2863</v>
      </c>
      <c r="E196" s="19">
        <v>3.0000000000000001E-3</v>
      </c>
      <c r="F196" s="19" t="s">
        <v>2273</v>
      </c>
      <c r="G196" s="19" t="s">
        <v>2864</v>
      </c>
      <c r="H196" s="19" t="s">
        <v>2798</v>
      </c>
    </row>
    <row r="197" spans="1:8" ht="20.100000000000001" customHeight="1" x14ac:dyDescent="0.2">
      <c r="A197"/>
      <c r="D197" s="19" t="s">
        <v>2865</v>
      </c>
      <c r="E197" s="19">
        <v>5.0000000000000001E-3</v>
      </c>
      <c r="F197" s="19" t="s">
        <v>2273</v>
      </c>
      <c r="G197" s="19" t="s">
        <v>2866</v>
      </c>
      <c r="H197" s="19" t="s">
        <v>2798</v>
      </c>
    </row>
    <row r="198" spans="1:8" ht="20.100000000000001" customHeight="1" x14ac:dyDescent="0.2">
      <c r="A198"/>
      <c r="D198" s="19" t="s">
        <v>2867</v>
      </c>
      <c r="E198" s="19">
        <v>2.5999999999999999E-3</v>
      </c>
      <c r="F198" s="19" t="s">
        <v>2867</v>
      </c>
      <c r="G198" s="19" t="s">
        <v>2798</v>
      </c>
      <c r="H198" s="19" t="s">
        <v>2798</v>
      </c>
    </row>
    <row r="199" spans="1:8" ht="20.100000000000001" customHeight="1" x14ac:dyDescent="0.2">
      <c r="A199" s="129" t="str">
        <f>HYPERLINK("#A1", "▲ Back to top")</f>
        <v>▲ Back to top</v>
      </c>
      <c r="D199" s="19" t="s">
        <v>2868</v>
      </c>
      <c r="E199" s="19">
        <v>1.8E-3</v>
      </c>
      <c r="F199" s="19" t="s">
        <v>2868</v>
      </c>
      <c r="G199" s="19" t="s">
        <v>2798</v>
      </c>
      <c r="H199" s="19" t="s">
        <v>2798</v>
      </c>
    </row>
    <row r="200" spans="1:8" ht="20.100000000000001" customHeight="1" x14ac:dyDescent="0.2">
      <c r="A200"/>
    </row>
    <row r="201" spans="1:8" ht="20.100000000000001" customHeight="1" x14ac:dyDescent="0.2">
      <c r="A201"/>
    </row>
    <row r="202" spans="1:8" ht="20.100000000000001" customHeight="1" x14ac:dyDescent="0.2">
      <c r="A202"/>
      <c r="D202" s="2" t="s">
        <v>2869</v>
      </c>
    </row>
    <row r="203" spans="1:8" ht="20.100000000000001" customHeight="1" x14ac:dyDescent="0.2">
      <c r="A203"/>
      <c r="D203" s="17" t="s">
        <v>2870</v>
      </c>
    </row>
    <row r="204" spans="1:8" ht="20.100000000000001" customHeight="1" x14ac:dyDescent="0.2">
      <c r="A204"/>
      <c r="D204" s="25" t="s">
        <v>2871</v>
      </c>
    </row>
    <row r="205" spans="1:8" ht="20.100000000000001" customHeight="1" x14ac:dyDescent="0.2">
      <c r="A205"/>
      <c r="D205" s="9" t="s">
        <v>2872</v>
      </c>
    </row>
    <row r="206" spans="1:8" ht="20.100000000000001" customHeight="1" x14ac:dyDescent="0.2">
      <c r="A206"/>
      <c r="D206" s="19" t="s">
        <v>31</v>
      </c>
      <c r="E206" s="19" t="s">
        <v>65</v>
      </c>
    </row>
    <row r="207" spans="1:8" ht="20.100000000000001" customHeight="1" x14ac:dyDescent="0.2">
      <c r="A207"/>
      <c r="D207" s="19" t="s">
        <v>2289</v>
      </c>
      <c r="E207" s="19">
        <v>6.0000000000000001E-3</v>
      </c>
    </row>
    <row r="208" spans="1:8" ht="20.100000000000001" customHeight="1" x14ac:dyDescent="0.2">
      <c r="A208"/>
      <c r="D208" s="1" t="s">
        <v>2290</v>
      </c>
      <c r="E208" s="19">
        <v>2E-3</v>
      </c>
    </row>
    <row r="209" spans="1:5" ht="20.100000000000001" customHeight="1" x14ac:dyDescent="0.2">
      <c r="A209"/>
    </row>
    <row r="210" spans="1:5" ht="20.100000000000001" customHeight="1" x14ac:dyDescent="0.2">
      <c r="A210"/>
    </row>
    <row r="211" spans="1:5" ht="20.100000000000001" customHeight="1" x14ac:dyDescent="0.2">
      <c r="A211"/>
      <c r="D211" s="1" t="s">
        <v>2873</v>
      </c>
    </row>
    <row r="212" spans="1:5" ht="20.100000000000001" customHeight="1" x14ac:dyDescent="0.2">
      <c r="A212"/>
      <c r="D212" s="19" t="s">
        <v>66</v>
      </c>
      <c r="E212" s="19" t="s">
        <v>67</v>
      </c>
    </row>
    <row r="213" spans="1:5" ht="20.100000000000001" customHeight="1" x14ac:dyDescent="0.2">
      <c r="A213"/>
      <c r="D213" s="19" t="s">
        <v>2874</v>
      </c>
      <c r="E213" s="19" t="s">
        <v>2875</v>
      </c>
    </row>
    <row r="214" spans="1:5" ht="20.100000000000001" customHeight="1" x14ac:dyDescent="0.2">
      <c r="A214"/>
      <c r="D214" s="1" t="s">
        <v>2876</v>
      </c>
      <c r="E214" s="19" t="s">
        <v>2875</v>
      </c>
    </row>
    <row r="215" spans="1:5" ht="20.100000000000001" customHeight="1" x14ac:dyDescent="0.2">
      <c r="A215"/>
      <c r="D215" s="1" t="s">
        <v>2877</v>
      </c>
      <c r="E215" s="19" t="s">
        <v>2878</v>
      </c>
    </row>
    <row r="216" spans="1:5" ht="20.100000000000001" customHeight="1" x14ac:dyDescent="0.2">
      <c r="A216"/>
      <c r="D216" s="1" t="s">
        <v>2879</v>
      </c>
      <c r="E216" s="19" t="s">
        <v>2878</v>
      </c>
    </row>
    <row r="217" spans="1:5" ht="20.100000000000001" customHeight="1" x14ac:dyDescent="0.2">
      <c r="A217"/>
      <c r="D217" s="1" t="s">
        <v>2880</v>
      </c>
      <c r="E217" s="19" t="s">
        <v>2878</v>
      </c>
    </row>
    <row r="218" spans="1:5" ht="20.100000000000001" customHeight="1" x14ac:dyDescent="0.2">
      <c r="A218"/>
      <c r="D218" s="1" t="s">
        <v>2881</v>
      </c>
      <c r="E218" s="19" t="s">
        <v>2882</v>
      </c>
    </row>
    <row r="219" spans="1:5" ht="20.100000000000001" customHeight="1" x14ac:dyDescent="0.2">
      <c r="A219"/>
      <c r="D219" s="1" t="s">
        <v>2883</v>
      </c>
      <c r="E219" s="19" t="s">
        <v>2882</v>
      </c>
    </row>
    <row r="220" spans="1:5" ht="20.100000000000001" customHeight="1" x14ac:dyDescent="0.2">
      <c r="A220"/>
      <c r="D220" s="1" t="s">
        <v>2884</v>
      </c>
      <c r="E220" s="19" t="s">
        <v>2882</v>
      </c>
    </row>
    <row r="221" spans="1:5" ht="20.100000000000001" customHeight="1" x14ac:dyDescent="0.2">
      <c r="A221"/>
      <c r="D221" s="1" t="s">
        <v>2885</v>
      </c>
      <c r="E221" s="19" t="s">
        <v>2886</v>
      </c>
    </row>
    <row r="222" spans="1:5" ht="20.100000000000001" customHeight="1" x14ac:dyDescent="0.2">
      <c r="A222"/>
      <c r="D222" s="1" t="s">
        <v>2887</v>
      </c>
      <c r="E222" s="19" t="s">
        <v>2886</v>
      </c>
    </row>
    <row r="223" spans="1:5" ht="20.100000000000001" customHeight="1" x14ac:dyDescent="0.2">
      <c r="A223"/>
      <c r="D223" s="1" t="s">
        <v>2888</v>
      </c>
      <c r="E223" s="19" t="s">
        <v>2886</v>
      </c>
    </row>
    <row r="224" spans="1:5" ht="20.100000000000001" customHeight="1" x14ac:dyDescent="0.2">
      <c r="A224"/>
      <c r="D224" s="1" t="s">
        <v>2889</v>
      </c>
      <c r="E224" s="19" t="s">
        <v>2875</v>
      </c>
    </row>
    <row r="225" spans="1:19" ht="20.100000000000001" customHeight="1" x14ac:dyDescent="0.2">
      <c r="A225"/>
    </row>
    <row r="226" spans="1:19" ht="20.100000000000001" customHeight="1" x14ac:dyDescent="0.2">
      <c r="A226"/>
    </row>
    <row r="227" spans="1:19" ht="20.100000000000001" customHeight="1" x14ac:dyDescent="0.2">
      <c r="A227"/>
      <c r="D227" s="2" t="s">
        <v>2890</v>
      </c>
    </row>
    <row r="228" spans="1:19" ht="20.100000000000001" customHeight="1" x14ac:dyDescent="0.2">
      <c r="A228"/>
      <c r="D228" s="17" t="s">
        <v>2891</v>
      </c>
    </row>
    <row r="229" spans="1:19" ht="20.100000000000001" customHeight="1" x14ac:dyDescent="0.2">
      <c r="A229" s="129" t="str">
        <f>HYPERLINK("#A1", "▲ Back to top")</f>
        <v>▲ Back to top</v>
      </c>
      <c r="D229" s="25" t="s">
        <v>2892</v>
      </c>
    </row>
    <row r="230" spans="1:19" ht="20.100000000000001" customHeight="1" x14ac:dyDescent="0.2">
      <c r="A230"/>
    </row>
    <row r="231" spans="1:19" ht="20.100000000000001" customHeight="1" x14ac:dyDescent="0.2">
      <c r="A231"/>
      <c r="D231" s="19" t="s">
        <v>68</v>
      </c>
      <c r="E231" s="19" t="s">
        <v>69</v>
      </c>
      <c r="F231" s="26" t="s">
        <v>70</v>
      </c>
      <c r="G231" s="19" t="s">
        <v>71</v>
      </c>
      <c r="H231" s="19" t="s">
        <v>72</v>
      </c>
      <c r="I231" s="19" t="s">
        <v>73</v>
      </c>
      <c r="J231" s="19" t="s">
        <v>74</v>
      </c>
      <c r="K231" s="19" t="s">
        <v>75</v>
      </c>
      <c r="L231" s="19" t="s">
        <v>76</v>
      </c>
      <c r="M231" s="19" t="s">
        <v>77</v>
      </c>
      <c r="N231" s="19" t="s">
        <v>78</v>
      </c>
      <c r="O231" s="19" t="s">
        <v>79</v>
      </c>
      <c r="P231" s="19" t="s">
        <v>80</v>
      </c>
      <c r="Q231" s="19" t="s">
        <v>81</v>
      </c>
      <c r="R231" s="19" t="s">
        <v>82</v>
      </c>
      <c r="S231" s="19" t="s">
        <v>83</v>
      </c>
    </row>
    <row r="232" spans="1:19" ht="20.100000000000001" customHeight="1" x14ac:dyDescent="0.2">
      <c r="A232"/>
      <c r="D232" s="19" t="s">
        <v>2818</v>
      </c>
      <c r="E232" s="19" t="s">
        <v>2893</v>
      </c>
      <c r="F232" s="19">
        <v>0.66</v>
      </c>
      <c r="G232" s="19">
        <v>0.1</v>
      </c>
      <c r="H232" s="19">
        <v>0.1</v>
      </c>
      <c r="I232" s="19">
        <v>1E-3</v>
      </c>
      <c r="J232" s="19">
        <v>5.0000000000000001E-3</v>
      </c>
      <c r="K232" s="19">
        <v>0.02</v>
      </c>
      <c r="L232" s="19">
        <v>0.03</v>
      </c>
      <c r="M232" s="19">
        <v>0.04</v>
      </c>
      <c r="N232" s="19">
        <v>1.4999999999999999E-2</v>
      </c>
      <c r="O232" s="19">
        <v>1.4999999999999999E-2</v>
      </c>
      <c r="P232" s="19">
        <v>0</v>
      </c>
      <c r="Q232" s="19">
        <v>0</v>
      </c>
      <c r="R232" s="19">
        <v>4.7000000000000002E-3</v>
      </c>
      <c r="S232" s="19">
        <v>10</v>
      </c>
    </row>
    <row r="233" spans="1:19" ht="20.100000000000001" customHeight="1" x14ac:dyDescent="0.2">
      <c r="A233"/>
      <c r="D233" s="1" t="s">
        <v>2818</v>
      </c>
      <c r="E233" s="19">
        <v>11</v>
      </c>
      <c r="F233" s="19">
        <v>0.68</v>
      </c>
      <c r="G233" s="19">
        <v>0.1</v>
      </c>
      <c r="H233" s="19">
        <v>0.11</v>
      </c>
      <c r="I233" s="19">
        <v>1E-3</v>
      </c>
      <c r="J233" s="19">
        <v>5.0000000000000001E-3</v>
      </c>
      <c r="K233" s="19">
        <v>0.02</v>
      </c>
      <c r="L233" s="19">
        <v>0.03</v>
      </c>
      <c r="M233" s="19">
        <v>0.04</v>
      </c>
      <c r="N233" s="19">
        <v>1.4999999999999999E-2</v>
      </c>
      <c r="O233" s="19">
        <v>1.4999999999999999E-2</v>
      </c>
      <c r="P233" s="19">
        <v>0</v>
      </c>
      <c r="Q233" s="19">
        <v>0</v>
      </c>
      <c r="R233" s="19">
        <v>4.7000000000000002E-3</v>
      </c>
      <c r="S233" s="19">
        <v>11</v>
      </c>
    </row>
    <row r="234" spans="1:19" ht="20.100000000000001" customHeight="1" x14ac:dyDescent="0.2">
      <c r="A234"/>
      <c r="D234" s="1" t="s">
        <v>2818</v>
      </c>
      <c r="E234" s="19">
        <v>12</v>
      </c>
      <c r="F234" s="19">
        <v>0.7</v>
      </c>
      <c r="G234" s="19">
        <v>0.1</v>
      </c>
      <c r="H234" s="19">
        <v>0.13</v>
      </c>
      <c r="I234" s="19">
        <v>1E-3</v>
      </c>
      <c r="J234" s="19">
        <v>5.0000000000000001E-3</v>
      </c>
      <c r="K234" s="19">
        <v>0.02</v>
      </c>
      <c r="L234" s="19">
        <v>0.03</v>
      </c>
      <c r="M234" s="19">
        <v>0.04</v>
      </c>
      <c r="N234" s="19">
        <v>1.4999999999999999E-2</v>
      </c>
      <c r="O234" s="19">
        <v>1.4999999999999999E-2</v>
      </c>
      <c r="P234" s="19">
        <v>0</v>
      </c>
      <c r="Q234" s="19">
        <v>0</v>
      </c>
      <c r="R234" s="19">
        <v>4.7000000000000002E-3</v>
      </c>
      <c r="S234" s="19">
        <v>12</v>
      </c>
    </row>
    <row r="235" spans="1:19" ht="20.100000000000001" customHeight="1" x14ac:dyDescent="0.2">
      <c r="A235"/>
      <c r="D235" s="1" t="s">
        <v>2818</v>
      </c>
      <c r="E235" s="19">
        <v>13</v>
      </c>
      <c r="F235" s="19">
        <v>0.71</v>
      </c>
      <c r="G235" s="19">
        <v>0.1</v>
      </c>
      <c r="H235" s="19">
        <v>0.14000000000000001</v>
      </c>
      <c r="I235" s="19">
        <v>1E-3</v>
      </c>
      <c r="J235" s="19">
        <v>5.0000000000000001E-3</v>
      </c>
      <c r="K235" s="19">
        <v>0.02</v>
      </c>
      <c r="L235" s="19">
        <v>0.03</v>
      </c>
      <c r="M235" s="19">
        <v>0.04</v>
      </c>
      <c r="N235" s="19">
        <v>1.4999999999999999E-2</v>
      </c>
      <c r="O235" s="19">
        <v>1.4999999999999999E-2</v>
      </c>
      <c r="P235" s="19">
        <v>0</v>
      </c>
      <c r="Q235" s="19">
        <v>0</v>
      </c>
      <c r="R235" s="19">
        <v>4.7000000000000002E-3</v>
      </c>
      <c r="S235" s="19">
        <v>13</v>
      </c>
    </row>
    <row r="236" spans="1:19" ht="20.100000000000001" customHeight="1" x14ac:dyDescent="0.2">
      <c r="A236"/>
      <c r="D236" s="1" t="s">
        <v>2818</v>
      </c>
      <c r="E236" s="19">
        <v>14</v>
      </c>
      <c r="F236" s="19">
        <v>0.73</v>
      </c>
      <c r="G236" s="19">
        <v>0.1</v>
      </c>
      <c r="H236" s="19">
        <v>0.15</v>
      </c>
      <c r="I236" s="19">
        <v>1E-3</v>
      </c>
      <c r="J236" s="19">
        <v>5.0000000000000001E-3</v>
      </c>
      <c r="K236" s="19">
        <v>0.02</v>
      </c>
      <c r="L236" s="19">
        <v>0.03</v>
      </c>
      <c r="M236" s="19">
        <v>0.04</v>
      </c>
      <c r="N236" s="19">
        <v>1.4999999999999999E-2</v>
      </c>
      <c r="O236" s="19">
        <v>1.4999999999999999E-2</v>
      </c>
      <c r="P236" s="19">
        <v>0</v>
      </c>
      <c r="Q236" s="19">
        <v>0</v>
      </c>
      <c r="R236" s="19">
        <v>4.7000000000000002E-3</v>
      </c>
      <c r="S236" s="19">
        <v>14</v>
      </c>
    </row>
    <row r="237" spans="1:19" ht="20.100000000000001" customHeight="1" x14ac:dyDescent="0.2">
      <c r="A237"/>
      <c r="D237" s="1" t="s">
        <v>2816</v>
      </c>
      <c r="E237" s="19">
        <v>15</v>
      </c>
      <c r="F237" s="19">
        <v>0.74</v>
      </c>
      <c r="G237" s="19">
        <v>0.1</v>
      </c>
      <c r="H237" s="19">
        <v>0.17</v>
      </c>
      <c r="I237" s="19">
        <v>5.0000000000000001E-3</v>
      </c>
      <c r="J237" s="19">
        <v>0.01</v>
      </c>
      <c r="K237" s="19">
        <v>0.02</v>
      </c>
      <c r="L237" s="19">
        <v>0.03</v>
      </c>
      <c r="M237" s="19">
        <v>0.04</v>
      </c>
      <c r="N237" s="19">
        <v>1.4999999999999999E-2</v>
      </c>
      <c r="O237" s="19">
        <v>1.4999999999999999E-2</v>
      </c>
      <c r="P237" s="19">
        <v>0</v>
      </c>
      <c r="Q237" s="19">
        <v>0</v>
      </c>
      <c r="R237" s="19">
        <v>4.7000000000000002E-3</v>
      </c>
      <c r="S237" s="19">
        <v>15</v>
      </c>
    </row>
    <row r="238" spans="1:19" ht="20.100000000000001" customHeight="1" x14ac:dyDescent="0.2">
      <c r="A238"/>
      <c r="D238" s="1" t="s">
        <v>2816</v>
      </c>
      <c r="E238" s="19">
        <v>16</v>
      </c>
      <c r="F238" s="19">
        <v>0.75</v>
      </c>
      <c r="G238" s="19">
        <v>0.1</v>
      </c>
      <c r="H238" s="19">
        <v>0.18</v>
      </c>
      <c r="I238" s="19">
        <v>5.0000000000000001E-3</v>
      </c>
      <c r="J238" s="19">
        <v>0.01</v>
      </c>
      <c r="K238" s="19">
        <v>0.02</v>
      </c>
      <c r="L238" s="19">
        <v>0.03</v>
      </c>
      <c r="M238" s="19">
        <v>0.04</v>
      </c>
      <c r="N238" s="19">
        <v>1.4999999999999999E-2</v>
      </c>
      <c r="O238" s="19">
        <v>1.4999999999999999E-2</v>
      </c>
      <c r="P238" s="19">
        <v>0</v>
      </c>
      <c r="Q238" s="19">
        <v>0</v>
      </c>
      <c r="R238" s="19">
        <v>4.7000000000000002E-3</v>
      </c>
      <c r="S238" s="19">
        <v>16</v>
      </c>
    </row>
    <row r="239" spans="1:19" ht="20.100000000000001" customHeight="1" x14ac:dyDescent="0.2">
      <c r="A239"/>
      <c r="D239" s="1" t="s">
        <v>2816</v>
      </c>
      <c r="E239" s="19">
        <v>17</v>
      </c>
      <c r="F239" s="19">
        <v>0.76</v>
      </c>
      <c r="G239" s="19">
        <v>0.1</v>
      </c>
      <c r="H239" s="19">
        <v>0.2</v>
      </c>
      <c r="I239" s="19">
        <v>5.0000000000000001E-3</v>
      </c>
      <c r="J239" s="19">
        <v>0.01</v>
      </c>
      <c r="K239" s="19">
        <v>0.02</v>
      </c>
      <c r="L239" s="19">
        <v>0.03</v>
      </c>
      <c r="M239" s="19">
        <v>0.04</v>
      </c>
      <c r="N239" s="19">
        <v>1.4999999999999999E-2</v>
      </c>
      <c r="O239" s="19">
        <v>1.4999999999999999E-2</v>
      </c>
      <c r="P239" s="19">
        <v>0</v>
      </c>
      <c r="Q239" s="19">
        <v>0</v>
      </c>
      <c r="R239" s="19">
        <v>4.7000000000000002E-3</v>
      </c>
      <c r="S239" s="19">
        <v>17</v>
      </c>
    </row>
    <row r="240" spans="1:19" ht="20.100000000000001" customHeight="1" x14ac:dyDescent="0.2">
      <c r="A240"/>
      <c r="D240" s="1" t="s">
        <v>2816</v>
      </c>
      <c r="E240" s="19">
        <v>18</v>
      </c>
      <c r="F240" s="19">
        <v>0.77</v>
      </c>
      <c r="G240" s="19">
        <v>0.1</v>
      </c>
      <c r="H240" s="19">
        <v>0.22</v>
      </c>
      <c r="I240" s="19">
        <v>5.0000000000000001E-3</v>
      </c>
      <c r="J240" s="19">
        <v>0.01</v>
      </c>
      <c r="K240" s="19">
        <v>0.02</v>
      </c>
      <c r="L240" s="19">
        <v>0.03</v>
      </c>
      <c r="M240" s="19">
        <v>0.04</v>
      </c>
      <c r="N240" s="19">
        <v>1.4999999999999999E-2</v>
      </c>
      <c r="O240" s="19">
        <v>1.4999999999999999E-2</v>
      </c>
      <c r="P240" s="19">
        <v>0</v>
      </c>
      <c r="Q240" s="19">
        <v>0</v>
      </c>
      <c r="R240" s="19">
        <v>4.7000000000000002E-3</v>
      </c>
      <c r="S240" s="19">
        <v>18</v>
      </c>
    </row>
    <row r="241" spans="1:19" ht="20.100000000000001" customHeight="1" x14ac:dyDescent="0.2">
      <c r="A241"/>
      <c r="D241" s="1" t="s">
        <v>2816</v>
      </c>
      <c r="E241" s="19">
        <v>19</v>
      </c>
      <c r="F241" s="19">
        <v>0.77</v>
      </c>
      <c r="G241" s="19">
        <v>0.1</v>
      </c>
      <c r="H241" s="19">
        <v>0.24</v>
      </c>
      <c r="I241" s="19">
        <v>5.0000000000000001E-3</v>
      </c>
      <c r="J241" s="19">
        <v>0.01</v>
      </c>
      <c r="K241" s="19">
        <v>0.02</v>
      </c>
      <c r="L241" s="19">
        <v>0.03</v>
      </c>
      <c r="M241" s="19">
        <v>0.04</v>
      </c>
      <c r="N241" s="19">
        <v>1.4999999999999999E-2</v>
      </c>
      <c r="O241" s="19">
        <v>1.4999999999999999E-2</v>
      </c>
      <c r="P241" s="19">
        <v>0</v>
      </c>
      <c r="Q241" s="19">
        <v>0</v>
      </c>
      <c r="R241" s="19">
        <v>4.7000000000000002E-3</v>
      </c>
      <c r="S241" s="19">
        <v>19</v>
      </c>
    </row>
    <row r="242" spans="1:19" ht="20.100000000000001" customHeight="1" x14ac:dyDescent="0.2">
      <c r="A242"/>
      <c r="D242" s="1" t="s">
        <v>2816</v>
      </c>
      <c r="E242" s="19">
        <v>20</v>
      </c>
      <c r="F242" s="19">
        <v>0.78</v>
      </c>
      <c r="G242" s="19">
        <v>0.1</v>
      </c>
      <c r="H242" s="19">
        <v>0.26</v>
      </c>
      <c r="I242" s="19">
        <v>5.0000000000000001E-3</v>
      </c>
      <c r="J242" s="19">
        <v>0.01</v>
      </c>
      <c r="K242" s="19">
        <v>0.02</v>
      </c>
      <c r="L242" s="19">
        <v>0.03</v>
      </c>
      <c r="M242" s="19">
        <v>0.04</v>
      </c>
      <c r="N242" s="19">
        <v>1.4999999999999999E-2</v>
      </c>
      <c r="O242" s="19">
        <v>1.4999999999999999E-2</v>
      </c>
      <c r="P242" s="19">
        <v>0</v>
      </c>
      <c r="Q242" s="19">
        <v>0</v>
      </c>
      <c r="R242" s="19">
        <v>4.7000000000000002E-3</v>
      </c>
      <c r="S242" s="19">
        <v>20</v>
      </c>
    </row>
    <row r="243" spans="1:19" ht="20.100000000000001" customHeight="1" x14ac:dyDescent="0.2">
      <c r="A243"/>
      <c r="D243" s="1" t="s">
        <v>2816</v>
      </c>
      <c r="E243" s="19">
        <v>21</v>
      </c>
      <c r="F243" s="19">
        <v>0.78</v>
      </c>
      <c r="G243" s="19">
        <v>0.1</v>
      </c>
      <c r="H243" s="19">
        <v>0.28999999999999998</v>
      </c>
      <c r="I243" s="19">
        <v>5.0000000000000001E-3</v>
      </c>
      <c r="J243" s="19">
        <v>0.01</v>
      </c>
      <c r="K243" s="19">
        <v>0.02</v>
      </c>
      <c r="L243" s="19">
        <v>0.03</v>
      </c>
      <c r="M243" s="19">
        <v>0.04</v>
      </c>
      <c r="N243" s="19">
        <v>1.4999999999999999E-2</v>
      </c>
      <c r="O243" s="19">
        <v>1.4999999999999999E-2</v>
      </c>
      <c r="P243" s="19">
        <v>0</v>
      </c>
      <c r="Q243" s="19">
        <v>0</v>
      </c>
      <c r="R243" s="19">
        <v>4.7000000000000002E-3</v>
      </c>
      <c r="S243" s="19">
        <v>21</v>
      </c>
    </row>
    <row r="244" spans="1:19" ht="20.100000000000001" customHeight="1" x14ac:dyDescent="0.2">
      <c r="A244"/>
      <c r="D244" s="1" t="s">
        <v>2816</v>
      </c>
      <c r="E244" s="19">
        <v>22</v>
      </c>
      <c r="F244" s="19">
        <v>0.78</v>
      </c>
      <c r="G244" s="19">
        <v>0.1</v>
      </c>
      <c r="H244" s="19">
        <v>0.31</v>
      </c>
      <c r="I244" s="19">
        <v>5.0000000000000001E-3</v>
      </c>
      <c r="J244" s="19">
        <v>0.01</v>
      </c>
      <c r="K244" s="19">
        <v>0.02</v>
      </c>
      <c r="L244" s="19">
        <v>0.03</v>
      </c>
      <c r="M244" s="19">
        <v>0.04</v>
      </c>
      <c r="N244" s="19">
        <v>1.4999999999999999E-2</v>
      </c>
      <c r="O244" s="19">
        <v>1.4999999999999999E-2</v>
      </c>
      <c r="P244" s="19">
        <v>0</v>
      </c>
      <c r="Q244" s="19">
        <v>0</v>
      </c>
      <c r="R244" s="19">
        <v>4.7000000000000002E-3</v>
      </c>
      <c r="S244" s="19">
        <v>22</v>
      </c>
    </row>
    <row r="245" spans="1:19" ht="20.100000000000001" customHeight="1" x14ac:dyDescent="0.2">
      <c r="A245"/>
      <c r="D245" s="1" t="s">
        <v>2816</v>
      </c>
      <c r="E245" s="19">
        <v>23</v>
      </c>
      <c r="F245" s="19">
        <v>0.79</v>
      </c>
      <c r="G245" s="19">
        <v>0.1</v>
      </c>
      <c r="H245" s="19">
        <v>0.34</v>
      </c>
      <c r="I245" s="19">
        <v>5.0000000000000001E-3</v>
      </c>
      <c r="J245" s="19">
        <v>0.01</v>
      </c>
      <c r="K245" s="19">
        <v>0.02</v>
      </c>
      <c r="L245" s="19">
        <v>0.03</v>
      </c>
      <c r="M245" s="19">
        <v>0.04</v>
      </c>
      <c r="N245" s="19">
        <v>1.4999999999999999E-2</v>
      </c>
      <c r="O245" s="19">
        <v>1.4999999999999999E-2</v>
      </c>
      <c r="P245" s="19">
        <v>0</v>
      </c>
      <c r="Q245" s="19">
        <v>0</v>
      </c>
      <c r="R245" s="19">
        <v>4.7000000000000002E-3</v>
      </c>
      <c r="S245" s="19">
        <v>23</v>
      </c>
    </row>
    <row r="246" spans="1:19" ht="20.100000000000001" customHeight="1" x14ac:dyDescent="0.2">
      <c r="A246"/>
      <c r="D246" s="1" t="s">
        <v>2816</v>
      </c>
      <c r="E246" s="19">
        <v>24</v>
      </c>
      <c r="F246" s="19">
        <v>0.79</v>
      </c>
      <c r="G246" s="19">
        <v>0.1</v>
      </c>
      <c r="H246" s="19">
        <v>0.37</v>
      </c>
      <c r="I246" s="19">
        <v>5.0000000000000001E-3</v>
      </c>
      <c r="J246" s="19">
        <v>0.01</v>
      </c>
      <c r="K246" s="19">
        <v>0.02</v>
      </c>
      <c r="L246" s="19">
        <v>0.03</v>
      </c>
      <c r="M246" s="19">
        <v>0.04</v>
      </c>
      <c r="N246" s="19">
        <v>1.4999999999999999E-2</v>
      </c>
      <c r="O246" s="19">
        <v>1.4999999999999999E-2</v>
      </c>
      <c r="P246" s="19">
        <v>0</v>
      </c>
      <c r="Q246" s="19">
        <v>0</v>
      </c>
      <c r="R246" s="19">
        <v>4.7000000000000002E-3</v>
      </c>
      <c r="S246" s="19">
        <v>24</v>
      </c>
    </row>
    <row r="247" spans="1:19" ht="20.100000000000001" customHeight="1" x14ac:dyDescent="0.2">
      <c r="A247"/>
      <c r="D247" s="1" t="s">
        <v>2816</v>
      </c>
      <c r="E247" s="19">
        <v>25</v>
      </c>
      <c r="F247" s="19">
        <v>0.79</v>
      </c>
      <c r="G247" s="19">
        <v>0.1</v>
      </c>
      <c r="H247" s="19">
        <v>0.41</v>
      </c>
      <c r="I247" s="19">
        <v>5.0000000000000001E-3</v>
      </c>
      <c r="J247" s="19">
        <v>0.01</v>
      </c>
      <c r="K247" s="19">
        <v>0.02</v>
      </c>
      <c r="L247" s="19">
        <v>0.03</v>
      </c>
      <c r="M247" s="19">
        <v>0.04</v>
      </c>
      <c r="N247" s="19">
        <v>1.4999999999999999E-2</v>
      </c>
      <c r="O247" s="19">
        <v>1.4999999999999999E-2</v>
      </c>
      <c r="P247" s="19">
        <v>0</v>
      </c>
      <c r="Q247" s="19">
        <v>0</v>
      </c>
      <c r="R247" s="19">
        <v>4.7000000000000002E-3</v>
      </c>
      <c r="S247" s="19">
        <v>25</v>
      </c>
    </row>
    <row r="248" spans="1:19" ht="20.100000000000001" customHeight="1" x14ac:dyDescent="0.2">
      <c r="A248"/>
      <c r="D248" s="1" t="s">
        <v>2814</v>
      </c>
      <c r="E248" s="19">
        <v>26</v>
      </c>
      <c r="F248" s="19">
        <v>0.79</v>
      </c>
      <c r="G248" s="19">
        <v>0.1</v>
      </c>
      <c r="H248" s="19">
        <v>0.44</v>
      </c>
      <c r="I248" s="19">
        <v>0.01</v>
      </c>
      <c r="J248" s="19">
        <v>1.4999999999999999E-2</v>
      </c>
      <c r="K248" s="19">
        <v>0.02</v>
      </c>
      <c r="L248" s="19">
        <v>0.03</v>
      </c>
      <c r="M248" s="19">
        <v>0.04</v>
      </c>
      <c r="N248" s="19">
        <v>1.4999999999999999E-2</v>
      </c>
      <c r="O248" s="19">
        <v>1.4999999999999999E-2</v>
      </c>
      <c r="P248" s="19">
        <v>0</v>
      </c>
      <c r="Q248" s="19">
        <v>0</v>
      </c>
      <c r="R248" s="19">
        <v>4.7000000000000002E-3</v>
      </c>
      <c r="S248" s="19">
        <v>26</v>
      </c>
    </row>
    <row r="249" spans="1:19" ht="20.100000000000001" customHeight="1" x14ac:dyDescent="0.2">
      <c r="A249"/>
      <c r="D249" s="1" t="s">
        <v>2814</v>
      </c>
      <c r="E249" s="19">
        <v>27</v>
      </c>
      <c r="F249" s="19">
        <v>0.8</v>
      </c>
      <c r="G249" s="19">
        <v>0.1</v>
      </c>
      <c r="H249" s="19">
        <v>0.48</v>
      </c>
      <c r="I249" s="19">
        <v>0.01</v>
      </c>
      <c r="J249" s="19">
        <v>1.4999999999999999E-2</v>
      </c>
      <c r="K249" s="19">
        <v>0.02</v>
      </c>
      <c r="L249" s="19">
        <v>0.03</v>
      </c>
      <c r="M249" s="19">
        <v>0.04</v>
      </c>
      <c r="N249" s="19">
        <v>1.4999999999999999E-2</v>
      </c>
      <c r="O249" s="19">
        <v>1.4999999999999999E-2</v>
      </c>
      <c r="P249" s="19">
        <v>0</v>
      </c>
      <c r="Q249" s="19">
        <v>0</v>
      </c>
      <c r="R249" s="19">
        <v>4.7000000000000002E-3</v>
      </c>
      <c r="S249" s="19">
        <v>27</v>
      </c>
    </row>
    <row r="250" spans="1:19" ht="20.100000000000001" customHeight="1" x14ac:dyDescent="0.2">
      <c r="A250"/>
      <c r="D250" s="1" t="s">
        <v>2814</v>
      </c>
      <c r="E250" s="19" t="s">
        <v>2894</v>
      </c>
      <c r="F250" s="19">
        <v>0.8</v>
      </c>
      <c r="G250" s="19">
        <v>0.1</v>
      </c>
      <c r="H250" s="19">
        <v>0.5</v>
      </c>
      <c r="I250" s="19">
        <v>0.01</v>
      </c>
      <c r="J250" s="19">
        <v>1.4999999999999999E-2</v>
      </c>
      <c r="K250" s="19">
        <v>0.02</v>
      </c>
      <c r="L250" s="19">
        <v>0.03</v>
      </c>
      <c r="M250" s="19">
        <v>0.04</v>
      </c>
      <c r="N250" s="19">
        <v>1.4999999999999999E-2</v>
      </c>
      <c r="O250" s="19">
        <v>1.4999999999999999E-2</v>
      </c>
      <c r="P250" s="19">
        <v>0</v>
      </c>
      <c r="Q250" s="19">
        <v>0</v>
      </c>
      <c r="R250" s="19">
        <v>4.7000000000000002E-3</v>
      </c>
      <c r="S250" s="19">
        <v>28</v>
      </c>
    </row>
    <row r="251" spans="1:19" ht="20.100000000000001" customHeight="1" x14ac:dyDescent="0.2">
      <c r="A251"/>
    </row>
    <row r="252" spans="1:19" ht="20.100000000000001" customHeight="1" x14ac:dyDescent="0.2">
      <c r="A252"/>
    </row>
    <row r="253" spans="1:19" ht="20.100000000000001" customHeight="1" x14ac:dyDescent="0.2">
      <c r="A253"/>
      <c r="D253" s="2" t="s">
        <v>2287</v>
      </c>
    </row>
    <row r="254" spans="1:19" ht="20.100000000000001" customHeight="1" x14ac:dyDescent="0.2">
      <c r="A254"/>
      <c r="D254" s="17" t="s">
        <v>2288</v>
      </c>
    </row>
    <row r="255" spans="1:19" ht="20.100000000000001" customHeight="1" x14ac:dyDescent="0.2">
      <c r="A255"/>
      <c r="D255" s="1" t="s">
        <v>85</v>
      </c>
    </row>
    <row r="256" spans="1:19" ht="20.100000000000001" customHeight="1" x14ac:dyDescent="0.2">
      <c r="A256"/>
      <c r="D256" s="9" t="s">
        <v>2872</v>
      </c>
    </row>
    <row r="257" spans="1:66" ht="20.100000000000001" customHeight="1" x14ac:dyDescent="0.2">
      <c r="A257"/>
      <c r="D257" s="19" t="s">
        <v>84</v>
      </c>
      <c r="E257" s="19" t="s">
        <v>85</v>
      </c>
    </row>
    <row r="258" spans="1:66" ht="20.100000000000001" customHeight="1" x14ac:dyDescent="0.2">
      <c r="A258"/>
      <c r="D258" s="19" t="s">
        <v>2289</v>
      </c>
      <c r="E258" s="19">
        <v>6.0000000000000001E-3</v>
      </c>
    </row>
    <row r="259" spans="1:66" ht="20.100000000000001" customHeight="1" x14ac:dyDescent="0.2">
      <c r="A259" s="129" t="str">
        <f>HYPERLINK("#A1", "▲ Back to top")</f>
        <v>▲ Back to top</v>
      </c>
      <c r="D259" s="1" t="s">
        <v>2290</v>
      </c>
      <c r="E259" s="19">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193</v>
      </c>
    </row>
    <row r="264" spans="1:66" ht="20.100000000000001" customHeight="1" x14ac:dyDescent="0.2">
      <c r="A264"/>
      <c r="D264" s="1" t="s">
        <v>194</v>
      </c>
    </row>
    <row r="265" spans="1:66" ht="20.100000000000001" customHeight="1" x14ac:dyDescent="0.2">
      <c r="A265"/>
      <c r="D265" s="19" t="s">
        <v>309</v>
      </c>
      <c r="E265" s="19" t="s">
        <v>195</v>
      </c>
      <c r="F265" s="19" t="s">
        <v>196</v>
      </c>
      <c r="G265" s="19" t="s">
        <v>189</v>
      </c>
      <c r="V265" s="1"/>
      <c r="BN265" s="21"/>
    </row>
    <row r="266" spans="1:66" ht="20.100000000000001" customHeight="1" x14ac:dyDescent="0.2">
      <c r="A266"/>
      <c r="D266" s="19" t="s">
        <v>287</v>
      </c>
      <c r="E266" s="19" t="s">
        <v>197</v>
      </c>
      <c r="F266" s="19" t="s">
        <v>198</v>
      </c>
      <c r="G266" s="19">
        <v>5</v>
      </c>
      <c r="V266" s="1"/>
      <c r="BN266" s="21"/>
    </row>
    <row r="267" spans="1:66" ht="20.100000000000001" customHeight="1" x14ac:dyDescent="0.2">
      <c r="A267"/>
      <c r="D267" s="19" t="s">
        <v>290</v>
      </c>
      <c r="E267" s="19" t="s">
        <v>199</v>
      </c>
      <c r="F267" s="19" t="s">
        <v>190</v>
      </c>
      <c r="G267" s="19">
        <v>4</v>
      </c>
      <c r="V267" s="1"/>
      <c r="BN267" s="21"/>
    </row>
    <row r="268" spans="1:66" ht="20.100000000000001" customHeight="1" x14ac:dyDescent="0.2">
      <c r="A268"/>
      <c r="D268" s="19" t="s">
        <v>293</v>
      </c>
      <c r="E268" s="19" t="s">
        <v>200</v>
      </c>
      <c r="F268" s="19" t="s">
        <v>201</v>
      </c>
      <c r="G268" s="19">
        <v>3</v>
      </c>
      <c r="V268" s="1"/>
      <c r="BN268" s="21"/>
    </row>
    <row r="269" spans="1:66" ht="20.100000000000001" customHeight="1" x14ac:dyDescent="0.2">
      <c r="A269"/>
      <c r="D269" s="19" t="s">
        <v>295</v>
      </c>
      <c r="E269" s="19" t="s">
        <v>202</v>
      </c>
      <c r="F269" s="19" t="s">
        <v>203</v>
      </c>
      <c r="G269" s="19">
        <v>2</v>
      </c>
      <c r="V269" s="1"/>
      <c r="BN269" s="21"/>
    </row>
    <row r="270" spans="1:66" ht="20.100000000000001" customHeight="1" x14ac:dyDescent="0.2">
      <c r="A270"/>
      <c r="D270" s="19" t="s">
        <v>298</v>
      </c>
      <c r="E270" s="19" t="s">
        <v>204</v>
      </c>
      <c r="F270" s="19" t="s">
        <v>205</v>
      </c>
      <c r="G270" s="19">
        <v>1</v>
      </c>
      <c r="V270" s="1"/>
      <c r="BN270" s="21"/>
    </row>
    <row r="271" spans="1:66" ht="20.100000000000001" customHeight="1" x14ac:dyDescent="0.2">
      <c r="A271"/>
    </row>
    <row r="272" spans="1:66" ht="20.100000000000001" customHeight="1" x14ac:dyDescent="0.2">
      <c r="A272"/>
    </row>
    <row r="273" spans="1:66" ht="20.100000000000001" customHeight="1" x14ac:dyDescent="0.2">
      <c r="A273"/>
      <c r="D273" s="1" t="s">
        <v>206</v>
      </c>
    </row>
    <row r="274" spans="1:66" ht="20.100000000000001" customHeight="1" x14ac:dyDescent="0.2">
      <c r="A274"/>
      <c r="D274" s="19" t="s">
        <v>309</v>
      </c>
      <c r="E274" s="19" t="s">
        <v>195</v>
      </c>
      <c r="F274" s="19" t="s">
        <v>196</v>
      </c>
      <c r="G274" s="19" t="s">
        <v>189</v>
      </c>
      <c r="V274" s="1"/>
      <c r="BN274" s="21"/>
    </row>
    <row r="275" spans="1:66" ht="20.100000000000001" customHeight="1" x14ac:dyDescent="0.2">
      <c r="A275"/>
      <c r="D275" s="19" t="s">
        <v>288</v>
      </c>
      <c r="E275" s="19" t="s">
        <v>207</v>
      </c>
      <c r="F275" s="19" t="s">
        <v>191</v>
      </c>
      <c r="G275" s="19">
        <v>5</v>
      </c>
      <c r="V275" s="1"/>
      <c r="BN275" s="21"/>
    </row>
    <row r="276" spans="1:66" ht="20.100000000000001" customHeight="1" x14ac:dyDescent="0.2">
      <c r="A276"/>
      <c r="D276" s="19" t="s">
        <v>291</v>
      </c>
      <c r="E276" s="19" t="s">
        <v>208</v>
      </c>
      <c r="F276" s="19" t="s">
        <v>209</v>
      </c>
      <c r="G276" s="19">
        <v>4</v>
      </c>
      <c r="V276" s="1"/>
      <c r="BN276" s="21"/>
    </row>
    <row r="277" spans="1:66" ht="20.100000000000001" customHeight="1" x14ac:dyDescent="0.2">
      <c r="A277"/>
      <c r="D277" s="19" t="s">
        <v>294</v>
      </c>
      <c r="E277" s="19" t="s">
        <v>210</v>
      </c>
      <c r="F277" s="19" t="s">
        <v>211</v>
      </c>
      <c r="G277" s="19">
        <v>3</v>
      </c>
      <c r="V277" s="1"/>
      <c r="BN277" s="21"/>
    </row>
    <row r="278" spans="1:66" ht="20.100000000000001" customHeight="1" x14ac:dyDescent="0.2">
      <c r="A278"/>
      <c r="D278" s="19" t="s">
        <v>296</v>
      </c>
      <c r="E278" s="19" t="s">
        <v>212</v>
      </c>
      <c r="F278" s="19" t="s">
        <v>213</v>
      </c>
      <c r="G278" s="19">
        <v>2</v>
      </c>
      <c r="V278" s="1"/>
      <c r="BN278" s="21"/>
    </row>
    <row r="279" spans="1:66" ht="20.100000000000001" customHeight="1" x14ac:dyDescent="0.2">
      <c r="A279"/>
      <c r="D279" s="19" t="s">
        <v>299</v>
      </c>
      <c r="E279" s="19" t="s">
        <v>214</v>
      </c>
      <c r="F279" s="19" t="s">
        <v>215</v>
      </c>
      <c r="G279" s="19">
        <v>1</v>
      </c>
      <c r="V279" s="1"/>
      <c r="BN279" s="21"/>
    </row>
    <row r="280" spans="1:66" ht="20.100000000000001" customHeight="1" x14ac:dyDescent="0.2">
      <c r="A280"/>
    </row>
    <row r="281" spans="1:66" ht="20.100000000000001" customHeight="1" x14ac:dyDescent="0.2">
      <c r="A281"/>
    </row>
    <row r="282" spans="1:66" ht="20.100000000000001" customHeight="1" x14ac:dyDescent="0.2">
      <c r="A282"/>
      <c r="D282" s="1" t="s">
        <v>216</v>
      </c>
    </row>
    <row r="283" spans="1:66" ht="20.100000000000001" customHeight="1" x14ac:dyDescent="0.2">
      <c r="A283"/>
      <c r="D283" s="19" t="s">
        <v>309</v>
      </c>
      <c r="E283" s="19" t="s">
        <v>195</v>
      </c>
      <c r="F283" s="19" t="s">
        <v>196</v>
      </c>
      <c r="G283" s="19" t="s">
        <v>189</v>
      </c>
      <c r="V283" s="1"/>
      <c r="BN283" s="21"/>
    </row>
    <row r="284" spans="1:66" ht="20.100000000000001" customHeight="1" x14ac:dyDescent="0.2">
      <c r="A284"/>
      <c r="D284" s="19" t="s">
        <v>289</v>
      </c>
      <c r="E284" s="19" t="s">
        <v>217</v>
      </c>
      <c r="F284" s="19" t="s">
        <v>218</v>
      </c>
      <c r="G284" s="19">
        <v>5</v>
      </c>
      <c r="V284" s="1"/>
      <c r="BN284" s="21"/>
    </row>
    <row r="285" spans="1:66" ht="20.100000000000001" customHeight="1" x14ac:dyDescent="0.2">
      <c r="A285"/>
      <c r="D285" s="19" t="s">
        <v>292</v>
      </c>
      <c r="E285" s="19" t="s">
        <v>219</v>
      </c>
      <c r="F285" s="19" t="s">
        <v>220</v>
      </c>
      <c r="G285" s="19">
        <v>4</v>
      </c>
      <c r="V285" s="1"/>
      <c r="BN285" s="21"/>
    </row>
    <row r="286" spans="1:66" ht="20.100000000000001" customHeight="1" x14ac:dyDescent="0.2">
      <c r="A286"/>
      <c r="D286" s="19" t="s">
        <v>302</v>
      </c>
      <c r="E286" s="19" t="s">
        <v>221</v>
      </c>
      <c r="F286" s="19" t="s">
        <v>192</v>
      </c>
      <c r="G286" s="19">
        <v>3</v>
      </c>
      <c r="V286" s="1"/>
      <c r="BN286" s="21"/>
    </row>
    <row r="287" spans="1:66" ht="20.100000000000001" customHeight="1" x14ac:dyDescent="0.2">
      <c r="A287"/>
      <c r="D287" s="19" t="s">
        <v>297</v>
      </c>
      <c r="E287" s="19" t="s">
        <v>222</v>
      </c>
      <c r="F287" s="19" t="s">
        <v>223</v>
      </c>
      <c r="G287" s="19">
        <v>2</v>
      </c>
      <c r="V287" s="1"/>
      <c r="BN287" s="21"/>
    </row>
    <row r="288" spans="1:66" ht="20.100000000000001" customHeight="1" x14ac:dyDescent="0.2">
      <c r="A288"/>
      <c r="D288" s="19" t="s">
        <v>300</v>
      </c>
      <c r="E288" s="19" t="s">
        <v>224</v>
      </c>
      <c r="F288" s="19" t="s">
        <v>225</v>
      </c>
      <c r="G288" s="19">
        <v>1</v>
      </c>
      <c r="V288" s="1"/>
      <c r="BN288" s="21"/>
    </row>
    <row r="289" spans="1:66" ht="20.100000000000001" customHeight="1" x14ac:dyDescent="0.2">
      <c r="A289" s="129" t="str">
        <f>HYPERLINK("#A1", "▲ Back to top")</f>
        <v>▲ Back to top</v>
      </c>
    </row>
    <row r="290" spans="1:66" ht="20.100000000000001" customHeight="1" x14ac:dyDescent="0.2">
      <c r="A290"/>
    </row>
    <row r="291" spans="1:66" ht="20.100000000000001" customHeight="1" x14ac:dyDescent="0.2">
      <c r="A291"/>
      <c r="D291" s="1" t="s">
        <v>226</v>
      </c>
    </row>
    <row r="292" spans="1:66" ht="20.100000000000001" customHeight="1" x14ac:dyDescent="0.2">
      <c r="A292"/>
      <c r="D292" s="19" t="s">
        <v>309</v>
      </c>
      <c r="E292" s="19" t="s">
        <v>195</v>
      </c>
      <c r="F292" s="19" t="s">
        <v>196</v>
      </c>
      <c r="G292" s="19" t="s">
        <v>189</v>
      </c>
      <c r="V292" s="1"/>
      <c r="BN292" s="21"/>
    </row>
    <row r="293" spans="1:66" ht="20.100000000000001" customHeight="1" x14ac:dyDescent="0.2">
      <c r="A293"/>
      <c r="D293" s="19" t="s">
        <v>310</v>
      </c>
      <c r="E293" s="19" t="s">
        <v>227</v>
      </c>
      <c r="F293" s="19" t="s">
        <v>228</v>
      </c>
      <c r="G293" s="19">
        <v>5</v>
      </c>
      <c r="V293" s="1"/>
      <c r="BN293" s="21"/>
    </row>
    <row r="294" spans="1:66" ht="20.100000000000001" customHeight="1" x14ac:dyDescent="0.2">
      <c r="A294"/>
      <c r="D294" s="19" t="s">
        <v>311</v>
      </c>
      <c r="E294" s="19" t="s">
        <v>229</v>
      </c>
      <c r="F294" s="19" t="s">
        <v>230</v>
      </c>
      <c r="G294" s="19">
        <v>4</v>
      </c>
      <c r="V294" s="1"/>
      <c r="BN294" s="21"/>
    </row>
    <row r="295" spans="1:66" ht="20.100000000000001" customHeight="1" x14ac:dyDescent="0.2">
      <c r="A295"/>
      <c r="D295" s="19" t="s">
        <v>312</v>
      </c>
      <c r="E295" s="19" t="s">
        <v>231</v>
      </c>
      <c r="F295" s="19" t="s">
        <v>232</v>
      </c>
      <c r="G295" s="19">
        <v>3</v>
      </c>
      <c r="V295" s="1"/>
      <c r="BN295" s="21"/>
    </row>
    <row r="296" spans="1:66" ht="20.100000000000001" customHeight="1" x14ac:dyDescent="0.2">
      <c r="A296"/>
      <c r="D296" s="19" t="s">
        <v>313</v>
      </c>
      <c r="E296" s="19" t="s">
        <v>233</v>
      </c>
      <c r="F296" s="19" t="s">
        <v>234</v>
      </c>
      <c r="G296" s="19">
        <v>2</v>
      </c>
      <c r="V296" s="1"/>
      <c r="BN296" s="21"/>
    </row>
    <row r="297" spans="1:66" ht="20.100000000000001" customHeight="1" x14ac:dyDescent="0.2">
      <c r="A297"/>
      <c r="D297" s="19" t="s">
        <v>314</v>
      </c>
      <c r="E297" s="19" t="s">
        <v>235</v>
      </c>
      <c r="F297" s="19" t="s">
        <v>236</v>
      </c>
      <c r="G297" s="19">
        <v>1</v>
      </c>
      <c r="V297" s="1"/>
      <c r="BN297" s="21"/>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F1A9-3148-4F0F-BD82-46DA94965409}">
  <dimension ref="A1:A68"/>
  <sheetViews>
    <sheetView zoomScaleNormal="100" workbookViewId="0">
      <pane xSplit="1" topLeftCell="B1" activePane="topRight" state="frozenSplit"/>
      <selection pane="topRight" activeCell="A67" sqref="A67"/>
    </sheetView>
  </sheetViews>
  <sheetFormatPr defaultRowHeight="12.75" x14ac:dyDescent="0.2"/>
  <cols>
    <col min="1" max="1" width="36.7109375" customWidth="1"/>
  </cols>
  <sheetData>
    <row r="1" spans="1:1" ht="23.25" x14ac:dyDescent="0.35">
      <c r="A1" s="10" t="e" vm="1">
        <v>#VALUE!</v>
      </c>
    </row>
    <row r="3" spans="1:1" x14ac:dyDescent="0.2">
      <c r="A3" s="5" t="str">
        <f>HYPERLINK("#'Home'!A1", "Home")</f>
        <v>Home</v>
      </c>
    </row>
    <row r="4" spans="1:1" x14ac:dyDescent="0.2">
      <c r="A4" s="5" t="str">
        <f>HYPERLINK("#'Results - Activity period'!A1", "Results - Activity period")</f>
        <v>Results - Activity period</v>
      </c>
    </row>
    <row r="5" spans="1:1" x14ac:dyDescent="0.2">
      <c r="A5" s="5" t="str">
        <f>HYPERLINK("#'Results - Product EI'!A1", "Results - Product Emissions Intensity")</f>
        <v>Results - Product Emissions Intensity</v>
      </c>
    </row>
    <row r="6" spans="1:1" x14ac:dyDescent="0.2">
      <c r="A6" s="274" t="str">
        <f>HYPERLINK("#'Results'!A1", "Results")</f>
        <v>Results</v>
      </c>
    </row>
    <row r="9" spans="1:1" x14ac:dyDescent="0.2">
      <c r="A9" s="7" t="s">
        <v>0</v>
      </c>
    </row>
    <row r="10" spans="1:1" x14ac:dyDescent="0.2">
      <c r="A10" s="5" t="str">
        <f>HYPERLINK("#'Input - Enterprise'!A1", "Enterprise")</f>
        <v>Enterprise</v>
      </c>
    </row>
    <row r="11" spans="1:1" x14ac:dyDescent="0.2">
      <c r="A11" s="5" t="str">
        <f>HYPERLINK("#'Input - Site'!A1", "Site")</f>
        <v>Site</v>
      </c>
    </row>
    <row r="12" spans="1:1" x14ac:dyDescent="0.2">
      <c r="A12" s="5" t="str">
        <f>HYPERLINK("#'Input - Dairy'!A1", "Dairy")</f>
        <v>Dairy</v>
      </c>
    </row>
    <row r="13" spans="1:1" x14ac:dyDescent="0.2">
      <c r="A13" s="5" t="str">
        <f>HYPERLINK("#'Input - Livestock sales'!A1", "Livestock sales")</f>
        <v>Livestock sales</v>
      </c>
    </row>
    <row r="14" spans="1:1" x14ac:dyDescent="0.2">
      <c r="A14" s="5" t="str">
        <f>HYPERLINK("#'Input - Dairy cattle purchases'!A1", "Dairy cattle purchases")</f>
        <v>Dairy cattle purchases</v>
      </c>
    </row>
    <row r="15" spans="1:1" x14ac:dyDescent="0.2">
      <c r="A15" s="5" t="str">
        <f>HYPERLINK("#'Input - Pasture'!A1", "Pasture")</f>
        <v>Pasture</v>
      </c>
    </row>
    <row r="16" spans="1:1" x14ac:dyDescent="0.2">
      <c r="A16" s="5" t="str">
        <f>HYPERLINK("#'Input - Fert Prod System'!A1", "Fert Prod System")</f>
        <v>Fert Prod System</v>
      </c>
    </row>
    <row r="17" spans="1:1" x14ac:dyDescent="0.2">
      <c r="A17" s="5" t="str">
        <f>HYPERLINK("#'Input - Fertiliser'!A1", "Fertiliser")</f>
        <v>Fertiliser</v>
      </c>
    </row>
    <row r="18" spans="1:1" x14ac:dyDescent="0.2">
      <c r="A18" s="5" t="str">
        <f>HYPERLINK("#'Input - Fuel'!A1", "Fuel")</f>
        <v>Fuel</v>
      </c>
    </row>
    <row r="19" spans="1:1" x14ac:dyDescent="0.2">
      <c r="A19" s="5" t="str">
        <f>HYPERLINK("#'Input - Electricity'!A1", "Electricity")</f>
        <v>Electricity</v>
      </c>
    </row>
    <row r="20" spans="1:1" x14ac:dyDescent="0.2">
      <c r="A20" s="5" t="str">
        <f>HYPERLINK("#'Input - Common farm inputs'!A1", "Common farm inputs")</f>
        <v>Common farm inputs</v>
      </c>
    </row>
    <row r="21" spans="1:1" x14ac:dyDescent="0.2">
      <c r="A21" s="5" t="str">
        <f>HYPERLINK("#'Input - Crop pasture farm input'!A1", "Crop pasture farm input")</f>
        <v>Crop pasture farm input</v>
      </c>
    </row>
    <row r="22" spans="1:1" x14ac:dyDescent="0.2">
      <c r="A22" s="5" t="str">
        <f>HYPERLINK("#'Input - Livestock farm Inputs'!A1", "Livestock farm Inputs")</f>
        <v>Livestock farm Inputs</v>
      </c>
    </row>
    <row r="23" spans="1:1" x14ac:dyDescent="0.2">
      <c r="A23" s="5" t="str">
        <f>HYPERLINK("#'Input - Freight'!A1", "Freight")</f>
        <v>Freight</v>
      </c>
    </row>
    <row r="24" spans="1:1" x14ac:dyDescent="0.2">
      <c r="A24" s="5" t="str">
        <f>HYPERLINK("#'Input - Solid waste'!A1", "Solid waste")</f>
        <v>Solid waste</v>
      </c>
    </row>
    <row r="25" spans="1:1" x14ac:dyDescent="0.2">
      <c r="A25" s="5" t="str">
        <f>HYPERLINK("#'Input - Manure sent off-site'!A1", "Manure sent off-site")</f>
        <v>Manure sent off-site</v>
      </c>
    </row>
    <row r="26" spans="1:1" x14ac:dyDescent="0.2">
      <c r="A26" s="5" t="str">
        <f>HYPERLINK("#'Input - Refrigerants'!A1", "Refrigerants")</f>
        <v>Refrigerants</v>
      </c>
    </row>
    <row r="27" spans="1:1" x14ac:dyDescent="0.2">
      <c r="A27" s="5" t="str">
        <f>HYPERLINK("#'Input - Data quality'!A1", "Data quality")</f>
        <v>Data quality</v>
      </c>
    </row>
    <row r="30" spans="1:1" x14ac:dyDescent="0.2">
      <c r="A30" s="6" t="s">
        <v>2</v>
      </c>
    </row>
    <row r="31" spans="1:1" x14ac:dyDescent="0.2">
      <c r="A31" s="5" t="str">
        <f>HYPERLINK("#'3.3.1.1-2 Enteric Methane'!A1", "3.3.1.1-2 Enteric methane")</f>
        <v>3.3.1.1-2 Enteric methane</v>
      </c>
    </row>
    <row r="32" spans="1:1" x14ac:dyDescent="0.2">
      <c r="A32" s="5" t="str">
        <f>HYPERLINK("#'4.3.1.1-2 Methane'!A1", "4.3.1.1-2 Manure methane")</f>
        <v>4.3.1.1-2 Manure methane</v>
      </c>
    </row>
    <row r="33" spans="1:1" x14ac:dyDescent="0.2">
      <c r="A33" s="5" t="str">
        <f>HYPERLINK("#'4.3.1.3-4 Direct N20'!A1", "4.3.1.3-4 Direct N20")</f>
        <v>4.3.1.3-4 Direct N20</v>
      </c>
    </row>
    <row r="34" spans="1:1" x14ac:dyDescent="0.2">
      <c r="A34" s="5" t="str">
        <f>HYPERLINK("#'4.3.1.5 Atmos deposition'!A1", "4.3.1.5 Atmos deposition")</f>
        <v>4.3.1.5 Atmos deposition</v>
      </c>
    </row>
    <row r="35" spans="1:1" x14ac:dyDescent="0.2">
      <c r="A35" s="5" t="str">
        <f>HYPERLINK("#'4.3.1.6-7 Leaching and runoff'!A1", "4.3.1.6-7 Leaching &amp; runoff")</f>
        <v>4.3.1.6-7 Leaching &amp; runoff</v>
      </c>
    </row>
    <row r="36" spans="1:1" x14ac:dyDescent="0.2">
      <c r="A36" s="5" t="str">
        <f>HYPERLINK("#'4.3.1.8 Manure applied to soils'!A1", "4.3.1.8 Manure applied to soils")</f>
        <v>4.3.1.8 Manure applied to soils</v>
      </c>
    </row>
    <row r="37" spans="1:1" x14ac:dyDescent="0.2">
      <c r="A37" s="5" t="str">
        <f>HYPERLINK("#'4.3.1.9 Soil direct N2O'!A1", "4.3.1.9 Soil direct N2O")</f>
        <v>4.3.1.9 Soil direct N2O</v>
      </c>
    </row>
    <row r="38" spans="1:1" x14ac:dyDescent="0.2">
      <c r="A38" s="5" t="str">
        <f>HYPERLINK("#'4.3.1.10-11 Soil Atmos Dep'!A1", "4.3.1.10-11 Soil Atmos Deposition")</f>
        <v>4.3.1.10-11 Soil Atmos Deposition</v>
      </c>
    </row>
    <row r="39" spans="1:1" x14ac:dyDescent="0.2">
      <c r="A39" s="5" t="str">
        <f>HYPERLINK("#'4.3.1.12-13 Soil leach runoff'!A1", "4.3.1.12-13 Soil leach &amp; runoff")</f>
        <v>4.3.1.12-13 Soil leach &amp; runoff</v>
      </c>
    </row>
    <row r="40" spans="1:1" x14ac:dyDescent="0.2">
      <c r="A40" s="5" t="str">
        <f>HYPERLINK("#'5.1.1.1-2 Inorganic fert N2O'!A1", "5.1.1.1-2 Inorganic fert N2O")</f>
        <v>5.1.1.1-2 Inorganic fert N2O</v>
      </c>
    </row>
    <row r="41" spans="1:1" x14ac:dyDescent="0.2">
      <c r="A41" s="5" t="str">
        <f>HYPERLINK("#'5.1.1.3-4 Inorganic fert CO2'!A1", "5.1.1.3-4 Inorganic fert CO2")</f>
        <v>5.1.1.3-4 Inorganic fert CO2</v>
      </c>
    </row>
    <row r="42" spans="1:1" x14ac:dyDescent="0.2">
      <c r="A42" s="5" t="str">
        <f>HYPERLINK("#'5.2.1.1-2 Organic Fert N2O'!A1", "5.2.1.1-2 Organic fert N2O")</f>
        <v>5.2.1.1-2 Organic fert N2O</v>
      </c>
    </row>
    <row r="43" spans="1:1" x14ac:dyDescent="0.2">
      <c r="A43" s="5" t="str">
        <f>HYPERLINK("#'5.3.1.1-2 Lime CO2'!A1", "5.3.1.1-2 Lime CO2")</f>
        <v>5.3.1.1-2 Lime CO2</v>
      </c>
    </row>
    <row r="44" spans="1:1" x14ac:dyDescent="0.2">
      <c r="A44" s="5" t="str">
        <f>HYPERLINK("#'5.4.1.1-4 Atmos deposition'!A1", "5.4.1.1-4 Atmos. deposition")</f>
        <v>5.4.1.1-4 Atmos. deposition</v>
      </c>
    </row>
    <row r="45" spans="1:1" x14ac:dyDescent="0.2">
      <c r="A45" s="5" t="str">
        <f>HYPERLINK("#'5.5.1.1-2 Leaching and runoff'!A1", "5.5.1.1-2 Leaching &amp; runoff")</f>
        <v>5.5.1.1-2 Leaching &amp; runoff</v>
      </c>
    </row>
    <row r="46" spans="1:1" x14ac:dyDescent="0.2">
      <c r="A46" s="5" t="str">
        <f>HYPERLINK("#'6.2.1.1-2 Pasture residue N2O'!A1", "6.2.1.1-2 Pasture residue N2O")</f>
        <v>6.2.1.1-2 Pasture residue N2O</v>
      </c>
    </row>
    <row r="47" spans="1:1" x14ac:dyDescent="0.2">
      <c r="A47" s="5" t="str">
        <f>HYPERLINK("#'6.3.1.1-2 Leach runoff pasture'!A1", "6.3.1.1-2 Leach &amp; runoff (pasture)")</f>
        <v>6.3.1.1-2 Leach &amp; runoff (pasture)</v>
      </c>
    </row>
    <row r="48" spans="1:1" x14ac:dyDescent="0.2">
      <c r="A48" s="5" t="str">
        <f>HYPERLINK("#'8.1.1.1-2 Transport fuel'!A1", "8.1.1.1-2 Transport fuel")</f>
        <v>8.1.1.1-2 Transport fuel</v>
      </c>
    </row>
    <row r="49" spans="1:1" x14ac:dyDescent="0.2">
      <c r="A49" s="5" t="str">
        <f>HYPERLINK("#'8.2.1.1-2 Stationary fuel'!A1", "8.2.1.1-2 Stationary fuel")</f>
        <v>8.2.1.1-2 Stationary fuel</v>
      </c>
    </row>
    <row r="50" spans="1:1" x14ac:dyDescent="0.2">
      <c r="A50" s="5" t="str">
        <f>HYPERLINK("#'9.1.1.1-2 Refrigerant use'!A1", "9.1.1.1-2 Refrigerant use")</f>
        <v>9.1.1.1-2 Refrigerant use</v>
      </c>
    </row>
    <row r="51" spans="1:1" x14ac:dyDescent="0.2">
      <c r="A51" s="5" t="str">
        <f>HYPERLINK("#'10.1.1-2 Solid waste treatment'!A1", "10.1.1.1-2 Solid waste")</f>
        <v>10.1.1.1-2 Solid waste</v>
      </c>
    </row>
    <row r="52" spans="1:1" x14ac:dyDescent="0.2">
      <c r="A52" s="5" t="str">
        <f>HYPERLINK("#'14.1.1-2 Purchased electricity'!A1", "14.1.1-2 Purchased electricity")</f>
        <v>14.1.1-2 Purchased electricity</v>
      </c>
    </row>
    <row r="53" spans="1:1" x14ac:dyDescent="0.2">
      <c r="A53" s="5" t="str">
        <f>HYPERLINK("#'15 Scope 3'!A1", "15 Scope 3")</f>
        <v>15 Scope 3</v>
      </c>
    </row>
    <row r="54" spans="1:1" x14ac:dyDescent="0.2">
      <c r="A54" s="5" t="str">
        <f>HYPERLINK("#'Calcs - Manure sent off-site'!A1", "Calcs - Manure sent off-site")</f>
        <v>Calcs - Manure sent off-site</v>
      </c>
    </row>
    <row r="57" spans="1:1" x14ac:dyDescent="0.2">
      <c r="A57" s="82" t="s">
        <v>1</v>
      </c>
    </row>
    <row r="58" spans="1:1" x14ac:dyDescent="0.2">
      <c r="A58" s="5" t="str">
        <f>HYPERLINK("#'Constants - Dairy'!A1", "Constants - Dairy")</f>
        <v>Constants - Dairy</v>
      </c>
    </row>
    <row r="59" spans="1:1" x14ac:dyDescent="0.2">
      <c r="A59" s="5" t="str">
        <f>HYPERLINK("#'Constants - Ag Residue'!A1", "Constants - Ag residue")</f>
        <v>Constants - Ag residue</v>
      </c>
    </row>
    <row r="60" spans="1:1" x14ac:dyDescent="0.2">
      <c r="A60" s="5" t="str">
        <f>HYPERLINK("#'Constants - Common Livestock'!A1", "Constants - Common Livestock")</f>
        <v>Constants - Common Livestock</v>
      </c>
    </row>
    <row r="61" spans="1:1" x14ac:dyDescent="0.2">
      <c r="A61" s="5" t="str">
        <f>HYPERLINK("#'Constants - Electricity'!A1", "Constants - Electricity")</f>
        <v>Constants - Electricity</v>
      </c>
    </row>
    <row r="62" spans="1:1" x14ac:dyDescent="0.2">
      <c r="A62" s="5" t="str">
        <f>HYPERLINK("#'Constants - Fertiliser'!A1", "Constants - Fertiliser")</f>
        <v>Constants - Fertiliser</v>
      </c>
    </row>
    <row r="63" spans="1:1" x14ac:dyDescent="0.2">
      <c r="A63" s="5" t="str">
        <f>HYPERLINK("#'Constants - Fuel'!A1", "Constants - Fuel")</f>
        <v>Constants - Fuel</v>
      </c>
    </row>
    <row r="64" spans="1:1" x14ac:dyDescent="0.2">
      <c r="A64" s="5" t="str">
        <f>HYPERLINK("#'Constants - Scope 3'!A1", "Constants - Scope 3")</f>
        <v>Constants - Scope 3</v>
      </c>
    </row>
    <row r="65" spans="1:1" x14ac:dyDescent="0.2">
      <c r="A65" s="5" t="str">
        <f>HYPERLINK("#'Constants - Common'!A1", "Constants - Common")</f>
        <v>Constants - Common</v>
      </c>
    </row>
    <row r="66" spans="1:1" x14ac:dyDescent="0.2">
      <c r="A66" s="5" t="str">
        <f>HYPERLINK("#'Constants - Refrigerants'!A1", "Constants - Refrigerants")</f>
        <v>Constants - Refrigerants</v>
      </c>
    </row>
    <row r="67" spans="1:1" x14ac:dyDescent="0.2">
      <c r="A67" s="5" t="str">
        <f>HYPERLINK("#'Constants - Solid Waste'!A1", "Constants - Solid Waste")</f>
        <v>Constants - Solid Waste</v>
      </c>
    </row>
    <row r="68" spans="1:1" x14ac:dyDescent="0.2">
      <c r="A68" s="5" t="str">
        <f>HYPERLINK("#'Acknowledgements'!A1", "Acknowledgements")</f>
        <v>Acknowledgements</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6DE8A-6387-4DA7-AD38-B1D6856DB8F0}">
  <sheetPr>
    <tabColor theme="5" tint="-0.249977111117893"/>
  </sheetPr>
  <dimension ref="A1:I363"/>
  <sheetViews>
    <sheetView showGridLines="0" zoomScaleNormal="100" workbookViewId="0">
      <pane xSplit="1" topLeftCell="B1" activePane="topRight" state="frozenSplit"/>
      <selection pane="topRight" activeCell="A139" sqref="A139"/>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8" width="24.85546875" style="1" customWidth="1"/>
    <col min="9" max="9" width="4.7109375" style="1" customWidth="1"/>
    <col min="10" max="10" width="4.7109375" customWidth="1"/>
  </cols>
  <sheetData>
    <row r="1" spans="1:9" s="10" customFormat="1" ht="30" customHeight="1" x14ac:dyDescent="0.35">
      <c r="A1" s="10" t="e" vm="1">
        <v>#VALUE!</v>
      </c>
      <c r="C1" s="10" t="s">
        <v>997</v>
      </c>
    </row>
    <row r="2" spans="1:9" s="3" customFormat="1" ht="20.100000000000001" customHeight="1" x14ac:dyDescent="0.2">
      <c r="A2"/>
    </row>
    <row r="3" spans="1:9" ht="20.100000000000001" customHeight="1" x14ac:dyDescent="0.2">
      <c r="A3" s="5" t="str">
        <f>HYPERLINK("#'Home'!A1", "Home")</f>
        <v>Home</v>
      </c>
      <c r="C3" s="28"/>
      <c r="D3" s="28"/>
      <c r="E3" s="28"/>
      <c r="F3" s="28"/>
      <c r="G3" s="28"/>
      <c r="H3" s="28"/>
      <c r="I3" s="28"/>
    </row>
    <row r="4" spans="1:9" ht="20.100000000000001" customHeight="1" x14ac:dyDescent="0.2">
      <c r="A4" s="5" t="str">
        <f>HYPERLINK("#'Results - Activity period'!A1", "Results - Activity period")</f>
        <v>Results - Activity period</v>
      </c>
    </row>
    <row r="5" spans="1:9" ht="20.100000000000001" customHeight="1" x14ac:dyDescent="0.2">
      <c r="A5" s="5" t="str">
        <f>HYPERLINK("#'Results - Product EI'!A1", "Results - Product Emissions Intensity")</f>
        <v>Results - Product Emissions Intensity</v>
      </c>
      <c r="D5" s="2" t="s">
        <v>998</v>
      </c>
    </row>
    <row r="6" spans="1:9" ht="20.100000000000001" customHeight="1" x14ac:dyDescent="0.2">
      <c r="A6" s="5" t="str">
        <f>HYPERLINK("#'Results'!A1", "Results")</f>
        <v>Results</v>
      </c>
      <c r="D6" s="8"/>
      <c r="E6" s="8"/>
      <c r="F6" s="8"/>
      <c r="G6" s="8"/>
      <c r="H6" s="8"/>
    </row>
    <row r="7" spans="1:9" ht="20.100000000000001" customHeight="1" x14ac:dyDescent="0.2">
      <c r="D7" s="35" t="s">
        <v>874</v>
      </c>
      <c r="E7" s="37"/>
      <c r="F7" s="37"/>
      <c r="G7" s="38"/>
      <c r="H7" s="24"/>
    </row>
    <row r="8" spans="1:9" ht="20.100000000000001" customHeight="1" x14ac:dyDescent="0.2">
      <c r="E8" s="24"/>
      <c r="F8" s="24"/>
      <c r="G8" s="24"/>
      <c r="H8" s="24"/>
    </row>
    <row r="9" spans="1:9" ht="20.100000000000001" customHeight="1" x14ac:dyDescent="0.2">
      <c r="A9" s="7" t="s">
        <v>0</v>
      </c>
      <c r="D9" s="81" t="s">
        <v>999</v>
      </c>
      <c r="E9" s="81" t="s">
        <v>1000</v>
      </c>
      <c r="F9" s="81" t="s">
        <v>1001</v>
      </c>
      <c r="G9" s="81" t="s">
        <v>1002</v>
      </c>
      <c r="H9" s="81" t="s">
        <v>1003</v>
      </c>
    </row>
    <row r="10" spans="1:9" ht="20.100000000000001" customHeight="1" x14ac:dyDescent="0.2">
      <c r="A10" s="5" t="str">
        <f>HYPERLINK("#'Input - Enterprise'!A1", "Enterprise")</f>
        <v>Enterprise</v>
      </c>
      <c r="D10" s="33" t="s">
        <v>1004</v>
      </c>
      <c r="E10" s="13" t="s">
        <v>1005</v>
      </c>
      <c r="F10" s="13" t="s">
        <v>1006</v>
      </c>
      <c r="G10" s="75">
        <v>10</v>
      </c>
      <c r="H10" s="75">
        <v>5</v>
      </c>
    </row>
    <row r="11" spans="1:9" ht="20.100000000000001" customHeight="1" x14ac:dyDescent="0.2">
      <c r="A11" s="5" t="str">
        <f>HYPERLINK("#'Input - Site'!A1", "Site")</f>
        <v>Site</v>
      </c>
      <c r="D11" s="33" t="s">
        <v>1007</v>
      </c>
      <c r="E11" s="13" t="s">
        <v>1008</v>
      </c>
      <c r="F11" s="13" t="s">
        <v>1009</v>
      </c>
      <c r="G11" s="75">
        <v>10</v>
      </c>
      <c r="H11" s="75">
        <v>5</v>
      </c>
    </row>
    <row r="12" spans="1:9" ht="20.100000000000001" customHeight="1" x14ac:dyDescent="0.2">
      <c r="A12" s="5" t="str">
        <f>HYPERLINK("#'Input - Dairy'!A1", "Dairy")</f>
        <v>Dairy</v>
      </c>
      <c r="D12" s="33" t="s">
        <v>1010</v>
      </c>
      <c r="E12" s="13" t="s">
        <v>1011</v>
      </c>
      <c r="F12" s="13" t="s">
        <v>1012</v>
      </c>
      <c r="G12" s="75">
        <v>10</v>
      </c>
      <c r="H12" s="75">
        <v>13</v>
      </c>
    </row>
    <row r="13" spans="1:9" ht="20.100000000000001" customHeight="1" x14ac:dyDescent="0.2">
      <c r="A13" s="5" t="str">
        <f>HYPERLINK("#'Input - Livestock sales'!A1", "Livestock sales")</f>
        <v>Livestock sales</v>
      </c>
      <c r="D13" s="33" t="s">
        <v>1013</v>
      </c>
      <c r="E13" s="13" t="s">
        <v>1008</v>
      </c>
      <c r="F13" s="13" t="s">
        <v>1012</v>
      </c>
      <c r="G13" s="75">
        <v>10</v>
      </c>
      <c r="H13" s="75">
        <v>10</v>
      </c>
    </row>
    <row r="14" spans="1:9" ht="20.100000000000001" customHeight="1" x14ac:dyDescent="0.2">
      <c r="A14" s="5" t="str">
        <f>HYPERLINK("#'Input - Dairy cattle purchases'!A1", "Dairy cattle purchases")</f>
        <v>Dairy cattle purchases</v>
      </c>
      <c r="D14" s="33" t="s">
        <v>1014</v>
      </c>
      <c r="E14" s="13" t="s">
        <v>1015</v>
      </c>
      <c r="F14" s="13" t="s">
        <v>1016</v>
      </c>
      <c r="G14" s="75">
        <v>10</v>
      </c>
      <c r="H14" s="75">
        <v>10</v>
      </c>
    </row>
    <row r="15" spans="1:9" ht="20.100000000000001" customHeight="1" x14ac:dyDescent="0.2">
      <c r="A15" s="5" t="str">
        <f>HYPERLINK("#'Input - Pasture'!A1", "Pasture")</f>
        <v>Pasture</v>
      </c>
      <c r="D15" s="33"/>
      <c r="E15" s="97"/>
      <c r="F15" s="97"/>
      <c r="G15" s="244"/>
      <c r="H15" s="244"/>
    </row>
    <row r="16" spans="1:9" ht="20.100000000000001" customHeight="1" x14ac:dyDescent="0.2">
      <c r="A16" s="5" t="str">
        <f>HYPERLINK("#'Input - Fert Prod System'!A1", "Fert Prod System")</f>
        <v>Fert Prod System</v>
      </c>
      <c r="D16" s="33"/>
      <c r="E16" s="97"/>
      <c r="F16" s="97"/>
      <c r="G16" s="244"/>
      <c r="H16" s="244"/>
    </row>
    <row r="17" spans="1:8" ht="20.100000000000001" customHeight="1" x14ac:dyDescent="0.2">
      <c r="A17" s="5" t="str">
        <f>HYPERLINK("#'Input - Fertiliser'!A1", "Fertiliser")</f>
        <v>Fertiliser</v>
      </c>
      <c r="D17" s="33"/>
      <c r="E17" s="97"/>
      <c r="F17" s="97"/>
      <c r="G17" s="244"/>
      <c r="H17" s="244"/>
    </row>
    <row r="18" spans="1:8" ht="20.100000000000001" customHeight="1" x14ac:dyDescent="0.2">
      <c r="A18" s="5" t="str">
        <f>HYPERLINK("#'Input - Fuel'!A1", "Fuel")</f>
        <v>Fuel</v>
      </c>
      <c r="D18" s="33"/>
      <c r="E18" s="97"/>
      <c r="F18" s="97"/>
      <c r="G18" s="244"/>
      <c r="H18" s="244"/>
    </row>
    <row r="19" spans="1:8" ht="20.100000000000001" customHeight="1" x14ac:dyDescent="0.2">
      <c r="A19" s="5" t="str">
        <f>HYPERLINK("#'Input - Electricity'!A1", "Electricity")</f>
        <v>Electricity</v>
      </c>
      <c r="D19" s="33"/>
      <c r="E19" s="97"/>
      <c r="F19" s="97"/>
      <c r="G19" s="244"/>
      <c r="H19" s="244"/>
    </row>
    <row r="20" spans="1:8" ht="20.100000000000001" customHeight="1" x14ac:dyDescent="0.2">
      <c r="A20" s="5" t="str">
        <f>HYPERLINK("#'Input - Common farm inputs'!A1", "Common farm inputs")</f>
        <v>Common farm inputs</v>
      </c>
    </row>
    <row r="21" spans="1:8" ht="20.100000000000001" customHeight="1" x14ac:dyDescent="0.2">
      <c r="A21" s="5" t="str">
        <f>HYPERLINK("#'Input - Crop pasture farm input'!A1", "Crop pasture farm input")</f>
        <v>Crop pasture farm input</v>
      </c>
    </row>
    <row r="22" spans="1:8" ht="20.100000000000001" customHeight="1" x14ac:dyDescent="0.2">
      <c r="A22" s="5" t="str">
        <f>HYPERLINK("#'Input - Livestock farm Inputs'!A1", "Livestock farm Inputs")</f>
        <v>Livestock farm Inputs</v>
      </c>
    </row>
    <row r="23" spans="1:8" ht="20.100000000000001" customHeight="1" x14ac:dyDescent="0.2">
      <c r="A23" s="5" t="str">
        <f>HYPERLINK("#'Input - Freight'!A1", "Freight")</f>
        <v>Freight</v>
      </c>
    </row>
    <row r="24" spans="1:8" ht="20.100000000000001" customHeight="1" x14ac:dyDescent="0.2">
      <c r="A24" s="5" t="str">
        <f>HYPERLINK("#'Input - Solid waste'!A1", "Solid waste")</f>
        <v>Solid waste</v>
      </c>
    </row>
    <row r="25" spans="1:8" ht="20.100000000000001" customHeight="1" x14ac:dyDescent="0.2">
      <c r="A25" s="5" t="str">
        <f>HYPERLINK("#'Input - Manure sent off-site'!A1", "Manure sent off-site")</f>
        <v>Manure sent off-site</v>
      </c>
    </row>
    <row r="26" spans="1:8" ht="20.100000000000001" customHeight="1" x14ac:dyDescent="0.2">
      <c r="A26" s="100" t="str">
        <f>HYPERLINK("#'Input - Refrigerants'!A1", "Refrigerants")</f>
        <v>Refrigerants</v>
      </c>
    </row>
    <row r="27" spans="1:8" ht="20.100000000000001" customHeight="1" x14ac:dyDescent="0.2">
      <c r="A27" s="5" t="str">
        <f>HYPERLINK("#'Input - Data quality'!A1", "Data quality")</f>
        <v>Data quality</v>
      </c>
    </row>
    <row r="30" spans="1:8" ht="20.100000000000001" customHeight="1" x14ac:dyDescent="0.2">
      <c r="A30" s="6" t="s">
        <v>2</v>
      </c>
    </row>
    <row r="31" spans="1:8" ht="20.100000000000001" customHeight="1" x14ac:dyDescent="0.2">
      <c r="A31" s="5" t="str">
        <f>HYPERLINK("#'3.3.1.1-2 Enteric Methane'!A1", "3.3.1.1-2 Enteric methane")</f>
        <v>3.3.1.1-2 Enteric methane</v>
      </c>
    </row>
    <row r="32" spans="1:8" ht="20.100000000000001" customHeight="1" x14ac:dyDescent="0.2">
      <c r="A32" s="5" t="str">
        <f>HYPERLINK("#'4.3.1.1-2 Methane'!A1", "4.3.1.1-2 Manure methane")</f>
        <v>4.3.1.1-2 Manure methane</v>
      </c>
    </row>
    <row r="33" spans="1:9" ht="20.100000000000001" customHeight="1" x14ac:dyDescent="0.2">
      <c r="A33" s="5" t="str">
        <f>HYPERLINK("#'4.3.1.3-4 Direct N20'!A1", "4.3.1.3-4 Direct N20")</f>
        <v>4.3.1.3-4 Direct N20</v>
      </c>
    </row>
    <row r="34" spans="1:9" ht="20.100000000000001" customHeight="1" x14ac:dyDescent="0.2">
      <c r="A34" s="5" t="str">
        <f>HYPERLINK("#'4.3.1.5 Atmos deposition'!A1", "4.3.1.5 Atmos deposition")</f>
        <v>4.3.1.5 Atmos deposition</v>
      </c>
    </row>
    <row r="35" spans="1:9" ht="20.100000000000001" customHeight="1" x14ac:dyDescent="0.2">
      <c r="A35" s="5" t="str">
        <f>HYPERLINK("#'4.3.1.6-7 Leaching and runoff'!A1", "4.3.1.6-7 Leaching &amp; runoff")</f>
        <v>4.3.1.6-7 Leaching &amp; runoff</v>
      </c>
    </row>
    <row r="36" spans="1:9" ht="20.100000000000001" customHeight="1" x14ac:dyDescent="0.2">
      <c r="A36" s="5" t="str">
        <f>HYPERLINK("#'4.3.1.8 Manure applied to soils'!A1", "4.3.1.8 Manure applied to soils")</f>
        <v>4.3.1.8 Manure applied to soils</v>
      </c>
    </row>
    <row r="37" spans="1:9" ht="20.100000000000001" customHeight="1" x14ac:dyDescent="0.2">
      <c r="A37" s="5" t="str">
        <f>HYPERLINK("#'4.3.1.9 Soil direct N2O'!A1", "4.3.1.9 Soil direct N2O")</f>
        <v>4.3.1.9 Soil direct N2O</v>
      </c>
    </row>
    <row r="38" spans="1:9" ht="20.100000000000001" customHeight="1" x14ac:dyDescent="0.2">
      <c r="A38" s="5" t="str">
        <f>HYPERLINK("#'4.3.1.10-11 Soil Atmos Dep'!A1", "4.3.1.10-11 Soil Atmos Deposition")</f>
        <v>4.3.1.10-11 Soil Atmos Deposition</v>
      </c>
      <c r="C38" s="160"/>
      <c r="I38" s="160"/>
    </row>
    <row r="39" spans="1:9" ht="20.100000000000001" customHeight="1" x14ac:dyDescent="0.2">
      <c r="A39" s="5" t="str">
        <f>HYPERLINK("#'4.3.1.12-13 Soil leach runoff'!A1", "4.3.1.12-13 Soil leach &amp; runoff")</f>
        <v>4.3.1.12-13 Soil leach &amp; runoff</v>
      </c>
      <c r="C39" s="160"/>
      <c r="I39" s="160"/>
    </row>
    <row r="40" spans="1:9" s="172" customFormat="1" ht="20.100000000000001" customHeight="1" x14ac:dyDescent="0.2">
      <c r="A40" s="5" t="str">
        <f>HYPERLINK("#'5.1.1.1-2 Inorganic fert N2O'!A1", "5.1.1.1-2 Inorganic fert N2O")</f>
        <v>5.1.1.1-2 Inorganic fert N2O</v>
      </c>
      <c r="C40" s="1"/>
      <c r="D40" s="1"/>
      <c r="E40" s="1"/>
      <c r="F40" s="1"/>
      <c r="G40" s="1"/>
      <c r="H40" s="1"/>
      <c r="I40" s="1"/>
    </row>
    <row r="41" spans="1:9" s="172" customFormat="1" ht="20.100000000000001" customHeight="1" x14ac:dyDescent="0.2">
      <c r="A41" s="5" t="str">
        <f>HYPERLINK("#'5.1.1.3-4 Inorganic fert CO2'!A1", "5.1.1.3-4 Inorganic fert CO2")</f>
        <v>5.1.1.3-4 Inorganic fert CO2</v>
      </c>
      <c r="C41" s="1"/>
      <c r="D41" s="1"/>
      <c r="E41" s="1"/>
      <c r="F41" s="1"/>
      <c r="G41" s="1"/>
      <c r="H41" s="1"/>
      <c r="I41" s="1"/>
    </row>
    <row r="42" spans="1:9" ht="20.100000000000001" customHeight="1" x14ac:dyDescent="0.2">
      <c r="A42" s="5" t="str">
        <f>HYPERLINK("#'5.2.1.1-2 Organic Fert N2O'!A1", "5.2.1.1-2 Organic fert N2O")</f>
        <v>5.2.1.1-2 Organic fert N2O</v>
      </c>
    </row>
    <row r="43" spans="1:9" ht="20.100000000000001" customHeight="1" x14ac:dyDescent="0.2">
      <c r="A43" s="5" t="str">
        <f>HYPERLINK("#'5.3.1.1-2 Lime CO2'!A1", "5.3.1.1-2 Lime CO2")</f>
        <v>5.3.1.1-2 Lime CO2</v>
      </c>
    </row>
    <row r="44" spans="1:9" ht="20.100000000000001" customHeight="1" x14ac:dyDescent="0.2">
      <c r="A44" s="5" t="str">
        <f>HYPERLINK("#'5.4.1.1-4 Atmos deposition'!A1", "5.4.1.1-4 Atmos. deposition")</f>
        <v>5.4.1.1-4 Atmos. deposition</v>
      </c>
    </row>
    <row r="45" spans="1:9" ht="20.100000000000001" customHeight="1" x14ac:dyDescent="0.2">
      <c r="A45" s="5" t="str">
        <f>HYPERLINK("#'5.5.1.1-2 Leaching and runoff'!A1", "5.5.1.1-2 Leaching &amp; runoff")</f>
        <v>5.5.1.1-2 Leaching &amp; runoff</v>
      </c>
    </row>
    <row r="46" spans="1:9" ht="20.100000000000001" customHeight="1" x14ac:dyDescent="0.2">
      <c r="A46" s="5" t="str">
        <f>HYPERLINK("#'6.2.1.1-2 Pasture residue N2O'!A1", "6.2.1.1-2 Pasture residue N2O")</f>
        <v>6.2.1.1-2 Pasture residue N2O</v>
      </c>
    </row>
    <row r="47" spans="1:9" ht="20.100000000000001" customHeight="1" x14ac:dyDescent="0.2">
      <c r="A47" s="5" t="str">
        <f>HYPERLINK("#'6.3.1.1-2 Leach runoff pasture'!A1", "6.3.1.1-2 Leach &amp; runoff (pasture)")</f>
        <v>6.3.1.1-2 Leach &amp; runoff (pasture)</v>
      </c>
    </row>
    <row r="48" spans="1:9"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5" t="str">
        <f>HYPERLINK("#'Acknowledgements'!A1", "Acknowledgements")</f>
        <v>Acknowledgements</v>
      </c>
    </row>
    <row r="363" spans="4:4" ht="20.100000000000001" customHeight="1" x14ac:dyDescent="0.2">
      <c r="D363" s="79"/>
    </row>
  </sheetData>
  <conditionalFormatting sqref="F49">
    <cfRule type="cellIs" dxfId="13" priority="5" operator="lessThan">
      <formula>0</formula>
    </cfRule>
  </conditionalFormatting>
  <conditionalFormatting sqref="F128:F129">
    <cfRule type="cellIs" dxfId="12" priority="4" operator="lessThan">
      <formula>0</formula>
    </cfRule>
  </conditionalFormatting>
  <conditionalFormatting sqref="F140:F141">
    <cfRule type="cellIs" dxfId="11" priority="3" operator="lessThan">
      <formula>0</formula>
    </cfRule>
  </conditionalFormatting>
  <conditionalFormatting sqref="F152:F153">
    <cfRule type="cellIs" dxfId="10" priority="2" operator="lessThan">
      <formula>0</formula>
    </cfRule>
  </conditionalFormatting>
  <conditionalFormatting sqref="F164:F165">
    <cfRule type="cellIs" dxfId="9" priority="1" operator="lessThan">
      <formula>0</formula>
    </cfRule>
  </conditionalFormatting>
  <conditionalFormatting sqref="F252:F253">
    <cfRule type="cellIs" dxfId="8" priority="12" operator="lessThan">
      <formula>0</formula>
    </cfRule>
  </conditionalFormatting>
  <conditionalFormatting sqref="F257:F258">
    <cfRule type="cellIs" dxfId="7" priority="11" operator="lessThan">
      <formula>0</formula>
    </cfRule>
  </conditionalFormatting>
  <conditionalFormatting sqref="F262:F263">
    <cfRule type="cellIs" dxfId="6" priority="10" operator="lessThan">
      <formula>0</formula>
    </cfRule>
  </conditionalFormatting>
  <conditionalFormatting sqref="F286:F287">
    <cfRule type="cellIs" dxfId="5" priority="9" operator="lessThan">
      <formula>0</formula>
    </cfRule>
  </conditionalFormatting>
  <conditionalFormatting sqref="F291:F292">
    <cfRule type="cellIs" dxfId="4" priority="8" operator="lessThan">
      <formula>0</formula>
    </cfRule>
  </conditionalFormatting>
  <conditionalFormatting sqref="F296:F297">
    <cfRule type="cellIs" dxfId="3" priority="7" operator="lessThan">
      <formula>0</formula>
    </cfRule>
  </conditionalFormatting>
  <conditionalFormatting sqref="H45:H47 E212:G212">
    <cfRule type="cellIs" dxfId="2" priority="6" operator="lessThan">
      <formula>0</formula>
    </cfRule>
  </conditionalFormatting>
  <dataValidations count="8">
    <dataValidation type="list" allowBlank="1" showInputMessage="1" showErrorMessage="1" sqref="E10:E19" xr:uid="{AFE82BA5-1C78-4562-90AC-E053BF809AC4}">
      <formula1>INDIRECT("Table_Refrigerants_LeakageRates[Product]")</formula1>
    </dataValidation>
    <dataValidation type="list" allowBlank="1" showInputMessage="1" showErrorMessage="1" sqref="F10:F19" xr:uid="{E6F9EB32-E868-407B-9ED1-B44087A04FFC}">
      <formula1>INDIRECT("Table_RefrigerantBlends_Cleaned[Blend]")</formula1>
    </dataValidation>
    <dataValidation type="list" allowBlank="1" showInputMessage="1" showErrorMessage="1" sqref="D46:D47" xr:uid="{3649D6A3-2B74-430B-8FEE-DE738B2A23BE}">
      <formula1>INDIRECT("Table_SourceData_OrganicFertiliserTypes[Organic fertiliser type]")</formula1>
    </dataValidation>
    <dataValidation type="list" allowBlank="1" showInputMessage="1" showErrorMessage="1" sqref="E66" xr:uid="{F020DC70-AAAD-42A6-9DEC-321ADB400880}">
      <formula1>INDIRECT("Table_SourceData_Swine_CropProdSystems[Production system]")</formula1>
    </dataValidation>
    <dataValidation type="list" allowBlank="1" showInputMessage="1" showErrorMessage="1" sqref="E67" xr:uid="{CC3F004C-C595-4C04-83A1-B211CE170AEA}">
      <formula1>INDIRECT("Table_SourceData_Swine_IrrigationMethods[Irrigation method]")</formula1>
    </dataValidation>
    <dataValidation type="list" allowBlank="1" showInputMessage="1" showErrorMessage="1" sqref="E251 E256 E261 E295 E290 E285 E163 E151 E127 E139" xr:uid="{F2A63854-CE48-47EE-8A7D-FE9589F5E567}">
      <formula1>"Yes, No"</formula1>
    </dataValidation>
    <dataValidation type="list" allowBlank="1" showInputMessage="1" showErrorMessage="1" sqref="E227" xr:uid="{B658BD9E-E7E0-491F-A22C-23BDEE17FF97}">
      <formula1>INDIRECT("Table_SourceData_Dairy_ProductionSystemTemplates[Area]")</formula1>
    </dataValidation>
    <dataValidation type="list" allowBlank="1" showInputMessage="1" showErrorMessage="1" sqref="D279" xr:uid="{E484EE39-E23E-4637-9F6B-ACD477AC3FD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4484-0435-4015-AC90-1F55216E6493}">
  <sheetPr>
    <tabColor theme="2" tint="-0.499984740745262"/>
  </sheetPr>
  <dimension ref="A1:AI180"/>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1033</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2895</v>
      </c>
      <c r="H5" s="245"/>
      <c r="I5" s="245"/>
      <c r="J5" s="245"/>
      <c r="K5" s="245"/>
      <c r="L5" s="245"/>
      <c r="M5" s="245"/>
      <c r="N5" s="245"/>
      <c r="O5" s="245"/>
      <c r="P5" s="245"/>
      <c r="Q5" s="245"/>
    </row>
    <row r="6" spans="1:35" ht="20.100000000000001" customHeight="1" x14ac:dyDescent="0.2">
      <c r="A6" s="5" t="str">
        <f>HYPERLINK("#'Results'!A1", "Results")</f>
        <v>Results</v>
      </c>
      <c r="D6" s="17" t="s">
        <v>2896</v>
      </c>
      <c r="E6" s="245"/>
      <c r="F6" s="245"/>
      <c r="G6" s="245"/>
      <c r="H6" s="245"/>
      <c r="I6" s="245"/>
      <c r="J6" s="245"/>
      <c r="K6" s="245"/>
      <c r="L6" s="245"/>
      <c r="M6" s="245"/>
      <c r="N6" s="245"/>
      <c r="O6" s="245"/>
      <c r="P6" s="245"/>
      <c r="Q6" s="245"/>
    </row>
    <row r="7" spans="1:35" ht="20.100000000000001" customHeight="1" x14ac:dyDescent="0.2">
      <c r="D7" s="25" t="str" cm="1">
        <f t="array" ref="D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H7" s="245"/>
      <c r="I7" s="245"/>
      <c r="J7" s="245"/>
      <c r="K7" s="245"/>
      <c r="L7" s="245"/>
      <c r="M7" s="245"/>
      <c r="N7" s="245"/>
      <c r="O7" s="245"/>
      <c r="P7" s="245"/>
      <c r="Q7" s="245"/>
    </row>
    <row r="8" spans="1:35" ht="20.100000000000001" customHeight="1" x14ac:dyDescent="0.2">
      <c r="D8" s="19" t="s">
        <v>25</v>
      </c>
      <c r="E8" s="19" t="s">
        <v>1034</v>
      </c>
      <c r="F8" s="19" t="s">
        <v>1035</v>
      </c>
      <c r="G8" s="247" t="s">
        <v>1036</v>
      </c>
      <c r="H8" s="248" t="s">
        <v>1037</v>
      </c>
      <c r="I8" s="245"/>
      <c r="J8" s="245"/>
      <c r="K8" s="245"/>
      <c r="L8" s="245"/>
      <c r="M8" s="245"/>
      <c r="N8" s="245"/>
      <c r="O8" s="245"/>
      <c r="P8" s="245"/>
      <c r="Q8" s="245"/>
    </row>
    <row r="9" spans="1:35" ht="20.100000000000001" customHeight="1" x14ac:dyDescent="0.2">
      <c r="A9" s="7" t="s">
        <v>0</v>
      </c>
      <c r="D9" s="19" t="s">
        <v>2897</v>
      </c>
      <c r="E9" s="19" t="s">
        <v>940</v>
      </c>
      <c r="F9" s="19">
        <v>1</v>
      </c>
      <c r="G9" s="19" t="s">
        <v>940</v>
      </c>
      <c r="H9" s="248"/>
      <c r="I9" s="245"/>
      <c r="J9" s="245"/>
      <c r="K9" s="245"/>
      <c r="L9" s="245"/>
      <c r="M9" s="245"/>
      <c r="N9" s="245"/>
      <c r="O9" s="245"/>
      <c r="P9" s="245"/>
      <c r="Q9" s="245"/>
    </row>
    <row r="10" spans="1:35" ht="20.100000000000001" customHeight="1" x14ac:dyDescent="0.2">
      <c r="A10" s="5" t="str">
        <f>HYPERLINK("#'Input - Enterprise'!A1", "Enterprise")</f>
        <v>Enterprise</v>
      </c>
      <c r="D10" s="19" t="s">
        <v>2898</v>
      </c>
      <c r="E10" s="19" t="s">
        <v>941</v>
      </c>
      <c r="F10" s="19">
        <v>28</v>
      </c>
      <c r="G10" s="19" t="s">
        <v>941</v>
      </c>
      <c r="H10" s="248"/>
      <c r="I10" s="245"/>
      <c r="J10" s="245"/>
      <c r="K10" s="245"/>
      <c r="L10" s="245"/>
      <c r="M10" s="245"/>
      <c r="N10" s="245"/>
      <c r="O10" s="245"/>
      <c r="P10" s="245"/>
      <c r="Q10" s="245"/>
    </row>
    <row r="11" spans="1:35" ht="20.100000000000001" customHeight="1" x14ac:dyDescent="0.2">
      <c r="A11" s="5" t="str">
        <f>HYPERLINK("#'Input - Site'!A1", "Site")</f>
        <v>Site</v>
      </c>
      <c r="D11" s="19" t="s">
        <v>2899</v>
      </c>
      <c r="E11" s="19" t="s">
        <v>942</v>
      </c>
      <c r="F11" s="19">
        <v>265</v>
      </c>
      <c r="G11" s="19" t="s">
        <v>942</v>
      </c>
      <c r="H11" s="248"/>
      <c r="I11" s="245"/>
      <c r="J11" s="245"/>
      <c r="K11" s="245"/>
      <c r="L11" s="245"/>
      <c r="M11" s="245"/>
      <c r="N11" s="245"/>
      <c r="O11" s="245"/>
      <c r="P11" s="245"/>
      <c r="Q11" s="245"/>
    </row>
    <row r="12" spans="1:35" ht="20.100000000000001" customHeight="1" x14ac:dyDescent="0.2">
      <c r="A12" s="5" t="str">
        <f>HYPERLINK("#'Input - Dairy'!A1", "Dairy")</f>
        <v>Dairy</v>
      </c>
      <c r="D12" s="19" t="s">
        <v>2900</v>
      </c>
      <c r="E12" s="19" t="s">
        <v>2773</v>
      </c>
      <c r="F12" s="19">
        <v>23500</v>
      </c>
      <c r="G12" s="19" t="s">
        <v>2773</v>
      </c>
      <c r="H12" s="248"/>
      <c r="I12" s="245"/>
      <c r="J12" s="245"/>
      <c r="K12" s="245"/>
      <c r="L12" s="245"/>
      <c r="M12" s="245"/>
      <c r="N12" s="245"/>
      <c r="O12" s="245"/>
      <c r="P12" s="245"/>
      <c r="Q12" s="245"/>
    </row>
    <row r="13" spans="1:35" ht="20.100000000000001" customHeight="1" x14ac:dyDescent="0.2">
      <c r="A13" s="5" t="str">
        <f>HYPERLINK("#'Input - Livestock sales'!A1", "Livestock sales")</f>
        <v>Livestock sales</v>
      </c>
      <c r="D13" s="19" t="s">
        <v>2901</v>
      </c>
      <c r="E13" s="19" t="s">
        <v>2902</v>
      </c>
      <c r="F13" s="19">
        <v>12400</v>
      </c>
      <c r="G13" s="19" t="s">
        <v>2903</v>
      </c>
      <c r="H13" s="248"/>
      <c r="I13" s="245"/>
      <c r="J13" s="245"/>
      <c r="K13" s="245"/>
      <c r="L13" s="245"/>
      <c r="M13" s="245"/>
      <c r="N13" s="245"/>
      <c r="O13" s="245"/>
      <c r="P13" s="245"/>
      <c r="Q13" s="245"/>
    </row>
    <row r="14" spans="1:35" ht="20.100000000000001" customHeight="1" x14ac:dyDescent="0.2">
      <c r="A14" s="5" t="str">
        <f>HYPERLINK("#'Input - Dairy cattle purchases'!A1", "Dairy cattle purchases")</f>
        <v>Dairy cattle purchases</v>
      </c>
      <c r="D14" s="19" t="s">
        <v>2904</v>
      </c>
      <c r="E14" s="19" t="s">
        <v>2905</v>
      </c>
      <c r="F14" s="19">
        <v>677</v>
      </c>
      <c r="G14" s="19" t="s">
        <v>2906</v>
      </c>
      <c r="H14" s="248"/>
      <c r="I14" s="245"/>
      <c r="J14" s="245"/>
      <c r="K14" s="245"/>
      <c r="L14" s="245"/>
      <c r="M14" s="245"/>
      <c r="N14" s="245"/>
      <c r="O14" s="245"/>
      <c r="P14" s="245"/>
      <c r="Q14" s="245"/>
    </row>
    <row r="15" spans="1:35" ht="20.100000000000001" customHeight="1" x14ac:dyDescent="0.2">
      <c r="A15" s="5" t="str">
        <f>HYPERLINK("#'Input - Pasture'!A1", "Pasture")</f>
        <v>Pasture</v>
      </c>
      <c r="D15" s="19" t="s">
        <v>2907</v>
      </c>
      <c r="E15" s="19" t="s">
        <v>2908</v>
      </c>
      <c r="F15" s="19">
        <v>116</v>
      </c>
      <c r="G15" s="19" t="s">
        <v>2909</v>
      </c>
      <c r="H15" s="248"/>
      <c r="I15" s="245"/>
      <c r="J15" s="245"/>
      <c r="K15" s="245"/>
      <c r="L15" s="245"/>
      <c r="M15" s="245"/>
      <c r="N15" s="245"/>
      <c r="O15" s="245"/>
      <c r="P15" s="245"/>
      <c r="Q15" s="245"/>
    </row>
    <row r="16" spans="1:35" ht="20.100000000000001" customHeight="1" x14ac:dyDescent="0.2">
      <c r="A16" s="5" t="str">
        <f>HYPERLINK("#'Input - Fert Prod System'!A1", "Fert Prod System")</f>
        <v>Fert Prod System</v>
      </c>
      <c r="D16" s="19" t="s">
        <v>2910</v>
      </c>
      <c r="E16" s="19" t="s">
        <v>2911</v>
      </c>
      <c r="F16" s="19">
        <v>1650</v>
      </c>
      <c r="G16" s="19" t="s">
        <v>2912</v>
      </c>
      <c r="H16" s="248"/>
      <c r="I16" s="245"/>
      <c r="J16" s="245"/>
      <c r="K16" s="245"/>
      <c r="L16" s="245"/>
      <c r="M16" s="245"/>
      <c r="N16" s="245"/>
      <c r="O16" s="245"/>
      <c r="P16" s="245"/>
      <c r="Q16" s="245"/>
    </row>
    <row r="17" spans="1:17" ht="20.100000000000001" customHeight="1" x14ac:dyDescent="0.2">
      <c r="A17" s="5" t="str">
        <f>HYPERLINK("#'Input - Fertiliser'!A1", "Fertiliser")</f>
        <v>Fertiliser</v>
      </c>
      <c r="D17" s="19" t="s">
        <v>2913</v>
      </c>
      <c r="E17" s="19" t="s">
        <v>2914</v>
      </c>
      <c r="F17" s="19">
        <v>3170</v>
      </c>
      <c r="G17" s="19" t="s">
        <v>2915</v>
      </c>
      <c r="H17" s="248"/>
      <c r="I17" s="245"/>
      <c r="J17" s="245"/>
      <c r="K17" s="245"/>
      <c r="L17" s="245"/>
      <c r="M17" s="245"/>
      <c r="N17" s="245"/>
      <c r="O17" s="245"/>
      <c r="P17" s="245"/>
      <c r="Q17" s="245"/>
    </row>
    <row r="18" spans="1:17" ht="20.100000000000001" customHeight="1" x14ac:dyDescent="0.2">
      <c r="A18" s="5" t="str">
        <f>HYPERLINK("#'Input - Fuel'!A1", "Fuel")</f>
        <v>Fuel</v>
      </c>
      <c r="D18" s="19" t="s">
        <v>2916</v>
      </c>
      <c r="E18" s="19" t="s">
        <v>2917</v>
      </c>
      <c r="F18" s="19">
        <v>1120</v>
      </c>
      <c r="G18" s="19" t="s">
        <v>2918</v>
      </c>
      <c r="H18" s="248"/>
      <c r="I18" s="245"/>
      <c r="J18" s="245"/>
      <c r="K18" s="245"/>
      <c r="L18" s="245"/>
      <c r="M18" s="245"/>
      <c r="N18" s="245"/>
      <c r="O18" s="245"/>
      <c r="P18" s="245"/>
      <c r="Q18" s="245"/>
    </row>
    <row r="19" spans="1:17" ht="20.100000000000001" customHeight="1" x14ac:dyDescent="0.2">
      <c r="A19" s="5" t="str">
        <f>HYPERLINK("#'Input - Electricity'!A1", "Electricity")</f>
        <v>Electricity</v>
      </c>
      <c r="D19" s="19" t="s">
        <v>2919</v>
      </c>
      <c r="E19" s="19" t="s">
        <v>2920</v>
      </c>
      <c r="F19" s="19">
        <v>1300</v>
      </c>
      <c r="G19" s="19" t="s">
        <v>2921</v>
      </c>
      <c r="H19" s="248"/>
      <c r="I19" s="245"/>
      <c r="J19" s="245"/>
      <c r="K19" s="245"/>
      <c r="L19" s="245"/>
      <c r="M19" s="245"/>
      <c r="N19" s="245"/>
      <c r="O19" s="245"/>
      <c r="P19" s="245"/>
      <c r="Q19" s="245"/>
    </row>
    <row r="20" spans="1:17" ht="20.100000000000001" customHeight="1" x14ac:dyDescent="0.2">
      <c r="A20" s="5" t="str">
        <f>HYPERLINK("#'Input - Common farm inputs'!A1", "Common farm inputs")</f>
        <v>Common farm inputs</v>
      </c>
      <c r="D20" s="19" t="s">
        <v>2922</v>
      </c>
      <c r="E20" s="19" t="s">
        <v>2923</v>
      </c>
      <c r="F20" s="19">
        <v>328</v>
      </c>
      <c r="G20" s="19" t="s">
        <v>2924</v>
      </c>
      <c r="H20" s="248"/>
      <c r="I20" s="245"/>
      <c r="J20" s="245"/>
      <c r="K20" s="245"/>
      <c r="L20" s="245"/>
      <c r="M20" s="245"/>
      <c r="N20" s="245"/>
      <c r="O20" s="245"/>
      <c r="P20" s="245"/>
      <c r="Q20" s="245"/>
    </row>
    <row r="21" spans="1:17" ht="20.100000000000001" customHeight="1" x14ac:dyDescent="0.2">
      <c r="A21" s="5" t="str">
        <f>HYPERLINK("#'Input - Crop pasture farm input'!A1", "Crop pasture farm input")</f>
        <v>Crop pasture farm input</v>
      </c>
      <c r="D21" s="19" t="s">
        <v>2925</v>
      </c>
      <c r="E21" s="19" t="s">
        <v>2926</v>
      </c>
      <c r="F21" s="19">
        <v>4800</v>
      </c>
      <c r="G21" s="19" t="s">
        <v>2927</v>
      </c>
      <c r="H21" s="248"/>
      <c r="I21" s="245"/>
      <c r="J21" s="245"/>
      <c r="K21" s="245"/>
      <c r="L21" s="245"/>
      <c r="M21" s="245"/>
      <c r="N21" s="245"/>
      <c r="O21" s="245"/>
      <c r="P21" s="245"/>
      <c r="Q21" s="245"/>
    </row>
    <row r="22" spans="1:17" ht="20.100000000000001" customHeight="1" x14ac:dyDescent="0.2">
      <c r="A22" s="5" t="str">
        <f>HYPERLINK("#'Input - Livestock farm Inputs'!A1", "Livestock farm Inputs")</f>
        <v>Livestock farm Inputs</v>
      </c>
      <c r="D22" s="19" t="s">
        <v>2928</v>
      </c>
      <c r="E22" s="19" t="s">
        <v>2929</v>
      </c>
      <c r="F22" s="19">
        <v>138</v>
      </c>
      <c r="G22" s="19" t="s">
        <v>2930</v>
      </c>
      <c r="H22" s="248"/>
      <c r="I22" s="245"/>
      <c r="J22" s="245"/>
      <c r="K22" s="245"/>
      <c r="L22" s="245"/>
      <c r="M22" s="245"/>
      <c r="N22" s="245"/>
      <c r="O22" s="245"/>
      <c r="P22" s="245"/>
      <c r="Q22" s="245"/>
    </row>
    <row r="23" spans="1:17" ht="20.100000000000001" customHeight="1" x14ac:dyDescent="0.2">
      <c r="A23" s="5" t="str">
        <f>HYPERLINK("#'Input - Freight'!A1", "Freight")</f>
        <v>Freight</v>
      </c>
      <c r="D23" s="19" t="s">
        <v>2931</v>
      </c>
      <c r="E23" s="19" t="s">
        <v>2932</v>
      </c>
      <c r="F23" s="19">
        <v>3350</v>
      </c>
      <c r="G23" s="19" t="s">
        <v>2933</v>
      </c>
      <c r="H23" s="248"/>
      <c r="I23" s="245"/>
      <c r="J23" s="245"/>
      <c r="K23" s="245"/>
      <c r="L23" s="245"/>
      <c r="M23" s="245"/>
      <c r="N23" s="245"/>
      <c r="O23" s="245"/>
      <c r="P23" s="245"/>
      <c r="Q23" s="245"/>
    </row>
    <row r="24" spans="1:17" ht="20.100000000000001" customHeight="1" x14ac:dyDescent="0.2">
      <c r="A24" s="5" t="str">
        <f>HYPERLINK("#'Input - Solid waste'!A1", "Solid waste")</f>
        <v>Solid waste</v>
      </c>
      <c r="D24" s="19" t="s">
        <v>2934</v>
      </c>
      <c r="E24" s="19" t="s">
        <v>2935</v>
      </c>
      <c r="F24" s="19">
        <v>8060</v>
      </c>
      <c r="G24" s="19" t="s">
        <v>2936</v>
      </c>
      <c r="H24" s="248"/>
      <c r="I24" s="245"/>
      <c r="J24" s="245"/>
      <c r="K24" s="245"/>
      <c r="L24" s="245"/>
      <c r="M24" s="245"/>
      <c r="N24" s="245"/>
      <c r="O24" s="245"/>
      <c r="P24" s="245"/>
      <c r="Q24" s="245"/>
    </row>
    <row r="25" spans="1:17" ht="20.100000000000001" customHeight="1" x14ac:dyDescent="0.2">
      <c r="A25" s="5" t="str">
        <f>HYPERLINK("#'Input - Manure sent off-site'!A1", "Manure sent off-site")</f>
        <v>Manure sent off-site</v>
      </c>
      <c r="D25" s="19" t="s">
        <v>2937</v>
      </c>
      <c r="E25" s="19" t="s">
        <v>2938</v>
      </c>
      <c r="F25" s="19">
        <v>716</v>
      </c>
      <c r="G25" s="19" t="s">
        <v>2939</v>
      </c>
      <c r="H25" s="248"/>
      <c r="I25" s="245"/>
      <c r="J25" s="245"/>
      <c r="K25" s="245"/>
      <c r="L25" s="245"/>
      <c r="M25" s="245"/>
      <c r="N25" s="245"/>
      <c r="O25" s="245"/>
      <c r="P25" s="245"/>
      <c r="Q25" s="245"/>
    </row>
    <row r="26" spans="1:17" ht="20.100000000000001" customHeight="1" x14ac:dyDescent="0.2">
      <c r="A26" s="5" t="str">
        <f>HYPERLINK("#'Input - Refrigerants'!A1", "Refrigerants")</f>
        <v>Refrigerants</v>
      </c>
      <c r="D26" s="19" t="s">
        <v>2940</v>
      </c>
      <c r="E26" s="19" t="s">
        <v>2941</v>
      </c>
      <c r="F26" s="19">
        <v>858</v>
      </c>
      <c r="G26" s="19" t="s">
        <v>2942</v>
      </c>
      <c r="H26" s="248"/>
      <c r="I26" s="245"/>
      <c r="J26" s="245"/>
      <c r="K26" s="245"/>
      <c r="L26" s="245"/>
      <c r="M26" s="245"/>
      <c r="N26" s="245"/>
      <c r="O26" s="245"/>
      <c r="P26" s="245"/>
      <c r="Q26" s="245"/>
    </row>
    <row r="27" spans="1:17" ht="20.100000000000001" customHeight="1" x14ac:dyDescent="0.2">
      <c r="A27" s="5" t="str">
        <f>HYPERLINK("#'Input - Data quality'!A1", "Data quality")</f>
        <v>Data quality</v>
      </c>
      <c r="D27" s="19" t="s">
        <v>2943</v>
      </c>
      <c r="E27" s="19" t="s">
        <v>2944</v>
      </c>
      <c r="F27" s="19">
        <v>804</v>
      </c>
      <c r="G27" s="19" t="s">
        <v>2945</v>
      </c>
      <c r="H27" s="248"/>
      <c r="I27" s="245"/>
      <c r="J27" s="245"/>
      <c r="K27" s="245"/>
      <c r="L27" s="245"/>
      <c r="M27" s="245"/>
      <c r="N27" s="245"/>
      <c r="O27" s="245"/>
      <c r="P27" s="245"/>
      <c r="Q27" s="245"/>
    </row>
    <row r="28" spans="1:17" ht="20.100000000000001" customHeight="1" x14ac:dyDescent="0.2">
      <c r="D28" s="19" t="s">
        <v>2946</v>
      </c>
      <c r="E28" s="19" t="s">
        <v>2947</v>
      </c>
      <c r="F28" s="19">
        <v>1760</v>
      </c>
      <c r="G28" s="19" t="s">
        <v>2948</v>
      </c>
      <c r="H28" s="248"/>
      <c r="I28" s="245"/>
      <c r="J28" s="245"/>
      <c r="K28" s="245"/>
      <c r="L28" s="245"/>
      <c r="M28" s="245"/>
      <c r="N28" s="245"/>
      <c r="O28" s="245"/>
      <c r="P28" s="245"/>
      <c r="Q28" s="245"/>
    </row>
    <row r="29" spans="1:17" ht="20.100000000000001" customHeight="1" x14ac:dyDescent="0.2">
      <c r="D29" s="248" t="s">
        <v>2949</v>
      </c>
      <c r="E29" s="19" t="s">
        <v>2950</v>
      </c>
      <c r="F29" s="19">
        <v>79</v>
      </c>
      <c r="G29" s="19" t="s">
        <v>2951</v>
      </c>
      <c r="H29" s="248"/>
      <c r="I29" s="245"/>
      <c r="J29" s="245"/>
      <c r="K29" s="245"/>
      <c r="L29" s="245"/>
      <c r="M29" s="245"/>
      <c r="N29" s="245"/>
      <c r="O29" s="245"/>
      <c r="P29" s="245"/>
      <c r="Q29" s="245"/>
    </row>
    <row r="30" spans="1:17" ht="20.100000000000001" customHeight="1" x14ac:dyDescent="0.2">
      <c r="A30" s="6" t="s">
        <v>2</v>
      </c>
      <c r="D30" s="248" t="s">
        <v>2952</v>
      </c>
      <c r="E30" s="19" t="s">
        <v>2953</v>
      </c>
      <c r="F30" s="19">
        <v>527</v>
      </c>
      <c r="G30" s="19" t="s">
        <v>2954</v>
      </c>
      <c r="H30" s="248"/>
      <c r="I30" s="245"/>
      <c r="J30" s="245"/>
      <c r="K30" s="245"/>
      <c r="L30" s="245"/>
      <c r="M30" s="245"/>
      <c r="N30" s="245"/>
      <c r="O30" s="245"/>
      <c r="P30" s="245"/>
      <c r="Q30" s="245"/>
    </row>
    <row r="31" spans="1:17" ht="20.100000000000001" customHeight="1" x14ac:dyDescent="0.2">
      <c r="A31" s="5" t="str">
        <f>HYPERLINK("#'3.3.1.1-2 Enteric Methane'!A1", "3.3.1.1-2 Enteric methane")</f>
        <v>3.3.1.1-2 Enteric methane</v>
      </c>
      <c r="D31" s="248" t="s">
        <v>2955</v>
      </c>
      <c r="E31" s="19" t="s">
        <v>2956</v>
      </c>
      <c r="F31" s="19">
        <v>782</v>
      </c>
      <c r="G31" s="19" t="s">
        <v>2957</v>
      </c>
      <c r="H31" s="248"/>
      <c r="I31" s="245"/>
      <c r="J31" s="245"/>
      <c r="K31" s="245"/>
      <c r="L31" s="245"/>
      <c r="M31" s="245"/>
      <c r="N31" s="245"/>
      <c r="O31" s="245"/>
      <c r="P31" s="245"/>
      <c r="Q31" s="245"/>
    </row>
    <row r="32" spans="1:17" ht="20.100000000000001" customHeight="1" x14ac:dyDescent="0.2">
      <c r="A32" s="5" t="str">
        <f>HYPERLINK("#'4.3.1.1-2 Methane'!A1", "4.3.1.1-2 Manure methane")</f>
        <v>4.3.1.1-2 Manure methane</v>
      </c>
      <c r="D32" s="248" t="s">
        <v>2958</v>
      </c>
      <c r="E32" s="19" t="s">
        <v>2959</v>
      </c>
      <c r="F32" s="19">
        <v>1980</v>
      </c>
      <c r="G32" s="19" t="s">
        <v>2960</v>
      </c>
      <c r="H32" s="248"/>
      <c r="I32" s="245"/>
      <c r="J32" s="245"/>
      <c r="K32" s="245"/>
      <c r="L32" s="245"/>
      <c r="M32" s="245"/>
      <c r="N32" s="245"/>
      <c r="O32" s="245"/>
      <c r="P32" s="245"/>
      <c r="Q32" s="245"/>
    </row>
    <row r="33" spans="1:17" ht="20.100000000000001" customHeight="1" x14ac:dyDescent="0.2">
      <c r="A33" s="5" t="str">
        <f>HYPERLINK("#'4.3.1.3-4 Direct N20'!A1", "4.3.1.3-4 Direct N20")</f>
        <v>4.3.1.3-4 Direct N20</v>
      </c>
      <c r="D33" s="248" t="s">
        <v>2961</v>
      </c>
      <c r="E33" s="19" t="s">
        <v>2962</v>
      </c>
      <c r="F33" s="19">
        <v>127</v>
      </c>
      <c r="G33" s="19" t="s">
        <v>2963</v>
      </c>
      <c r="H33" s="248"/>
      <c r="I33" s="245"/>
      <c r="J33" s="245"/>
      <c r="K33" s="245"/>
      <c r="L33" s="245"/>
      <c r="M33" s="245"/>
      <c r="N33" s="245"/>
      <c r="O33" s="245"/>
      <c r="P33" s="245"/>
      <c r="Q33" s="245"/>
    </row>
    <row r="34" spans="1:17" ht="20.100000000000001" customHeight="1" x14ac:dyDescent="0.2">
      <c r="A34" s="5" t="str">
        <f>HYPERLINK("#'4.3.1.5 Atmos deposition'!A1", "4.3.1.5 Atmos deposition")</f>
        <v>4.3.1.5 Atmos deposition</v>
      </c>
      <c r="D34" s="248" t="s">
        <v>2964</v>
      </c>
      <c r="E34" s="19" t="s">
        <v>2965</v>
      </c>
      <c r="F34" s="19">
        <v>525</v>
      </c>
      <c r="G34" s="19" t="s">
        <v>2966</v>
      </c>
      <c r="H34" s="248"/>
      <c r="I34" s="245"/>
      <c r="J34" s="245"/>
      <c r="K34" s="245"/>
      <c r="L34" s="245"/>
      <c r="M34" s="245"/>
      <c r="N34" s="245"/>
      <c r="O34" s="245"/>
      <c r="P34" s="245"/>
      <c r="Q34" s="245"/>
    </row>
    <row r="35" spans="1:17" ht="20.100000000000001" customHeight="1" x14ac:dyDescent="0.2">
      <c r="A35" s="5" t="str">
        <f>HYPERLINK("#'4.3.1.6-7 Leaching and runoff'!A1", "4.3.1.6-7 Leaching &amp; runoff")</f>
        <v>4.3.1.6-7 Leaching &amp; runoff</v>
      </c>
      <c r="D35" s="248" t="s">
        <v>2967</v>
      </c>
      <c r="E35" s="19" t="s">
        <v>2771</v>
      </c>
      <c r="F35" s="19">
        <v>6630</v>
      </c>
      <c r="G35" s="19" t="s">
        <v>2968</v>
      </c>
      <c r="H35" s="248"/>
      <c r="I35" s="245"/>
      <c r="J35" s="245"/>
      <c r="K35" s="245"/>
      <c r="L35" s="245"/>
      <c r="M35" s="245"/>
      <c r="N35" s="245"/>
      <c r="O35" s="245"/>
      <c r="P35" s="245"/>
      <c r="Q35" s="245"/>
    </row>
    <row r="36" spans="1:17" ht="20.100000000000001" customHeight="1" x14ac:dyDescent="0.2">
      <c r="A36" s="5" t="str">
        <f>HYPERLINK("#'4.3.1.8 Manure applied to soils'!A1", "4.3.1.8 Manure applied to soils")</f>
        <v>4.3.1.8 Manure applied to soils</v>
      </c>
      <c r="D36" s="248" t="s">
        <v>2969</v>
      </c>
      <c r="E36" s="19" t="s">
        <v>2772</v>
      </c>
      <c r="F36" s="19">
        <v>11100</v>
      </c>
      <c r="G36" s="19" t="s">
        <v>2970</v>
      </c>
      <c r="H36" s="248"/>
      <c r="I36" s="245"/>
      <c r="J36" s="245"/>
      <c r="K36" s="245"/>
      <c r="L36" s="245"/>
      <c r="M36" s="245"/>
      <c r="N36" s="245"/>
      <c r="O36" s="245"/>
      <c r="P36" s="245"/>
      <c r="Q36" s="245"/>
    </row>
    <row r="37" spans="1:17" ht="20.100000000000001" customHeight="1" x14ac:dyDescent="0.2">
      <c r="A37" s="5" t="str">
        <f>HYPERLINK("#'4.3.1.9 Soil direct N2O'!A1", "4.3.1.9 Soil direct N2O")</f>
        <v>4.3.1.9 Soil direct N2O</v>
      </c>
      <c r="D37" s="248" t="s">
        <v>2971</v>
      </c>
      <c r="E37" s="19" t="s">
        <v>2972</v>
      </c>
      <c r="F37" s="19">
        <v>8900</v>
      </c>
      <c r="G37" s="19" t="s">
        <v>2973</v>
      </c>
      <c r="H37" s="248"/>
      <c r="I37" s="245"/>
      <c r="J37" s="245"/>
      <c r="K37" s="245"/>
      <c r="L37" s="245"/>
      <c r="M37" s="245"/>
      <c r="N37" s="245"/>
      <c r="O37" s="245"/>
      <c r="P37" s="245"/>
      <c r="Q37" s="245"/>
    </row>
    <row r="38" spans="1:17" ht="20.100000000000001" customHeight="1" x14ac:dyDescent="0.2">
      <c r="A38" s="5" t="str">
        <f>HYPERLINK("#'4.3.1.10-11 Soil Atmos Dep'!A1", "4.3.1.10-11 Soil Atmos Deposition")</f>
        <v>4.3.1.10-11 Soil Atmos Deposition</v>
      </c>
      <c r="D38" s="248" t="s">
        <v>2974</v>
      </c>
      <c r="E38" s="19" t="s">
        <v>2975</v>
      </c>
      <c r="F38" s="19">
        <v>9200</v>
      </c>
      <c r="G38" s="19" t="s">
        <v>2976</v>
      </c>
      <c r="H38" s="248"/>
      <c r="I38" s="245"/>
      <c r="J38" s="245"/>
      <c r="K38" s="245"/>
      <c r="L38" s="245"/>
      <c r="M38" s="245"/>
      <c r="N38" s="245"/>
      <c r="O38" s="245"/>
      <c r="P38" s="245"/>
      <c r="Q38" s="245"/>
    </row>
    <row r="39" spans="1:17" ht="20.100000000000001" customHeight="1" x14ac:dyDescent="0.2">
      <c r="A39" s="5" t="str">
        <f>HYPERLINK("#'4.3.1.12-13 Soil leach runoff'!A1", "4.3.1.12-13 Soil leach &amp; runoff")</f>
        <v>4.3.1.12-13 Soil leach &amp; runoff</v>
      </c>
      <c r="D39" s="248" t="s">
        <v>2977</v>
      </c>
      <c r="E39" s="19" t="s">
        <v>2978</v>
      </c>
      <c r="F39" s="19">
        <v>9540</v>
      </c>
      <c r="G39" s="19" t="s">
        <v>2979</v>
      </c>
      <c r="H39" s="248"/>
      <c r="I39" s="245"/>
      <c r="J39" s="245"/>
      <c r="K39" s="245"/>
      <c r="L39" s="245"/>
      <c r="M39" s="245"/>
      <c r="N39" s="245"/>
      <c r="O39" s="245"/>
      <c r="P39" s="245"/>
      <c r="Q39" s="245"/>
    </row>
    <row r="40" spans="1:17" ht="20.100000000000001" customHeight="1" x14ac:dyDescent="0.2">
      <c r="A40" s="5" t="str">
        <f>HYPERLINK("#'5.1.1.1-2 Inorganic fert N2O'!A1", "5.1.1.1-2 Inorganic fert N2O")</f>
        <v>5.1.1.1-2 Inorganic fert N2O</v>
      </c>
      <c r="D40" s="248" t="s">
        <v>2980</v>
      </c>
      <c r="E40" s="19" t="s">
        <v>2981</v>
      </c>
      <c r="F40" s="19">
        <v>8550</v>
      </c>
      <c r="G40" s="19" t="s">
        <v>2982</v>
      </c>
      <c r="H40" s="248"/>
      <c r="I40" s="245"/>
      <c r="J40" s="245"/>
      <c r="K40" s="245"/>
      <c r="L40" s="245"/>
      <c r="M40" s="245"/>
      <c r="N40" s="245"/>
      <c r="O40" s="245"/>
      <c r="P40" s="245"/>
      <c r="Q40" s="245"/>
    </row>
    <row r="41" spans="1:17" ht="20.100000000000001" customHeight="1" x14ac:dyDescent="0.2">
      <c r="A41" s="5" t="str">
        <f>HYPERLINK("#'5.1.1.3-4 Inorganic fert CO2'!A1", "5.1.1.3-4 Inorganic fert CO2")</f>
        <v>5.1.1.3-4 Inorganic fert CO2</v>
      </c>
      <c r="D41" s="248" t="s">
        <v>2983</v>
      </c>
      <c r="E41" s="19" t="s">
        <v>2984</v>
      </c>
      <c r="F41" s="19">
        <v>7910</v>
      </c>
      <c r="G41" s="19" t="s">
        <v>2985</v>
      </c>
      <c r="H41" s="248"/>
      <c r="I41" s="245"/>
      <c r="J41" s="245"/>
      <c r="K41" s="245"/>
      <c r="L41" s="245"/>
      <c r="M41" s="245"/>
      <c r="N41" s="245"/>
      <c r="O41" s="245"/>
      <c r="P41" s="245"/>
      <c r="Q41" s="245"/>
    </row>
    <row r="42" spans="1:17" ht="20.100000000000001" customHeight="1" x14ac:dyDescent="0.2">
      <c r="A42" s="5" t="str">
        <f>HYPERLINK("#'5.2.1.1-2 Organic Fert N2O'!A1", "5.2.1.1-2 Organic fert N2O")</f>
        <v>5.2.1.1-2 Organic fert N2O</v>
      </c>
      <c r="D42" s="248" t="s">
        <v>2986</v>
      </c>
      <c r="E42" s="19" t="s">
        <v>2987</v>
      </c>
      <c r="F42" s="19">
        <v>7190</v>
      </c>
      <c r="G42" s="19" t="s">
        <v>2988</v>
      </c>
      <c r="H42" s="248"/>
      <c r="I42" s="245"/>
      <c r="J42" s="245"/>
      <c r="K42" s="245"/>
      <c r="L42" s="245"/>
      <c r="M42" s="245"/>
      <c r="N42" s="245"/>
      <c r="O42" s="245"/>
      <c r="P42" s="245"/>
      <c r="Q42" s="245"/>
    </row>
    <row r="43" spans="1:17" ht="20.100000000000001" customHeight="1" x14ac:dyDescent="0.2">
      <c r="A43" s="5" t="str">
        <f>HYPERLINK("#'5.3.1.1-2 Lime CO2'!A1", "5.3.1.1-2 Lime CO2")</f>
        <v>5.3.1.1-2 Lime CO2</v>
      </c>
      <c r="D43" s="248" t="s">
        <v>2989</v>
      </c>
      <c r="E43" s="248" t="s">
        <v>2990</v>
      </c>
      <c r="F43" s="248">
        <v>10200</v>
      </c>
      <c r="G43" s="248" t="s">
        <v>2989</v>
      </c>
      <c r="H43" s="248" t="s">
        <v>2991</v>
      </c>
      <c r="I43" s="245"/>
      <c r="J43" s="245"/>
      <c r="K43" s="245"/>
      <c r="L43" s="245"/>
      <c r="M43" s="245"/>
      <c r="N43" s="245"/>
      <c r="O43" s="245"/>
      <c r="P43" s="245"/>
      <c r="Q43" s="245"/>
    </row>
    <row r="44" spans="1:17" ht="20.100000000000001" customHeight="1" x14ac:dyDescent="0.2">
      <c r="A44" s="5" t="str">
        <f>HYPERLINK("#'5.4.1.1-4 Atmos deposition'!A1", "5.4.1.1-4 Atmos. deposition")</f>
        <v>5.4.1.1-4 Atmos. deposition</v>
      </c>
      <c r="D44" s="248" t="s">
        <v>2992</v>
      </c>
      <c r="E44" s="248" t="s">
        <v>2993</v>
      </c>
      <c r="F44" s="248">
        <v>13900</v>
      </c>
      <c r="G44" s="248" t="s">
        <v>2992</v>
      </c>
      <c r="H44" s="248" t="s">
        <v>2991</v>
      </c>
      <c r="I44" s="245"/>
      <c r="J44" s="245"/>
      <c r="K44" s="245"/>
      <c r="L44" s="245"/>
      <c r="M44" s="245"/>
      <c r="N44" s="245"/>
      <c r="O44" s="245"/>
      <c r="P44" s="245"/>
      <c r="Q44" s="245"/>
    </row>
    <row r="45" spans="1:17" ht="20.100000000000001" customHeight="1" x14ac:dyDescent="0.2">
      <c r="A45" s="5" t="str">
        <f>HYPERLINK("#'5.5.1.1-2 Leaching and runoff'!A1", "5.5.1.1-2 Leaching &amp; runoff")</f>
        <v>5.5.1.1-2 Leaching &amp; runoff</v>
      </c>
      <c r="D45" s="248" t="s">
        <v>2994</v>
      </c>
      <c r="E45" s="248" t="s">
        <v>2995</v>
      </c>
      <c r="F45" s="248">
        <v>8590</v>
      </c>
      <c r="G45" s="248" t="s">
        <v>2994</v>
      </c>
      <c r="H45" s="248" t="s">
        <v>2991</v>
      </c>
      <c r="I45" s="245"/>
      <c r="J45" s="245"/>
      <c r="K45" s="245"/>
      <c r="L45" s="245"/>
      <c r="M45" s="245"/>
      <c r="N45" s="245"/>
      <c r="O45" s="245"/>
      <c r="P45" s="245"/>
      <c r="Q45" s="245"/>
    </row>
    <row r="46" spans="1:17" ht="20.100000000000001" customHeight="1" x14ac:dyDescent="0.2">
      <c r="A46" s="5" t="str">
        <f>HYPERLINK("#'6.2.1.1-2 Pasture residue N2O'!A1", "6.2.1.1-2 Pasture residue N2O")</f>
        <v>6.2.1.1-2 Pasture residue N2O</v>
      </c>
      <c r="D46" s="248" t="s">
        <v>2996</v>
      </c>
      <c r="E46" s="248" t="s">
        <v>2997</v>
      </c>
      <c r="F46" s="248">
        <v>7670</v>
      </c>
      <c r="G46" s="248" t="s">
        <v>2996</v>
      </c>
      <c r="H46" s="248" t="s">
        <v>2991</v>
      </c>
      <c r="I46" s="245"/>
      <c r="J46" s="245"/>
      <c r="K46" s="245"/>
      <c r="L46" s="245"/>
      <c r="M46" s="245"/>
      <c r="N46" s="245"/>
      <c r="O46" s="245"/>
      <c r="P46" s="245"/>
      <c r="Q46" s="245"/>
    </row>
    <row r="47" spans="1:17" ht="20.100000000000001" customHeight="1" x14ac:dyDescent="0.2">
      <c r="A47" s="5" t="str">
        <f>HYPERLINK("#'6.3.1.1-2 Leach runoff pasture'!A1", "6.3.1.1-2 Leach &amp; runoff (pasture)")</f>
        <v>6.3.1.1-2 Leach &amp; runoff (pasture)</v>
      </c>
      <c r="D47" s="245"/>
      <c r="E47" s="245"/>
      <c r="F47" s="245"/>
      <c r="G47" s="245"/>
      <c r="H47" s="245"/>
      <c r="I47" s="245"/>
      <c r="J47" s="245"/>
      <c r="K47" s="245"/>
      <c r="L47" s="245"/>
      <c r="M47" s="245"/>
      <c r="N47" s="245"/>
      <c r="O47" s="245"/>
      <c r="P47" s="245"/>
      <c r="Q47" s="245"/>
    </row>
    <row r="48" spans="1:17" ht="20.100000000000001" customHeight="1" x14ac:dyDescent="0.2">
      <c r="A48" s="5" t="str">
        <f>HYPERLINK("#'8.1.1.1-2 Transport fuel'!A1", "8.1.1.1-2 Transport fuel")</f>
        <v>8.1.1.1-2 Transport fuel</v>
      </c>
      <c r="D48" s="88"/>
      <c r="E48" s="88"/>
      <c r="F48" s="88"/>
      <c r="G48" s="88"/>
      <c r="H48" s="249"/>
      <c r="I48" s="249"/>
      <c r="J48" s="249"/>
      <c r="K48" s="249"/>
      <c r="L48" s="249"/>
      <c r="M48" s="249"/>
      <c r="N48" s="249"/>
      <c r="O48" s="249"/>
      <c r="P48" s="249"/>
      <c r="Q48" s="249"/>
    </row>
    <row r="49" spans="1:17" ht="20.100000000000001" customHeight="1" x14ac:dyDescent="0.2">
      <c r="A49" s="5" t="str">
        <f>HYPERLINK("#'8.2.1.1-2 Stationary fuel'!A1", "8.2.1.1-2 Stationary fuel")</f>
        <v>8.2.1.1-2 Stationary fuel</v>
      </c>
      <c r="D49" s="2" t="s">
        <v>2998</v>
      </c>
      <c r="H49" s="245"/>
      <c r="I49" s="245"/>
      <c r="J49" s="245"/>
      <c r="K49" s="245"/>
      <c r="L49" s="245"/>
      <c r="M49" s="245"/>
      <c r="N49" s="245"/>
      <c r="O49" s="245"/>
      <c r="P49" s="245"/>
      <c r="Q49" s="245"/>
    </row>
    <row r="50" spans="1:17" ht="20.100000000000001" customHeight="1" x14ac:dyDescent="0.2">
      <c r="A50" s="5" t="str">
        <f>HYPERLINK("#'9.1.1.1-2 Refrigerant use'!A1", "9.1.1.1-2 Refrigerant use")</f>
        <v>9.1.1.1-2 Refrigerant use</v>
      </c>
      <c r="D50" s="17" t="s">
        <v>2999</v>
      </c>
      <c r="E50" s="245"/>
      <c r="F50" s="245"/>
      <c r="G50" s="245"/>
      <c r="H50" s="245"/>
      <c r="I50" s="245"/>
      <c r="J50" s="245"/>
      <c r="K50" s="245"/>
      <c r="L50" s="245"/>
      <c r="M50" s="245"/>
      <c r="N50" s="245"/>
      <c r="O50" s="245"/>
      <c r="P50" s="245"/>
      <c r="Q50" s="245"/>
    </row>
    <row r="51" spans="1:17" ht="20.100000000000001" customHeight="1" x14ac:dyDescent="0.2">
      <c r="A51" s="5" t="str">
        <f>HYPERLINK("#'10.1.1-2 Solid waste treatment'!A1", "10.1.1.1-2 Solid waste")</f>
        <v>10.1.1.1-2 Solid waste</v>
      </c>
      <c r="D51" s="25" t="str" cm="1">
        <f t="array" ref="D51">"⚠️" &amp; Refrigerants_SourceData.Refrigerants_ChemicalBlends_Variation()</f>
        <v>⚠️VARIATION OF SOURCE DATA: Fixed typo - changed HC600a to HC-600a for blend R-414B. Fixed typo for blend R-405A - Changed HCFC142b to HCFC-142b.</v>
      </c>
      <c r="H51" s="245"/>
      <c r="I51" s="245"/>
      <c r="J51" s="245"/>
      <c r="K51" s="245"/>
      <c r="L51" s="245"/>
      <c r="M51" s="245"/>
      <c r="N51" s="245"/>
      <c r="O51" s="245"/>
      <c r="P51" s="245"/>
      <c r="Q51" s="245"/>
    </row>
    <row r="52" spans="1:17" ht="20.100000000000001" customHeight="1" x14ac:dyDescent="0.2">
      <c r="A52" s="5" t="str">
        <f>HYPERLINK("#'14.1.1-2 Purchased electricity'!A1", "14.1.1-2 Purchased electricity")</f>
        <v>14.1.1-2 Purchased electricity</v>
      </c>
      <c r="D52" s="248" t="s">
        <v>1038</v>
      </c>
      <c r="E52" s="248" t="s">
        <v>1039</v>
      </c>
      <c r="F52" s="248" t="s">
        <v>1040</v>
      </c>
      <c r="G52" s="245"/>
      <c r="H52" s="245"/>
      <c r="I52" s="245"/>
      <c r="J52" s="245"/>
      <c r="K52" s="245"/>
      <c r="L52" s="245"/>
      <c r="M52" s="245"/>
      <c r="N52" s="245"/>
      <c r="O52" s="245"/>
      <c r="P52" s="245"/>
      <c r="Q52" s="245"/>
    </row>
    <row r="53" spans="1:17" ht="20.100000000000001" customHeight="1" x14ac:dyDescent="0.2">
      <c r="A53" s="5" t="str">
        <f>HYPERLINK("#'15 Scope 3'!A1", "15 Scope 3")</f>
        <v>15 Scope 3</v>
      </c>
      <c r="D53" s="248" t="s">
        <v>3000</v>
      </c>
      <c r="E53" s="248" t="s">
        <v>3001</v>
      </c>
      <c r="F53" s="248" t="s">
        <v>3002</v>
      </c>
      <c r="G53" s="245"/>
      <c r="H53" s="245"/>
      <c r="I53" s="245"/>
      <c r="J53" s="245"/>
      <c r="K53" s="245"/>
      <c r="L53" s="245"/>
      <c r="M53" s="245"/>
      <c r="N53" s="245"/>
      <c r="O53" s="245"/>
      <c r="P53" s="245"/>
      <c r="Q53" s="245"/>
    </row>
    <row r="54" spans="1:17" ht="20.100000000000001" customHeight="1" x14ac:dyDescent="0.2">
      <c r="A54" s="5" t="str">
        <f>HYPERLINK("#'Calcs - Manure sent off-site'!A1", "Calcs - Manure sent off-site")</f>
        <v>Calcs - Manure sent off-site</v>
      </c>
      <c r="D54" s="248" t="s">
        <v>3003</v>
      </c>
      <c r="E54" s="248" t="s">
        <v>3004</v>
      </c>
      <c r="F54" s="248" t="s">
        <v>3005</v>
      </c>
      <c r="G54" s="245"/>
      <c r="H54" s="245"/>
      <c r="I54" s="245"/>
      <c r="J54" s="245"/>
      <c r="K54" s="245"/>
      <c r="L54" s="245"/>
      <c r="M54" s="245"/>
      <c r="N54" s="245"/>
      <c r="O54" s="245"/>
      <c r="P54" s="245"/>
      <c r="Q54" s="245"/>
    </row>
    <row r="55" spans="1:17" ht="20.100000000000001" customHeight="1" x14ac:dyDescent="0.2">
      <c r="D55" s="248" t="s">
        <v>3006</v>
      </c>
      <c r="E55" s="248" t="s">
        <v>3004</v>
      </c>
      <c r="F55" s="248" t="s">
        <v>3007</v>
      </c>
      <c r="G55" s="245"/>
      <c r="H55" s="245"/>
      <c r="I55" s="245"/>
      <c r="J55" s="245"/>
      <c r="K55" s="245"/>
      <c r="L55" s="245"/>
      <c r="M55" s="245"/>
      <c r="N55" s="245"/>
      <c r="O55" s="245"/>
      <c r="P55" s="245"/>
      <c r="Q55" s="245"/>
    </row>
    <row r="56" spans="1:17" ht="20.100000000000001" customHeight="1" x14ac:dyDescent="0.2">
      <c r="D56" s="248" t="s">
        <v>3008</v>
      </c>
      <c r="E56" s="248" t="s">
        <v>3004</v>
      </c>
      <c r="F56" s="248" t="s">
        <v>3009</v>
      </c>
      <c r="G56" s="245"/>
      <c r="H56" s="245"/>
      <c r="I56" s="245"/>
      <c r="J56" s="245"/>
      <c r="K56" s="245"/>
      <c r="L56" s="245"/>
      <c r="M56" s="245"/>
      <c r="N56" s="245"/>
      <c r="O56" s="245"/>
      <c r="P56" s="245"/>
      <c r="Q56" s="245"/>
    </row>
    <row r="57" spans="1:17" ht="20.100000000000001" customHeight="1" x14ac:dyDescent="0.2">
      <c r="A57" s="82" t="s">
        <v>1</v>
      </c>
      <c r="D57" s="248" t="s">
        <v>1006</v>
      </c>
      <c r="E57" s="248" t="s">
        <v>3010</v>
      </c>
      <c r="F57" s="248" t="s">
        <v>3011</v>
      </c>
      <c r="G57" s="245"/>
      <c r="H57" s="245"/>
      <c r="I57" s="245"/>
      <c r="J57" s="245"/>
      <c r="K57" s="245"/>
      <c r="L57" s="245"/>
      <c r="M57" s="245"/>
      <c r="N57" s="245"/>
      <c r="O57" s="245"/>
      <c r="P57" s="245"/>
      <c r="Q57" s="245"/>
    </row>
    <row r="58" spans="1:17" ht="20.100000000000001" customHeight="1" x14ac:dyDescent="0.2">
      <c r="A58" s="5" t="str">
        <f>HYPERLINK("#'Constants - Dairy'!A1", "Constants - Dairy")</f>
        <v>Constants - Dairy</v>
      </c>
      <c r="D58" s="248" t="s">
        <v>3012</v>
      </c>
      <c r="E58" s="248" t="s">
        <v>3010</v>
      </c>
      <c r="F58" s="248" t="s">
        <v>3013</v>
      </c>
      <c r="G58" s="245"/>
      <c r="H58" s="245"/>
      <c r="I58" s="245"/>
      <c r="J58" s="245"/>
      <c r="K58" s="245"/>
      <c r="L58" s="245"/>
      <c r="M58" s="245"/>
      <c r="N58" s="245"/>
      <c r="O58" s="245"/>
      <c r="P58" s="245"/>
      <c r="Q58" s="245"/>
    </row>
    <row r="59" spans="1:17" ht="20.100000000000001" customHeight="1" x14ac:dyDescent="0.2">
      <c r="A59" s="5" t="str">
        <f>HYPERLINK("#'Constants - Ag Residue'!A1", "Constants - Ag residue")</f>
        <v>Constants - Ag residue</v>
      </c>
      <c r="D59" s="248" t="s">
        <v>3014</v>
      </c>
      <c r="E59" s="248" t="s">
        <v>3015</v>
      </c>
      <c r="F59" s="248" t="s">
        <v>3016</v>
      </c>
      <c r="G59" s="245"/>
      <c r="H59" s="245"/>
      <c r="I59" s="245"/>
      <c r="J59" s="245"/>
      <c r="K59" s="245"/>
      <c r="L59" s="245"/>
      <c r="M59" s="245"/>
      <c r="N59" s="245"/>
      <c r="O59" s="245"/>
      <c r="P59" s="245"/>
      <c r="Q59" s="245"/>
    </row>
    <row r="60" spans="1:17" ht="20.100000000000001" customHeight="1" x14ac:dyDescent="0.2">
      <c r="A60" s="5" t="str">
        <f>HYPERLINK("#'Constants - Common Livestock'!A1", "Constants - Common Livestock")</f>
        <v>Constants - Common Livestock</v>
      </c>
      <c r="D60" s="248" t="s">
        <v>3017</v>
      </c>
      <c r="E60" s="248" t="s">
        <v>3015</v>
      </c>
      <c r="F60" s="248" t="s">
        <v>3018</v>
      </c>
      <c r="G60" s="245"/>
      <c r="H60" s="245"/>
      <c r="I60" s="245"/>
      <c r="J60" s="245"/>
      <c r="K60" s="245"/>
      <c r="L60" s="245"/>
      <c r="M60" s="245"/>
      <c r="N60" s="245"/>
      <c r="O60" s="245"/>
      <c r="P60" s="245"/>
      <c r="Q60" s="245"/>
    </row>
    <row r="61" spans="1:17" ht="20.100000000000001" customHeight="1" x14ac:dyDescent="0.2">
      <c r="A61" s="5" t="str">
        <f>HYPERLINK("#'Constants - Electricity'!A1", "Constants - Electricity")</f>
        <v>Constants - Electricity</v>
      </c>
      <c r="D61" s="248" t="s">
        <v>3019</v>
      </c>
      <c r="E61" s="248" t="s">
        <v>3020</v>
      </c>
      <c r="F61" s="248" t="s">
        <v>3021</v>
      </c>
      <c r="G61" s="245"/>
      <c r="H61" s="245"/>
      <c r="I61" s="245"/>
      <c r="J61" s="245"/>
      <c r="K61" s="245"/>
      <c r="L61" s="245"/>
      <c r="M61" s="245"/>
      <c r="N61" s="245"/>
      <c r="O61" s="245"/>
      <c r="P61" s="245"/>
      <c r="Q61" s="245"/>
    </row>
    <row r="62" spans="1:17" ht="20.100000000000001" customHeight="1" x14ac:dyDescent="0.2">
      <c r="A62" s="5" t="str">
        <f>HYPERLINK("#'Constants - Fertiliser'!A1", "Constants - Fertiliser")</f>
        <v>Constants - Fertiliser</v>
      </c>
      <c r="D62" s="248" t="s">
        <v>3022</v>
      </c>
      <c r="E62" s="248" t="s">
        <v>3023</v>
      </c>
      <c r="F62" s="248" t="s">
        <v>3024</v>
      </c>
      <c r="G62" s="245"/>
      <c r="H62" s="245"/>
      <c r="I62" s="245"/>
      <c r="J62" s="245"/>
      <c r="K62" s="245"/>
      <c r="L62" s="245"/>
      <c r="M62" s="245"/>
      <c r="N62" s="245"/>
      <c r="O62" s="245"/>
      <c r="P62" s="245"/>
      <c r="Q62" s="245"/>
    </row>
    <row r="63" spans="1:17" ht="20.100000000000001" customHeight="1" x14ac:dyDescent="0.2">
      <c r="A63" s="5" t="str">
        <f>HYPERLINK("#'Constants - Fuel'!A1", "Constants - Fuel")</f>
        <v>Constants - Fuel</v>
      </c>
      <c r="D63" s="248" t="s">
        <v>3025</v>
      </c>
      <c r="E63" s="248" t="s">
        <v>3026</v>
      </c>
      <c r="F63" s="248" t="s">
        <v>3027</v>
      </c>
      <c r="G63" s="245"/>
      <c r="H63" s="245"/>
      <c r="I63" s="245"/>
      <c r="J63" s="245"/>
      <c r="K63" s="245"/>
      <c r="L63" s="245"/>
      <c r="M63" s="245"/>
      <c r="N63" s="245"/>
      <c r="O63" s="245"/>
      <c r="P63" s="245"/>
      <c r="Q63" s="245"/>
    </row>
    <row r="64" spans="1:17" ht="20.100000000000001" customHeight="1" x14ac:dyDescent="0.2">
      <c r="A64" s="5" t="str">
        <f>HYPERLINK("#'Constants - Scope 3'!A1", "Constants - Scope 3")</f>
        <v>Constants - Scope 3</v>
      </c>
      <c r="D64" s="248" t="s">
        <v>3028</v>
      </c>
      <c r="E64" s="248" t="s">
        <v>3029</v>
      </c>
      <c r="F64" s="248" t="s">
        <v>3030</v>
      </c>
      <c r="G64" s="245"/>
      <c r="H64" s="245"/>
      <c r="I64" s="245"/>
      <c r="J64" s="245"/>
      <c r="K64" s="245"/>
      <c r="L64" s="245"/>
      <c r="M64" s="245"/>
      <c r="N64" s="245"/>
      <c r="O64" s="245"/>
      <c r="P64" s="245"/>
      <c r="Q64" s="245"/>
    </row>
    <row r="65" spans="1:17" ht="20.100000000000001" customHeight="1" x14ac:dyDescent="0.2">
      <c r="A65" s="5" t="str">
        <f>HYPERLINK("#'Constants - Common'!A1", "Constants - Common")</f>
        <v>Constants - Common</v>
      </c>
      <c r="D65" s="248" t="s">
        <v>3031</v>
      </c>
      <c r="E65" s="248" t="s">
        <v>3029</v>
      </c>
      <c r="F65" s="248" t="s">
        <v>3032</v>
      </c>
      <c r="G65" s="245"/>
      <c r="H65" s="245"/>
      <c r="I65" s="245"/>
      <c r="J65" s="245"/>
      <c r="K65" s="245"/>
      <c r="L65" s="245"/>
      <c r="M65" s="245"/>
      <c r="N65" s="245"/>
      <c r="O65" s="245"/>
      <c r="P65" s="245"/>
      <c r="Q65" s="245"/>
    </row>
    <row r="66" spans="1:17" ht="20.100000000000001" customHeight="1" x14ac:dyDescent="0.2">
      <c r="A66" s="83" t="str">
        <f>HYPERLINK("#'Constants - Refrigerants'!A1", "Constants - Refrigerants")</f>
        <v>Constants - Refrigerants</v>
      </c>
      <c r="D66" s="248" t="s">
        <v>3033</v>
      </c>
      <c r="E66" s="248" t="s">
        <v>3029</v>
      </c>
      <c r="F66" s="248" t="s">
        <v>3034</v>
      </c>
      <c r="G66" s="245"/>
      <c r="H66" s="245"/>
      <c r="I66" s="245"/>
      <c r="J66" s="245"/>
      <c r="K66" s="245"/>
      <c r="L66" s="245"/>
      <c r="M66" s="245"/>
      <c r="N66" s="245"/>
      <c r="O66" s="245"/>
      <c r="P66" s="245"/>
      <c r="Q66" s="245"/>
    </row>
    <row r="67" spans="1:17" ht="20.100000000000001" customHeight="1" x14ac:dyDescent="0.2">
      <c r="A67" s="5" t="str">
        <f>HYPERLINK("#'Constants - Solid Waste'!A1", "Constants - Solid Waste")</f>
        <v>Constants - Solid Waste</v>
      </c>
      <c r="D67" s="248" t="s">
        <v>3035</v>
      </c>
      <c r="E67" s="248" t="s">
        <v>3029</v>
      </c>
      <c r="F67" s="248" t="s">
        <v>3036</v>
      </c>
      <c r="G67" s="245"/>
      <c r="H67" s="245"/>
      <c r="I67" s="245"/>
      <c r="J67" s="245"/>
      <c r="K67" s="245"/>
      <c r="L67" s="245"/>
      <c r="M67" s="245"/>
      <c r="N67" s="245"/>
      <c r="O67" s="245"/>
      <c r="P67" s="245"/>
      <c r="Q67" s="245"/>
    </row>
    <row r="68" spans="1:17" ht="20.100000000000001" customHeight="1" x14ac:dyDescent="0.2">
      <c r="A68" s="5" t="str">
        <f>HYPERLINK("#'Acknowledgements'!A1", "Acknowledgements")</f>
        <v>Acknowledgements</v>
      </c>
      <c r="D68" s="248" t="s">
        <v>3037</v>
      </c>
      <c r="E68" s="248" t="s">
        <v>3029</v>
      </c>
      <c r="F68" s="248" t="s">
        <v>3038</v>
      </c>
      <c r="G68" s="245"/>
      <c r="H68" s="245"/>
      <c r="I68" s="245"/>
      <c r="J68" s="245"/>
      <c r="K68" s="245"/>
      <c r="L68" s="245"/>
      <c r="M68" s="245"/>
      <c r="N68" s="245"/>
      <c r="O68" s="245"/>
      <c r="P68" s="245"/>
      <c r="Q68" s="245"/>
    </row>
    <row r="69" spans="1:17" ht="20.100000000000001" customHeight="1" x14ac:dyDescent="0.2">
      <c r="D69" s="248" t="s">
        <v>3039</v>
      </c>
      <c r="E69" s="248" t="s">
        <v>3040</v>
      </c>
      <c r="F69" s="248" t="s">
        <v>3041</v>
      </c>
      <c r="G69" s="245"/>
      <c r="H69" s="245"/>
      <c r="I69" s="245"/>
      <c r="J69" s="245"/>
      <c r="K69" s="245"/>
      <c r="L69" s="245"/>
      <c r="M69" s="245"/>
      <c r="N69" s="245"/>
      <c r="O69" s="245"/>
      <c r="P69" s="245"/>
      <c r="Q69" s="245"/>
    </row>
    <row r="70" spans="1:17" ht="20.100000000000001" customHeight="1" x14ac:dyDescent="0.2">
      <c r="D70" s="248" t="s">
        <v>3042</v>
      </c>
      <c r="E70" s="248" t="s">
        <v>3043</v>
      </c>
      <c r="F70" s="248" t="s">
        <v>3044</v>
      </c>
      <c r="G70" s="245"/>
      <c r="H70" s="245"/>
      <c r="I70" s="245"/>
      <c r="J70" s="245"/>
      <c r="K70" s="245"/>
      <c r="L70" s="245"/>
      <c r="M70" s="245"/>
      <c r="N70" s="245"/>
      <c r="O70" s="245"/>
      <c r="P70" s="245"/>
      <c r="Q70" s="245"/>
    </row>
    <row r="71" spans="1:17" ht="20.100000000000001" customHeight="1" x14ac:dyDescent="0.2">
      <c r="D71" s="248" t="s">
        <v>3045</v>
      </c>
      <c r="E71" s="248" t="s">
        <v>3043</v>
      </c>
      <c r="F71" s="248" t="s">
        <v>3046</v>
      </c>
      <c r="G71" s="245"/>
      <c r="H71" s="245"/>
      <c r="I71" s="245"/>
      <c r="J71" s="245"/>
      <c r="K71" s="245"/>
      <c r="L71" s="245"/>
      <c r="M71" s="245"/>
      <c r="N71" s="245"/>
      <c r="O71" s="245"/>
      <c r="P71" s="245"/>
      <c r="Q71" s="245"/>
    </row>
    <row r="72" spans="1:17" ht="20.100000000000001" customHeight="1" x14ac:dyDescent="0.2">
      <c r="D72" s="248" t="s">
        <v>3047</v>
      </c>
      <c r="E72" s="248" t="s">
        <v>3048</v>
      </c>
      <c r="F72" s="248" t="s">
        <v>3049</v>
      </c>
      <c r="G72" s="245"/>
      <c r="H72" s="245"/>
      <c r="I72" s="245"/>
      <c r="J72" s="245"/>
      <c r="K72" s="245"/>
      <c r="L72" s="245"/>
      <c r="M72" s="245"/>
      <c r="N72" s="245"/>
      <c r="O72" s="245"/>
      <c r="P72" s="245"/>
      <c r="Q72" s="245"/>
    </row>
    <row r="73" spans="1:17" ht="20.100000000000001" customHeight="1" x14ac:dyDescent="0.2">
      <c r="D73" s="248" t="s">
        <v>3050</v>
      </c>
      <c r="E73" s="248" t="s">
        <v>3048</v>
      </c>
      <c r="F73" s="248" t="s">
        <v>3051</v>
      </c>
      <c r="G73" s="245"/>
      <c r="H73" s="245"/>
      <c r="I73" s="245"/>
      <c r="J73" s="245"/>
      <c r="K73" s="245"/>
      <c r="L73" s="245"/>
      <c r="M73" s="245"/>
      <c r="N73" s="245"/>
      <c r="O73" s="245"/>
      <c r="P73" s="245"/>
      <c r="Q73" s="245"/>
    </row>
    <row r="74" spans="1:17" ht="20.100000000000001" customHeight="1" x14ac:dyDescent="0.2">
      <c r="D74" s="248" t="s">
        <v>3052</v>
      </c>
      <c r="E74" s="248" t="s">
        <v>3053</v>
      </c>
      <c r="F74" s="248" t="s">
        <v>3054</v>
      </c>
      <c r="G74" s="245"/>
      <c r="H74" s="245"/>
      <c r="I74" s="245"/>
      <c r="J74" s="245"/>
      <c r="K74" s="245"/>
      <c r="L74" s="245"/>
      <c r="M74" s="245"/>
      <c r="N74" s="245"/>
      <c r="O74" s="245"/>
      <c r="P74" s="245"/>
      <c r="Q74" s="245"/>
    </row>
    <row r="75" spans="1:17" ht="20.100000000000001" customHeight="1" x14ac:dyDescent="0.2">
      <c r="D75" s="248" t="s">
        <v>3055</v>
      </c>
      <c r="E75" s="248" t="s">
        <v>3053</v>
      </c>
      <c r="F75" s="248" t="s">
        <v>3056</v>
      </c>
      <c r="G75" s="245"/>
      <c r="H75" s="245"/>
      <c r="I75" s="245"/>
      <c r="J75" s="245"/>
      <c r="K75" s="245"/>
      <c r="L75" s="245"/>
      <c r="M75" s="245"/>
      <c r="N75" s="245"/>
      <c r="O75" s="245"/>
      <c r="P75" s="245"/>
      <c r="Q75" s="245"/>
    </row>
    <row r="76" spans="1:17" ht="20.100000000000001" customHeight="1" x14ac:dyDescent="0.2">
      <c r="D76" s="248" t="s">
        <v>3057</v>
      </c>
      <c r="E76" s="248" t="s">
        <v>3053</v>
      </c>
      <c r="F76" s="248" t="s">
        <v>3058</v>
      </c>
      <c r="G76" s="245"/>
      <c r="H76" s="245"/>
      <c r="I76" s="245"/>
      <c r="J76" s="245"/>
      <c r="K76" s="245"/>
      <c r="L76" s="245"/>
      <c r="M76" s="245"/>
      <c r="N76" s="245"/>
      <c r="O76" s="245"/>
      <c r="P76" s="245"/>
      <c r="Q76" s="245"/>
    </row>
    <row r="77" spans="1:17" ht="20.100000000000001" customHeight="1" x14ac:dyDescent="0.2">
      <c r="D77" s="248" t="s">
        <v>3059</v>
      </c>
      <c r="E77" s="248" t="s">
        <v>3060</v>
      </c>
      <c r="F77" s="248" t="s">
        <v>3061</v>
      </c>
      <c r="G77" s="245"/>
      <c r="H77" s="245"/>
      <c r="I77" s="245"/>
      <c r="J77" s="245"/>
      <c r="K77" s="245"/>
      <c r="L77" s="245"/>
      <c r="M77" s="245"/>
      <c r="N77" s="245"/>
      <c r="O77" s="245"/>
      <c r="P77" s="245"/>
      <c r="Q77" s="245"/>
    </row>
    <row r="78" spans="1:17" ht="20.100000000000001" customHeight="1" x14ac:dyDescent="0.2">
      <c r="D78" s="248" t="s">
        <v>3062</v>
      </c>
      <c r="E78" s="248" t="s">
        <v>3063</v>
      </c>
      <c r="F78" s="248" t="s">
        <v>3064</v>
      </c>
      <c r="G78" s="245"/>
      <c r="H78" s="245"/>
      <c r="I78" s="245"/>
      <c r="J78" s="245"/>
      <c r="K78" s="245"/>
      <c r="L78" s="245"/>
      <c r="M78" s="245"/>
      <c r="N78" s="245"/>
      <c r="O78" s="245"/>
      <c r="P78" s="245"/>
      <c r="Q78" s="245"/>
    </row>
    <row r="79" spans="1:17" ht="20.100000000000001" customHeight="1" x14ac:dyDescent="0.2">
      <c r="A79" s="129" t="str">
        <f>HYPERLINK("#A1", "▲ Back to top")</f>
        <v>▲ Back to top</v>
      </c>
      <c r="D79" s="248" t="s">
        <v>3065</v>
      </c>
      <c r="E79" s="248" t="s">
        <v>3066</v>
      </c>
      <c r="F79" s="248" t="s">
        <v>3067</v>
      </c>
      <c r="G79" s="245"/>
      <c r="H79" s="245"/>
      <c r="I79" s="245"/>
      <c r="J79" s="245"/>
      <c r="K79" s="245"/>
      <c r="L79" s="245"/>
      <c r="M79" s="245"/>
      <c r="N79" s="245"/>
      <c r="O79" s="245"/>
      <c r="P79" s="245"/>
      <c r="Q79" s="245"/>
    </row>
    <row r="80" spans="1:17" ht="20.100000000000001" customHeight="1" x14ac:dyDescent="0.2">
      <c r="D80" s="248" t="s">
        <v>3068</v>
      </c>
      <c r="E80" s="248" t="s">
        <v>3066</v>
      </c>
      <c r="F80" s="248" t="s">
        <v>3069</v>
      </c>
      <c r="G80" s="245"/>
      <c r="H80" s="245"/>
      <c r="I80" s="245"/>
      <c r="J80" s="245"/>
      <c r="K80" s="245"/>
      <c r="L80" s="245"/>
      <c r="M80" s="245"/>
      <c r="N80" s="245"/>
      <c r="O80" s="245"/>
      <c r="P80" s="245"/>
      <c r="Q80" s="245"/>
    </row>
    <row r="81" spans="4:17" ht="20.100000000000001" customHeight="1" x14ac:dyDescent="0.2">
      <c r="D81" s="248" t="s">
        <v>3070</v>
      </c>
      <c r="E81" s="248" t="s">
        <v>3071</v>
      </c>
      <c r="F81" s="248" t="s">
        <v>3072</v>
      </c>
      <c r="G81" s="245"/>
      <c r="H81" s="245"/>
      <c r="I81" s="245"/>
      <c r="J81" s="245"/>
      <c r="K81" s="245"/>
      <c r="L81" s="245"/>
      <c r="M81" s="245"/>
      <c r="N81" s="245"/>
      <c r="O81" s="245"/>
      <c r="P81" s="245"/>
      <c r="Q81" s="245"/>
    </row>
    <row r="82" spans="4:17" ht="20.100000000000001" customHeight="1" x14ac:dyDescent="0.2">
      <c r="D82" s="248" t="s">
        <v>3073</v>
      </c>
      <c r="E82" s="248" t="s">
        <v>3071</v>
      </c>
      <c r="F82" s="248" t="s">
        <v>3074</v>
      </c>
      <c r="G82" s="245"/>
      <c r="H82" s="245"/>
      <c r="I82" s="245"/>
      <c r="J82" s="245"/>
      <c r="K82" s="245"/>
      <c r="L82" s="245"/>
      <c r="M82" s="245"/>
      <c r="N82" s="245"/>
      <c r="O82" s="245"/>
      <c r="P82" s="245"/>
      <c r="Q82" s="245"/>
    </row>
    <row r="83" spans="4:17" ht="20.100000000000001" customHeight="1" x14ac:dyDescent="0.2">
      <c r="D83" s="248" t="s">
        <v>3075</v>
      </c>
      <c r="E83" s="248" t="s">
        <v>3076</v>
      </c>
      <c r="F83" s="248" t="s">
        <v>3077</v>
      </c>
      <c r="G83" s="245"/>
      <c r="H83" s="245"/>
      <c r="I83" s="245"/>
      <c r="J83" s="245"/>
      <c r="K83" s="245"/>
      <c r="L83" s="245"/>
      <c r="M83" s="245"/>
      <c r="N83" s="245"/>
      <c r="O83" s="245"/>
      <c r="P83" s="245"/>
      <c r="Q83" s="245"/>
    </row>
    <row r="84" spans="4:17" ht="20.100000000000001" customHeight="1" x14ac:dyDescent="0.2">
      <c r="D84" s="248" t="s">
        <v>3078</v>
      </c>
      <c r="E84" s="248" t="s">
        <v>3079</v>
      </c>
      <c r="F84" s="248" t="s">
        <v>3080</v>
      </c>
      <c r="G84" s="245"/>
      <c r="H84" s="245"/>
      <c r="I84" s="245"/>
      <c r="J84" s="245"/>
      <c r="K84" s="245"/>
      <c r="L84" s="245"/>
      <c r="M84" s="245"/>
      <c r="N84" s="245"/>
      <c r="O84" s="245"/>
      <c r="P84" s="245"/>
      <c r="Q84" s="245"/>
    </row>
    <row r="85" spans="4:17" ht="20.100000000000001" customHeight="1" x14ac:dyDescent="0.2">
      <c r="D85" s="248" t="s">
        <v>3081</v>
      </c>
      <c r="E85" s="248" t="s">
        <v>3082</v>
      </c>
      <c r="F85" s="248" t="s">
        <v>3083</v>
      </c>
      <c r="G85" s="245"/>
      <c r="H85" s="245"/>
      <c r="I85" s="245"/>
      <c r="J85" s="245"/>
      <c r="K85" s="245"/>
      <c r="L85" s="245"/>
      <c r="M85" s="245"/>
      <c r="N85" s="245"/>
      <c r="O85" s="245"/>
      <c r="P85" s="245"/>
      <c r="Q85" s="245"/>
    </row>
    <row r="86" spans="4:17" ht="20.100000000000001" customHeight="1" x14ac:dyDescent="0.2">
      <c r="D86" s="248" t="s">
        <v>3084</v>
      </c>
      <c r="E86" s="248" t="s">
        <v>3085</v>
      </c>
      <c r="F86" s="248" t="s">
        <v>3086</v>
      </c>
      <c r="G86" s="245"/>
      <c r="H86" s="245"/>
      <c r="I86" s="245"/>
      <c r="J86" s="245"/>
      <c r="K86" s="245"/>
      <c r="L86" s="245"/>
      <c r="M86" s="245"/>
      <c r="N86" s="245"/>
      <c r="O86" s="245"/>
      <c r="P86" s="245"/>
      <c r="Q86" s="245"/>
    </row>
    <row r="87" spans="4:17" ht="20.100000000000001" customHeight="1" x14ac:dyDescent="0.2">
      <c r="D87" s="248" t="s">
        <v>3087</v>
      </c>
      <c r="E87" s="248" t="s">
        <v>3088</v>
      </c>
      <c r="F87" s="248" t="s">
        <v>3089</v>
      </c>
      <c r="G87" s="245"/>
      <c r="H87" s="245"/>
      <c r="I87" s="245"/>
      <c r="J87" s="245"/>
      <c r="K87" s="245"/>
      <c r="L87" s="245"/>
      <c r="M87" s="245"/>
      <c r="N87" s="245"/>
      <c r="O87" s="245"/>
      <c r="P87" s="245"/>
      <c r="Q87" s="245"/>
    </row>
    <row r="88" spans="4:17" ht="20.100000000000001" customHeight="1" x14ac:dyDescent="0.2">
      <c r="D88" s="248" t="s">
        <v>3090</v>
      </c>
      <c r="E88" s="248" t="s">
        <v>3091</v>
      </c>
      <c r="F88" s="248" t="s">
        <v>3092</v>
      </c>
      <c r="G88" s="245"/>
      <c r="H88" s="245"/>
      <c r="I88" s="245"/>
      <c r="J88" s="245"/>
      <c r="K88" s="245"/>
      <c r="L88" s="245"/>
      <c r="M88" s="245"/>
      <c r="N88" s="245"/>
      <c r="O88" s="245"/>
      <c r="P88" s="245"/>
      <c r="Q88" s="245"/>
    </row>
    <row r="89" spans="4:17" ht="20.100000000000001" customHeight="1" x14ac:dyDescent="0.2">
      <c r="D89" s="248" t="s">
        <v>3093</v>
      </c>
      <c r="E89" s="248" t="s">
        <v>3094</v>
      </c>
      <c r="F89" s="248" t="s">
        <v>3095</v>
      </c>
      <c r="G89" s="245"/>
      <c r="H89" s="245"/>
      <c r="I89" s="245"/>
      <c r="J89" s="245"/>
      <c r="K89" s="245"/>
      <c r="L89" s="245"/>
      <c r="M89" s="245"/>
      <c r="N89" s="245"/>
      <c r="O89" s="245"/>
      <c r="P89" s="245"/>
      <c r="Q89" s="245"/>
    </row>
    <row r="90" spans="4:17" ht="20.100000000000001" customHeight="1" x14ac:dyDescent="0.2">
      <c r="D90" s="248" t="s">
        <v>1009</v>
      </c>
      <c r="E90" s="248" t="s">
        <v>3094</v>
      </c>
      <c r="F90" s="248" t="s">
        <v>3096</v>
      </c>
      <c r="G90" s="245"/>
      <c r="H90" s="245"/>
      <c r="I90" s="245"/>
      <c r="J90" s="245"/>
      <c r="K90" s="245"/>
      <c r="L90" s="245"/>
      <c r="M90" s="245"/>
      <c r="N90" s="245"/>
      <c r="O90" s="245"/>
      <c r="P90" s="245"/>
      <c r="Q90" s="245"/>
    </row>
    <row r="91" spans="4:17" ht="20.100000000000001" customHeight="1" x14ac:dyDescent="0.2">
      <c r="D91" s="248" t="s">
        <v>3097</v>
      </c>
      <c r="E91" s="248" t="s">
        <v>3094</v>
      </c>
      <c r="F91" s="248" t="s">
        <v>3098</v>
      </c>
      <c r="G91" s="245"/>
      <c r="H91" s="245"/>
      <c r="I91" s="245"/>
      <c r="J91" s="245"/>
      <c r="K91" s="245"/>
      <c r="L91" s="245"/>
      <c r="M91" s="245"/>
      <c r="N91" s="245"/>
      <c r="O91" s="245"/>
      <c r="P91" s="245"/>
      <c r="Q91" s="245"/>
    </row>
    <row r="92" spans="4:17" ht="20.100000000000001" customHeight="1" x14ac:dyDescent="0.2">
      <c r="D92" s="248" t="s">
        <v>3099</v>
      </c>
      <c r="E92" s="248" t="s">
        <v>3100</v>
      </c>
      <c r="F92" s="248" t="s">
        <v>3101</v>
      </c>
      <c r="G92" s="245"/>
      <c r="H92" s="245"/>
      <c r="I92" s="245"/>
      <c r="J92" s="245"/>
      <c r="K92" s="245"/>
      <c r="L92" s="245"/>
      <c r="M92" s="245"/>
      <c r="N92" s="245"/>
      <c r="O92" s="245"/>
      <c r="P92" s="245"/>
      <c r="Q92" s="245"/>
    </row>
    <row r="93" spans="4:17" ht="20.100000000000001" customHeight="1" x14ac:dyDescent="0.2">
      <c r="D93" s="248" t="s">
        <v>3102</v>
      </c>
      <c r="E93" s="248" t="s">
        <v>3103</v>
      </c>
      <c r="F93" s="248" t="s">
        <v>3104</v>
      </c>
      <c r="G93" s="245"/>
      <c r="H93" s="245"/>
      <c r="I93" s="245"/>
      <c r="J93" s="245"/>
      <c r="K93" s="245"/>
      <c r="L93" s="245"/>
      <c r="M93" s="245"/>
      <c r="N93" s="245"/>
      <c r="O93" s="245"/>
      <c r="P93" s="245"/>
      <c r="Q93" s="245"/>
    </row>
    <row r="94" spans="4:17" ht="20.100000000000001" customHeight="1" x14ac:dyDescent="0.2">
      <c r="D94" s="248" t="s">
        <v>3105</v>
      </c>
      <c r="E94" s="248" t="s">
        <v>3106</v>
      </c>
      <c r="F94" s="248" t="s">
        <v>3107</v>
      </c>
      <c r="G94" s="245"/>
      <c r="H94" s="245"/>
      <c r="I94" s="245"/>
      <c r="J94" s="245"/>
      <c r="K94" s="245"/>
      <c r="L94" s="245"/>
      <c r="M94" s="245"/>
      <c r="N94" s="245"/>
      <c r="O94" s="245"/>
      <c r="P94" s="245"/>
      <c r="Q94" s="245"/>
    </row>
    <row r="95" spans="4:17" ht="20.100000000000001" customHeight="1" x14ac:dyDescent="0.2">
      <c r="D95" s="248" t="s">
        <v>3108</v>
      </c>
      <c r="E95" s="248" t="s">
        <v>3109</v>
      </c>
      <c r="F95" s="248" t="s">
        <v>3110</v>
      </c>
      <c r="G95" s="245"/>
      <c r="H95" s="245"/>
      <c r="I95" s="245"/>
      <c r="J95" s="245"/>
      <c r="K95" s="245"/>
      <c r="L95" s="245"/>
      <c r="M95" s="245"/>
      <c r="N95" s="245"/>
      <c r="O95" s="245"/>
      <c r="P95" s="245"/>
      <c r="Q95" s="245"/>
    </row>
    <row r="96" spans="4:17" ht="20.100000000000001" customHeight="1" x14ac:dyDescent="0.2">
      <c r="D96" s="248" t="s">
        <v>1016</v>
      </c>
      <c r="E96" s="248" t="s">
        <v>3111</v>
      </c>
      <c r="F96" s="248" t="s">
        <v>3112</v>
      </c>
      <c r="G96" s="245"/>
      <c r="H96" s="245"/>
      <c r="I96" s="245"/>
      <c r="J96" s="245"/>
      <c r="K96" s="245"/>
      <c r="L96" s="245"/>
      <c r="M96" s="245"/>
      <c r="N96" s="245"/>
      <c r="O96" s="245"/>
      <c r="P96" s="245"/>
      <c r="Q96" s="245"/>
    </row>
    <row r="97" spans="1:17" ht="20.100000000000001" customHeight="1" x14ac:dyDescent="0.2">
      <c r="D97" s="248" t="s">
        <v>3113</v>
      </c>
      <c r="E97" s="248" t="s">
        <v>3114</v>
      </c>
      <c r="F97" s="248" t="s">
        <v>3115</v>
      </c>
      <c r="G97" s="245"/>
      <c r="H97" s="245"/>
      <c r="I97" s="245"/>
      <c r="J97" s="245"/>
      <c r="K97" s="245"/>
      <c r="L97" s="245"/>
      <c r="M97" s="245"/>
      <c r="N97" s="245"/>
      <c r="O97" s="245"/>
      <c r="P97" s="245"/>
      <c r="Q97" s="245"/>
    </row>
    <row r="98" spans="1:17" ht="20.100000000000001" customHeight="1" x14ac:dyDescent="0.2">
      <c r="D98" s="248" t="s">
        <v>3116</v>
      </c>
      <c r="E98" s="248" t="s">
        <v>3117</v>
      </c>
      <c r="F98" s="248" t="s">
        <v>3118</v>
      </c>
      <c r="G98" s="245"/>
      <c r="H98" s="245"/>
      <c r="I98" s="245"/>
      <c r="J98" s="245"/>
      <c r="K98" s="245"/>
      <c r="L98" s="245"/>
      <c r="M98" s="245"/>
      <c r="N98" s="245"/>
      <c r="O98" s="245"/>
      <c r="P98" s="245"/>
      <c r="Q98" s="245"/>
    </row>
    <row r="99" spans="1:17" ht="20.100000000000001" customHeight="1" x14ac:dyDescent="0.2">
      <c r="D99" s="248" t="s">
        <v>3119</v>
      </c>
      <c r="E99" s="248" t="s">
        <v>3120</v>
      </c>
      <c r="F99" s="248" t="s">
        <v>3049</v>
      </c>
      <c r="G99" s="245"/>
      <c r="H99" s="245"/>
      <c r="I99" s="245"/>
      <c r="J99" s="245"/>
      <c r="K99" s="245"/>
      <c r="L99" s="245"/>
      <c r="M99" s="245"/>
      <c r="N99" s="245"/>
      <c r="O99" s="245"/>
      <c r="P99" s="245"/>
      <c r="Q99" s="245"/>
    </row>
    <row r="100" spans="1:17" ht="20.100000000000001" customHeight="1" x14ac:dyDescent="0.2">
      <c r="D100" s="248" t="s">
        <v>3121</v>
      </c>
      <c r="E100" s="248" t="s">
        <v>3122</v>
      </c>
      <c r="F100" s="248" t="s">
        <v>3123</v>
      </c>
      <c r="G100" s="245"/>
      <c r="H100" s="245"/>
      <c r="I100" s="245"/>
      <c r="J100" s="245"/>
      <c r="K100" s="245"/>
      <c r="L100" s="245"/>
      <c r="M100" s="245"/>
      <c r="N100" s="245"/>
      <c r="O100" s="245"/>
      <c r="P100" s="245"/>
      <c r="Q100" s="245"/>
    </row>
    <row r="101" spans="1:17" ht="20.100000000000001" customHeight="1" x14ac:dyDescent="0.2">
      <c r="D101" s="248" t="s">
        <v>3124</v>
      </c>
      <c r="E101" s="248" t="s">
        <v>3122</v>
      </c>
      <c r="F101" s="248" t="s">
        <v>3125</v>
      </c>
      <c r="G101" s="245"/>
      <c r="H101" s="245"/>
      <c r="I101" s="245"/>
      <c r="J101" s="245"/>
      <c r="K101" s="245"/>
      <c r="L101" s="245"/>
      <c r="M101" s="245"/>
      <c r="N101" s="245"/>
      <c r="O101" s="245"/>
      <c r="P101" s="245"/>
      <c r="Q101" s="245"/>
    </row>
    <row r="102" spans="1:17" ht="20.100000000000001" customHeight="1" x14ac:dyDescent="0.2">
      <c r="D102" s="248" t="s">
        <v>3126</v>
      </c>
      <c r="E102" s="248" t="s">
        <v>3127</v>
      </c>
      <c r="F102" s="248" t="s">
        <v>3128</v>
      </c>
      <c r="G102" s="245"/>
      <c r="H102" s="245"/>
      <c r="I102" s="245"/>
      <c r="J102" s="245"/>
      <c r="K102" s="245"/>
      <c r="L102" s="245"/>
      <c r="M102" s="245"/>
      <c r="N102" s="245"/>
      <c r="O102" s="245"/>
      <c r="P102" s="245"/>
      <c r="Q102" s="245"/>
    </row>
    <row r="103" spans="1:17" ht="20.100000000000001" customHeight="1" x14ac:dyDescent="0.2">
      <c r="D103" s="245"/>
      <c r="E103" s="245"/>
      <c r="F103" s="245"/>
      <c r="G103" s="245"/>
      <c r="H103" s="245"/>
      <c r="I103" s="245"/>
      <c r="J103" s="245"/>
      <c r="K103" s="245"/>
      <c r="L103" s="245"/>
      <c r="M103" s="245"/>
      <c r="N103" s="245"/>
      <c r="O103" s="245"/>
      <c r="P103" s="245"/>
      <c r="Q103" s="245"/>
    </row>
    <row r="104" spans="1:17" ht="20.100000000000001" customHeight="1" x14ac:dyDescent="0.2">
      <c r="D104" s="249"/>
      <c r="E104" s="249"/>
      <c r="F104" s="249"/>
      <c r="G104" s="249"/>
      <c r="H104" s="249"/>
      <c r="I104" s="249"/>
      <c r="J104" s="249"/>
      <c r="K104" s="249"/>
      <c r="L104" s="249"/>
      <c r="M104" s="249"/>
      <c r="N104" s="249"/>
      <c r="O104" s="249"/>
      <c r="P104" s="249"/>
      <c r="Q104" s="249"/>
    </row>
    <row r="105" spans="1:17" ht="20.100000000000001" customHeight="1" x14ac:dyDescent="0.2">
      <c r="D105" s="2" t="s">
        <v>1041</v>
      </c>
      <c r="E105" s="245"/>
      <c r="F105" s="245"/>
      <c r="G105" s="245"/>
      <c r="H105" s="245"/>
      <c r="I105" s="245"/>
      <c r="J105" s="245"/>
      <c r="K105" s="245"/>
      <c r="L105" s="245"/>
      <c r="M105" s="245"/>
      <c r="N105" s="245"/>
      <c r="O105" s="245"/>
      <c r="P105" s="245"/>
      <c r="Q105" s="245"/>
    </row>
    <row r="106" spans="1:17" ht="20.100000000000001" customHeight="1" x14ac:dyDescent="0.2">
      <c r="D106" s="35" t="str">
        <f>"  ℹ️  This table lists the refrigerant blends from the table '"&amp;D49&amp;"' and each constituent gas in separate cells. For each constituent gas, it GWP value is found from the '"&amp;D5&amp;"'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E106" s="38"/>
      <c r="F106" s="35"/>
      <c r="G106" s="37"/>
      <c r="H106" s="37"/>
      <c r="I106" s="37"/>
      <c r="J106" s="37"/>
      <c r="K106" s="37"/>
      <c r="L106" s="37"/>
      <c r="M106" s="37"/>
      <c r="N106" s="38"/>
      <c r="O106" s="245"/>
      <c r="P106" s="245"/>
      <c r="Q106" s="245"/>
    </row>
    <row r="107" spans="1:17" ht="20.100000000000001" customHeight="1" x14ac:dyDescent="0.2">
      <c r="D107" s="25" t="str">
        <f>"⚠️NOTE: Some constituent gases are not listed in the '" &amp; D5 &amp; "' table. This is because those gases are not reportable under AR5."</f>
        <v>⚠️NOTE: Some constituent gases are not listed in the 'Global Warming Potentials' table. This is because those gases are not reportable under AR5.</v>
      </c>
      <c r="E107" s="245"/>
      <c r="F107" s="245"/>
      <c r="G107" s="245"/>
      <c r="H107" s="245"/>
      <c r="I107" s="245"/>
      <c r="J107" s="245"/>
      <c r="K107" s="245"/>
      <c r="L107" s="245"/>
      <c r="M107" s="245"/>
      <c r="N107" s="245"/>
      <c r="O107" s="245"/>
      <c r="P107" s="245"/>
      <c r="Q107" s="245"/>
    </row>
    <row r="108" spans="1:17" ht="20.100000000000001" customHeight="1" x14ac:dyDescent="0.2">
      <c r="D108" s="25" t="str">
        <f>"⚠️NOTE: Because there are no specified blends of R-400 in the table '" &amp; D49 &amp; "' We have specified three blends: 'R-400 50/50', 'R-400 60/40' and 'R-400 80/20'"</f>
        <v>⚠️NOTE: Because there are no specified blends of R-400 in the table 'Blended refrigerants (many containing HFCS and/or PFCS)' We have specified three blends: 'R-400 50/50', 'R-400 60/40' and 'R-400 80/20'</v>
      </c>
      <c r="E108" s="245"/>
      <c r="F108" s="245"/>
      <c r="G108" s="245"/>
      <c r="H108" s="245"/>
      <c r="I108" s="245"/>
      <c r="J108" s="245"/>
      <c r="K108" s="245"/>
      <c r="L108" s="245"/>
      <c r="M108" s="245"/>
      <c r="N108" s="245"/>
      <c r="O108" s="245"/>
      <c r="P108" s="245"/>
      <c r="Q108" s="245"/>
    </row>
    <row r="109" spans="1:17" ht="20.100000000000001" customHeight="1" x14ac:dyDescent="0.2">
      <c r="A109" s="129" t="str">
        <f>HYPERLINK("#A1", "▲ Back to top")</f>
        <v>▲ Back to top</v>
      </c>
      <c r="D109" s="248" t="s">
        <v>1038</v>
      </c>
      <c r="E109" s="248" t="s">
        <v>1042</v>
      </c>
      <c r="F109" s="248" t="s">
        <v>1043</v>
      </c>
      <c r="G109" s="248" t="s">
        <v>1044</v>
      </c>
      <c r="H109" s="248" t="s">
        <v>1045</v>
      </c>
      <c r="I109" s="248" t="s">
        <v>1046</v>
      </c>
      <c r="J109" s="248" t="s">
        <v>1047</v>
      </c>
      <c r="K109" s="248" t="s">
        <v>1048</v>
      </c>
      <c r="L109" s="248" t="s">
        <v>1049</v>
      </c>
      <c r="M109" s="248" t="s">
        <v>1050</v>
      </c>
      <c r="N109" s="248" t="s">
        <v>1051</v>
      </c>
      <c r="O109" s="248" t="s">
        <v>1052</v>
      </c>
      <c r="P109" s="248" t="s">
        <v>1053</v>
      </c>
      <c r="Q109" s="248" t="s">
        <v>1054</v>
      </c>
    </row>
    <row r="110" spans="1:17" ht="20.100000000000001" customHeight="1" x14ac:dyDescent="0.2">
      <c r="D110" s="248" t="str">
        <f>$D$53 &amp; " 50/50"</f>
        <v>R-400 50/50</v>
      </c>
      <c r="E110" s="248" t="str" cm="1">
        <f t="array" ref="E110">IFERROR(INDEX(TRANSPOSE(Common_InputFunctions.Utility_SplitStringIntoArray($E$53, "/")), 1), "")</f>
        <v>CFC-12</v>
      </c>
      <c r="F110" s="248" t="str" cm="1">
        <f t="array" ref="F110">IFERROR(INDEX(TRANSPOSE(Common_InputFunctions.Utility_SplitStringIntoArray($E$53, "/")), 2), "")</f>
        <v>CFC-114</v>
      </c>
      <c r="G110" s="248" t="str" cm="1">
        <f t="array" ref="G110">IFERROR(INDEX(TRANSPOSE(Common_InputFunctions.Utility_SplitStringIntoArray($E$53, "/")), 3), "")</f>
        <v/>
      </c>
      <c r="H110" s="248" t="str" cm="1">
        <f t="array" ref="H110">IFERROR(INDEX(TRANSPOSE(Common_InputFunctions.Utility_SplitStringIntoArray($E$53, "/")), 4), "")</f>
        <v/>
      </c>
      <c r="I110" s="248">
        <v>0.5</v>
      </c>
      <c r="J110" s="248">
        <v>0.5</v>
      </c>
      <c r="K110" s="248"/>
      <c r="L110" s="248"/>
      <c r="M110" s="248" cm="1">
        <f t="array" ref="M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N110" s="248" cm="1">
        <f t="array" ref="N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O110" s="248" cm="1">
        <f t="array" ref="O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0" s="248" cm="1">
        <f t="array" ref="P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0" s="248" cm="1">
        <f t="array" ref="Q11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4697.5</v>
      </c>
    </row>
    <row r="111" spans="1:17" ht="20.100000000000001" customHeight="1" x14ac:dyDescent="0.2">
      <c r="D111" s="248" t="str">
        <f>$D$53 &amp; " 60/40"</f>
        <v>R-400 60/40</v>
      </c>
      <c r="E111" s="248" t="str" cm="1">
        <f t="array" ref="E111">IFERROR(INDEX(TRANSPOSE(Common_InputFunctions.Utility_SplitStringIntoArray($E$53, "/")), 1), "")</f>
        <v>CFC-12</v>
      </c>
      <c r="F111" s="248" t="str" cm="1">
        <f t="array" ref="F111">IFERROR(INDEX(TRANSPOSE(Common_InputFunctions.Utility_SplitStringIntoArray($E$53, "/")), 2), "")</f>
        <v>CFC-114</v>
      </c>
      <c r="G111" s="248" t="str" cm="1">
        <f t="array" ref="G111">IFERROR(INDEX(TRANSPOSE(Common_InputFunctions.Utility_SplitStringIntoArray($E$53, "/")), 3), "")</f>
        <v/>
      </c>
      <c r="H111" s="248" t="str" cm="1">
        <f t="array" ref="H111">IFERROR(INDEX(TRANSPOSE(Common_InputFunctions.Utility_SplitStringIntoArray($E$53, "/")), 4), "")</f>
        <v/>
      </c>
      <c r="I111" s="248">
        <v>0.6</v>
      </c>
      <c r="J111" s="248">
        <v>0.4</v>
      </c>
      <c r="K111" s="248"/>
      <c r="L111" s="248"/>
      <c r="M111" s="248" cm="1">
        <f t="array" ref="M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N111" s="248" cm="1">
        <f t="array" ref="N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O111" s="248" cm="1">
        <f t="array" ref="O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1" s="248" cm="1">
        <f t="array" ref="P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1" s="248" cm="1">
        <f t="array" ref="Q11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5733.6</v>
      </c>
    </row>
    <row r="112" spans="1:17" ht="20.100000000000001" customHeight="1" x14ac:dyDescent="0.2">
      <c r="D112" s="248" t="str">
        <f>$D$53 &amp; " 80/20"</f>
        <v>R-400 80/20</v>
      </c>
      <c r="E112" s="248" t="str" cm="1">
        <f t="array" ref="E112">IFERROR(INDEX(TRANSPOSE(Common_InputFunctions.Utility_SplitStringIntoArray($E$53, "/")), 1), "")</f>
        <v>CFC-12</v>
      </c>
      <c r="F112" s="248" t="str" cm="1">
        <f t="array" ref="F112">IFERROR(INDEX(TRANSPOSE(Common_InputFunctions.Utility_SplitStringIntoArray($E$53, "/")), 2), "")</f>
        <v>CFC-114</v>
      </c>
      <c r="G112" s="248" t="str" cm="1">
        <f t="array" ref="G112">IFERROR(INDEX(TRANSPOSE(Common_InputFunctions.Utility_SplitStringIntoArray($E$53, "/")), 3), "")</f>
        <v/>
      </c>
      <c r="H112" s="248" t="str" cm="1">
        <f t="array" ref="H112">IFERROR(INDEX(TRANSPOSE(Common_InputFunctions.Utility_SplitStringIntoArray($E$53, "/")), 4), "")</f>
        <v/>
      </c>
      <c r="I112" s="248">
        <v>0.8</v>
      </c>
      <c r="J112" s="248">
        <v>0.2</v>
      </c>
      <c r="K112" s="248"/>
      <c r="L112" s="248"/>
      <c r="M112" s="248" cm="1">
        <f t="array" ref="M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N112" s="248" cm="1">
        <f t="array" ref="N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O112" s="248" cm="1">
        <f t="array" ref="O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2" s="248" cm="1">
        <f t="array" ref="P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2" s="248" cm="1">
        <f t="array" ref="Q11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7902.4</v>
      </c>
    </row>
    <row r="113" spans="4:17" ht="20.100000000000001" customHeight="1" x14ac:dyDescent="0.2">
      <c r="D113" s="248" t="str">
        <f t="shared" ref="D113:D161" si="0">D54</f>
        <v>R-401A</v>
      </c>
      <c r="E113" s="248" t="str" cm="1">
        <f t="array" ref="E113">IFERROR(INDEX(TRANSPOSE(Common_InputFunctions.Utility_SplitStringIntoArray($E54, "/")), 1), "")</f>
        <v>HCFC-22</v>
      </c>
      <c r="F113" s="248" t="str" cm="1">
        <f t="array" ref="F113">IFERROR(INDEX(TRANSPOSE(Common_InputFunctions.Utility_SplitStringIntoArray($E54, "/")), 2), "")</f>
        <v>HFC-152a</v>
      </c>
      <c r="G113" s="248" t="str" cm="1">
        <f t="array" ref="G113">IFERROR(INDEX(TRANSPOSE(Common_InputFunctions.Utility_SplitStringIntoArray($E54, "/")), 3), "")</f>
        <v>HCFC-124</v>
      </c>
      <c r="H113" s="248" t="str" cm="1">
        <f t="array" ref="H113">IFERROR(INDEX(TRANSPOSE(Common_InputFunctions.Utility_SplitStringIntoArray($E54, "/")), 4), "")</f>
        <v/>
      </c>
      <c r="I113" s="248" cm="1">
        <f t="array" ref="I113">IFERROR(INDEX(TRANSPOSE(Common_InputFunctions.Utility_SplitStringIntoArray($F54, "/", "(", ")")), 1)*0.01, 0)</f>
        <v>0.53</v>
      </c>
      <c r="J113" s="248" cm="1">
        <f t="array" ref="J113">IFERROR(INDEX(TRANSPOSE(Common_InputFunctions.Utility_SplitStringIntoArray($F54, "/", "(", ")")), 2)*0.01, 0)</f>
        <v>0.13</v>
      </c>
      <c r="K113" s="248" cm="1">
        <f t="array" ref="K113">IFERROR(INDEX(TRANSPOSE(Common_InputFunctions.Utility_SplitStringIntoArray($F54, "/", "(", ")")), 3)*0.01, 0)</f>
        <v>0.34</v>
      </c>
      <c r="L113" s="248" cm="1">
        <f t="array" ref="L113">IFERROR(INDEX(TRANSPOSE(Common_InputFunctions.Utility_SplitStringIntoArray($F54, "/", "(", ")")), 4)*0.01, 0)</f>
        <v>0</v>
      </c>
      <c r="M113" s="248" cm="1">
        <f t="array" ref="M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N113" s="248" cm="1">
        <f t="array" ref="N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O113" s="248" cm="1">
        <f t="array" ref="O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P113" s="248" cm="1">
        <f t="array" ref="P11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3" s="248" cm="1">
        <f t="array" ref="Q11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557.63740000000007</v>
      </c>
    </row>
    <row r="114" spans="4:17" ht="20.100000000000001" customHeight="1" x14ac:dyDescent="0.2">
      <c r="D114" s="248" t="str">
        <f t="shared" si="0"/>
        <v>R-401B</v>
      </c>
      <c r="E114" s="248" t="str" cm="1">
        <f t="array" ref="E114">IFERROR(INDEX(TRANSPOSE(Common_InputFunctions.Utility_SplitStringIntoArray($E55, "/")), 1), "")</f>
        <v>HCFC-22</v>
      </c>
      <c r="F114" s="248" t="str" cm="1">
        <f t="array" ref="F114">IFERROR(INDEX(TRANSPOSE(Common_InputFunctions.Utility_SplitStringIntoArray($E55, "/")), 2), "")</f>
        <v>HFC-152a</v>
      </c>
      <c r="G114" s="248" t="str" cm="1">
        <f t="array" ref="G114">IFERROR(INDEX(TRANSPOSE(Common_InputFunctions.Utility_SplitStringIntoArray($E55, "/")), 3), "")</f>
        <v>HCFC-124</v>
      </c>
      <c r="H114" s="248" t="str" cm="1">
        <f t="array" ref="H114">IFERROR(INDEX(TRANSPOSE(Common_InputFunctions.Utility_SplitStringIntoArray($E55, "/")), 4), "")</f>
        <v/>
      </c>
      <c r="I114" s="248" cm="1">
        <f t="array" ref="I114">IFERROR(INDEX(TRANSPOSE(Common_InputFunctions.Utility_SplitStringIntoArray($F55, "/", "(", ")")), 1)*0.01, 0)</f>
        <v>0.61</v>
      </c>
      <c r="J114" s="248" cm="1">
        <f t="array" ref="J114">IFERROR(INDEX(TRANSPOSE(Common_InputFunctions.Utility_SplitStringIntoArray($F55, "/", "(", ")")), 2)*0.01, 0)</f>
        <v>0.11</v>
      </c>
      <c r="K114" s="248" cm="1">
        <f t="array" ref="K114">IFERROR(INDEX(TRANSPOSE(Common_InputFunctions.Utility_SplitStringIntoArray($F55, "/", "(", ")")), 3)*0.01, 0)</f>
        <v>0.28000000000000003</v>
      </c>
      <c r="L114" s="248" cm="1">
        <f t="array" ref="L114">IFERROR(INDEX(TRANSPOSE(Common_InputFunctions.Utility_SplitStringIntoArray($F55, "/", "(", ")")), 4)*0.01, 0)</f>
        <v>0</v>
      </c>
      <c r="M114" s="248" cm="1">
        <f t="array" ref="M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N114" s="248" cm="1">
        <f t="array" ref="N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O114" s="248" cm="1">
        <f t="array" ref="O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P114" s="248" cm="1">
        <f t="array" ref="P11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4" s="248" cm="1">
        <f t="array" ref="Q11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697.88260000000002</v>
      </c>
    </row>
    <row r="115" spans="4:17" ht="20.100000000000001" customHeight="1" x14ac:dyDescent="0.2">
      <c r="D115" s="248" t="str">
        <f t="shared" si="0"/>
        <v>R-401C</v>
      </c>
      <c r="E115" s="248" t="str" cm="1">
        <f t="array" ref="E115">IFERROR(INDEX(TRANSPOSE(Common_InputFunctions.Utility_SplitStringIntoArray($E56, "/")), 1), "")</f>
        <v>HCFC-22</v>
      </c>
      <c r="F115" s="248" t="str" cm="1">
        <f t="array" ref="F115">IFERROR(INDEX(TRANSPOSE(Common_InputFunctions.Utility_SplitStringIntoArray($E56, "/")), 2), "")</f>
        <v>HFC-152a</v>
      </c>
      <c r="G115" s="248" t="str" cm="1">
        <f t="array" ref="G115">IFERROR(INDEX(TRANSPOSE(Common_InputFunctions.Utility_SplitStringIntoArray($E56, "/")), 3), "")</f>
        <v>HCFC-124</v>
      </c>
      <c r="H115" s="248" t="str" cm="1">
        <f t="array" ref="H115">IFERROR(INDEX(TRANSPOSE(Common_InputFunctions.Utility_SplitStringIntoArray($E56, "/")), 4), "")</f>
        <v/>
      </c>
      <c r="I115" s="248" cm="1">
        <f t="array" ref="I115">IFERROR(INDEX(TRANSPOSE(Common_InputFunctions.Utility_SplitStringIntoArray($F56, "/", "(", ")")), 1)*0.01, 0)</f>
        <v>0.33</v>
      </c>
      <c r="J115" s="248" cm="1">
        <f t="array" ref="J115">IFERROR(INDEX(TRANSPOSE(Common_InputFunctions.Utility_SplitStringIntoArray($F56, "/", "(", ")")), 2)*0.01, 0)</f>
        <v>0.15</v>
      </c>
      <c r="K115" s="248" cm="1">
        <f t="array" ref="K115">IFERROR(INDEX(TRANSPOSE(Common_InputFunctions.Utility_SplitStringIntoArray($F56, "/", "(", ")")), 3)*0.01, 0)</f>
        <v>0.52</v>
      </c>
      <c r="L115" s="248" cm="1">
        <f t="array" ref="L115">IFERROR(INDEX(TRANSPOSE(Common_InputFunctions.Utility_SplitStringIntoArray($F56, "/", "(", ")")), 4)*0.01, 0)</f>
        <v>0</v>
      </c>
      <c r="M115" s="248" cm="1">
        <f t="array" ref="M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N115" s="248" cm="1">
        <f t="array" ref="N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O115" s="248" cm="1">
        <f t="array" ref="O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P115" s="248" cm="1">
        <f t="array" ref="P11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5" s="248" cm="1">
        <f t="array" ref="Q11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337.26980000000003</v>
      </c>
    </row>
    <row r="116" spans="4:17" ht="20.100000000000001" customHeight="1" x14ac:dyDescent="0.2">
      <c r="D116" s="248" t="str">
        <f t="shared" si="0"/>
        <v>R-402A</v>
      </c>
      <c r="E116" s="248" t="str" cm="1">
        <f t="array" ref="E116">IFERROR(INDEX(TRANSPOSE(Common_InputFunctions.Utility_SplitStringIntoArray($E57, "/")), 1), "")</f>
        <v>HFC-125</v>
      </c>
      <c r="F116" s="248" t="str" cm="1">
        <f t="array" ref="F116">IFERROR(INDEX(TRANSPOSE(Common_InputFunctions.Utility_SplitStringIntoArray($E57, "/")), 2), "")</f>
        <v>HC-290</v>
      </c>
      <c r="G116" s="248" t="str" cm="1">
        <f t="array" ref="G116">IFERROR(INDEX(TRANSPOSE(Common_InputFunctions.Utility_SplitStringIntoArray($E57, "/")), 3), "")</f>
        <v>HCFC-22</v>
      </c>
      <c r="H116" s="248" t="str" cm="1">
        <f t="array" ref="H116">IFERROR(INDEX(TRANSPOSE(Common_InputFunctions.Utility_SplitStringIntoArray($E57, "/")), 4), "")</f>
        <v/>
      </c>
      <c r="I116" s="248" cm="1">
        <f t="array" ref="I116">IFERROR(INDEX(TRANSPOSE(Common_InputFunctions.Utility_SplitStringIntoArray($F57, "/", "(", ")")), 1)*0.01, 0)</f>
        <v>0.6</v>
      </c>
      <c r="J116" s="248" cm="1">
        <f t="array" ref="J116">IFERROR(INDEX(TRANSPOSE(Common_InputFunctions.Utility_SplitStringIntoArray($F57, "/", "(", ")")), 2)*0.01, 0)</f>
        <v>0.02</v>
      </c>
      <c r="K116" s="248" cm="1">
        <f t="array" ref="K116">IFERROR(INDEX(TRANSPOSE(Common_InputFunctions.Utility_SplitStringIntoArray($F57, "/", "(", ")")), 3)*0.01, 0)</f>
        <v>0.38</v>
      </c>
      <c r="L116" s="248" cm="1">
        <f t="array" ref="L116">IFERROR(INDEX(TRANSPOSE(Common_InputFunctions.Utility_SplitStringIntoArray($F57, "/", "(", ")")), 4)*0.01, 0)</f>
        <v>0</v>
      </c>
      <c r="M116" s="248" cm="1">
        <f t="array" ref="M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N116" s="248" cm="1">
        <f t="array" ref="N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6" s="248" cm="1">
        <f t="array" ref="O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P116" s="248" cm="1">
        <f t="array" ref="P11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6" s="248" cm="1">
        <f t="array" ref="Q11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1395.3440000000001</v>
      </c>
    </row>
    <row r="117" spans="4:17" ht="20.100000000000001" customHeight="1" x14ac:dyDescent="0.2">
      <c r="D117" s="248" t="str">
        <f t="shared" si="0"/>
        <v>R-402B</v>
      </c>
      <c r="E117" s="248" t="str" cm="1">
        <f t="array" ref="E117">IFERROR(INDEX(TRANSPOSE(Common_InputFunctions.Utility_SplitStringIntoArray($E58, "/")), 1), "")</f>
        <v>HFC-125</v>
      </c>
      <c r="F117" s="248" t="str" cm="1">
        <f t="array" ref="F117">IFERROR(INDEX(TRANSPOSE(Common_InputFunctions.Utility_SplitStringIntoArray($E58, "/")), 2), "")</f>
        <v>HC-290</v>
      </c>
      <c r="G117" s="248" t="str" cm="1">
        <f t="array" ref="G117">IFERROR(INDEX(TRANSPOSE(Common_InputFunctions.Utility_SplitStringIntoArray($E58, "/")), 3), "")</f>
        <v>HCFC-22</v>
      </c>
      <c r="H117" s="248" t="str" cm="1">
        <f t="array" ref="H117">IFERROR(INDEX(TRANSPOSE(Common_InputFunctions.Utility_SplitStringIntoArray($E58, "/")), 4), "")</f>
        <v/>
      </c>
      <c r="I117" s="248" cm="1">
        <f t="array" ref="I117">IFERROR(INDEX(TRANSPOSE(Common_InputFunctions.Utility_SplitStringIntoArray($F58, "/", "(", ")")), 1)*0.01, 0)</f>
        <v>0.38</v>
      </c>
      <c r="J117" s="248" cm="1">
        <f t="array" ref="J117">IFERROR(INDEX(TRANSPOSE(Common_InputFunctions.Utility_SplitStringIntoArray($F58, "/", "(", ")")), 2)*0.01, 0)</f>
        <v>0.02</v>
      </c>
      <c r="K117" s="248" cm="1">
        <f t="array" ref="K117">IFERROR(INDEX(TRANSPOSE(Common_InputFunctions.Utility_SplitStringIntoArray($F58, "/", "(", ")")), 3)*0.01, 0)</f>
        <v>0.6</v>
      </c>
      <c r="L117" s="248" cm="1">
        <f t="array" ref="L117">IFERROR(INDEX(TRANSPOSE(Common_InputFunctions.Utility_SplitStringIntoArray($F58, "/", "(", ")")), 4)*0.01, 0)</f>
        <v>0</v>
      </c>
      <c r="M117" s="248" cm="1">
        <f t="array" ref="M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N117" s="248" cm="1">
        <f t="array" ref="N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7" s="248" cm="1">
        <f t="array" ref="O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P117" s="248" cm="1">
        <f t="array" ref="P11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7" s="248" cm="1">
        <f t="array" ref="Q11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1091.348</v>
      </c>
    </row>
    <row r="118" spans="4:17" ht="20.100000000000001" customHeight="1" x14ac:dyDescent="0.2">
      <c r="D118" s="248" t="str">
        <f t="shared" si="0"/>
        <v>R-403A</v>
      </c>
      <c r="E118" s="248" t="str" cm="1">
        <f t="array" ref="E118">IFERROR(INDEX(TRANSPOSE(Common_InputFunctions.Utility_SplitStringIntoArray($E59, "/")), 1), "")</f>
        <v>HC-290</v>
      </c>
      <c r="F118" s="248" t="str" cm="1">
        <f t="array" ref="F118">IFERROR(INDEX(TRANSPOSE(Common_InputFunctions.Utility_SplitStringIntoArray($E59, "/")), 2), "")</f>
        <v>HCFC-22</v>
      </c>
      <c r="G118" s="248" t="str" cm="1">
        <f t="array" ref="G118">IFERROR(INDEX(TRANSPOSE(Common_InputFunctions.Utility_SplitStringIntoArray($E59, "/")), 3), "")</f>
        <v>PFC-218</v>
      </c>
      <c r="H118" s="248" t="str" cm="1">
        <f t="array" ref="H118">IFERROR(INDEX(TRANSPOSE(Common_InputFunctions.Utility_SplitStringIntoArray($E59, "/")), 4), "")</f>
        <v/>
      </c>
      <c r="I118" s="248" cm="1">
        <f t="array" ref="I118">IFERROR(INDEX(TRANSPOSE(Common_InputFunctions.Utility_SplitStringIntoArray($F59, "/", "(", ")")), 1)*0.01, 0)</f>
        <v>0.05</v>
      </c>
      <c r="J118" s="248" cm="1">
        <f t="array" ref="J118">IFERROR(INDEX(TRANSPOSE(Common_InputFunctions.Utility_SplitStringIntoArray($F59, "/", "(", ")")), 2)*0.01, 0)</f>
        <v>0.75</v>
      </c>
      <c r="K118" s="248" cm="1">
        <f t="array" ref="K118">IFERROR(INDEX(TRANSPOSE(Common_InputFunctions.Utility_SplitStringIntoArray($F59, "/", "(", ")")), 3)*0.01, 0)</f>
        <v>0.2</v>
      </c>
      <c r="L118" s="248" cm="1">
        <f t="array" ref="L118">IFERROR(INDEX(TRANSPOSE(Common_InputFunctions.Utility_SplitStringIntoArray($F59, "/", "(", ")")), 4)*0.01, 0)</f>
        <v>0</v>
      </c>
      <c r="M118" s="248" cm="1">
        <f t="array" ref="M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8" s="248" cm="1">
        <f t="array" ref="N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O118" s="248" cm="1">
        <f t="array" ref="O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P118" s="248" cm="1">
        <f t="array" ref="P11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8" s="248" cm="1">
        <f t="array" ref="Q11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1346</v>
      </c>
    </row>
    <row r="119" spans="4:17" ht="20.100000000000001" customHeight="1" x14ac:dyDescent="0.2">
      <c r="D119" s="248" t="str">
        <f t="shared" si="0"/>
        <v>R-403B</v>
      </c>
      <c r="E119" s="248" t="str" cm="1">
        <f t="array" ref="E119">IFERROR(INDEX(TRANSPOSE(Common_InputFunctions.Utility_SplitStringIntoArray($E60, "/")), 1), "")</f>
        <v>HC-290</v>
      </c>
      <c r="F119" s="248" t="str" cm="1">
        <f t="array" ref="F119">IFERROR(INDEX(TRANSPOSE(Common_InputFunctions.Utility_SplitStringIntoArray($E60, "/")), 2), "")</f>
        <v>HCFC-22</v>
      </c>
      <c r="G119" s="248" t="str" cm="1">
        <f t="array" ref="G119">IFERROR(INDEX(TRANSPOSE(Common_InputFunctions.Utility_SplitStringIntoArray($E60, "/")), 3), "")</f>
        <v>PFC-218</v>
      </c>
      <c r="H119" s="248" t="str" cm="1">
        <f t="array" ref="H119">IFERROR(INDEX(TRANSPOSE(Common_InputFunctions.Utility_SplitStringIntoArray($E60, "/")), 4), "")</f>
        <v/>
      </c>
      <c r="I119" s="248" cm="1">
        <f t="array" ref="I119">IFERROR(INDEX(TRANSPOSE(Common_InputFunctions.Utility_SplitStringIntoArray($F60, "/", "(", ")")), 1)*0.01, 0)</f>
        <v>0.05</v>
      </c>
      <c r="J119" s="248" cm="1">
        <f t="array" ref="J119">IFERROR(INDEX(TRANSPOSE(Common_InputFunctions.Utility_SplitStringIntoArray($F60, "/", "(", ")")), 2)*0.01, 0)</f>
        <v>0.56000000000000005</v>
      </c>
      <c r="K119" s="248" cm="1">
        <f t="array" ref="K119">IFERROR(INDEX(TRANSPOSE(Common_InputFunctions.Utility_SplitStringIntoArray($F60, "/", "(", ")")), 3)*0.01, 0)</f>
        <v>0.39</v>
      </c>
      <c r="L119" s="248" cm="1">
        <f t="array" ref="L119">IFERROR(INDEX(TRANSPOSE(Common_InputFunctions.Utility_SplitStringIntoArray($F60, "/", "(", ")")), 4)*0.01, 0)</f>
        <v>0</v>
      </c>
      <c r="M119" s="248" cm="1">
        <f t="array" ref="M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9" s="248" cm="1">
        <f t="array" ref="N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O119" s="248" cm="1">
        <f t="array" ref="O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P119" s="248" cm="1">
        <f t="array" ref="P11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9" s="248" cm="1">
        <f t="array" ref="Q11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1905.6260000000002</v>
      </c>
    </row>
    <row r="120" spans="4:17" ht="20.100000000000001" customHeight="1" x14ac:dyDescent="0.2">
      <c r="D120" s="248" t="str">
        <f t="shared" si="0"/>
        <v>R-404A</v>
      </c>
      <c r="E120" s="248" t="str" cm="1">
        <f t="array" ref="E120">IFERROR(INDEX(TRANSPOSE(Common_InputFunctions.Utility_SplitStringIntoArray($E61, "/")), 1), "")</f>
        <v>HFC-125</v>
      </c>
      <c r="F120" s="248" t="str" cm="1">
        <f t="array" ref="F120">IFERROR(INDEX(TRANSPOSE(Common_InputFunctions.Utility_SplitStringIntoArray($E61, "/")), 2), "")</f>
        <v>HFC-143a</v>
      </c>
      <c r="G120" s="248" t="str" cm="1">
        <f t="array" ref="G120">IFERROR(INDEX(TRANSPOSE(Common_InputFunctions.Utility_SplitStringIntoArray($E61, "/")), 3), "")</f>
        <v>HFC-134a</v>
      </c>
      <c r="H120" s="248" t="str" cm="1">
        <f t="array" ref="H120">IFERROR(INDEX(TRANSPOSE(Common_InputFunctions.Utility_SplitStringIntoArray($E61, "/")), 4), "")</f>
        <v/>
      </c>
      <c r="I120" s="248" cm="1">
        <f t="array" ref="I120">IFERROR(INDEX(TRANSPOSE(Common_InputFunctions.Utility_SplitStringIntoArray($F61, "/", "(", ")")), 1)*0.01, 0)</f>
        <v>0.44</v>
      </c>
      <c r="J120" s="248" cm="1">
        <f t="array" ref="J120">IFERROR(INDEX(TRANSPOSE(Common_InputFunctions.Utility_SplitStringIntoArray($F61, "/", "(", ")")), 2)*0.01, 0)</f>
        <v>0.52</v>
      </c>
      <c r="K120" s="248" cm="1">
        <f t="array" ref="K120">IFERROR(INDEX(TRANSPOSE(Common_InputFunctions.Utility_SplitStringIntoArray($F61, "/", "(", ")")), 3)*0.01, 0)</f>
        <v>0.04</v>
      </c>
      <c r="L120" s="248" cm="1">
        <f t="array" ref="L120">IFERROR(INDEX(TRANSPOSE(Common_InputFunctions.Utility_SplitStringIntoArray($F61, "/", "(", ")")), 4)*0.01, 0)</f>
        <v>0</v>
      </c>
      <c r="M120" s="248" cm="1">
        <f t="array" ref="M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N120" s="248" cm="1">
        <f t="array" ref="N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O120" s="248" cm="1">
        <f t="array" ref="O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P120" s="248" cm="1">
        <f t="array" ref="P12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0" s="248" cm="1">
        <f t="array" ref="Q12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1913.712</v>
      </c>
    </row>
    <row r="121" spans="4:17" ht="20.100000000000001" customHeight="1" x14ac:dyDescent="0.2">
      <c r="D121" s="248" t="str">
        <f t="shared" si="0"/>
        <v>R-405A</v>
      </c>
      <c r="E121" s="248" t="str" cm="1">
        <f t="array" ref="E121">IFERROR(INDEX(TRANSPOSE(Common_InputFunctions.Utility_SplitStringIntoArray($E62, "/")), 1), "")</f>
        <v>HCFC-22</v>
      </c>
      <c r="F121" s="248" t="str" cm="1">
        <f t="array" ref="F121">IFERROR(INDEX(TRANSPOSE(Common_InputFunctions.Utility_SplitStringIntoArray($E62, "/")), 2), "")</f>
        <v>HFC-152a</v>
      </c>
      <c r="G121" s="248" t="str" cm="1">
        <f t="array" ref="G121">IFERROR(INDEX(TRANSPOSE(Common_InputFunctions.Utility_SplitStringIntoArray($E62, "/")), 3), "")</f>
        <v>HCFC-142b</v>
      </c>
      <c r="H121" s="248" t="str" cm="1">
        <f t="array" ref="H121">IFERROR(INDEX(TRANSPOSE(Common_InputFunctions.Utility_SplitStringIntoArray($E62, "/")), 4), "")</f>
        <v>PFC-318</v>
      </c>
      <c r="I121" s="248" cm="1">
        <f t="array" ref="I121">IFERROR(INDEX(TRANSPOSE(Common_InputFunctions.Utility_SplitStringIntoArray($F62, "/", "(", ")")), 1)*0.01, 0)</f>
        <v>0.45</v>
      </c>
      <c r="J121" s="248" cm="1">
        <f t="array" ref="J121">IFERROR(INDEX(TRANSPOSE(Common_InputFunctions.Utility_SplitStringIntoArray($F62, "/", "(", ")")), 2)*0.01, 0)</f>
        <v>7.0000000000000007E-2</v>
      </c>
      <c r="K121" s="248" cm="1">
        <f t="array" ref="K121">IFERROR(INDEX(TRANSPOSE(Common_InputFunctions.Utility_SplitStringIntoArray($F62, "/", "(", ")")), 3)*0.01, 0)</f>
        <v>5.5E-2</v>
      </c>
      <c r="L121" s="248" cm="1">
        <f t="array" ref="L121">IFERROR(INDEX(TRANSPOSE(Common_InputFunctions.Utility_SplitStringIntoArray($F62, "/", "(", ")")), 4)*0.01, 0)</f>
        <v>0.42499999999999999</v>
      </c>
      <c r="M121" s="248" cm="1">
        <f t="array" ref="M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N121" s="248" cm="1">
        <f t="array" ref="N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O121" s="248" cm="1">
        <f t="array" ref="O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P121" s="248" cm="1">
        <f t="array" ref="P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Q121" s="248" cm="1">
        <f t="array" ref="Q12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2086.2282</v>
      </c>
    </row>
    <row r="122" spans="4:17" ht="20.100000000000001" customHeight="1" x14ac:dyDescent="0.2">
      <c r="D122" s="248" t="str">
        <f t="shared" si="0"/>
        <v>R-406A</v>
      </c>
      <c r="E122" s="248" t="str" cm="1">
        <f t="array" ref="E122">IFERROR(INDEX(TRANSPOSE(Common_InputFunctions.Utility_SplitStringIntoArray($E63, "/")), 1), "")</f>
        <v>HCFC-22</v>
      </c>
      <c r="F122" s="248" t="str" cm="1">
        <f t="array" ref="F122">IFERROR(INDEX(TRANSPOSE(Common_InputFunctions.Utility_SplitStringIntoArray($E63, "/")), 2), "")</f>
        <v>HC-600a</v>
      </c>
      <c r="G122" s="248" t="str" cm="1">
        <f t="array" ref="G122">IFERROR(INDEX(TRANSPOSE(Common_InputFunctions.Utility_SplitStringIntoArray($E63, "/")), 3), "")</f>
        <v>HCFC-142b</v>
      </c>
      <c r="H122" s="248" t="str" cm="1">
        <f t="array" ref="H122">IFERROR(INDEX(TRANSPOSE(Common_InputFunctions.Utility_SplitStringIntoArray($E63, "/")), 4), "")</f>
        <v/>
      </c>
      <c r="I122" s="248" cm="1">
        <f t="array" ref="I122">IFERROR(INDEX(TRANSPOSE(Common_InputFunctions.Utility_SplitStringIntoArray($F63, "/", "(", ")")), 1)*0.01, 0)</f>
        <v>0.55000000000000004</v>
      </c>
      <c r="J122" s="248" cm="1">
        <f t="array" ref="J122">IFERROR(INDEX(TRANSPOSE(Common_InputFunctions.Utility_SplitStringIntoArray($F63, "/", "(", ")")), 2)*0.01, 0)</f>
        <v>0.14000000000000001</v>
      </c>
      <c r="K122" s="248" cm="1">
        <f t="array" ref="K122">IFERROR(INDEX(TRANSPOSE(Common_InputFunctions.Utility_SplitStringIntoArray($F63, "/", "(", ")")), 3)*0.01, 0)</f>
        <v>0.41000000000000003</v>
      </c>
      <c r="L122" s="248" cm="1">
        <f t="array" ref="L122">IFERROR(INDEX(TRANSPOSE(Common_InputFunctions.Utility_SplitStringIntoArray($F63, "/", "(", ")")), 4)*0.01, 0)</f>
        <v>0</v>
      </c>
      <c r="M122" s="248" cm="1">
        <f t="array" ref="M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N122" s="248" cm="1">
        <f t="array" ref="N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22" s="248" cm="1">
        <f t="array" ref="O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P122" s="248" cm="1">
        <f t="array" ref="P12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2" s="248" cm="1">
        <f t="array" ref="Q12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865.23800000000017</v>
      </c>
    </row>
    <row r="123" spans="4:17" ht="20.100000000000001" customHeight="1" x14ac:dyDescent="0.2">
      <c r="D123" s="248" t="str">
        <f t="shared" si="0"/>
        <v>R-407A</v>
      </c>
      <c r="E123" s="248" t="str" cm="1">
        <f t="array" ref="E123">IFERROR(INDEX(TRANSPOSE(Common_InputFunctions.Utility_SplitStringIntoArray($E64, "/")), 1), "")</f>
        <v>HFC-32</v>
      </c>
      <c r="F123" s="248" t="str" cm="1">
        <f t="array" ref="F123">IFERROR(INDEX(TRANSPOSE(Common_InputFunctions.Utility_SplitStringIntoArray($E64, "/")), 2), "")</f>
        <v>HFC-125</v>
      </c>
      <c r="G123" s="248" t="str" cm="1">
        <f t="array" ref="G123">IFERROR(INDEX(TRANSPOSE(Common_InputFunctions.Utility_SplitStringIntoArray($E64, "/")), 3), "")</f>
        <v>HFC-134a</v>
      </c>
      <c r="H123" s="248" t="str" cm="1">
        <f t="array" ref="H123">IFERROR(INDEX(TRANSPOSE(Common_InputFunctions.Utility_SplitStringIntoArray($E64, "/")), 4), "")</f>
        <v/>
      </c>
      <c r="I123" s="248" cm="1">
        <f t="array" ref="I123">IFERROR(INDEX(TRANSPOSE(Common_InputFunctions.Utility_SplitStringIntoArray($F64, "/", "(", ")")), 1)*0.01, 0)</f>
        <v>0.2</v>
      </c>
      <c r="J123" s="248" cm="1">
        <f t="array" ref="J123">IFERROR(INDEX(TRANSPOSE(Common_InputFunctions.Utility_SplitStringIntoArray($F64, "/", "(", ")")), 2)*0.01, 0)</f>
        <v>0.4</v>
      </c>
      <c r="K123" s="248" cm="1">
        <f t="array" ref="K123">IFERROR(INDEX(TRANSPOSE(Common_InputFunctions.Utility_SplitStringIntoArray($F64, "/", "(", ")")), 3)*0.01, 0)</f>
        <v>0.4</v>
      </c>
      <c r="L123" s="248" cm="1">
        <f t="array" ref="L123">IFERROR(INDEX(TRANSPOSE(Common_InputFunctions.Utility_SplitStringIntoArray($F64, "/", "(", ")")), 4)*0.01, 0)</f>
        <v>0</v>
      </c>
      <c r="M123" s="248" cm="1">
        <f t="array" ref="M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N123" s="248" cm="1">
        <f t="array" ref="N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O123" s="248" cm="1">
        <f t="array" ref="O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P123" s="248" cm="1">
        <f t="array" ref="P12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3" s="248" cm="1">
        <f t="array" ref="Q12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742.28000000000009</v>
      </c>
    </row>
    <row r="124" spans="4:17" ht="20.100000000000001" customHeight="1" x14ac:dyDescent="0.2">
      <c r="D124" s="248" t="str">
        <f t="shared" si="0"/>
        <v>R-407B</v>
      </c>
      <c r="E124" s="248" t="str" cm="1">
        <f t="array" ref="E124">IFERROR(INDEX(TRANSPOSE(Common_InputFunctions.Utility_SplitStringIntoArray($E65, "/")), 1), "")</f>
        <v>HFC-32</v>
      </c>
      <c r="F124" s="248" t="str" cm="1">
        <f t="array" ref="F124">IFERROR(INDEX(TRANSPOSE(Common_InputFunctions.Utility_SplitStringIntoArray($E65, "/")), 2), "")</f>
        <v>HFC-125</v>
      </c>
      <c r="G124" s="248" t="str" cm="1">
        <f t="array" ref="G124">IFERROR(INDEX(TRANSPOSE(Common_InputFunctions.Utility_SplitStringIntoArray($E65, "/")), 3), "")</f>
        <v>HFC-134a</v>
      </c>
      <c r="H124" s="248" t="str" cm="1">
        <f t="array" ref="H124">IFERROR(INDEX(TRANSPOSE(Common_InputFunctions.Utility_SplitStringIntoArray($E65, "/")), 4), "")</f>
        <v/>
      </c>
      <c r="I124" s="248" cm="1">
        <f t="array" ref="I124">IFERROR(INDEX(TRANSPOSE(Common_InputFunctions.Utility_SplitStringIntoArray($F65, "/", "(", ")")), 1)*0.01, 0)</f>
        <v>0.1</v>
      </c>
      <c r="J124" s="248" cm="1">
        <f t="array" ref="J124">IFERROR(INDEX(TRANSPOSE(Common_InputFunctions.Utility_SplitStringIntoArray($F65, "/", "(", ")")), 2)*0.01, 0)</f>
        <v>0.70000000000000007</v>
      </c>
      <c r="K124" s="248" cm="1">
        <f t="array" ref="K124">IFERROR(INDEX(TRANSPOSE(Common_InputFunctions.Utility_SplitStringIntoArray($F65, "/", "(", ")")), 3)*0.01, 0)</f>
        <v>0.2</v>
      </c>
      <c r="L124" s="248" cm="1">
        <f t="array" ref="L124">IFERROR(INDEX(TRANSPOSE(Common_InputFunctions.Utility_SplitStringIntoArray($F65, "/", "(", ")")), 4)*0.01, 0)</f>
        <v>0</v>
      </c>
      <c r="M124" s="248" cm="1">
        <f t="array" ref="M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N124" s="248" cm="1">
        <f t="array" ref="N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O124" s="248" cm="1">
        <f t="array" ref="O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P124" s="248" cm="1">
        <f t="array" ref="P12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4" s="248" cm="1">
        <f t="array" ref="Q12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1612.0700000000002</v>
      </c>
    </row>
    <row r="125" spans="4:17" ht="20.100000000000001" customHeight="1" x14ac:dyDescent="0.2">
      <c r="D125" s="248" t="str">
        <f t="shared" si="0"/>
        <v>R-407C</v>
      </c>
      <c r="E125" s="248" t="str" cm="1">
        <f t="array" ref="E125">IFERROR(INDEX(TRANSPOSE(Common_InputFunctions.Utility_SplitStringIntoArray($E66, "/")), 1), "")</f>
        <v>HFC-32</v>
      </c>
      <c r="F125" s="248" t="str" cm="1">
        <f t="array" ref="F125">IFERROR(INDEX(TRANSPOSE(Common_InputFunctions.Utility_SplitStringIntoArray($E66, "/")), 2), "")</f>
        <v>HFC-125</v>
      </c>
      <c r="G125" s="248" t="str" cm="1">
        <f t="array" ref="G125">IFERROR(INDEX(TRANSPOSE(Common_InputFunctions.Utility_SplitStringIntoArray($E66, "/")), 3), "")</f>
        <v>HFC-134a</v>
      </c>
      <c r="H125" s="248" t="str" cm="1">
        <f t="array" ref="H125">IFERROR(INDEX(TRANSPOSE(Common_InputFunctions.Utility_SplitStringIntoArray($E66, "/")), 4), "")</f>
        <v/>
      </c>
      <c r="I125" s="248" cm="1">
        <f t="array" ref="I125">IFERROR(INDEX(TRANSPOSE(Common_InputFunctions.Utility_SplitStringIntoArray($F66, "/", "(", ")")), 1)*0.01, 0)</f>
        <v>0.23</v>
      </c>
      <c r="J125" s="248" cm="1">
        <f t="array" ref="J125">IFERROR(INDEX(TRANSPOSE(Common_InputFunctions.Utility_SplitStringIntoArray($F66, "/", "(", ")")), 2)*0.01, 0)</f>
        <v>0.25</v>
      </c>
      <c r="K125" s="248" cm="1">
        <f t="array" ref="K125">IFERROR(INDEX(TRANSPOSE(Common_InputFunctions.Utility_SplitStringIntoArray($F66, "/", "(", ")")), 3)*0.01, 0)</f>
        <v>0.52</v>
      </c>
      <c r="L125" s="248" cm="1">
        <f t="array" ref="L125">IFERROR(INDEX(TRANSPOSE(Common_InputFunctions.Utility_SplitStringIntoArray($F66, "/", "(", ")")), 4)*0.01, 0)</f>
        <v>0</v>
      </c>
      <c r="M125" s="248" cm="1">
        <f t="array" ref="M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N125" s="248" cm="1">
        <f t="array" ref="N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O125" s="248" cm="1">
        <f t="array" ref="O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P125" s="248" cm="1">
        <f t="array" ref="P12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5" s="248" cm="1">
        <f t="array" ref="Q12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585.45830000000001</v>
      </c>
    </row>
    <row r="126" spans="4:17" ht="20.100000000000001" customHeight="1" x14ac:dyDescent="0.2">
      <c r="D126" s="248" t="str">
        <f t="shared" si="0"/>
        <v>R-407D</v>
      </c>
      <c r="E126" s="248" t="str" cm="1">
        <f t="array" ref="E126">IFERROR(INDEX(TRANSPOSE(Common_InputFunctions.Utility_SplitStringIntoArray($E67, "/")), 1), "")</f>
        <v>HFC-32</v>
      </c>
      <c r="F126" s="248" t="str" cm="1">
        <f t="array" ref="F126">IFERROR(INDEX(TRANSPOSE(Common_InputFunctions.Utility_SplitStringIntoArray($E67, "/")), 2), "")</f>
        <v>HFC-125</v>
      </c>
      <c r="G126" s="248" t="str" cm="1">
        <f t="array" ref="G126">IFERROR(INDEX(TRANSPOSE(Common_InputFunctions.Utility_SplitStringIntoArray($E67, "/")), 3), "")</f>
        <v>HFC-134a</v>
      </c>
      <c r="H126" s="248" t="str" cm="1">
        <f t="array" ref="H126">IFERROR(INDEX(TRANSPOSE(Common_InputFunctions.Utility_SplitStringIntoArray($E67, "/")), 4), "")</f>
        <v/>
      </c>
      <c r="I126" s="248" cm="1">
        <f t="array" ref="I126">IFERROR(INDEX(TRANSPOSE(Common_InputFunctions.Utility_SplitStringIntoArray($F67, "/", "(", ")")), 1)*0.01, 0)</f>
        <v>0.15</v>
      </c>
      <c r="J126" s="248" cm="1">
        <f t="array" ref="J126">IFERROR(INDEX(TRANSPOSE(Common_InputFunctions.Utility_SplitStringIntoArray($F67, "/", "(", ")")), 2)*0.01, 0)</f>
        <v>0.15</v>
      </c>
      <c r="K126" s="248" cm="1">
        <f t="array" ref="K126">IFERROR(INDEX(TRANSPOSE(Common_InputFunctions.Utility_SplitStringIntoArray($F67, "/", "(", ")")), 3)*0.01, 0)</f>
        <v>0.70000000000000007</v>
      </c>
      <c r="L126" s="248" cm="1">
        <f t="array" ref="L126">IFERROR(INDEX(TRANSPOSE(Common_InputFunctions.Utility_SplitStringIntoArray($F67, "/", "(", ")")), 4)*0.01, 0)</f>
        <v>0</v>
      </c>
      <c r="M126" s="248" cm="1">
        <f t="array" ref="M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N126" s="248" cm="1">
        <f t="array" ref="N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6" s="248" cm="1">
        <f t="array" ref="O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P126" s="248" cm="1">
        <f t="array" ref="P12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6" s="248" cm="1">
        <f t="array" ref="Q12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723.55750000000012</v>
      </c>
    </row>
    <row r="127" spans="4:17" ht="20.100000000000001" customHeight="1" x14ac:dyDescent="0.2">
      <c r="D127" s="248" t="str">
        <f t="shared" si="0"/>
        <v>R-407E</v>
      </c>
      <c r="E127" s="248" t="str" cm="1">
        <f t="array" ref="E127">IFERROR(INDEX(TRANSPOSE(Common_InputFunctions.Utility_SplitStringIntoArray($E68, "/")), 1), "")</f>
        <v>HFC-32</v>
      </c>
      <c r="F127" s="248" t="str" cm="1">
        <f t="array" ref="F127">IFERROR(INDEX(TRANSPOSE(Common_InputFunctions.Utility_SplitStringIntoArray($E68, "/")), 2), "")</f>
        <v>HFC-125</v>
      </c>
      <c r="G127" s="248" t="str" cm="1">
        <f t="array" ref="G127">IFERROR(INDEX(TRANSPOSE(Common_InputFunctions.Utility_SplitStringIntoArray($E68, "/")), 3), "")</f>
        <v>HFC-134a</v>
      </c>
      <c r="H127" s="248" t="str" cm="1">
        <f t="array" ref="H127">IFERROR(INDEX(TRANSPOSE(Common_InputFunctions.Utility_SplitStringIntoArray($E68, "/")), 4), "")</f>
        <v/>
      </c>
      <c r="I127" s="248" cm="1">
        <f t="array" ref="I127">IFERROR(INDEX(TRANSPOSE(Common_InputFunctions.Utility_SplitStringIntoArray($F68, "/", "(", ")")), 1)*0.01, 0)</f>
        <v>0.25</v>
      </c>
      <c r="J127" s="248" cm="1">
        <f t="array" ref="J127">IFERROR(INDEX(TRANSPOSE(Common_InputFunctions.Utility_SplitStringIntoArray($F68, "/", "(", ")")), 2)*0.01, 0)</f>
        <v>0.15</v>
      </c>
      <c r="K127" s="248" cm="1">
        <f t="array" ref="K127">IFERROR(INDEX(TRANSPOSE(Common_InputFunctions.Utility_SplitStringIntoArray($F68, "/", "(", ")")), 3)*0.01, 0)</f>
        <v>0.6</v>
      </c>
      <c r="L127" s="248" cm="1">
        <f t="array" ref="L127">IFERROR(INDEX(TRANSPOSE(Common_InputFunctions.Utility_SplitStringIntoArray($F68, "/", "(", ")")), 4)*0.01, 0)</f>
        <v>0</v>
      </c>
      <c r="M127" s="248" cm="1">
        <f t="array" ref="M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N127" s="248" cm="1">
        <f t="array" ref="N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7" s="248" cm="1">
        <f t="array" ref="O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P127" s="248" cm="1">
        <f t="array" ref="P12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7" s="248" cm="1">
        <f t="array" ref="Q12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581.63750000000005</v>
      </c>
    </row>
    <row r="128" spans="4:17" ht="20.100000000000001" customHeight="1" x14ac:dyDescent="0.2">
      <c r="D128" s="248" t="str">
        <f t="shared" si="0"/>
        <v>R-408A</v>
      </c>
      <c r="E128" s="248" t="str" cm="1">
        <f t="array" ref="E128">IFERROR(INDEX(TRANSPOSE(Common_InputFunctions.Utility_SplitStringIntoArray($E69, "/")), 1), "")</f>
        <v>HFC-125</v>
      </c>
      <c r="F128" s="248" t="str" cm="1">
        <f t="array" ref="F128">IFERROR(INDEX(TRANSPOSE(Common_InputFunctions.Utility_SplitStringIntoArray($E69, "/")), 2), "")</f>
        <v>HFC-143a</v>
      </c>
      <c r="G128" s="248" t="str" cm="1">
        <f t="array" ref="G128">IFERROR(INDEX(TRANSPOSE(Common_InputFunctions.Utility_SplitStringIntoArray($E69, "/")), 3), "")</f>
        <v>HCFC-22</v>
      </c>
      <c r="H128" s="248" t="str" cm="1">
        <f t="array" ref="H128">IFERROR(INDEX(TRANSPOSE(Common_InputFunctions.Utility_SplitStringIntoArray($E69, "/")), 4), "")</f>
        <v/>
      </c>
      <c r="I128" s="248" cm="1">
        <f t="array" ref="I128">IFERROR(INDEX(TRANSPOSE(Common_InputFunctions.Utility_SplitStringIntoArray($F69, "/", "(", ")")), 1)*0.01, 0)</f>
        <v>7.0000000000000007E-2</v>
      </c>
      <c r="J128" s="248" cm="1">
        <f t="array" ref="J128">IFERROR(INDEX(TRANSPOSE(Common_InputFunctions.Utility_SplitStringIntoArray($F69, "/", "(", ")")), 2)*0.01, 0)</f>
        <v>0.46</v>
      </c>
      <c r="K128" s="248" cm="1">
        <f t="array" ref="K128">IFERROR(INDEX(TRANSPOSE(Common_InputFunctions.Utility_SplitStringIntoArray($F69, "/", "(", ")")), 3)*0.01, 0)</f>
        <v>0.47000000000000003</v>
      </c>
      <c r="L128" s="248" cm="1">
        <f t="array" ref="L128">IFERROR(INDEX(TRANSPOSE(Common_InputFunctions.Utility_SplitStringIntoArray($F69, "/", "(", ")")), 4)*0.01, 0)</f>
        <v>0</v>
      </c>
      <c r="M128" s="248" cm="1">
        <f t="array" ref="M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N128" s="248" cm="1">
        <f t="array" ref="N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O128" s="248" cm="1">
        <f t="array" ref="O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P128" s="248" cm="1">
        <f t="array" ref="P12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8" s="248" cm="1">
        <f t="array" ref="Q12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1419.9970000000001</v>
      </c>
    </row>
    <row r="129" spans="1:33" ht="20.100000000000001" customHeight="1" x14ac:dyDescent="0.2">
      <c r="D129" s="248" t="str">
        <f t="shared" si="0"/>
        <v>R-409A</v>
      </c>
      <c r="E129" s="248" t="str" cm="1">
        <f t="array" ref="E129">IFERROR(INDEX(TRANSPOSE(Common_InputFunctions.Utility_SplitStringIntoArray($E70, "/")), 1), "")</f>
        <v>HCFC-22</v>
      </c>
      <c r="F129" s="248" t="str" cm="1">
        <f t="array" ref="F129">IFERROR(INDEX(TRANSPOSE(Common_InputFunctions.Utility_SplitStringIntoArray($E70, "/")), 2), "")</f>
        <v>HCFC-124</v>
      </c>
      <c r="G129" s="248" t="str" cm="1">
        <f t="array" ref="G129">IFERROR(INDEX(TRANSPOSE(Common_InputFunctions.Utility_SplitStringIntoArray($E70, "/")), 3), "")</f>
        <v>HCFC-142b</v>
      </c>
      <c r="H129" s="248" t="str" cm="1">
        <f t="array" ref="H129">IFERROR(INDEX(TRANSPOSE(Common_InputFunctions.Utility_SplitStringIntoArray($E70, "/")), 4), "")</f>
        <v/>
      </c>
      <c r="I129" s="248" cm="1">
        <f t="array" ref="I129">IFERROR(INDEX(TRANSPOSE(Common_InputFunctions.Utility_SplitStringIntoArray($F70, "/", "(", ")")), 1)*0.01, 0)</f>
        <v>0.6</v>
      </c>
      <c r="J129" s="248" cm="1">
        <f t="array" ref="J129">IFERROR(INDEX(TRANSPOSE(Common_InputFunctions.Utility_SplitStringIntoArray($F70, "/", "(", ")")), 2)*0.01, 0)</f>
        <v>0.25</v>
      </c>
      <c r="K129" s="248" cm="1">
        <f t="array" ref="K129">IFERROR(INDEX(TRANSPOSE(Common_InputFunctions.Utility_SplitStringIntoArray($F70, "/", "(", ")")), 3)*0.01, 0)</f>
        <v>0.15</v>
      </c>
      <c r="L129" s="248" cm="1">
        <f t="array" ref="L129">IFERROR(INDEX(TRANSPOSE(Common_InputFunctions.Utility_SplitStringIntoArray($F70, "/", "(", ")")), 4)*0.01, 0)</f>
        <v>0</v>
      </c>
      <c r="M129" s="248" cm="1">
        <f t="array" ref="M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N129" s="248" cm="1">
        <f t="array" ref="N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29" s="248" cm="1">
        <f t="array" ref="O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P129" s="248" cm="1">
        <f t="array" ref="P12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9" s="248" cm="1">
        <f t="array" ref="Q12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711.08749999999998</v>
      </c>
    </row>
    <row r="130" spans="1:33" ht="20.100000000000001" customHeight="1" x14ac:dyDescent="0.2">
      <c r="D130" s="248" t="str">
        <f t="shared" si="0"/>
        <v>R-409B</v>
      </c>
      <c r="E130" s="248" t="str" cm="1">
        <f t="array" ref="E130">IFERROR(INDEX(TRANSPOSE(Common_InputFunctions.Utility_SplitStringIntoArray($E71, "/")), 1), "")</f>
        <v>HCFC-22</v>
      </c>
      <c r="F130" s="248" t="str" cm="1">
        <f t="array" ref="F130">IFERROR(INDEX(TRANSPOSE(Common_InputFunctions.Utility_SplitStringIntoArray($E71, "/")), 2), "")</f>
        <v>HCFC-124</v>
      </c>
      <c r="G130" s="248" t="str" cm="1">
        <f t="array" ref="G130">IFERROR(INDEX(TRANSPOSE(Common_InputFunctions.Utility_SplitStringIntoArray($E71, "/")), 3), "")</f>
        <v>HCFC-142b</v>
      </c>
      <c r="H130" s="248" t="str" cm="1">
        <f t="array" ref="H130">IFERROR(INDEX(TRANSPOSE(Common_InputFunctions.Utility_SplitStringIntoArray($E71, "/")), 4), "")</f>
        <v/>
      </c>
      <c r="I130" s="248" cm="1">
        <f t="array" ref="I130">IFERROR(INDEX(TRANSPOSE(Common_InputFunctions.Utility_SplitStringIntoArray($F71, "/", "(", ")")), 1)*0.01, 0)</f>
        <v>0.65</v>
      </c>
      <c r="J130" s="248" cm="1">
        <f t="array" ref="J130">IFERROR(INDEX(TRANSPOSE(Common_InputFunctions.Utility_SplitStringIntoArray($F71, "/", "(", ")")), 2)*0.01, 0)</f>
        <v>0.25</v>
      </c>
      <c r="K130" s="248" cm="1">
        <f t="array" ref="K130">IFERROR(INDEX(TRANSPOSE(Common_InputFunctions.Utility_SplitStringIntoArray($F71, "/", "(", ")")), 3)*0.01, 0)</f>
        <v>0.1</v>
      </c>
      <c r="L130" s="248" cm="1">
        <f t="array" ref="L130">IFERROR(INDEX(TRANSPOSE(Common_InputFunctions.Utility_SplitStringIntoArray($F71, "/", "(", ")")), 4)*0.01, 0)</f>
        <v>0</v>
      </c>
      <c r="M130" s="248" cm="1">
        <f t="array" ref="M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30" s="248" cm="1">
        <f t="array" ref="N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30" s="248" cm="1">
        <f t="array" ref="O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P130" s="248" cm="1">
        <f t="array" ref="P13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0" s="248" cm="1">
        <f t="array" ref="Q13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796.33749999999998</v>
      </c>
      <c r="AG130" s="1"/>
    </row>
    <row r="131" spans="1:33" ht="20.100000000000001" customHeight="1" x14ac:dyDescent="0.2">
      <c r="D131" s="248" t="str">
        <f t="shared" si="0"/>
        <v>R-410A</v>
      </c>
      <c r="E131" s="248" t="str" cm="1">
        <f t="array" ref="E131">IFERROR(INDEX(TRANSPOSE(Common_InputFunctions.Utility_SplitStringIntoArray($E72, "/")), 1), "")</f>
        <v>HFC-32</v>
      </c>
      <c r="F131" s="248" t="str" cm="1">
        <f t="array" ref="F131">IFERROR(INDEX(TRANSPOSE(Common_InputFunctions.Utility_SplitStringIntoArray($E72, "/")), 2), "")</f>
        <v>HFC-125</v>
      </c>
      <c r="G131" s="248" t="str" cm="1">
        <f t="array" ref="G131">IFERROR(INDEX(TRANSPOSE(Common_InputFunctions.Utility_SplitStringIntoArray($E72, "/")), 3), "")</f>
        <v/>
      </c>
      <c r="H131" s="248" t="str" cm="1">
        <f t="array" ref="H131">IFERROR(INDEX(TRANSPOSE(Common_InputFunctions.Utility_SplitStringIntoArray($E72, "/")), 4), "")</f>
        <v/>
      </c>
      <c r="I131" s="248" cm="1">
        <f t="array" ref="I131">IFERROR(INDEX(TRANSPOSE(Common_InputFunctions.Utility_SplitStringIntoArray($F72, "/", "(", ")")), 1)*0.01, 0)</f>
        <v>0.5</v>
      </c>
      <c r="J131" s="248" cm="1">
        <f t="array" ref="J131">IFERROR(INDEX(TRANSPOSE(Common_InputFunctions.Utility_SplitStringIntoArray($F72, "/", "(", ")")), 2)*0.01, 0)</f>
        <v>0.5</v>
      </c>
      <c r="K131" s="248" cm="1">
        <f t="array" ref="K131">IFERROR(INDEX(TRANSPOSE(Common_InputFunctions.Utility_SplitStringIntoArray($F72, "/", "(", ")")), 3)*0.01, 0)</f>
        <v>0</v>
      </c>
      <c r="L131" s="248" cm="1">
        <f t="array" ref="L131">IFERROR(INDEX(TRANSPOSE(Common_InputFunctions.Utility_SplitStringIntoArray($F72, "/", "(", ")")), 4)*0.01, 0)</f>
        <v>0</v>
      </c>
      <c r="M131" s="248" cm="1">
        <f t="array" ref="M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N131" s="248" cm="1">
        <f t="array" ref="N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O131" s="248" cm="1">
        <f t="array" ref="O13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1" s="248" cm="1">
        <f t="array" ref="P13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1" s="248" cm="1">
        <f t="array" ref="Q13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961.75</v>
      </c>
      <c r="AG131" s="1"/>
    </row>
    <row r="132" spans="1:33" ht="20.100000000000001" customHeight="1" x14ac:dyDescent="0.2">
      <c r="D132" s="248" t="str">
        <f t="shared" si="0"/>
        <v>R-410B</v>
      </c>
      <c r="E132" s="248" t="str" cm="1">
        <f t="array" ref="E132">IFERROR(INDEX(TRANSPOSE(Common_InputFunctions.Utility_SplitStringIntoArray($E73, "/")), 1), "")</f>
        <v>HFC-32</v>
      </c>
      <c r="F132" s="248" t="str" cm="1">
        <f t="array" ref="F132">IFERROR(INDEX(TRANSPOSE(Common_InputFunctions.Utility_SplitStringIntoArray($E73, "/")), 2), "")</f>
        <v>HFC-125</v>
      </c>
      <c r="G132" s="248" t="str" cm="1">
        <f t="array" ref="G132">IFERROR(INDEX(TRANSPOSE(Common_InputFunctions.Utility_SplitStringIntoArray($E73, "/")), 3), "")</f>
        <v/>
      </c>
      <c r="H132" s="248" t="str" cm="1">
        <f t="array" ref="H132">IFERROR(INDEX(TRANSPOSE(Common_InputFunctions.Utility_SplitStringIntoArray($E73, "/")), 4), "")</f>
        <v/>
      </c>
      <c r="I132" s="248" cm="1">
        <f t="array" ref="I132">IFERROR(INDEX(TRANSPOSE(Common_InputFunctions.Utility_SplitStringIntoArray($F73, "/", "(", ")")), 1)*0.01, 0)</f>
        <v>0.45</v>
      </c>
      <c r="J132" s="248" cm="1">
        <f t="array" ref="J132">IFERROR(INDEX(TRANSPOSE(Common_InputFunctions.Utility_SplitStringIntoArray($F73, "/", "(", ")")), 2)*0.01, 0)</f>
        <v>0.55000000000000004</v>
      </c>
      <c r="K132" s="248" cm="1">
        <f t="array" ref="K132">IFERROR(INDEX(TRANSPOSE(Common_InputFunctions.Utility_SplitStringIntoArray($F73, "/", "(", ")")), 3)*0.01, 0)</f>
        <v>0</v>
      </c>
      <c r="L132" s="248" cm="1">
        <f t="array" ref="L132">IFERROR(INDEX(TRANSPOSE(Common_InputFunctions.Utility_SplitStringIntoArray($F73, "/", "(", ")")), 4)*0.01, 0)</f>
        <v>0</v>
      </c>
      <c r="M132" s="248" cm="1">
        <f t="array" ref="M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N132" s="248" cm="1">
        <f t="array" ref="N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O132" s="248" cm="1">
        <f t="array" ref="O13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2" s="248" cm="1">
        <f t="array" ref="P13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2" s="248" cm="1">
        <f t="array" ref="Q13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1096.0175000000002</v>
      </c>
      <c r="AG132" s="1"/>
    </row>
    <row r="133" spans="1:33" ht="20.100000000000001" customHeight="1" x14ac:dyDescent="0.2">
      <c r="D133" s="248" t="str">
        <f t="shared" si="0"/>
        <v>R-411A</v>
      </c>
      <c r="E133" s="248" t="str" cm="1">
        <f t="array" ref="E133">IFERROR(INDEX(TRANSPOSE(Common_InputFunctions.Utility_SplitStringIntoArray($E74, "/")), 1), "")</f>
        <v>HC-1270</v>
      </c>
      <c r="F133" s="248" t="str" cm="1">
        <f t="array" ref="F133">IFERROR(INDEX(TRANSPOSE(Common_InputFunctions.Utility_SplitStringIntoArray($E74, "/")), 2), "")</f>
        <v>HCFC-22</v>
      </c>
      <c r="G133" s="248" t="str" cm="1">
        <f t="array" ref="G133">IFERROR(INDEX(TRANSPOSE(Common_InputFunctions.Utility_SplitStringIntoArray($E74, "/")), 3), "")</f>
        <v>HFC-152a</v>
      </c>
      <c r="H133" s="248" t="str" cm="1">
        <f t="array" ref="H133">IFERROR(INDEX(TRANSPOSE(Common_InputFunctions.Utility_SplitStringIntoArray($E74, "/")), 4), "")</f>
        <v/>
      </c>
      <c r="I133" s="248" cm="1">
        <f t="array" ref="I133">IFERROR(INDEX(TRANSPOSE(Common_InputFunctions.Utility_SplitStringIntoArray($F74, "/", "(", ")")), 1)*0.01, 0)</f>
        <v>1.4999999999999999E-2</v>
      </c>
      <c r="J133" s="248" cm="1">
        <f t="array" ref="J133">IFERROR(INDEX(TRANSPOSE(Common_InputFunctions.Utility_SplitStringIntoArray($F74, "/", "(", ")")), 2)*0.01, 0)</f>
        <v>0.875</v>
      </c>
      <c r="K133" s="248" cm="1">
        <f t="array" ref="K133">IFERROR(INDEX(TRANSPOSE(Common_InputFunctions.Utility_SplitStringIntoArray($F74, "/", "(", ")")), 3)*0.01, 0)</f>
        <v>0.11</v>
      </c>
      <c r="L133" s="248" cm="1">
        <f t="array" ref="L133">IFERROR(INDEX(TRANSPOSE(Common_InputFunctions.Utility_SplitStringIntoArray($F74, "/", "(", ")")), 4)*0.01, 0)</f>
        <v>0</v>
      </c>
      <c r="M133" s="248" cm="1">
        <f t="array" ref="M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3" s="248" cm="1">
        <f t="array" ref="N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O133" s="248" cm="1">
        <f t="array" ref="O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P133" s="248" cm="1">
        <f t="array" ref="P13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3" s="248" cm="1">
        <f t="array" ref="Q13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1349.1697999999999</v>
      </c>
      <c r="AG133" s="1"/>
    </row>
    <row r="134" spans="1:33" ht="20.100000000000001" customHeight="1" x14ac:dyDescent="0.2">
      <c r="D134" s="248" t="str">
        <f t="shared" si="0"/>
        <v>R-411B</v>
      </c>
      <c r="E134" s="248" t="str" cm="1">
        <f t="array" ref="E134">IFERROR(INDEX(TRANSPOSE(Common_InputFunctions.Utility_SplitStringIntoArray($E75, "/")), 1), "")</f>
        <v>HC-1270</v>
      </c>
      <c r="F134" s="248" t="str" cm="1">
        <f t="array" ref="F134">IFERROR(INDEX(TRANSPOSE(Common_InputFunctions.Utility_SplitStringIntoArray($E75, "/")), 2), "")</f>
        <v>HCFC-22</v>
      </c>
      <c r="G134" s="248" t="str" cm="1">
        <f t="array" ref="G134">IFERROR(INDEX(TRANSPOSE(Common_InputFunctions.Utility_SplitStringIntoArray($E75, "/")), 3), "")</f>
        <v>HFC-152a</v>
      </c>
      <c r="H134" s="248" t="str" cm="1">
        <f t="array" ref="H134">IFERROR(INDEX(TRANSPOSE(Common_InputFunctions.Utility_SplitStringIntoArray($E75, "/")), 4), "")</f>
        <v/>
      </c>
      <c r="I134" s="248" cm="1">
        <f t="array" ref="I134">IFERROR(INDEX(TRANSPOSE(Common_InputFunctions.Utility_SplitStringIntoArray($F75, "/", "(", ")")), 1)*0.01, 0)</f>
        <v>0.03</v>
      </c>
      <c r="J134" s="248" cm="1">
        <f t="array" ref="J134">IFERROR(INDEX(TRANSPOSE(Common_InputFunctions.Utility_SplitStringIntoArray($F75, "/", "(", ")")), 2)*0.01, 0)</f>
        <v>0.94000000000000006</v>
      </c>
      <c r="K134" s="248" cm="1">
        <f t="array" ref="K134">IFERROR(INDEX(TRANSPOSE(Common_InputFunctions.Utility_SplitStringIntoArray($F75, "/", "(", ")")), 3)*0.01, 0)</f>
        <v>0.03</v>
      </c>
      <c r="L134" s="248" cm="1">
        <f t="array" ref="L134">IFERROR(INDEX(TRANSPOSE(Common_InputFunctions.Utility_SplitStringIntoArray($F75, "/", "(", ")")), 4)*0.01, 0)</f>
        <v>0</v>
      </c>
      <c r="M134" s="248" cm="1">
        <f t="array" ref="M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4" s="248" cm="1">
        <f t="array" ref="N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O134" s="248" cm="1">
        <f t="array" ref="O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P134" s="248" cm="1">
        <f t="array" ref="P13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4" s="248" cm="1">
        <f t="array" ref="Q13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1555.2602000000002</v>
      </c>
      <c r="AG134" s="1"/>
    </row>
    <row r="135" spans="1:33" ht="20.100000000000001" customHeight="1" x14ac:dyDescent="0.2">
      <c r="D135" s="248" t="str">
        <f t="shared" si="0"/>
        <v>R-411C</v>
      </c>
      <c r="E135" s="248" t="str" cm="1">
        <f t="array" ref="E135">IFERROR(INDEX(TRANSPOSE(Common_InputFunctions.Utility_SplitStringIntoArray($E76, "/")), 1), "")</f>
        <v>HC-1270</v>
      </c>
      <c r="F135" s="248" t="str" cm="1">
        <f t="array" ref="F135">IFERROR(INDEX(TRANSPOSE(Common_InputFunctions.Utility_SplitStringIntoArray($E76, "/")), 2), "")</f>
        <v>HCFC-22</v>
      </c>
      <c r="G135" s="248" t="str" cm="1">
        <f t="array" ref="G135">IFERROR(INDEX(TRANSPOSE(Common_InputFunctions.Utility_SplitStringIntoArray($E76, "/")), 3), "")</f>
        <v>HFC-152a</v>
      </c>
      <c r="H135" s="248" t="str" cm="1">
        <f t="array" ref="H135">IFERROR(INDEX(TRANSPOSE(Common_InputFunctions.Utility_SplitStringIntoArray($E76, "/")), 4), "")</f>
        <v/>
      </c>
      <c r="I135" s="248" cm="1">
        <f t="array" ref="I135">IFERROR(INDEX(TRANSPOSE(Common_InputFunctions.Utility_SplitStringIntoArray($F76, "/", "(", ")")), 1)*0.01, 0)</f>
        <v>0.03</v>
      </c>
      <c r="J135" s="248" cm="1">
        <f t="array" ref="J135">IFERROR(INDEX(TRANSPOSE(Common_InputFunctions.Utility_SplitStringIntoArray($F76, "/", "(", ")")), 2)*0.01, 0)</f>
        <v>0.95500000000000007</v>
      </c>
      <c r="K135" s="248" cm="1">
        <f t="array" ref="K135">IFERROR(INDEX(TRANSPOSE(Common_InputFunctions.Utility_SplitStringIntoArray($F76, "/", "(", ")")), 3)*0.01, 0)</f>
        <v>1.4999999999999999E-2</v>
      </c>
      <c r="L135" s="248" cm="1">
        <f t="array" ref="L135">IFERROR(INDEX(TRANSPOSE(Common_InputFunctions.Utility_SplitStringIntoArray($F76, "/", "(", ")")), 4)*0.01, 0)</f>
        <v>0</v>
      </c>
      <c r="M135" s="248" cm="1">
        <f t="array" ref="M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5" s="248" cm="1">
        <f t="array" ref="N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O135" s="248" cm="1">
        <f t="array" ref="O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P135" s="248" cm="1">
        <f t="array" ref="P13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5" s="248" cm="1">
        <f t="array" ref="Q13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1605.1950500000003</v>
      </c>
      <c r="AG135" s="1"/>
    </row>
    <row r="136" spans="1:33" ht="20.100000000000001" customHeight="1" x14ac:dyDescent="0.2">
      <c r="D136" s="248" t="str">
        <f t="shared" si="0"/>
        <v>R-412A</v>
      </c>
      <c r="E136" s="248" t="str" cm="1">
        <f t="array" ref="E136">IFERROR(INDEX(TRANSPOSE(Common_InputFunctions.Utility_SplitStringIntoArray($E77, "/")), 1), "")</f>
        <v>HCFC-22</v>
      </c>
      <c r="F136" s="248" t="str" cm="1">
        <f t="array" ref="F136">IFERROR(INDEX(TRANSPOSE(Common_InputFunctions.Utility_SplitStringIntoArray($E77, "/")), 2), "")</f>
        <v>PFC-218</v>
      </c>
      <c r="G136" s="248" t="str" cm="1">
        <f t="array" ref="G136">IFERROR(INDEX(TRANSPOSE(Common_InputFunctions.Utility_SplitStringIntoArray($E77, "/")), 3), "")</f>
        <v>HCFC-142b</v>
      </c>
      <c r="H136" s="248" t="str" cm="1">
        <f t="array" ref="H136">IFERROR(INDEX(TRANSPOSE(Common_InputFunctions.Utility_SplitStringIntoArray($E77, "/")), 4), "")</f>
        <v/>
      </c>
      <c r="I136" s="248" cm="1">
        <f t="array" ref="I136">IFERROR(INDEX(TRANSPOSE(Common_InputFunctions.Utility_SplitStringIntoArray($F77, "/", "(", ")")), 1)*0.01, 0)</f>
        <v>0.70000000000000007</v>
      </c>
      <c r="J136" s="248" cm="1">
        <f t="array" ref="J136">IFERROR(INDEX(TRANSPOSE(Common_InputFunctions.Utility_SplitStringIntoArray($F77, "/", "(", ")")), 2)*0.01, 0)</f>
        <v>0.05</v>
      </c>
      <c r="K136" s="248" cm="1">
        <f t="array" ref="K136">IFERROR(INDEX(TRANSPOSE(Common_InputFunctions.Utility_SplitStringIntoArray($F77, "/", "(", ")")), 3)*0.01, 0)</f>
        <v>0.25</v>
      </c>
      <c r="L136" s="248" cm="1">
        <f t="array" ref="L136">IFERROR(INDEX(TRANSPOSE(Common_InputFunctions.Utility_SplitStringIntoArray($F77, "/", "(", ")")), 4)*0.01, 0)</f>
        <v>0</v>
      </c>
      <c r="M136" s="248" cm="1">
        <f t="array" ref="M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N136" s="248" cm="1">
        <f t="array" ref="N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O136" s="248" cm="1">
        <f t="array" ref="O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P136" s="248" cm="1">
        <f t="array" ref="P13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6" s="248" cm="1">
        <f t="array" ref="Q13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1008.4000000000002</v>
      </c>
      <c r="AG136" s="1"/>
    </row>
    <row r="137" spans="1:33" ht="20.100000000000001" customHeight="1" x14ac:dyDescent="0.2">
      <c r="D137" s="248" t="str">
        <f t="shared" si="0"/>
        <v>R-413A</v>
      </c>
      <c r="E137" s="248" t="str" cm="1">
        <f t="array" ref="E137">IFERROR(INDEX(TRANSPOSE(Common_InputFunctions.Utility_SplitStringIntoArray($E78, "/")), 1), "")</f>
        <v>PFC-218</v>
      </c>
      <c r="F137" s="248" t="str" cm="1">
        <f t="array" ref="F137">IFERROR(INDEX(TRANSPOSE(Common_InputFunctions.Utility_SplitStringIntoArray($E78, "/")), 2), "")</f>
        <v>HFC-134a</v>
      </c>
      <c r="G137" s="248" t="str" cm="1">
        <f t="array" ref="G137">IFERROR(INDEX(TRANSPOSE(Common_InputFunctions.Utility_SplitStringIntoArray($E78, "/")), 3), "")</f>
        <v>HC-600a</v>
      </c>
      <c r="H137" s="248" t="str" cm="1">
        <f t="array" ref="H137">IFERROR(INDEX(TRANSPOSE(Common_InputFunctions.Utility_SplitStringIntoArray($E78, "/")), 4), "")</f>
        <v/>
      </c>
      <c r="I137" s="248" cm="1">
        <f t="array" ref="I137">IFERROR(INDEX(TRANSPOSE(Common_InputFunctions.Utility_SplitStringIntoArray($F78, "/", "(", ")")), 1)*0.01, 0)</f>
        <v>0.09</v>
      </c>
      <c r="J137" s="248" cm="1">
        <f t="array" ref="J137">IFERROR(INDEX(TRANSPOSE(Common_InputFunctions.Utility_SplitStringIntoArray($F78, "/", "(", ")")), 2)*0.01, 0)</f>
        <v>0.88</v>
      </c>
      <c r="K137" s="248" cm="1">
        <f t="array" ref="K137">IFERROR(INDEX(TRANSPOSE(Common_InputFunctions.Utility_SplitStringIntoArray($F78, "/", "(", ")")), 3)*0.01, 0)</f>
        <v>0.03</v>
      </c>
      <c r="L137" s="248" cm="1">
        <f t="array" ref="L137">IFERROR(INDEX(TRANSPOSE(Common_InputFunctions.Utility_SplitStringIntoArray($F78, "/", "(", ")")), 4)*0.01, 0)</f>
        <v>0</v>
      </c>
      <c r="M137" s="248" cm="1">
        <f t="array" ref="M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N137" s="248" cm="1">
        <f t="array" ref="N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O137" s="248" cm="1">
        <f t="array" ref="O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7" s="248" cm="1">
        <f t="array" ref="P13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7" s="248" cm="1">
        <f t="array" ref="Q13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1078.81</v>
      </c>
      <c r="AG137" s="1"/>
    </row>
    <row r="138" spans="1:33" ht="20.100000000000001" customHeight="1" x14ac:dyDescent="0.2">
      <c r="D138" s="248" t="str">
        <f t="shared" si="0"/>
        <v>R-414A</v>
      </c>
      <c r="E138" s="248" t="str" cm="1">
        <f t="array" ref="E138">IFERROR(INDEX(TRANSPOSE(Common_InputFunctions.Utility_SplitStringIntoArray($E79, "/")), 1), "")</f>
        <v>HCFC-22</v>
      </c>
      <c r="F138" s="248" t="str" cm="1">
        <f t="array" ref="F138">IFERROR(INDEX(TRANSPOSE(Common_InputFunctions.Utility_SplitStringIntoArray($E79, "/")), 2), "")</f>
        <v>HCFC-124</v>
      </c>
      <c r="G138" s="248" t="str" cm="1">
        <f t="array" ref="G138">IFERROR(INDEX(TRANSPOSE(Common_InputFunctions.Utility_SplitStringIntoArray($E79, "/")), 3), "")</f>
        <v>HC-600a</v>
      </c>
      <c r="H138" s="248" t="str" cm="1">
        <f t="array" ref="H138">IFERROR(INDEX(TRANSPOSE(Common_InputFunctions.Utility_SplitStringIntoArray($E79, "/")), 4), "")</f>
        <v>HCFC-142b</v>
      </c>
      <c r="I138" s="248" cm="1">
        <f t="array" ref="I138">IFERROR(INDEX(TRANSPOSE(Common_InputFunctions.Utility_SplitStringIntoArray($F79, "/", "(", ")")), 1)*0.01, 0)</f>
        <v>0.51</v>
      </c>
      <c r="J138" s="248" cm="1">
        <f t="array" ref="J138">IFERROR(INDEX(TRANSPOSE(Common_InputFunctions.Utility_SplitStringIntoArray($F79, "/", "(", ")")), 2)*0.01, 0)</f>
        <v>0.28500000000000003</v>
      </c>
      <c r="K138" s="248" cm="1">
        <f t="array" ref="K138">IFERROR(INDEX(TRANSPOSE(Common_InputFunctions.Utility_SplitStringIntoArray($F79, "/", "(", ")")), 3)*0.01, 0)</f>
        <v>0.04</v>
      </c>
      <c r="L138" s="248" cm="1">
        <f t="array" ref="L138">IFERROR(INDEX(TRANSPOSE(Common_InputFunctions.Utility_SplitStringIntoArray($F79, "/", "(", ")")), 4)*0.01, 0)</f>
        <v>0.16500000000000001</v>
      </c>
      <c r="M138" s="248" cm="1">
        <f t="array" ref="M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N138" s="248" cm="1">
        <f t="array" ref="N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O138" s="248" cm="1">
        <f t="array" ref="O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8" s="248" cm="1">
        <f t="array" ref="P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Q138" s="248" cm="1">
        <f t="array" ref="Q13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554.487075</v>
      </c>
      <c r="AG138" s="1"/>
    </row>
    <row r="139" spans="1:33" ht="20.100000000000001" customHeight="1" x14ac:dyDescent="0.2">
      <c r="A139" s="129" t="str">
        <f>HYPERLINK("#A1", "▲ Back to top")</f>
        <v>▲ Back to top</v>
      </c>
      <c r="D139" s="248" t="str">
        <f t="shared" si="0"/>
        <v>R-414B</v>
      </c>
      <c r="E139" s="248" t="str" cm="1">
        <f t="array" ref="E139">IFERROR(INDEX(TRANSPOSE(Common_InputFunctions.Utility_SplitStringIntoArray($E80, "/")), 1), "")</f>
        <v>HCFC-22</v>
      </c>
      <c r="F139" s="248" t="str" cm="1">
        <f t="array" ref="F139">IFERROR(INDEX(TRANSPOSE(Common_InputFunctions.Utility_SplitStringIntoArray($E80, "/")), 2), "")</f>
        <v>HCFC-124</v>
      </c>
      <c r="G139" s="248" t="str" cm="1">
        <f t="array" ref="G139">IFERROR(INDEX(TRANSPOSE(Common_InputFunctions.Utility_SplitStringIntoArray($E80, "/")), 3), "")</f>
        <v>HC-600a</v>
      </c>
      <c r="H139" s="248" t="str" cm="1">
        <f t="array" ref="H139">IFERROR(INDEX(TRANSPOSE(Common_InputFunctions.Utility_SplitStringIntoArray($E80, "/")), 4), "")</f>
        <v>HCFC-142b</v>
      </c>
      <c r="I139" s="248" cm="1">
        <f t="array" ref="I139">IFERROR(INDEX(TRANSPOSE(Common_InputFunctions.Utility_SplitStringIntoArray($F80, "/", "(", ")")), 1)*0.01, 0)</f>
        <v>0.5</v>
      </c>
      <c r="J139" s="248" cm="1">
        <f t="array" ref="J139">IFERROR(INDEX(TRANSPOSE(Common_InputFunctions.Utility_SplitStringIntoArray($F80, "/", "(", ")")), 2)*0.01, 0)</f>
        <v>0.39</v>
      </c>
      <c r="K139" s="248" cm="1">
        <f t="array" ref="K139">IFERROR(INDEX(TRANSPOSE(Common_InputFunctions.Utility_SplitStringIntoArray($F80, "/", "(", ")")), 3)*0.01, 0)</f>
        <v>1.4999999999999999E-2</v>
      </c>
      <c r="L139" s="248" cm="1">
        <f t="array" ref="L139">IFERROR(INDEX(TRANSPOSE(Common_InputFunctions.Utility_SplitStringIntoArray($F80, "/", "(", ")")), 4)*0.01, 0)</f>
        <v>9.5000000000000001E-2</v>
      </c>
      <c r="M139" s="248" cm="1">
        <f t="array" ref="M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N139" s="248" cm="1">
        <f t="array" ref="N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O139" s="248" cm="1">
        <f t="array" ref="O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9" s="248" cm="1">
        <f t="array" ref="P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Q139" s="248" cm="1">
        <f t="array" ref="Q13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538.02620000000002</v>
      </c>
      <c r="AG139" s="1"/>
    </row>
    <row r="140" spans="1:33" ht="20.100000000000001" customHeight="1" x14ac:dyDescent="0.2">
      <c r="D140" s="248" t="str">
        <f t="shared" si="0"/>
        <v>R-415A</v>
      </c>
      <c r="E140" s="248" t="str" cm="1">
        <f t="array" ref="E140">IFERROR(INDEX(TRANSPOSE(Common_InputFunctions.Utility_SplitStringIntoArray($E81, "/")), 1), "")</f>
        <v>HCFC-22</v>
      </c>
      <c r="F140" s="248" t="str" cm="1">
        <f t="array" ref="F140">IFERROR(INDEX(TRANSPOSE(Common_InputFunctions.Utility_SplitStringIntoArray($E81, "/")), 2), "")</f>
        <v>HFC-152a</v>
      </c>
      <c r="G140" s="248" t="str" cm="1">
        <f t="array" ref="G140">IFERROR(INDEX(TRANSPOSE(Common_InputFunctions.Utility_SplitStringIntoArray($E81, "/")), 3), "")</f>
        <v/>
      </c>
      <c r="H140" s="248" t="str" cm="1">
        <f t="array" ref="H140">IFERROR(INDEX(TRANSPOSE(Common_InputFunctions.Utility_SplitStringIntoArray($E81, "/")), 4), "")</f>
        <v/>
      </c>
      <c r="I140" s="248" cm="1">
        <f t="array" ref="I140">IFERROR(INDEX(TRANSPOSE(Common_InputFunctions.Utility_SplitStringIntoArray($F81, "/", "(", ")")), 1)*0.01, 0)</f>
        <v>0.82000000000000006</v>
      </c>
      <c r="J140" s="248" cm="1">
        <f t="array" ref="J140">IFERROR(INDEX(TRANSPOSE(Common_InputFunctions.Utility_SplitStringIntoArray($F81, "/", "(", ")")), 2)*0.01, 0)</f>
        <v>0.18</v>
      </c>
      <c r="K140" s="248" cm="1">
        <f t="array" ref="K140">IFERROR(INDEX(TRANSPOSE(Common_InputFunctions.Utility_SplitStringIntoArray($F81, "/", "(", ")")), 3)*0.01, 0)</f>
        <v>0</v>
      </c>
      <c r="L140" s="248" cm="1">
        <f t="array" ref="L140">IFERROR(INDEX(TRANSPOSE(Common_InputFunctions.Utility_SplitStringIntoArray($F81, "/", "(", ")")), 4)*0.01, 0)</f>
        <v>0</v>
      </c>
      <c r="M140" s="248" cm="1">
        <f t="array" ref="M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N140" s="248" cm="1">
        <f t="array" ref="N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O140" s="248" cm="1">
        <f t="array" ref="O14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0" s="248" cm="1">
        <f t="array" ref="P14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0" s="248" cm="1">
        <f t="array" ref="Q14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1187.8952000000002</v>
      </c>
    </row>
    <row r="141" spans="1:33" ht="20.100000000000001" customHeight="1" x14ac:dyDescent="0.2">
      <c r="D141" s="248" t="str">
        <f t="shared" si="0"/>
        <v>R-415B</v>
      </c>
      <c r="E141" s="248" t="str" cm="1">
        <f t="array" ref="E141">IFERROR(INDEX(TRANSPOSE(Common_InputFunctions.Utility_SplitStringIntoArray($E82, "/")), 1), "")</f>
        <v>HCFC-22</v>
      </c>
      <c r="F141" s="248" t="str" cm="1">
        <f t="array" ref="F141">IFERROR(INDEX(TRANSPOSE(Common_InputFunctions.Utility_SplitStringIntoArray($E82, "/")), 2), "")</f>
        <v>HFC-152a</v>
      </c>
      <c r="G141" s="248" t="str" cm="1">
        <f t="array" ref="G141">IFERROR(INDEX(TRANSPOSE(Common_InputFunctions.Utility_SplitStringIntoArray($E82, "/")), 3), "")</f>
        <v/>
      </c>
      <c r="H141" s="248" t="str" cm="1">
        <f t="array" ref="H141">IFERROR(INDEX(TRANSPOSE(Common_InputFunctions.Utility_SplitStringIntoArray($E82, "/")), 4), "")</f>
        <v/>
      </c>
      <c r="I141" s="248" cm="1">
        <f t="array" ref="I141">IFERROR(INDEX(TRANSPOSE(Common_InputFunctions.Utility_SplitStringIntoArray($F82, "/", "(", ")")), 1)*0.01, 0)</f>
        <v>0.25</v>
      </c>
      <c r="J141" s="248" cm="1">
        <f t="array" ref="J141">IFERROR(INDEX(TRANSPOSE(Common_InputFunctions.Utility_SplitStringIntoArray($F82, "/", "(", ")")), 2)*0.01, 0)</f>
        <v>0.75</v>
      </c>
      <c r="K141" s="248" cm="1">
        <f t="array" ref="K141">IFERROR(INDEX(TRANSPOSE(Common_InputFunctions.Utility_SplitStringIntoArray($F82, "/", "(", ")")), 3)*0.01, 0)</f>
        <v>0</v>
      </c>
      <c r="L141" s="248" cm="1">
        <f t="array" ref="L141">IFERROR(INDEX(TRANSPOSE(Common_InputFunctions.Utility_SplitStringIntoArray($F82, "/", "(", ")")), 4)*0.01, 0)</f>
        <v>0</v>
      </c>
      <c r="M141" s="248" cm="1">
        <f t="array" ref="M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N141" s="248" cm="1">
        <f t="array" ref="N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O141" s="248" cm="1">
        <f t="array" ref="O14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1" s="248" cm="1">
        <f t="array" ref="P14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1" s="248" cm="1">
        <f t="array" ref="Q14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187.625</v>
      </c>
    </row>
    <row r="142" spans="1:33" ht="20.100000000000001" customHeight="1" x14ac:dyDescent="0.2">
      <c r="D142" s="248" t="str">
        <f t="shared" si="0"/>
        <v>R-416A</v>
      </c>
      <c r="E142" s="248" t="str" cm="1">
        <f t="array" ref="E142">IFERROR(INDEX(TRANSPOSE(Common_InputFunctions.Utility_SplitStringIntoArray($E83, "/")), 1), "")</f>
        <v>HFC-134a</v>
      </c>
      <c r="F142" s="248" t="str" cm="1">
        <f t="array" ref="F142">IFERROR(INDEX(TRANSPOSE(Common_InputFunctions.Utility_SplitStringIntoArray($E83, "/")), 2), "")</f>
        <v>HCFC-124</v>
      </c>
      <c r="G142" s="248" t="str" cm="1">
        <f t="array" ref="G142">IFERROR(INDEX(TRANSPOSE(Common_InputFunctions.Utility_SplitStringIntoArray($E83, "/")), 3), "")</f>
        <v>HC-600</v>
      </c>
      <c r="H142" s="248" t="str" cm="1">
        <f t="array" ref="H142">IFERROR(INDEX(TRANSPOSE(Common_InputFunctions.Utility_SplitStringIntoArray($E83, "/")), 4), "")</f>
        <v/>
      </c>
      <c r="I142" s="248" cm="1">
        <f t="array" ref="I142">IFERROR(INDEX(TRANSPOSE(Common_InputFunctions.Utility_SplitStringIntoArray($F83, "/", "(", ")")), 1)*0.01, 0)</f>
        <v>0.59</v>
      </c>
      <c r="J142" s="248" cm="1">
        <f t="array" ref="J142">IFERROR(INDEX(TRANSPOSE(Common_InputFunctions.Utility_SplitStringIntoArray($F83, "/", "(", ")")), 2)*0.01, 0)</f>
        <v>0.39500000000000002</v>
      </c>
      <c r="K142" s="248" cm="1">
        <f t="array" ref="K142">IFERROR(INDEX(TRANSPOSE(Common_InputFunctions.Utility_SplitStringIntoArray($F83, "/", "(", ")")), 3)*0.01, 0)</f>
        <v>1.4999999999999999E-2</v>
      </c>
      <c r="L142" s="248" cm="1">
        <f t="array" ref="L142">IFERROR(INDEX(TRANSPOSE(Common_InputFunctions.Utility_SplitStringIntoArray($F83, "/", "(", ")")), 4)*0.01, 0)</f>
        <v>0</v>
      </c>
      <c r="M142" s="248" cm="1">
        <f t="array" ref="M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N142" s="248" cm="1">
        <f t="array" ref="N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O142" s="248" cm="1">
        <f t="array" ref="O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2" s="248" cm="1">
        <f t="array" ref="P14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2" s="248" cm="1">
        <f t="array" ref="Q14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534.75517500000001</v>
      </c>
    </row>
    <row r="143" spans="1:33" ht="20.100000000000001" customHeight="1" x14ac:dyDescent="0.2">
      <c r="D143" s="248" t="str">
        <f t="shared" si="0"/>
        <v>R-417A</v>
      </c>
      <c r="E143" s="248" t="str" cm="1">
        <f t="array" ref="E143">IFERROR(INDEX(TRANSPOSE(Common_InputFunctions.Utility_SplitStringIntoArray($E84, "/")), 1), "")</f>
        <v>HFC-125</v>
      </c>
      <c r="F143" s="248" t="str" cm="1">
        <f t="array" ref="F143">IFERROR(INDEX(TRANSPOSE(Common_InputFunctions.Utility_SplitStringIntoArray($E84, "/")), 2), "")</f>
        <v>HFC-134a</v>
      </c>
      <c r="G143" s="248" t="str" cm="1">
        <f t="array" ref="G143">IFERROR(INDEX(TRANSPOSE(Common_InputFunctions.Utility_SplitStringIntoArray($E84, "/")), 3), "")</f>
        <v>HC-600</v>
      </c>
      <c r="H143" s="248" t="str" cm="1">
        <f t="array" ref="H143">IFERROR(INDEX(TRANSPOSE(Common_InputFunctions.Utility_SplitStringIntoArray($E84, "/")), 4), "")</f>
        <v/>
      </c>
      <c r="I143" s="248" cm="1">
        <f t="array" ref="I143">IFERROR(INDEX(TRANSPOSE(Common_InputFunctions.Utility_SplitStringIntoArray($F84, "/", "(", ")")), 1)*0.01, 0)</f>
        <v>0.46600000000000003</v>
      </c>
      <c r="J143" s="248" cm="1">
        <f t="array" ref="J143">IFERROR(INDEX(TRANSPOSE(Common_InputFunctions.Utility_SplitStringIntoArray($F84, "/", "(", ")")), 2)*0.01, 0)</f>
        <v>0.5</v>
      </c>
      <c r="K143" s="248" cm="1">
        <f t="array" ref="K143">IFERROR(INDEX(TRANSPOSE(Common_InputFunctions.Utility_SplitStringIntoArray($F84, "/", "(", ")")), 3)*0.01, 0)</f>
        <v>3.4000000000000002E-2</v>
      </c>
      <c r="L143" s="248" cm="1">
        <f t="array" ref="L143">IFERROR(INDEX(TRANSPOSE(Common_InputFunctions.Utility_SplitStringIntoArray($F84, "/", "(", ")")), 4)*0.01, 0)</f>
        <v>0</v>
      </c>
      <c r="M143" s="248" cm="1">
        <f t="array" ref="M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N143" s="248" cm="1">
        <f t="array" ref="N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O143" s="248" cm="1">
        <f t="array" ref="O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3" s="248" cm="1">
        <f t="array" ref="P14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3" s="248" cm="1">
        <f t="array" ref="Q14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1013.3845200000001</v>
      </c>
    </row>
    <row r="144" spans="1:33" ht="20.100000000000001" customHeight="1" x14ac:dyDescent="0.2">
      <c r="D144" s="248" t="str">
        <f t="shared" si="0"/>
        <v>R-418A</v>
      </c>
      <c r="E144" s="248" t="str" cm="1">
        <f t="array" ref="E144">IFERROR(INDEX(TRANSPOSE(Common_InputFunctions.Utility_SplitStringIntoArray($E85, "/")), 1), "")</f>
        <v>HC-290</v>
      </c>
      <c r="F144" s="248" t="str" cm="1">
        <f t="array" ref="F144">IFERROR(INDEX(TRANSPOSE(Common_InputFunctions.Utility_SplitStringIntoArray($E85, "/")), 2), "")</f>
        <v>HCFC-22</v>
      </c>
      <c r="G144" s="248" t="str" cm="1">
        <f t="array" ref="G144">IFERROR(INDEX(TRANSPOSE(Common_InputFunctions.Utility_SplitStringIntoArray($E85, "/")), 3), "")</f>
        <v>HFC-152a</v>
      </c>
      <c r="H144" s="248" t="str" cm="1">
        <f t="array" ref="H144">IFERROR(INDEX(TRANSPOSE(Common_InputFunctions.Utility_SplitStringIntoArray($E85, "/")), 4), "")</f>
        <v/>
      </c>
      <c r="I144" s="248" cm="1">
        <f t="array" ref="I144">IFERROR(INDEX(TRANSPOSE(Common_InputFunctions.Utility_SplitStringIntoArray($F85, "/", "(", ")")), 1)*0.01, 0)</f>
        <v>1.4999999999999999E-2</v>
      </c>
      <c r="J144" s="248" cm="1">
        <f t="array" ref="J144">IFERROR(INDEX(TRANSPOSE(Common_InputFunctions.Utility_SplitStringIntoArray($F85, "/", "(", ")")), 2)*0.01, 0)</f>
        <v>0.96</v>
      </c>
      <c r="K144" s="248" cm="1">
        <f t="array" ref="K144">IFERROR(INDEX(TRANSPOSE(Common_InputFunctions.Utility_SplitStringIntoArray($F85, "/", "(", ")")), 3)*0.01, 0)</f>
        <v>2.5000000000000001E-2</v>
      </c>
      <c r="L144" s="248" cm="1">
        <f t="array" ref="L144">IFERROR(INDEX(TRANSPOSE(Common_InputFunctions.Utility_SplitStringIntoArray($F85, "/", "(", ")")), 4)*0.01, 0)</f>
        <v>0</v>
      </c>
      <c r="M144" s="248" cm="1">
        <f t="array" ref="M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44" s="248" cm="1">
        <f t="array" ref="N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O144" s="248" cm="1">
        <f t="array" ref="O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P144" s="248" cm="1">
        <f t="array" ref="P14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4" s="248" cm="1">
        <f t="array" ref="Q14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1622.1022499999999</v>
      </c>
    </row>
    <row r="145" spans="4:17" ht="20.100000000000001" customHeight="1" x14ac:dyDescent="0.2">
      <c r="D145" s="248" t="str">
        <f t="shared" si="0"/>
        <v>R-419A</v>
      </c>
      <c r="E145" s="248" t="str" cm="1">
        <f t="array" ref="E145">IFERROR(INDEX(TRANSPOSE(Common_InputFunctions.Utility_SplitStringIntoArray($E86, "/")), 1), "")</f>
        <v>HFC-125</v>
      </c>
      <c r="F145" s="248" t="str" cm="1">
        <f t="array" ref="F145">IFERROR(INDEX(TRANSPOSE(Common_InputFunctions.Utility_SplitStringIntoArray($E86, "/")), 2), "")</f>
        <v>HFC-134a</v>
      </c>
      <c r="G145" s="248" t="str" cm="1">
        <f t="array" ref="G145">IFERROR(INDEX(TRANSPOSE(Common_InputFunctions.Utility_SplitStringIntoArray($E86, "/")), 3), "")</f>
        <v>HE-E170</v>
      </c>
      <c r="H145" s="248" t="str" cm="1">
        <f t="array" ref="H145">IFERROR(INDEX(TRANSPOSE(Common_InputFunctions.Utility_SplitStringIntoArray($E86, "/")), 4), "")</f>
        <v/>
      </c>
      <c r="I145" s="248" cm="1">
        <f t="array" ref="I145">IFERROR(INDEX(TRANSPOSE(Common_InputFunctions.Utility_SplitStringIntoArray($F86, "/", "(", ")")), 1)*0.01, 0)</f>
        <v>0.77</v>
      </c>
      <c r="J145" s="248" cm="1">
        <f t="array" ref="J145">IFERROR(INDEX(TRANSPOSE(Common_InputFunctions.Utility_SplitStringIntoArray($F86, "/", "(", ")")), 2)*0.01, 0)</f>
        <v>0.19</v>
      </c>
      <c r="K145" s="248" cm="1">
        <f t="array" ref="K145">IFERROR(INDEX(TRANSPOSE(Common_InputFunctions.Utility_SplitStringIntoArray($F86, "/", "(", ")")), 3)*0.01, 0)</f>
        <v>0.04</v>
      </c>
      <c r="L145" s="248" cm="1">
        <f t="array" ref="L145">IFERROR(INDEX(TRANSPOSE(Common_InputFunctions.Utility_SplitStringIntoArray($F86, "/", "(", ")")), 4)*0.01, 0)</f>
        <v>0</v>
      </c>
      <c r="M145" s="248" cm="1">
        <f t="array" ref="M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N145" s="248" cm="1">
        <f t="array" ref="N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O145" s="248" cm="1">
        <f t="array" ref="O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5" s="248" cm="1">
        <f t="array" ref="P14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5" s="248" cm="1">
        <f t="array" ref="Q14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1926.4230000000002</v>
      </c>
    </row>
    <row r="146" spans="4:17" ht="20.100000000000001" customHeight="1" x14ac:dyDescent="0.2">
      <c r="D146" s="248" t="str">
        <f t="shared" si="0"/>
        <v>R-420A</v>
      </c>
      <c r="E146" s="248" t="str" cm="1">
        <f t="array" ref="E146">IFERROR(INDEX(TRANSPOSE(Common_InputFunctions.Utility_SplitStringIntoArray($E87, "/")), 1), "")</f>
        <v>HFC-134a</v>
      </c>
      <c r="F146" s="248" t="str" cm="1">
        <f t="array" ref="F146">IFERROR(INDEX(TRANSPOSE(Common_InputFunctions.Utility_SplitStringIntoArray($E87, "/")), 2), "")</f>
        <v>HCFC-142b</v>
      </c>
      <c r="G146" s="248" t="str" cm="1">
        <f t="array" ref="G146">IFERROR(INDEX(TRANSPOSE(Common_InputFunctions.Utility_SplitStringIntoArray($E87, "/")), 3), "")</f>
        <v/>
      </c>
      <c r="H146" s="248" t="str" cm="1">
        <f t="array" ref="H146">IFERROR(INDEX(TRANSPOSE(Common_InputFunctions.Utility_SplitStringIntoArray($E87, "/")), 4), "")</f>
        <v/>
      </c>
      <c r="I146" s="248" cm="1">
        <f t="array" ref="I146">IFERROR(INDEX(TRANSPOSE(Common_InputFunctions.Utility_SplitStringIntoArray($F87, "/", "(", ")")), 1)*0.01, 0)</f>
        <v>0.88</v>
      </c>
      <c r="J146" s="248" cm="1">
        <f t="array" ref="J146">IFERROR(INDEX(TRANSPOSE(Common_InputFunctions.Utility_SplitStringIntoArray($F87, "/", "(", ")")), 2)*0.01, 0)</f>
        <v>0.12</v>
      </c>
      <c r="K146" s="248" cm="1">
        <f t="array" ref="K146">IFERROR(INDEX(TRANSPOSE(Common_InputFunctions.Utility_SplitStringIntoArray($F87, "/", "(", ")")), 3)*0.01, 0)</f>
        <v>0</v>
      </c>
      <c r="L146" s="248" cm="1">
        <f t="array" ref="L146">IFERROR(INDEX(TRANSPOSE(Common_InputFunctions.Utility_SplitStringIntoArray($F87, "/", "(", ")")), 4)*0.01, 0)</f>
        <v>0</v>
      </c>
      <c r="M146" s="248" cm="1">
        <f t="array" ref="M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46" s="248" cm="1">
        <f t="array" ref="N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O146" s="248" cm="1">
        <f t="array" ref="O14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6" s="248" cm="1">
        <f t="array" ref="P14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6" s="248" cm="1">
        <f t="array" ref="Q14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1035.232</v>
      </c>
    </row>
    <row r="147" spans="4:17" ht="20.100000000000001" customHeight="1" x14ac:dyDescent="0.2">
      <c r="D147" s="248" t="str">
        <f t="shared" si="0"/>
        <v>R-421A</v>
      </c>
      <c r="E147" s="248" t="str" cm="1">
        <f t="array" ref="E147">IFERROR(INDEX(TRANSPOSE(Common_InputFunctions.Utility_SplitStringIntoArray($E88, "/")), 1), "")</f>
        <v>HFC-125</v>
      </c>
      <c r="F147" s="248" t="str" cm="1">
        <f t="array" ref="F147">IFERROR(INDEX(TRANSPOSE(Common_InputFunctions.Utility_SplitStringIntoArray($E88, "/")), 2), "")</f>
        <v>HFC-134a</v>
      </c>
      <c r="G147" s="248" t="str" cm="1">
        <f t="array" ref="G147">IFERROR(INDEX(TRANSPOSE(Common_InputFunctions.Utility_SplitStringIntoArray($E88, "/")), 3), "")</f>
        <v/>
      </c>
      <c r="H147" s="248" t="str" cm="1">
        <f t="array" ref="H147">IFERROR(INDEX(TRANSPOSE(Common_InputFunctions.Utility_SplitStringIntoArray($E88, "/")), 4), "")</f>
        <v/>
      </c>
      <c r="I147" s="248" cm="1">
        <f t="array" ref="I147">IFERROR(INDEX(TRANSPOSE(Common_InputFunctions.Utility_SplitStringIntoArray($F88, "/", "(", ")")), 1)*0.01, 0)</f>
        <v>0.57999999999999996</v>
      </c>
      <c r="J147" s="248" cm="1">
        <f t="array" ref="J147">IFERROR(INDEX(TRANSPOSE(Common_InputFunctions.Utility_SplitStringIntoArray($F88, "/", "(", ")")), 2)*0.01, 0)</f>
        <v>0.42</v>
      </c>
      <c r="K147" s="248" cm="1">
        <f t="array" ref="K147">IFERROR(INDEX(TRANSPOSE(Common_InputFunctions.Utility_SplitStringIntoArray($F88, "/", "(", ")")), 3)*0.01, 0)</f>
        <v>0</v>
      </c>
      <c r="L147" s="248" cm="1">
        <f t="array" ref="L147">IFERROR(INDEX(TRANSPOSE(Common_InputFunctions.Utility_SplitStringIntoArray($F88, "/", "(", ")")), 4)*0.01, 0)</f>
        <v>0</v>
      </c>
      <c r="M147" s="248" cm="1">
        <f t="array" ref="M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N147" s="248" cm="1">
        <f t="array" ref="N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7" s="248" cm="1">
        <f t="array" ref="O14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7" s="248" cm="1">
        <f t="array" ref="P14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7" s="248" cm="1">
        <f t="array" ref="Q14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1295.7079999999999</v>
      </c>
    </row>
    <row r="148" spans="4:17" ht="20.100000000000001" customHeight="1" x14ac:dyDescent="0.2">
      <c r="D148" s="248" t="str">
        <f t="shared" si="0"/>
        <v>R-422A</v>
      </c>
      <c r="E148" s="248" t="str" cm="1">
        <f t="array" ref="E148">IFERROR(INDEX(TRANSPOSE(Common_InputFunctions.Utility_SplitStringIntoArray($E89, "/")), 1), "")</f>
        <v>HFC-125</v>
      </c>
      <c r="F148" s="248" t="str" cm="1">
        <f t="array" ref="F148">IFERROR(INDEX(TRANSPOSE(Common_InputFunctions.Utility_SplitStringIntoArray($E89, "/")), 2), "")</f>
        <v>HFC-134a</v>
      </c>
      <c r="G148" s="248" t="str" cm="1">
        <f t="array" ref="G148">IFERROR(INDEX(TRANSPOSE(Common_InputFunctions.Utility_SplitStringIntoArray($E89, "/")), 3), "")</f>
        <v>HC-600a</v>
      </c>
      <c r="H148" s="248" t="str" cm="1">
        <f t="array" ref="H148">IFERROR(INDEX(TRANSPOSE(Common_InputFunctions.Utility_SplitStringIntoArray($E89, "/")), 4), "")</f>
        <v/>
      </c>
      <c r="I148" s="248" cm="1">
        <f t="array" ref="I148">IFERROR(INDEX(TRANSPOSE(Common_InputFunctions.Utility_SplitStringIntoArray($F89, "/", "(", ")")), 1)*0.01, 0)</f>
        <v>0.85099999999999998</v>
      </c>
      <c r="J148" s="248" cm="1">
        <f t="array" ref="J148">IFERROR(INDEX(TRANSPOSE(Common_InputFunctions.Utility_SplitStringIntoArray($F89, "/", "(", ")")), 2)*0.01, 0)</f>
        <v>0.115</v>
      </c>
      <c r="K148" s="248" cm="1">
        <f t="array" ref="K148">IFERROR(INDEX(TRANSPOSE(Common_InputFunctions.Utility_SplitStringIntoArray($F89, "/", "(", ")")), 3)*0.01, 0)</f>
        <v>3.4000000000000002E-2</v>
      </c>
      <c r="L148" s="248" cm="1">
        <f t="array" ref="L148">IFERROR(INDEX(TRANSPOSE(Common_InputFunctions.Utility_SplitStringIntoArray($F89, "/", "(", ")")), 4)*0.01, 0)</f>
        <v>0</v>
      </c>
      <c r="M148" s="248" cm="1">
        <f t="array" ref="M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N148" s="248" cm="1">
        <f t="array" ref="N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O148" s="248" cm="1">
        <f t="array" ref="O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8" s="248" cm="1">
        <f t="array" ref="P14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8" s="248" cm="1">
        <f t="array" ref="Q14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2312.90967</v>
      </c>
    </row>
    <row r="149" spans="4:17" ht="20.100000000000001" customHeight="1" x14ac:dyDescent="0.2">
      <c r="D149" s="248" t="str">
        <f t="shared" si="0"/>
        <v>R-422B</v>
      </c>
      <c r="E149" s="248" t="str" cm="1">
        <f t="array" ref="E149">IFERROR(INDEX(TRANSPOSE(Common_InputFunctions.Utility_SplitStringIntoArray($E90, "/")), 1), "")</f>
        <v>HFC-125</v>
      </c>
      <c r="F149" s="248" t="str" cm="1">
        <f t="array" ref="F149">IFERROR(INDEX(TRANSPOSE(Common_InputFunctions.Utility_SplitStringIntoArray($E90, "/")), 2), "")</f>
        <v>HFC-134a</v>
      </c>
      <c r="G149" s="248" t="str" cm="1">
        <f t="array" ref="G149">IFERROR(INDEX(TRANSPOSE(Common_InputFunctions.Utility_SplitStringIntoArray($E90, "/")), 3), "")</f>
        <v>HC-600a</v>
      </c>
      <c r="H149" s="248" t="str" cm="1">
        <f t="array" ref="H149">IFERROR(INDEX(TRANSPOSE(Common_InputFunctions.Utility_SplitStringIntoArray($E90, "/")), 4), "")</f>
        <v/>
      </c>
      <c r="I149" s="248" cm="1">
        <f t="array" ref="I149">IFERROR(INDEX(TRANSPOSE(Common_InputFunctions.Utility_SplitStringIntoArray($F90, "/", "(", ")")), 1)*0.01, 0)</f>
        <v>0.55000000000000004</v>
      </c>
      <c r="J149" s="248" cm="1">
        <f t="array" ref="J149">IFERROR(INDEX(TRANSPOSE(Common_InputFunctions.Utility_SplitStringIntoArray($F90, "/", "(", ")")), 2)*0.01, 0)</f>
        <v>0.42</v>
      </c>
      <c r="K149" s="248" cm="1">
        <f t="array" ref="K149">IFERROR(INDEX(TRANSPOSE(Common_InputFunctions.Utility_SplitStringIntoArray($F90, "/", "(", ")")), 3)*0.01, 0)</f>
        <v>0.03</v>
      </c>
      <c r="L149" s="248" cm="1">
        <f t="array" ref="L149">IFERROR(INDEX(TRANSPOSE(Common_InputFunctions.Utility_SplitStringIntoArray($F90, "/", "(", ")")), 4)*0.01, 0)</f>
        <v>0</v>
      </c>
      <c r="M149" s="248" cm="1">
        <f t="array" ref="M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N149" s="248" cm="1">
        <f t="array" ref="N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9" s="248" cm="1">
        <f t="array" ref="O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9" s="248" cm="1">
        <f t="array" ref="P14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9" s="248" cm="1">
        <f t="array" ref="Q14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1188.2450000000001</v>
      </c>
    </row>
    <row r="150" spans="4:17" ht="20.100000000000001" customHeight="1" x14ac:dyDescent="0.2">
      <c r="D150" s="248" t="str">
        <f t="shared" si="0"/>
        <v>R-422C</v>
      </c>
      <c r="E150" s="248" t="str" cm="1">
        <f t="array" ref="E150">IFERROR(INDEX(TRANSPOSE(Common_InputFunctions.Utility_SplitStringIntoArray($E91, "/")), 1), "")</f>
        <v>HFC-125</v>
      </c>
      <c r="F150" s="248" t="str" cm="1">
        <f t="array" ref="F150">IFERROR(INDEX(TRANSPOSE(Common_InputFunctions.Utility_SplitStringIntoArray($E91, "/")), 2), "")</f>
        <v>HFC-134a</v>
      </c>
      <c r="G150" s="248" t="str" cm="1">
        <f t="array" ref="G150">IFERROR(INDEX(TRANSPOSE(Common_InputFunctions.Utility_SplitStringIntoArray($E91, "/")), 3), "")</f>
        <v>HC-600a</v>
      </c>
      <c r="H150" s="248" t="str" cm="1">
        <f t="array" ref="H150">IFERROR(INDEX(TRANSPOSE(Common_InputFunctions.Utility_SplitStringIntoArray($E91, "/")), 4), "")</f>
        <v/>
      </c>
      <c r="I150" s="248" cm="1">
        <f t="array" ref="I150">IFERROR(INDEX(TRANSPOSE(Common_InputFunctions.Utility_SplitStringIntoArray($F91, "/", "(", ")")), 1)*0.01, 0)</f>
        <v>0.82000000000000006</v>
      </c>
      <c r="J150" s="248" cm="1">
        <f t="array" ref="J150">IFERROR(INDEX(TRANSPOSE(Common_InputFunctions.Utility_SplitStringIntoArray($F91, "/", "(", ")")), 2)*0.01, 0)</f>
        <v>0.15</v>
      </c>
      <c r="K150" s="248" cm="1">
        <f t="array" ref="K150">IFERROR(INDEX(TRANSPOSE(Common_InputFunctions.Utility_SplitStringIntoArray($F91, "/", "(", ")")), 3)*0.01, 0)</f>
        <v>0.03</v>
      </c>
      <c r="L150" s="248" cm="1">
        <f t="array" ref="L150">IFERROR(INDEX(TRANSPOSE(Common_InputFunctions.Utility_SplitStringIntoArray($F91, "/", "(", ")")), 4)*0.01, 0)</f>
        <v>0</v>
      </c>
      <c r="M150" s="248" cm="1">
        <f t="array" ref="M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N150" s="248" cm="1">
        <f t="array" ref="N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O150" s="248" cm="1">
        <f t="array" ref="O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0" s="248" cm="1">
        <f t="array" ref="P15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0" s="248" cm="1">
        <f t="array" ref="Q15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2160.7580000000003</v>
      </c>
    </row>
    <row r="151" spans="4:17" ht="20.100000000000001" customHeight="1" x14ac:dyDescent="0.2">
      <c r="D151" s="248" t="str">
        <f t="shared" si="0"/>
        <v>R-500</v>
      </c>
      <c r="E151" s="248" t="str" cm="1">
        <f t="array" ref="E151">IFERROR(INDEX(TRANSPOSE(Common_InputFunctions.Utility_SplitStringIntoArray($E92, "/")), 1), "")</f>
        <v>CFC-12</v>
      </c>
      <c r="F151" s="248" t="str" cm="1">
        <f t="array" ref="F151">IFERROR(INDEX(TRANSPOSE(Common_InputFunctions.Utility_SplitStringIntoArray($E92, "/")), 2), "")</f>
        <v>HFC-152a</v>
      </c>
      <c r="G151" s="248" t="str" cm="1">
        <f t="array" ref="G151">IFERROR(INDEX(TRANSPOSE(Common_InputFunctions.Utility_SplitStringIntoArray($E92, "/")), 3), "")</f>
        <v/>
      </c>
      <c r="H151" s="248" t="str" cm="1">
        <f t="array" ref="H151">IFERROR(INDEX(TRANSPOSE(Common_InputFunctions.Utility_SplitStringIntoArray($E92, "/")), 4), "")</f>
        <v/>
      </c>
      <c r="I151" s="248" cm="1">
        <f t="array" ref="I151">IFERROR(INDEX(TRANSPOSE(Common_InputFunctions.Utility_SplitStringIntoArray($F92, "/", "(", ")")), 1)*0.01, 0)</f>
        <v>0.73799999999999999</v>
      </c>
      <c r="J151" s="248" cm="1">
        <f t="array" ref="J151">IFERROR(INDEX(TRANSPOSE(Common_InputFunctions.Utility_SplitStringIntoArray($F92, "/", "(", ")")), 2)*0.01, 0)</f>
        <v>0.26200000000000001</v>
      </c>
      <c r="K151" s="248" cm="1">
        <f t="array" ref="K151">IFERROR(INDEX(TRANSPOSE(Common_InputFunctions.Utility_SplitStringIntoArray($F92, "/", "(", ")")), 3)*0.01, 0)</f>
        <v>0</v>
      </c>
      <c r="L151" s="248" cm="1">
        <f t="array" ref="L151">IFERROR(INDEX(TRANSPOSE(Common_InputFunctions.Utility_SplitStringIntoArray($F92, "/", "(", ")")), 4)*0.01, 0)</f>
        <v>0</v>
      </c>
      <c r="M151" s="248" cm="1">
        <f t="array" ref="M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N151" s="248" cm="1">
        <f t="array" ref="N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O151" s="248" cm="1">
        <f t="array" ref="O15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1" s="248" cm="1">
        <f t="array" ref="P15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1" s="248" cm="1">
        <f t="array" ref="Q15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5564.8416719999996</v>
      </c>
    </row>
    <row r="152" spans="4:17" ht="20.100000000000001" customHeight="1" x14ac:dyDescent="0.2">
      <c r="D152" s="248" t="str">
        <f t="shared" si="0"/>
        <v>R-501</v>
      </c>
      <c r="E152" s="248" t="str" cm="1">
        <f t="array" ref="E152">IFERROR(INDEX(TRANSPOSE(Common_InputFunctions.Utility_SplitStringIntoArray($E93, "/")), 1), "")</f>
        <v>HCFC-22</v>
      </c>
      <c r="F152" s="248" t="str" cm="1">
        <f t="array" ref="F152">IFERROR(INDEX(TRANSPOSE(Common_InputFunctions.Utility_SplitStringIntoArray($E93, "/")), 2), "")</f>
        <v>CFC-12</v>
      </c>
      <c r="G152" s="248" t="str" cm="1">
        <f t="array" ref="G152">IFERROR(INDEX(TRANSPOSE(Common_InputFunctions.Utility_SplitStringIntoArray($E93, "/")), 3), "")</f>
        <v/>
      </c>
      <c r="H152" s="248" t="str" cm="1">
        <f t="array" ref="H152">IFERROR(INDEX(TRANSPOSE(Common_InputFunctions.Utility_SplitStringIntoArray($E93, "/")), 4), "")</f>
        <v/>
      </c>
      <c r="I152" s="248" cm="1">
        <f t="array" ref="I152">IFERROR(INDEX(TRANSPOSE(Common_InputFunctions.Utility_SplitStringIntoArray($F93, "/", "(", ")")), 1)*0.01, 0)</f>
        <v>0.75</v>
      </c>
      <c r="J152" s="248" cm="1">
        <f t="array" ref="J152">IFERROR(INDEX(TRANSPOSE(Common_InputFunctions.Utility_SplitStringIntoArray($F93, "/", "(", ")")), 2)*0.01, 0)</f>
        <v>0.25</v>
      </c>
      <c r="K152" s="248" cm="1">
        <f t="array" ref="K152">IFERROR(INDEX(TRANSPOSE(Common_InputFunctions.Utility_SplitStringIntoArray($F93, "/", "(", ")")), 3)*0.01, 0)</f>
        <v>0</v>
      </c>
      <c r="L152" s="248" cm="1">
        <f t="array" ref="L152">IFERROR(INDEX(TRANSPOSE(Common_InputFunctions.Utility_SplitStringIntoArray($F93, "/", "(", ")")), 4)*0.01, 0)</f>
        <v>0</v>
      </c>
      <c r="M152" s="248" cm="1">
        <f t="array" ref="M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N152" s="248" cm="1">
        <f t="array" ref="N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O152" s="248" cm="1">
        <f t="array" ref="O15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2" s="248" cm="1">
        <f t="array" ref="P15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2" s="248" cm="1">
        <f t="array" ref="Q15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1627.5</v>
      </c>
    </row>
    <row r="153" spans="4:17" ht="20.100000000000001" customHeight="1" x14ac:dyDescent="0.2">
      <c r="D153" s="248" t="str">
        <f t="shared" si="0"/>
        <v>R-502</v>
      </c>
      <c r="E153" s="248" t="str" cm="1">
        <f t="array" ref="E153">IFERROR(INDEX(TRANSPOSE(Common_InputFunctions.Utility_SplitStringIntoArray($E94, "/")), 1), "")</f>
        <v>HCFC-22</v>
      </c>
      <c r="F153" s="248" t="str" cm="1">
        <f t="array" ref="F153">IFERROR(INDEX(TRANSPOSE(Common_InputFunctions.Utility_SplitStringIntoArray($E94, "/")), 2), "")</f>
        <v>CFC-115</v>
      </c>
      <c r="G153" s="248" t="str" cm="1">
        <f t="array" ref="G153">IFERROR(INDEX(TRANSPOSE(Common_InputFunctions.Utility_SplitStringIntoArray($E94, "/")), 3), "")</f>
        <v/>
      </c>
      <c r="H153" s="248" t="str" cm="1">
        <f t="array" ref="H153">IFERROR(INDEX(TRANSPOSE(Common_InputFunctions.Utility_SplitStringIntoArray($E94, "/")), 4), "")</f>
        <v/>
      </c>
      <c r="I153" s="248" cm="1">
        <f t="array" ref="I153">IFERROR(INDEX(TRANSPOSE(Common_InputFunctions.Utility_SplitStringIntoArray($F94, "/", "(", ")")), 1)*0.01, 0)</f>
        <v>0.48799999999999999</v>
      </c>
      <c r="J153" s="248" cm="1">
        <f t="array" ref="J153">IFERROR(INDEX(TRANSPOSE(Common_InputFunctions.Utility_SplitStringIntoArray($F94, "/", "(", ")")), 2)*0.01, 0)</f>
        <v>0.51200000000000001</v>
      </c>
      <c r="K153" s="248" cm="1">
        <f t="array" ref="K153">IFERROR(INDEX(TRANSPOSE(Common_InputFunctions.Utility_SplitStringIntoArray($F94, "/", "(", ")")), 3)*0.01, 0)</f>
        <v>0</v>
      </c>
      <c r="L153" s="248" cm="1">
        <f t="array" ref="L153">IFERROR(INDEX(TRANSPOSE(Common_InputFunctions.Utility_SplitStringIntoArray($F94, "/", "(", ")")), 4)*0.01, 0)</f>
        <v>0</v>
      </c>
      <c r="M153" s="248" cm="1">
        <f t="array" ref="M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N153" s="248" cm="1">
        <f t="array" ref="N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O153" s="248" cm="1">
        <f t="array" ref="O15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3" s="248" cm="1">
        <f t="array" ref="P15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3" s="248" cm="1">
        <f t="array" ref="Q15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2429.77792</v>
      </c>
    </row>
    <row r="154" spans="4:17" ht="20.100000000000001" customHeight="1" x14ac:dyDescent="0.2">
      <c r="D154" s="248" t="str">
        <f t="shared" si="0"/>
        <v>R-503</v>
      </c>
      <c r="E154" s="248" t="str" cm="1">
        <f t="array" ref="E154">IFERROR(INDEX(TRANSPOSE(Common_InputFunctions.Utility_SplitStringIntoArray($E95, "/")), 1), "")</f>
        <v>HFC-23</v>
      </c>
      <c r="F154" s="248" t="str" cm="1">
        <f t="array" ref="F154">IFERROR(INDEX(TRANSPOSE(Common_InputFunctions.Utility_SplitStringIntoArray($E95, "/")), 2), "")</f>
        <v>CFC-13</v>
      </c>
      <c r="G154" s="248" t="str" cm="1">
        <f t="array" ref="G154">IFERROR(INDEX(TRANSPOSE(Common_InputFunctions.Utility_SplitStringIntoArray($E95, "/")), 3), "")</f>
        <v/>
      </c>
      <c r="H154" s="248" t="str" cm="1">
        <f t="array" ref="H154">IFERROR(INDEX(TRANSPOSE(Common_InputFunctions.Utility_SplitStringIntoArray($E95, "/")), 4), "")</f>
        <v/>
      </c>
      <c r="I154" s="248" cm="1">
        <f t="array" ref="I154">IFERROR(INDEX(TRANSPOSE(Common_InputFunctions.Utility_SplitStringIntoArray($F95, "/", "(", ")")), 1)*0.01, 0)</f>
        <v>0.40100000000000002</v>
      </c>
      <c r="J154" s="248" cm="1">
        <f t="array" ref="J154">IFERROR(INDEX(TRANSPOSE(Common_InputFunctions.Utility_SplitStringIntoArray($F95, "/", "(", ")")), 2)*0.01, 0)</f>
        <v>0.59899999999999998</v>
      </c>
      <c r="K154" s="248" cm="1">
        <f t="array" ref="K154">IFERROR(INDEX(TRANSPOSE(Common_InputFunctions.Utility_SplitStringIntoArray($F95, "/", "(", ")")), 3)*0.01, 0)</f>
        <v>0</v>
      </c>
      <c r="L154" s="248" cm="1">
        <f t="array" ref="L154">IFERROR(INDEX(TRANSPOSE(Common_InputFunctions.Utility_SplitStringIntoArray($F95, "/", "(", ")")), 4)*0.01, 0)</f>
        <v>0</v>
      </c>
      <c r="M154" s="248" cm="1">
        <f t="array" ref="M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N154" s="248" cm="1">
        <f t="array" ref="N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O154" s="248" cm="1">
        <f t="array" ref="O154">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4" s="248" cm="1">
        <f t="array" ref="P15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4" s="248" cm="1">
        <f t="array" ref="Q15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6981.2663000000002</v>
      </c>
    </row>
    <row r="155" spans="4:17" ht="20.100000000000001" customHeight="1" x14ac:dyDescent="0.2">
      <c r="D155" s="248" t="str">
        <f t="shared" si="0"/>
        <v>R-504</v>
      </c>
      <c r="E155" s="248" t="str" cm="1">
        <f t="array" ref="E155">IFERROR(INDEX(TRANSPOSE(Common_InputFunctions.Utility_SplitStringIntoArray($E96, "/")), 1), "")</f>
        <v>HFC-32</v>
      </c>
      <c r="F155" s="248" t="str" cm="1">
        <f t="array" ref="F155">IFERROR(INDEX(TRANSPOSE(Common_InputFunctions.Utility_SplitStringIntoArray($E96, "/")), 2), "")</f>
        <v>CFC-115</v>
      </c>
      <c r="G155" s="248" t="str" cm="1">
        <f t="array" ref="G155">IFERROR(INDEX(TRANSPOSE(Common_InputFunctions.Utility_SplitStringIntoArray($E96, "/")), 3), "")</f>
        <v/>
      </c>
      <c r="H155" s="248" t="str" cm="1">
        <f t="array" ref="H155">IFERROR(INDEX(TRANSPOSE(Common_InputFunctions.Utility_SplitStringIntoArray($E96, "/")), 4), "")</f>
        <v/>
      </c>
      <c r="I155" s="248" cm="1">
        <f t="array" ref="I155">IFERROR(INDEX(TRANSPOSE(Common_InputFunctions.Utility_SplitStringIntoArray($F96, "/", "(", ")")), 1)*0.01, 0)</f>
        <v>0.48200000000000004</v>
      </c>
      <c r="J155" s="248" cm="1">
        <f t="array" ref="J155">IFERROR(INDEX(TRANSPOSE(Common_InputFunctions.Utility_SplitStringIntoArray($F96, "/", "(", ")")), 2)*0.01, 0)</f>
        <v>0.51800000000000002</v>
      </c>
      <c r="K155" s="248" cm="1">
        <f t="array" ref="K155">IFERROR(INDEX(TRANSPOSE(Common_InputFunctions.Utility_SplitStringIntoArray($F96, "/", "(", ")")), 3)*0.01, 0)</f>
        <v>0</v>
      </c>
      <c r="L155" s="248" cm="1">
        <f t="array" ref="L155">IFERROR(INDEX(TRANSPOSE(Common_InputFunctions.Utility_SplitStringIntoArray($F96, "/", "(", ")")), 4)*0.01, 0)</f>
        <v>0</v>
      </c>
      <c r="M155" s="248" cm="1">
        <f t="array" ref="M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N155" s="248" cm="1">
        <f t="array" ref="N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O155" s="248" cm="1">
        <f t="array" ref="O15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5" s="248" cm="1">
        <f t="array" ref="P15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5" s="248" cm="1">
        <f t="array" ref="Q15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2215.3284279999998</v>
      </c>
    </row>
    <row r="156" spans="4:17" ht="20.100000000000001" customHeight="1" x14ac:dyDescent="0.2">
      <c r="D156" s="248" t="str">
        <f t="shared" si="0"/>
        <v>R-505</v>
      </c>
      <c r="E156" s="248" t="str" cm="1">
        <f t="array" ref="E156">IFERROR(INDEX(TRANSPOSE(Common_InputFunctions.Utility_SplitStringIntoArray($E97, "/")), 1), "")</f>
        <v>CFC-12</v>
      </c>
      <c r="F156" s="248" t="str" cm="1">
        <f t="array" ref="F156">IFERROR(INDEX(TRANSPOSE(Common_InputFunctions.Utility_SplitStringIntoArray($E97, "/")), 2), "")</f>
        <v>HCFC-31</v>
      </c>
      <c r="G156" s="248" t="str" cm="1">
        <f t="array" ref="G156">IFERROR(INDEX(TRANSPOSE(Common_InputFunctions.Utility_SplitStringIntoArray($E97, "/")), 3), "")</f>
        <v/>
      </c>
      <c r="H156" s="248" t="str" cm="1">
        <f t="array" ref="H156">IFERROR(INDEX(TRANSPOSE(Common_InputFunctions.Utility_SplitStringIntoArray($E97, "/")), 4), "")</f>
        <v/>
      </c>
      <c r="I156" s="248" cm="1">
        <f t="array" ref="I156">IFERROR(INDEX(TRANSPOSE(Common_InputFunctions.Utility_SplitStringIntoArray($F97, "/", "(", ")")), 1)*0.01, 0)</f>
        <v>0.78</v>
      </c>
      <c r="J156" s="248" cm="1">
        <f t="array" ref="J156">IFERROR(INDEX(TRANSPOSE(Common_InputFunctions.Utility_SplitStringIntoArray($F97, "/", "(", ")")), 2)*0.01, 0)</f>
        <v>0.22</v>
      </c>
      <c r="K156" s="248" cm="1">
        <f t="array" ref="K156">IFERROR(INDEX(TRANSPOSE(Common_InputFunctions.Utility_SplitStringIntoArray($F97, "/", "(", ")")), 3)*0.01, 0)</f>
        <v>0</v>
      </c>
      <c r="L156" s="248" cm="1">
        <f t="array" ref="L156">IFERROR(INDEX(TRANSPOSE(Common_InputFunctions.Utility_SplitStringIntoArray($F97, "/", "(", ")")), 4)*0.01, 0)</f>
        <v>0</v>
      </c>
      <c r="M156" s="248" cm="1">
        <f t="array" ref="M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N156" s="248" cm="1">
        <f t="array" ref="N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56" s="248" cm="1">
        <f t="array" ref="O15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6" s="248" cm="1">
        <f t="array" ref="P15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6" s="248" cm="1">
        <f t="array" ref="Q15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6205.68</v>
      </c>
    </row>
    <row r="157" spans="4:17" ht="20.100000000000001" customHeight="1" x14ac:dyDescent="0.2">
      <c r="D157" s="248" t="str">
        <f t="shared" si="0"/>
        <v>R-506</v>
      </c>
      <c r="E157" s="248" t="str" cm="1">
        <f t="array" ref="E157">IFERROR(INDEX(TRANSPOSE(Common_InputFunctions.Utility_SplitStringIntoArray($E98, "/")), 1), "")</f>
        <v>CFC-31</v>
      </c>
      <c r="F157" s="248" t="str" cm="1">
        <f t="array" ref="F157">IFERROR(INDEX(TRANSPOSE(Common_InputFunctions.Utility_SplitStringIntoArray($E98, "/")), 2), "")</f>
        <v>CFC-114</v>
      </c>
      <c r="G157" s="248" t="str" cm="1">
        <f t="array" ref="G157">IFERROR(INDEX(TRANSPOSE(Common_InputFunctions.Utility_SplitStringIntoArray($E98, "/")), 3), "")</f>
        <v/>
      </c>
      <c r="H157" s="248" t="str" cm="1">
        <f t="array" ref="H157">IFERROR(INDEX(TRANSPOSE(Common_InputFunctions.Utility_SplitStringIntoArray($E98, "/")), 4), "")</f>
        <v/>
      </c>
      <c r="I157" s="248" cm="1">
        <f t="array" ref="I157">IFERROR(INDEX(TRANSPOSE(Common_InputFunctions.Utility_SplitStringIntoArray($F98, "/", "(", ")")), 1)*0.01, 0)</f>
        <v>0.55100000000000005</v>
      </c>
      <c r="J157" s="248" cm="1">
        <f t="array" ref="J157">IFERROR(INDEX(TRANSPOSE(Common_InputFunctions.Utility_SplitStringIntoArray($F98, "/", "(", ")")), 2)*0.01, 0)</f>
        <v>0.44900000000000001</v>
      </c>
      <c r="K157" s="248" cm="1">
        <f t="array" ref="K157">IFERROR(INDEX(TRANSPOSE(Common_InputFunctions.Utility_SplitStringIntoArray($F98, "/", "(", ")")), 3)*0.01, 0)</f>
        <v>0</v>
      </c>
      <c r="L157" s="248" cm="1">
        <f t="array" ref="L157">IFERROR(INDEX(TRANSPOSE(Common_InputFunctions.Utility_SplitStringIntoArray($F98, "/", "(", ")")), 4)*0.01, 0)</f>
        <v>0</v>
      </c>
      <c r="M157" s="248" cm="1">
        <f t="array" ref="M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57" s="248" cm="1">
        <f t="array" ref="N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O157" s="248" cm="1">
        <f t="array" ref="O15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7" s="248" cm="1">
        <f t="array" ref="P15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7" s="248" cm="1">
        <f t="array" ref="Q15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1731.7525900000003</v>
      </c>
    </row>
    <row r="158" spans="4:17" ht="20.100000000000001" customHeight="1" x14ac:dyDescent="0.2">
      <c r="D158" s="248" t="str">
        <f t="shared" si="0"/>
        <v>R-507A</v>
      </c>
      <c r="E158" s="248" t="str" cm="1">
        <f t="array" ref="E158">IFERROR(INDEX(TRANSPOSE(Common_InputFunctions.Utility_SplitStringIntoArray($E99, "/")), 1), "")</f>
        <v>HFC-125</v>
      </c>
      <c r="F158" s="248" t="str" cm="1">
        <f t="array" ref="F158">IFERROR(INDEX(TRANSPOSE(Common_InputFunctions.Utility_SplitStringIntoArray($E99, "/")), 2), "")</f>
        <v>HFC-143a</v>
      </c>
      <c r="G158" s="248" t="str" cm="1">
        <f t="array" ref="G158">IFERROR(INDEX(TRANSPOSE(Common_InputFunctions.Utility_SplitStringIntoArray($E99, "/")), 3), "")</f>
        <v/>
      </c>
      <c r="H158" s="248" t="str" cm="1">
        <f t="array" ref="H158">IFERROR(INDEX(TRANSPOSE(Common_InputFunctions.Utility_SplitStringIntoArray($E99, "/")), 4), "")</f>
        <v/>
      </c>
      <c r="I158" s="248" cm="1">
        <f t="array" ref="I158">IFERROR(INDEX(TRANSPOSE(Common_InputFunctions.Utility_SplitStringIntoArray($F99, "/", "(", ")")), 1)*0.01, 0)</f>
        <v>0.5</v>
      </c>
      <c r="J158" s="248" cm="1">
        <f t="array" ref="J158">IFERROR(INDEX(TRANSPOSE(Common_InputFunctions.Utility_SplitStringIntoArray($F99, "/", "(", ")")), 2)*0.01, 0)</f>
        <v>0.5</v>
      </c>
      <c r="K158" s="248" cm="1">
        <f t="array" ref="K158">IFERROR(INDEX(TRANSPOSE(Common_InputFunctions.Utility_SplitStringIntoArray($F99, "/", "(", ")")), 3)*0.01, 0)</f>
        <v>0</v>
      </c>
      <c r="L158" s="248" cm="1">
        <f t="array" ref="L158">IFERROR(INDEX(TRANSPOSE(Common_InputFunctions.Utility_SplitStringIntoArray($F99, "/", "(", ")")), 4)*0.01, 0)</f>
        <v>0</v>
      </c>
      <c r="M158" s="248" cm="1">
        <f t="array" ref="M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N158" s="248" cm="1">
        <f t="array" ref="N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O158" s="248" cm="1">
        <f t="array" ref="O15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8" s="248" cm="1">
        <f t="array" ref="P15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8" s="248" cm="1">
        <f t="array" ref="Q15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1992.5</v>
      </c>
    </row>
    <row r="159" spans="4:17" ht="20.100000000000001" customHeight="1" x14ac:dyDescent="0.2">
      <c r="D159" s="248" t="str">
        <f t="shared" si="0"/>
        <v>R-508A</v>
      </c>
      <c r="E159" s="248" t="str" cm="1">
        <f t="array" ref="E159">IFERROR(INDEX(TRANSPOSE(Common_InputFunctions.Utility_SplitStringIntoArray($E100, "/")), 1), "")</f>
        <v>HFC-23</v>
      </c>
      <c r="F159" s="248" t="str" cm="1">
        <f t="array" ref="F159">IFERROR(INDEX(TRANSPOSE(Common_InputFunctions.Utility_SplitStringIntoArray($E100, "/")), 2), "")</f>
        <v>PFC-116</v>
      </c>
      <c r="G159" s="248" t="str" cm="1">
        <f t="array" ref="G159">IFERROR(INDEX(TRANSPOSE(Common_InputFunctions.Utility_SplitStringIntoArray($E100, "/")), 3), "")</f>
        <v/>
      </c>
      <c r="H159" s="248" t="str" cm="1">
        <f t="array" ref="H159">IFERROR(INDEX(TRANSPOSE(Common_InputFunctions.Utility_SplitStringIntoArray($E100, "/")), 4), "")</f>
        <v/>
      </c>
      <c r="I159" s="248" cm="1">
        <f t="array" ref="I159">IFERROR(INDEX(TRANSPOSE(Common_InputFunctions.Utility_SplitStringIntoArray($F100, "/", "(", ")")), 1)*0.01, 0)</f>
        <v>0.39</v>
      </c>
      <c r="J159" s="248" cm="1">
        <f t="array" ref="J159">IFERROR(INDEX(TRANSPOSE(Common_InputFunctions.Utility_SplitStringIntoArray($F100, "/", "(", ")")), 2)*0.01, 0)</f>
        <v>0.61</v>
      </c>
      <c r="K159" s="248" cm="1">
        <f t="array" ref="K159">IFERROR(INDEX(TRANSPOSE(Common_InputFunctions.Utility_SplitStringIntoArray($F100, "/", "(", ")")), 3)*0.01, 0)</f>
        <v>0</v>
      </c>
      <c r="L159" s="248" cm="1">
        <f t="array" ref="L159">IFERROR(INDEX(TRANSPOSE(Common_InputFunctions.Utility_SplitStringIntoArray($F100, "/", "(", ")")), 4)*0.01, 0)</f>
        <v>0</v>
      </c>
      <c r="M159" s="248" cm="1">
        <f t="array" ref="M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N159" s="248" cm="1">
        <f t="array" ref="N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O159" s="248" cm="1">
        <f t="array" ref="O15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9" s="248" cm="1">
        <f t="array" ref="P15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9" s="248" cm="1">
        <f t="array" ref="Q15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6016.3499999999995</v>
      </c>
    </row>
    <row r="160" spans="4:17" ht="20.100000000000001" customHeight="1" x14ac:dyDescent="0.2">
      <c r="D160" s="248" t="str">
        <f t="shared" si="0"/>
        <v>R-508B</v>
      </c>
      <c r="E160" s="248" t="str" cm="1">
        <f t="array" ref="E160">IFERROR(INDEX(TRANSPOSE(Common_InputFunctions.Utility_SplitStringIntoArray($E101, "/")), 1), "")</f>
        <v>HFC-23</v>
      </c>
      <c r="F160" s="248" t="str" cm="1">
        <f t="array" ref="F160">IFERROR(INDEX(TRANSPOSE(Common_InputFunctions.Utility_SplitStringIntoArray($E101, "/")), 2), "")</f>
        <v>PFC-116</v>
      </c>
      <c r="G160" s="248" t="str" cm="1">
        <f t="array" ref="G160">IFERROR(INDEX(TRANSPOSE(Common_InputFunctions.Utility_SplitStringIntoArray($E101, "/")), 3), "")</f>
        <v/>
      </c>
      <c r="H160" s="248" t="str" cm="1">
        <f t="array" ref="H160">IFERROR(INDEX(TRANSPOSE(Common_InputFunctions.Utility_SplitStringIntoArray($E101, "/")), 4), "")</f>
        <v/>
      </c>
      <c r="I160" s="248" cm="1">
        <f t="array" ref="I160">IFERROR(INDEX(TRANSPOSE(Common_InputFunctions.Utility_SplitStringIntoArray($F101, "/", "(", ")")), 1)*0.01, 0)</f>
        <v>0.46</v>
      </c>
      <c r="J160" s="248" cm="1">
        <f t="array" ref="J160">IFERROR(INDEX(TRANSPOSE(Common_InputFunctions.Utility_SplitStringIntoArray($F101, "/", "(", ")")), 2)*0.01, 0)</f>
        <v>0.54</v>
      </c>
      <c r="K160" s="248" cm="1">
        <f t="array" ref="K160">IFERROR(INDEX(TRANSPOSE(Common_InputFunctions.Utility_SplitStringIntoArray($F101, "/", "(", ")")), 3)*0.01, 0)</f>
        <v>0</v>
      </c>
      <c r="L160" s="248" cm="1">
        <f t="array" ref="L160">IFERROR(INDEX(TRANSPOSE(Common_InputFunctions.Utility_SplitStringIntoArray($F101, "/", "(", ")")), 4)*0.01, 0)</f>
        <v>0</v>
      </c>
      <c r="M160" s="248" cm="1">
        <f t="array" ref="M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N160" s="248" cm="1">
        <f t="array" ref="N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O160" s="248" cm="1">
        <f t="array" ref="O16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0" s="248" cm="1">
        <f t="array" ref="P16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0" s="248" cm="1">
        <f t="array" ref="Q16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5860.6</v>
      </c>
    </row>
    <row r="161" spans="1:17" ht="20.100000000000001" customHeight="1" x14ac:dyDescent="0.2">
      <c r="D161" s="248" t="str">
        <f t="shared" si="0"/>
        <v>R-509A</v>
      </c>
      <c r="E161" s="248" t="str" cm="1">
        <f t="array" ref="E161">IFERROR(INDEX(TRANSPOSE(Common_InputFunctions.Utility_SplitStringIntoArray($E102, "/")), 1), "")</f>
        <v>HCFC-22</v>
      </c>
      <c r="F161" s="248" t="str" cm="1">
        <f t="array" ref="F161">IFERROR(INDEX(TRANSPOSE(Common_InputFunctions.Utility_SplitStringIntoArray($E102, "/")), 2), "")</f>
        <v>PFC-218</v>
      </c>
      <c r="G161" s="248" t="str" cm="1">
        <f t="array" ref="G161">IFERROR(INDEX(TRANSPOSE(Common_InputFunctions.Utility_SplitStringIntoArray($E102, "/")), 3), "")</f>
        <v/>
      </c>
      <c r="H161" s="248" t="str" cm="1">
        <f t="array" ref="H161">IFERROR(INDEX(TRANSPOSE(Common_InputFunctions.Utility_SplitStringIntoArray($E102, "/")), 4), "")</f>
        <v/>
      </c>
      <c r="I161" s="248" cm="1">
        <f t="array" ref="I161">IFERROR(INDEX(TRANSPOSE(Common_InputFunctions.Utility_SplitStringIntoArray($F102, "/", "(", ")")), 1)*0.01, 0)</f>
        <v>0.44</v>
      </c>
      <c r="J161" s="248" cm="1">
        <f t="array" ref="J161">IFERROR(INDEX(TRANSPOSE(Common_InputFunctions.Utility_SplitStringIntoArray($F102, "/", "(", ")")), 2)*0.01, 0)</f>
        <v>0.56000000000000005</v>
      </c>
      <c r="K161" s="248" cm="1">
        <f t="array" ref="K161">IFERROR(INDEX(TRANSPOSE(Common_InputFunctions.Utility_SplitStringIntoArray($F102, "/", "(", ")")), 3)*0.01, 0)</f>
        <v>0</v>
      </c>
      <c r="L161" s="248" cm="1">
        <f t="array" ref="L161">IFERROR(INDEX(TRANSPOSE(Common_InputFunctions.Utility_SplitStringIntoArray($F102, "/", "(", ")")), 4)*0.01, 0)</f>
        <v>0</v>
      </c>
      <c r="M161" s="248" cm="1">
        <f t="array" ref="M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N161" s="248" cm="1">
        <f t="array" ref="N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O161" s="248" cm="1">
        <f t="array" ref="O16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1" s="248" cm="1">
        <f t="array" ref="P16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1" s="248" cm="1">
        <f t="array" ref="Q16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3131.7760000000007</v>
      </c>
    </row>
    <row r="162" spans="1:17" ht="20.100000000000001" customHeight="1" x14ac:dyDescent="0.2">
      <c r="D162" s="245"/>
      <c r="E162" s="245"/>
      <c r="F162" s="245"/>
      <c r="G162" s="245"/>
      <c r="H162" s="245"/>
      <c r="I162" s="245"/>
      <c r="J162" s="245"/>
      <c r="K162" s="245"/>
      <c r="L162" s="245"/>
      <c r="M162" s="245"/>
      <c r="N162" s="245"/>
      <c r="O162" s="245"/>
      <c r="P162" s="245"/>
      <c r="Q162" s="245"/>
    </row>
    <row r="163" spans="1:17" ht="20.100000000000001" customHeight="1" x14ac:dyDescent="0.2">
      <c r="D163" s="249"/>
      <c r="E163" s="249"/>
      <c r="F163" s="249"/>
      <c r="G163" s="249"/>
      <c r="H163" s="249"/>
      <c r="I163" s="249"/>
      <c r="J163" s="249"/>
      <c r="K163" s="249"/>
      <c r="L163" s="249"/>
      <c r="M163" s="249"/>
      <c r="N163" s="249"/>
      <c r="O163" s="249"/>
      <c r="P163" s="249"/>
      <c r="Q163" s="249"/>
    </row>
    <row r="164" spans="1:17" ht="20.100000000000001" customHeight="1" x14ac:dyDescent="0.2">
      <c r="D164" s="2" t="s">
        <v>3129</v>
      </c>
      <c r="E164" s="245"/>
      <c r="F164" s="245"/>
      <c r="G164" s="245"/>
      <c r="H164" s="245"/>
      <c r="I164" s="245"/>
      <c r="J164" s="245"/>
      <c r="K164" s="245"/>
      <c r="L164" s="245"/>
      <c r="M164" s="245"/>
      <c r="N164" s="245"/>
      <c r="O164" s="245"/>
      <c r="P164" s="245"/>
      <c r="Q164" s="245"/>
    </row>
    <row r="165" spans="1:17" ht="20.100000000000001" customHeight="1" x14ac:dyDescent="0.2">
      <c r="D165" s="17" t="s">
        <v>3130</v>
      </c>
      <c r="E165" s="245"/>
      <c r="F165" s="245"/>
      <c r="G165" s="245"/>
      <c r="H165" s="245"/>
      <c r="I165" s="245"/>
      <c r="J165" s="245"/>
      <c r="K165" s="245"/>
      <c r="L165" s="245"/>
      <c r="M165" s="245"/>
      <c r="N165" s="245"/>
      <c r="O165" s="245"/>
      <c r="P165" s="245"/>
      <c r="Q165" s="245"/>
    </row>
    <row r="166" spans="1:17" ht="20.100000000000001" customHeight="1" x14ac:dyDescent="0.2">
      <c r="D166" s="245"/>
      <c r="E166" s="245"/>
      <c r="F166" s="245"/>
      <c r="G166" s="245"/>
      <c r="H166" s="245"/>
      <c r="I166" s="245"/>
      <c r="J166" s="245"/>
      <c r="K166" s="245"/>
      <c r="L166" s="245"/>
      <c r="M166" s="245"/>
      <c r="N166" s="245"/>
      <c r="O166" s="245"/>
      <c r="P166" s="245"/>
      <c r="Q166" s="245"/>
    </row>
    <row r="167" spans="1:17" ht="20.100000000000001" customHeight="1" x14ac:dyDescent="0.2">
      <c r="D167" s="248" t="s">
        <v>131</v>
      </c>
      <c r="E167" s="247" t="s">
        <v>1055</v>
      </c>
      <c r="F167" s="245"/>
      <c r="G167" s="245"/>
      <c r="H167" s="245"/>
      <c r="I167" s="245"/>
      <c r="J167" s="245"/>
      <c r="K167" s="245"/>
      <c r="L167" s="245"/>
      <c r="M167" s="245"/>
      <c r="N167" s="245"/>
      <c r="O167" s="245"/>
      <c r="P167" s="245"/>
      <c r="Q167" s="245"/>
    </row>
    <row r="168" spans="1:17" ht="20.100000000000001" customHeight="1" x14ac:dyDescent="0.2">
      <c r="D168" s="248" t="s">
        <v>1005</v>
      </c>
      <c r="E168" s="248">
        <v>1.7</v>
      </c>
      <c r="F168" s="245"/>
      <c r="G168" s="245"/>
      <c r="H168" s="245"/>
      <c r="I168" s="245"/>
      <c r="J168" s="245"/>
      <c r="K168" s="245"/>
      <c r="L168" s="245"/>
      <c r="M168" s="245"/>
      <c r="N168" s="245"/>
      <c r="O168" s="245"/>
      <c r="P168" s="245"/>
      <c r="Q168" s="245"/>
    </row>
    <row r="169" spans="1:17" ht="20.100000000000001" customHeight="1" x14ac:dyDescent="0.2">
      <c r="A169" s="129" t="str">
        <f>HYPERLINK("#A1", "▲ Back to top")</f>
        <v>▲ Back to top</v>
      </c>
      <c r="D169" s="248" t="s">
        <v>1015</v>
      </c>
      <c r="E169" s="248">
        <v>15.7</v>
      </c>
      <c r="F169" s="245"/>
      <c r="G169" s="245"/>
      <c r="H169" s="245"/>
      <c r="I169" s="245"/>
      <c r="J169" s="245"/>
      <c r="K169" s="245"/>
      <c r="L169" s="245"/>
      <c r="M169" s="245"/>
      <c r="N169" s="245"/>
      <c r="O169" s="245"/>
      <c r="P169" s="245"/>
      <c r="Q169" s="245"/>
    </row>
    <row r="170" spans="1:17" ht="20.100000000000001" customHeight="1" x14ac:dyDescent="0.2">
      <c r="D170" s="248" t="s">
        <v>3131</v>
      </c>
      <c r="E170" s="248">
        <v>2.5</v>
      </c>
      <c r="F170" s="245"/>
      <c r="G170" s="245"/>
      <c r="H170" s="245"/>
      <c r="I170" s="245"/>
      <c r="J170" s="245"/>
      <c r="K170" s="245"/>
      <c r="L170" s="245"/>
      <c r="M170" s="245"/>
      <c r="N170" s="245"/>
      <c r="O170" s="245"/>
      <c r="P170" s="245"/>
      <c r="Q170" s="245"/>
    </row>
    <row r="171" spans="1:17" ht="20.100000000000001" customHeight="1" x14ac:dyDescent="0.2">
      <c r="D171" s="248" t="s">
        <v>1008</v>
      </c>
      <c r="E171" s="248">
        <v>3.5</v>
      </c>
      <c r="F171" s="245"/>
      <c r="G171" s="245"/>
      <c r="H171" s="245"/>
      <c r="I171" s="245"/>
      <c r="J171" s="245"/>
      <c r="K171" s="245"/>
      <c r="L171" s="245"/>
      <c r="M171" s="245"/>
      <c r="N171" s="245"/>
      <c r="O171" s="245"/>
      <c r="P171" s="245"/>
      <c r="Q171" s="245"/>
    </row>
    <row r="172" spans="1:17" ht="20.100000000000001" customHeight="1" x14ac:dyDescent="0.2">
      <c r="D172" s="248" t="s">
        <v>3132</v>
      </c>
      <c r="E172" s="248">
        <v>2.5</v>
      </c>
      <c r="F172" s="245"/>
      <c r="G172" s="245"/>
      <c r="H172" s="245"/>
      <c r="I172" s="245"/>
      <c r="J172" s="245"/>
      <c r="K172" s="245"/>
      <c r="L172" s="245"/>
      <c r="M172" s="245"/>
      <c r="N172" s="245"/>
      <c r="O172" s="245"/>
      <c r="P172" s="245"/>
      <c r="Q172" s="245"/>
    </row>
    <row r="173" spans="1:17" ht="20.100000000000001" customHeight="1" x14ac:dyDescent="0.2">
      <c r="D173" s="248" t="s">
        <v>1011</v>
      </c>
      <c r="E173" s="248">
        <v>6.7</v>
      </c>
      <c r="F173" s="245"/>
      <c r="G173" s="245"/>
      <c r="H173" s="245"/>
      <c r="I173" s="245"/>
      <c r="J173" s="245"/>
      <c r="K173" s="245"/>
      <c r="L173" s="245"/>
      <c r="M173" s="245"/>
      <c r="N173" s="245"/>
      <c r="O173" s="245"/>
      <c r="P173" s="245"/>
      <c r="Q173" s="245"/>
    </row>
    <row r="174" spans="1:17" ht="20.100000000000001" customHeight="1" x14ac:dyDescent="0.2">
      <c r="D174" s="248" t="s">
        <v>3133</v>
      </c>
      <c r="E174" s="248">
        <v>10.8</v>
      </c>
      <c r="F174" s="245"/>
      <c r="G174" s="245"/>
      <c r="H174" s="245"/>
      <c r="I174" s="245"/>
      <c r="J174" s="245"/>
      <c r="K174" s="245"/>
      <c r="L174" s="245"/>
      <c r="M174" s="245"/>
      <c r="N174" s="245"/>
      <c r="O174" s="245"/>
      <c r="P174" s="245"/>
      <c r="Q174" s="245"/>
    </row>
    <row r="175" spans="1:17" ht="20.100000000000001" customHeight="1" x14ac:dyDescent="0.2">
      <c r="D175" s="245"/>
      <c r="E175" s="245"/>
      <c r="F175" s="245"/>
      <c r="G175" s="245"/>
      <c r="H175" s="245"/>
      <c r="I175" s="245"/>
      <c r="J175" s="245"/>
      <c r="K175" s="245"/>
      <c r="L175" s="245"/>
      <c r="M175" s="245"/>
      <c r="N175" s="245"/>
      <c r="O175" s="245"/>
      <c r="P175" s="245"/>
      <c r="Q175" s="245"/>
    </row>
    <row r="176" spans="1:17" ht="20.100000000000001" customHeight="1" x14ac:dyDescent="0.2">
      <c r="D176" s="245"/>
      <c r="E176" s="245"/>
      <c r="F176" s="245"/>
      <c r="G176" s="245"/>
      <c r="H176" s="245"/>
      <c r="I176" s="245"/>
      <c r="J176" s="245"/>
      <c r="K176" s="245"/>
      <c r="L176" s="245"/>
      <c r="M176" s="245"/>
      <c r="N176" s="245"/>
      <c r="O176" s="245"/>
      <c r="P176" s="245"/>
      <c r="Q176" s="245"/>
    </row>
    <row r="177" spans="4:17" ht="20.100000000000001" customHeight="1" x14ac:dyDescent="0.2">
      <c r="D177" s="245"/>
      <c r="E177" s="245"/>
      <c r="F177" s="245"/>
      <c r="G177" s="245"/>
      <c r="H177" s="245"/>
      <c r="I177" s="245"/>
      <c r="J177" s="245"/>
      <c r="K177" s="245"/>
      <c r="L177" s="245"/>
      <c r="M177" s="245"/>
      <c r="N177" s="245"/>
      <c r="O177" s="245"/>
      <c r="P177" s="245"/>
      <c r="Q177" s="245"/>
    </row>
    <row r="178" spans="4:17" ht="20.100000000000001" customHeight="1" x14ac:dyDescent="0.2">
      <c r="D178" s="245"/>
      <c r="E178" s="245"/>
      <c r="F178" s="245"/>
      <c r="G178" s="245"/>
      <c r="H178" s="245"/>
      <c r="I178" s="245"/>
      <c r="J178" s="245"/>
      <c r="K178" s="245"/>
      <c r="L178" s="245"/>
      <c r="M178" s="245"/>
      <c r="N178" s="245"/>
      <c r="O178" s="245"/>
      <c r="P178" s="245"/>
      <c r="Q178" s="245"/>
    </row>
    <row r="179" spans="4:17" ht="20.100000000000001" customHeight="1" x14ac:dyDescent="0.2">
      <c r="D179" s="245"/>
      <c r="E179" s="245"/>
      <c r="F179" s="245"/>
      <c r="G179" s="245"/>
      <c r="H179" s="245"/>
      <c r="I179" s="245"/>
      <c r="J179" s="245"/>
      <c r="K179" s="245"/>
      <c r="L179" s="245"/>
      <c r="M179" s="245"/>
      <c r="N179" s="245"/>
      <c r="O179" s="245"/>
      <c r="P179" s="245"/>
      <c r="Q179" s="245"/>
    </row>
    <row r="180" spans="4:17" ht="20.100000000000001" customHeight="1" x14ac:dyDescent="0.2">
      <c r="D180" s="245"/>
      <c r="E180" s="245"/>
      <c r="F180" s="245"/>
      <c r="G180" s="245"/>
      <c r="H180" s="245"/>
      <c r="I180" s="245"/>
      <c r="J180" s="245"/>
      <c r="K180" s="245"/>
      <c r="L180" s="245"/>
      <c r="M180" s="245"/>
      <c r="N180" s="245"/>
      <c r="O180" s="245"/>
      <c r="P180" s="245"/>
      <c r="Q180" s="245"/>
    </row>
  </sheetData>
  <pageMargins left="0.7" right="0.7" top="0.75" bottom="0.75" header="0.3" footer="0.3"/>
  <tableParts count="4">
    <tablePart r:id="rId1"/>
    <tablePart r:id="rId2"/>
    <tablePart r:id="rId3"/>
    <tablePart r:id="rId4"/>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AD673-1CAD-45FD-A437-3FC6DB38FF11}">
  <sheetPr>
    <tabColor theme="2" tint="-0.499984740745262"/>
  </sheetPr>
  <dimension ref="A1:AI6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1113</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3134</v>
      </c>
    </row>
    <row r="6" spans="1:35" ht="20.100000000000001" customHeight="1" x14ac:dyDescent="0.2">
      <c r="A6" s="5" t="str">
        <f>HYPERLINK("#'Results'!A1", "Results")</f>
        <v>Results</v>
      </c>
      <c r="D6" s="17" t="s">
        <v>3135</v>
      </c>
    </row>
    <row r="7" spans="1:35" ht="20.100000000000001" customHeight="1" x14ac:dyDescent="0.2">
      <c r="D7" s="25" t="s">
        <v>3136</v>
      </c>
    </row>
    <row r="8" spans="1:35" ht="20.100000000000001" customHeight="1" x14ac:dyDescent="0.2">
      <c r="D8" s="25" t="s">
        <v>3137</v>
      </c>
    </row>
    <row r="9" spans="1:35" ht="20.100000000000001" customHeight="1" x14ac:dyDescent="0.2">
      <c r="A9" s="7" t="s">
        <v>0</v>
      </c>
      <c r="D9" s="25" t="s">
        <v>3138</v>
      </c>
    </row>
    <row r="10" spans="1:35" ht="20.100000000000001" customHeight="1" x14ac:dyDescent="0.2">
      <c r="A10" s="5" t="str">
        <f>HYPERLINK("#'Input - Enterprise'!A1", "Enterprise")</f>
        <v>Enterprise</v>
      </c>
      <c r="D10" s="25" t="s">
        <v>3139</v>
      </c>
    </row>
    <row r="11" spans="1:35" ht="20.100000000000001" customHeight="1" x14ac:dyDescent="0.2">
      <c r="A11" s="5" t="str">
        <f>HYPERLINK("#'Input - Site'!A1", "Site")</f>
        <v>Site</v>
      </c>
      <c r="D11" s="25" t="s">
        <v>3140</v>
      </c>
    </row>
    <row r="12" spans="1:35" ht="20.100000000000001" customHeight="1" x14ac:dyDescent="0.2">
      <c r="A12" s="5" t="str">
        <f>HYPERLINK("#'Input - Dairy'!A1", "Dairy")</f>
        <v>Dairy</v>
      </c>
      <c r="D12" s="25" t="s">
        <v>3141</v>
      </c>
    </row>
    <row r="13" spans="1:35" ht="20.100000000000001" customHeight="1" x14ac:dyDescent="0.2">
      <c r="A13" s="5" t="str">
        <f>HYPERLINK("#'Input - Livestock sales'!A1", "Livestock sales")</f>
        <v>Livestock sales</v>
      </c>
      <c r="D13" s="25" t="s">
        <v>3142</v>
      </c>
    </row>
    <row r="14" spans="1:35" ht="20.100000000000001" customHeight="1" x14ac:dyDescent="0.2">
      <c r="A14" s="5" t="str">
        <f>HYPERLINK("#'Input - Dairy cattle purchases'!A1", "Dairy cattle purchases")</f>
        <v>Dairy cattle purchases</v>
      </c>
      <c r="D14" s="1" t="s">
        <v>1120</v>
      </c>
    </row>
    <row r="15" spans="1:35" ht="20.100000000000001" customHeight="1" x14ac:dyDescent="0.2">
      <c r="A15" s="5" t="str">
        <f>HYPERLINK("#'Input - Pasture'!A1", "Pasture")</f>
        <v>Pasture</v>
      </c>
      <c r="D15" s="9" t="s">
        <v>3143</v>
      </c>
      <c r="I15" s="1" t="s">
        <v>1114</v>
      </c>
      <c r="K15" s="1" t="s">
        <v>1115</v>
      </c>
      <c r="M15" s="1" t="s">
        <v>1116</v>
      </c>
      <c r="O15" s="1" t="s">
        <v>1117</v>
      </c>
    </row>
    <row r="16" spans="1:35" ht="20.100000000000001" customHeight="1" x14ac:dyDescent="0.2">
      <c r="A16" s="5" t="str">
        <f>HYPERLINK("#'Input - Fert Prod System'!A1", "Fert Prod System")</f>
        <v>Fert Prod System</v>
      </c>
      <c r="D16" s="19" t="s">
        <v>1118</v>
      </c>
      <c r="E16" s="19" t="s">
        <v>1119</v>
      </c>
      <c r="F16" s="19" t="s">
        <v>1120</v>
      </c>
      <c r="G16" s="19" t="s">
        <v>1121</v>
      </c>
      <c r="I16" s="19" t="s">
        <v>1119</v>
      </c>
      <c r="K16" s="143" t="s">
        <v>1119</v>
      </c>
      <c r="M16" s="143" t="s">
        <v>1119</v>
      </c>
      <c r="O16" s="143" t="s">
        <v>1119</v>
      </c>
    </row>
    <row r="17" spans="1:15" ht="20.100000000000001" customHeight="1" x14ac:dyDescent="0.2">
      <c r="A17" s="5" t="str">
        <f>HYPERLINK("#'Input - Fertiliser'!A1", "Fertiliser")</f>
        <v>Fertiliser</v>
      </c>
      <c r="D17" s="19" t="s">
        <v>1074</v>
      </c>
      <c r="E17" s="19" t="s">
        <v>1071</v>
      </c>
      <c r="F17" s="19">
        <v>2.1</v>
      </c>
      <c r="G17" s="19" t="s">
        <v>3144</v>
      </c>
      <c r="I17" s="1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Fuel'!A1", "Fuel")</f>
        <v>Fuel</v>
      </c>
      <c r="D18" s="1" t="s">
        <v>1074</v>
      </c>
      <c r="E18" s="19" t="s">
        <v>1065</v>
      </c>
      <c r="F18" s="19">
        <v>3.3</v>
      </c>
      <c r="G18" s="19" t="s">
        <v>3144</v>
      </c>
      <c r="I18" s="1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Electricity'!A1", "Electricity")</f>
        <v>Electricity</v>
      </c>
      <c r="D19" s="1" t="s">
        <v>1074</v>
      </c>
      <c r="E19" s="19" t="s">
        <v>1083</v>
      </c>
      <c r="F19" s="19">
        <v>1.6</v>
      </c>
      <c r="G19" s="19" t="s">
        <v>3144</v>
      </c>
      <c r="I19" s="1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Common farm inputs'!A1", "Common farm inputs")</f>
        <v>Common farm inputs</v>
      </c>
      <c r="D20" s="1" t="s">
        <v>1074</v>
      </c>
      <c r="E20" s="19" t="s">
        <v>3145</v>
      </c>
      <c r="F20" s="19">
        <v>0.7</v>
      </c>
      <c r="G20" s="19" t="s">
        <v>3144</v>
      </c>
      <c r="I20" s="19" t="str">
        <f>Table_SourceData_WasteSolid_WasteTreatmentEFs[[#This Row],[Waste type w]]</f>
        <v>Wood</v>
      </c>
      <c r="K20" s="1" t="str">
        <f t="shared" si="0"/>
        <v>Sludge</v>
      </c>
      <c r="M20" s="1" t="str">
        <f>E43</f>
        <v>Sludge</v>
      </c>
      <c r="O20" s="1" t="str">
        <f>E49</f>
        <v>Sludge</v>
      </c>
    </row>
    <row r="21" spans="1:15" ht="20.100000000000001" customHeight="1" x14ac:dyDescent="0.2">
      <c r="A21" s="5" t="str">
        <f>HYPERLINK("#'Input - Crop pasture farm input'!A1", "Crop pasture farm input")</f>
        <v>Crop pasture farm input</v>
      </c>
      <c r="D21" s="1" t="s">
        <v>1074</v>
      </c>
      <c r="E21" s="19" t="s">
        <v>3146</v>
      </c>
      <c r="F21" s="19">
        <v>2</v>
      </c>
      <c r="G21" s="19" t="s">
        <v>3144</v>
      </c>
      <c r="I21" s="1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A22" s="5" t="str">
        <f>HYPERLINK("#'Input - Livestock farm Inputs'!A1", "Livestock farm Inputs")</f>
        <v>Livestock farm Inputs</v>
      </c>
      <c r="D22" s="1" t="s">
        <v>1074</v>
      </c>
      <c r="E22" s="19" t="s">
        <v>3147</v>
      </c>
      <c r="F22" s="19">
        <v>0.4</v>
      </c>
      <c r="G22" s="19" t="s">
        <v>3144</v>
      </c>
      <c r="I22" s="19" t="str">
        <f>Table_SourceData_WasteSolid_WasteTreatmentEFs[[#This Row],[Waste type w]]</f>
        <v>Sludge</v>
      </c>
      <c r="K22" s="1" t="str">
        <f t="shared" si="0"/>
        <v>Textiles</v>
      </c>
    </row>
    <row r="23" spans="1:15" ht="20.100000000000001" customHeight="1" x14ac:dyDescent="0.2">
      <c r="A23" s="5" t="str">
        <f>HYPERLINK("#'Input - Freight'!A1", "Freight")</f>
        <v>Freight</v>
      </c>
      <c r="D23" s="1" t="s">
        <v>1074</v>
      </c>
      <c r="E23" s="19" t="s">
        <v>3148</v>
      </c>
      <c r="F23" s="19">
        <v>3.3</v>
      </c>
      <c r="G23" s="19" t="s">
        <v>3144</v>
      </c>
      <c r="I23" s="19" t="str">
        <f>Table_SourceData_WasteSolid_WasteTreatmentEFs[[#This Row],[Waste type w]]</f>
        <v>Rubber and leather</v>
      </c>
      <c r="K23" s="1" t="str">
        <f t="shared" si="0"/>
        <v>Rubber and leather</v>
      </c>
    </row>
    <row r="24" spans="1:15" ht="20.100000000000001" customHeight="1" x14ac:dyDescent="0.2">
      <c r="A24" s="5" t="str">
        <f>HYPERLINK("#'Input - Solid waste'!A1", "Solid waste")</f>
        <v>Solid waste</v>
      </c>
      <c r="D24" s="1" t="s">
        <v>1074</v>
      </c>
      <c r="E24" s="19" t="s">
        <v>3149</v>
      </c>
      <c r="F24" s="19">
        <v>0</v>
      </c>
      <c r="G24" s="19" t="s">
        <v>3144</v>
      </c>
      <c r="I24" s="1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A25" s="5" t="str">
        <f>HYPERLINK("#'Input - Manure sent off-site'!A1", "Manure sent off-site")</f>
        <v>Manure sent off-site</v>
      </c>
      <c r="D25" s="1" t="s">
        <v>1074</v>
      </c>
      <c r="E25" s="19" t="s">
        <v>3150</v>
      </c>
      <c r="F25" s="19">
        <v>1.6</v>
      </c>
      <c r="G25" s="19" t="s">
        <v>3144</v>
      </c>
      <c r="I25" s="19" t="str">
        <f>Table_SourceData_WasteSolid_WasteTreatmentEFs[[#This Row],[Waste type w]]</f>
        <v>Municipal solid waste</v>
      </c>
      <c r="K25" s="1" t="str">
        <f t="shared" si="0"/>
        <v>Municipal solid waste</v>
      </c>
    </row>
    <row r="26" spans="1:15" ht="20.100000000000001" customHeight="1" x14ac:dyDescent="0.2">
      <c r="A26" s="5" t="str">
        <f>HYPERLINK("#'Input - Refrigerants'!A1", "Refrigerants")</f>
        <v>Refrigerants</v>
      </c>
      <c r="D26" s="1" t="s">
        <v>1074</v>
      </c>
      <c r="E26" s="19" t="s">
        <v>3151</v>
      </c>
      <c r="F26" s="19">
        <v>1.3</v>
      </c>
      <c r="G26" s="19" t="s">
        <v>3144</v>
      </c>
      <c r="I26" s="19" t="str">
        <f>Table_SourceData_WasteSolid_WasteTreatmentEFs[[#This Row],[Waste type w]]</f>
        <v>Commercial and industrial waste</v>
      </c>
      <c r="K26" s="1" t="str">
        <f t="shared" si="0"/>
        <v>Commercial and industrial waste</v>
      </c>
    </row>
    <row r="27" spans="1:15" ht="20.100000000000001" customHeight="1" x14ac:dyDescent="0.2">
      <c r="A27" s="5" t="str">
        <f>HYPERLINK("#'Input - Data quality'!A1", "Data quality")</f>
        <v>Data quality</v>
      </c>
      <c r="D27" s="1" t="s">
        <v>1074</v>
      </c>
      <c r="E27" s="19" t="s">
        <v>3152</v>
      </c>
      <c r="F27" s="19">
        <v>0.2</v>
      </c>
      <c r="G27" s="19" t="s">
        <v>3144</v>
      </c>
      <c r="I27" s="19" t="str">
        <f>Table_SourceData_WasteSolid_WasteTreatmentEFs[[#This Row],[Waste type w]]</f>
        <v>Construction and demolition waste</v>
      </c>
    </row>
    <row r="28" spans="1:15" ht="20.100000000000001" customHeight="1" x14ac:dyDescent="0.2">
      <c r="D28" s="1" t="s">
        <v>1088</v>
      </c>
      <c r="E28" s="19" t="s">
        <v>3153</v>
      </c>
      <c r="F28" s="19">
        <v>0</v>
      </c>
      <c r="G28" s="19"/>
    </row>
    <row r="29" spans="1:15" ht="20.100000000000001" customHeight="1" x14ac:dyDescent="0.2">
      <c r="D29" s="1" t="s">
        <v>1088</v>
      </c>
      <c r="E29" s="19" t="s">
        <v>1071</v>
      </c>
      <c r="F29" s="19">
        <v>0</v>
      </c>
      <c r="G29" s="19"/>
    </row>
    <row r="30" spans="1:15" ht="20.100000000000001" customHeight="1" x14ac:dyDescent="0.2">
      <c r="A30" s="6" t="s">
        <v>2</v>
      </c>
      <c r="D30" s="1" t="s">
        <v>1088</v>
      </c>
      <c r="E30" s="19" t="s">
        <v>1083</v>
      </c>
      <c r="F30" s="19">
        <v>0</v>
      </c>
      <c r="G30" s="19"/>
    </row>
    <row r="31" spans="1:15" ht="20.100000000000001" customHeight="1" x14ac:dyDescent="0.2">
      <c r="A31" s="5" t="str">
        <f>HYPERLINK("#'3.3.1.1-2 Enteric Methane'!A1", "3.3.1.1-2 Enteric methane")</f>
        <v>3.3.1.1-2 Enteric methane</v>
      </c>
      <c r="D31" s="1" t="s">
        <v>1088</v>
      </c>
      <c r="E31" s="19" t="s">
        <v>3145</v>
      </c>
      <c r="F31" s="19">
        <v>0</v>
      </c>
      <c r="G31" s="19"/>
    </row>
    <row r="32" spans="1:15" ht="20.100000000000001" customHeight="1" x14ac:dyDescent="0.2">
      <c r="A32" s="5" t="str">
        <f>HYPERLINK("#'4.3.1.1-2 Methane'!A1", "4.3.1.1-2 Manure methane")</f>
        <v>4.3.1.1-2 Manure methane</v>
      </c>
      <c r="D32" s="1" t="s">
        <v>1088</v>
      </c>
      <c r="E32" s="19" t="s">
        <v>3147</v>
      </c>
      <c r="F32" s="19">
        <v>0</v>
      </c>
      <c r="G32" s="19"/>
    </row>
    <row r="33" spans="1:7" ht="20.100000000000001" customHeight="1" x14ac:dyDescent="0.2">
      <c r="A33" s="5" t="str">
        <f>HYPERLINK("#'4.3.1.3-4 Direct N20'!A1", "4.3.1.3-4 Direct N20")</f>
        <v>4.3.1.3-4 Direct N20</v>
      </c>
      <c r="D33" s="1" t="s">
        <v>1088</v>
      </c>
      <c r="E33" s="19" t="s">
        <v>1065</v>
      </c>
      <c r="F33" s="19">
        <v>1.6899999999999998E-2</v>
      </c>
      <c r="G33" s="19"/>
    </row>
    <row r="34" spans="1:7" ht="20.100000000000001" customHeight="1" x14ac:dyDescent="0.2">
      <c r="A34" s="5" t="str">
        <f>HYPERLINK("#'4.3.1.5 Atmos deposition'!A1", "4.3.1.5 Atmos deposition")</f>
        <v>4.3.1.5 Atmos deposition</v>
      </c>
      <c r="D34" s="1" t="s">
        <v>1088</v>
      </c>
      <c r="E34" s="19" t="s">
        <v>3146</v>
      </c>
      <c r="F34" s="19">
        <v>0.36670000000000003</v>
      </c>
      <c r="G34" s="19"/>
    </row>
    <row r="35" spans="1:7" ht="20.100000000000001" customHeight="1" x14ac:dyDescent="0.2">
      <c r="A35" s="5" t="str">
        <f>HYPERLINK("#'4.3.1.6-7 Leaching and runoff'!A1", "4.3.1.6-7 Leaching &amp; runoff")</f>
        <v>4.3.1.6-7 Leaching &amp; runoff</v>
      </c>
      <c r="D35" s="1" t="s">
        <v>1088</v>
      </c>
      <c r="E35" s="19" t="s">
        <v>3148</v>
      </c>
      <c r="F35" s="19">
        <v>0.4919</v>
      </c>
      <c r="G35" s="19"/>
    </row>
    <row r="36" spans="1:7" ht="20.100000000000001" customHeight="1" x14ac:dyDescent="0.2">
      <c r="A36" s="5" t="str">
        <f>HYPERLINK("#'4.3.1.8 Manure applied to soils'!A1", "4.3.1.8 Manure applied to soils")</f>
        <v>4.3.1.8 Manure applied to soils</v>
      </c>
      <c r="D36" s="1" t="s">
        <v>1088</v>
      </c>
      <c r="E36" s="19" t="s">
        <v>3149</v>
      </c>
      <c r="F36" s="19">
        <v>0.11</v>
      </c>
      <c r="G36" s="19"/>
    </row>
    <row r="37" spans="1:7" ht="20.100000000000001" customHeight="1" x14ac:dyDescent="0.2">
      <c r="A37" s="5" t="str">
        <f>HYPERLINK("#'4.3.1.9 Soil direct N2O'!A1", "4.3.1.9 Soil direct N2O")</f>
        <v>4.3.1.9 Soil direct N2O</v>
      </c>
      <c r="D37" s="1" t="s">
        <v>1088</v>
      </c>
      <c r="E37" s="19" t="s">
        <v>3150</v>
      </c>
      <c r="F37" s="19">
        <v>5.3699999999999998E-2</v>
      </c>
      <c r="G37" s="250" t="s">
        <v>3154</v>
      </c>
    </row>
    <row r="38" spans="1:7" ht="20.100000000000001" customHeight="1" x14ac:dyDescent="0.2">
      <c r="A38" s="5" t="str">
        <f>HYPERLINK("#'4.3.1.10-11 Soil Atmos Dep'!A1", "4.3.1.10-11 Soil Atmos Deposition")</f>
        <v>4.3.1.10-11 Soil Atmos Deposition</v>
      </c>
      <c r="D38" s="1" t="s">
        <v>1088</v>
      </c>
      <c r="E38" s="19" t="s">
        <v>3151</v>
      </c>
      <c r="F38" s="19">
        <v>1.649</v>
      </c>
      <c r="G38" s="250" t="s">
        <v>3154</v>
      </c>
    </row>
    <row r="39" spans="1:7" ht="20.100000000000001" customHeight="1" x14ac:dyDescent="0.2">
      <c r="A39" s="5" t="str">
        <f>HYPERLINK("#'4.3.1.12-13 Soil leach runoff'!A1", "4.3.1.12-13 Soil leach &amp; runoff")</f>
        <v>4.3.1.12-13 Soil leach &amp; runoff</v>
      </c>
      <c r="D39" s="1" t="s">
        <v>1064</v>
      </c>
      <c r="E39" s="19" t="s">
        <v>3155</v>
      </c>
      <c r="F39" s="19">
        <v>4.5999999999999999E-2</v>
      </c>
      <c r="G39" s="250" t="s">
        <v>3156</v>
      </c>
    </row>
    <row r="40" spans="1:7" ht="20.100000000000001" customHeight="1" x14ac:dyDescent="0.2">
      <c r="A40" s="5" t="str">
        <f>HYPERLINK("#'5.1.1.1-2 Inorganic fert N2O'!A1", "5.1.1.1-2 Inorganic fert N2O")</f>
        <v>5.1.1.1-2 Inorganic fert N2O</v>
      </c>
      <c r="D40" s="1" t="s">
        <v>1064</v>
      </c>
      <c r="E40" s="19" t="s">
        <v>1071</v>
      </c>
      <c r="F40" s="19">
        <v>4.5999999999999999E-2</v>
      </c>
      <c r="G40" s="250"/>
    </row>
    <row r="41" spans="1:7" ht="20.100000000000001" customHeight="1" x14ac:dyDescent="0.2">
      <c r="A41" s="5" t="str">
        <f>HYPERLINK("#'5.1.1.3-4 Inorganic fert CO2'!A1", "5.1.1.3-4 Inorganic fert CO2")</f>
        <v>5.1.1.3-4 Inorganic fert CO2</v>
      </c>
      <c r="D41" s="1" t="s">
        <v>1064</v>
      </c>
      <c r="E41" s="19" t="s">
        <v>1083</v>
      </c>
      <c r="F41" s="19">
        <v>4.5999999999999999E-2</v>
      </c>
      <c r="G41" s="250"/>
    </row>
    <row r="42" spans="1:7" ht="20.100000000000001" customHeight="1" x14ac:dyDescent="0.2">
      <c r="A42" s="5" t="str">
        <f>HYPERLINK("#'5.2.1.1-2 Organic Fert N2O'!A1", "5.2.1.1-2 Organic fert N2O")</f>
        <v>5.2.1.1-2 Organic fert N2O</v>
      </c>
      <c r="D42" s="1" t="s">
        <v>1064</v>
      </c>
      <c r="E42" s="19" t="s">
        <v>3145</v>
      </c>
      <c r="F42" s="19">
        <v>4.5999999999999999E-2</v>
      </c>
      <c r="G42" s="250"/>
    </row>
    <row r="43" spans="1:7" ht="20.100000000000001" customHeight="1" x14ac:dyDescent="0.2">
      <c r="A43" s="5" t="str">
        <f>HYPERLINK("#'5.3.1.1-2 Lime CO2'!A1", "5.3.1.1-2 Lime CO2")</f>
        <v>5.3.1.1-2 Lime CO2</v>
      </c>
      <c r="D43" s="1" t="s">
        <v>1064</v>
      </c>
      <c r="E43" s="19" t="s">
        <v>3147</v>
      </c>
      <c r="F43" s="19">
        <v>4.5999999999999999E-2</v>
      </c>
      <c r="G43" s="250"/>
    </row>
    <row r="44" spans="1:7" ht="20.100000000000001" customHeight="1" x14ac:dyDescent="0.2">
      <c r="A44" s="5" t="str">
        <f>HYPERLINK("#'5.4.1.1-4 Atmos deposition'!A1", "5.4.1.1-4 Atmos. deposition")</f>
        <v>5.4.1.1-4 Atmos. deposition</v>
      </c>
      <c r="D44" s="1" t="s">
        <v>1064</v>
      </c>
      <c r="E44" s="19" t="s">
        <v>1065</v>
      </c>
      <c r="F44" s="19">
        <v>4.5999999999999999E-2</v>
      </c>
      <c r="G44" s="250"/>
    </row>
    <row r="45" spans="1:7" ht="20.100000000000001" customHeight="1" x14ac:dyDescent="0.2">
      <c r="A45" s="5" t="str">
        <f>HYPERLINK("#'5.5.1.1-2 Leaching and runoff'!A1", "5.5.1.1-2 Leaching &amp; runoff")</f>
        <v>5.5.1.1-2 Leaching &amp; runoff</v>
      </c>
      <c r="D45" s="1" t="s">
        <v>3157</v>
      </c>
      <c r="E45" s="19" t="s">
        <v>3155</v>
      </c>
      <c r="F45" s="19">
        <v>2.8000000000000001E-2</v>
      </c>
      <c r="G45" s="250" t="s">
        <v>3156</v>
      </c>
    </row>
    <row r="46" spans="1:7" ht="20.100000000000001" customHeight="1" x14ac:dyDescent="0.2">
      <c r="A46" s="5" t="str">
        <f>HYPERLINK("#'6.2.1.1-2 Pasture residue N2O'!A1", "6.2.1.1-2 Pasture residue N2O")</f>
        <v>6.2.1.1-2 Pasture residue N2O</v>
      </c>
      <c r="D46" s="1" t="s">
        <v>3157</v>
      </c>
      <c r="E46" s="19" t="s">
        <v>1071</v>
      </c>
      <c r="F46" s="19">
        <v>2.8000000000000001E-2</v>
      </c>
      <c r="G46" s="250"/>
    </row>
    <row r="47" spans="1:7" ht="20.100000000000001" customHeight="1" x14ac:dyDescent="0.2">
      <c r="A47" s="5" t="str">
        <f>HYPERLINK("#'6.3.1.1-2 Leach runoff pasture'!A1", "6.3.1.1-2 Leach &amp; runoff (pasture)")</f>
        <v>6.3.1.1-2 Leach &amp; runoff (pasture)</v>
      </c>
      <c r="D47" s="1" t="s">
        <v>3157</v>
      </c>
      <c r="E47" s="19" t="s">
        <v>1083</v>
      </c>
      <c r="F47" s="19">
        <v>2.8000000000000001E-2</v>
      </c>
      <c r="G47" s="250"/>
    </row>
    <row r="48" spans="1:7" ht="20.100000000000001" customHeight="1" x14ac:dyDescent="0.2">
      <c r="A48" s="5" t="str">
        <f>HYPERLINK("#'8.1.1.1-2 Transport fuel'!A1", "8.1.1.1-2 Transport fuel")</f>
        <v>8.1.1.1-2 Transport fuel</v>
      </c>
      <c r="D48" s="1" t="s">
        <v>3157</v>
      </c>
      <c r="E48" s="19" t="s">
        <v>3145</v>
      </c>
      <c r="F48" s="19">
        <v>2.8000000000000001E-2</v>
      </c>
      <c r="G48" s="250"/>
    </row>
    <row r="49" spans="1:7" ht="20.100000000000001" customHeight="1" x14ac:dyDescent="0.2">
      <c r="A49" s="5" t="str">
        <f>HYPERLINK("#'8.2.1.1-2 Stationary fuel'!A1", "8.2.1.1-2 Stationary fuel")</f>
        <v>8.2.1.1-2 Stationary fuel</v>
      </c>
      <c r="D49" s="1" t="s">
        <v>3157</v>
      </c>
      <c r="E49" s="19" t="s">
        <v>3147</v>
      </c>
      <c r="F49" s="19">
        <v>2.8000000000000001E-2</v>
      </c>
      <c r="G49" s="250"/>
    </row>
    <row r="50" spans="1:7" ht="20.100000000000001" customHeight="1" x14ac:dyDescent="0.2">
      <c r="A50" s="5" t="str">
        <f>HYPERLINK("#'9.1.1.1-2 Refrigerant use'!A1", "9.1.1.1-2 Refrigerant use")</f>
        <v>9.1.1.1-2 Refrigerant use</v>
      </c>
      <c r="D50" s="1" t="s">
        <v>3157</v>
      </c>
      <c r="E50" s="19" t="s">
        <v>1065</v>
      </c>
      <c r="F50" s="19">
        <v>2.8000000000000001E-2</v>
      </c>
      <c r="G50" s="250"/>
    </row>
    <row r="51" spans="1:7" ht="20.100000000000001" customHeight="1" x14ac:dyDescent="0.2">
      <c r="A51" s="5" t="str">
        <f>HYPERLINK("#'10.1.1-2 Solid waste treatment'!A1", "10.1.1.1-2 Solid waste")</f>
        <v>10.1.1.1-2 Solid waste</v>
      </c>
    </row>
    <row r="52" spans="1:7" ht="20.100000000000001" customHeight="1" x14ac:dyDescent="0.2">
      <c r="A52" s="5" t="str">
        <f>HYPERLINK("#'14.1.1-2 Purchased electricity'!A1", "14.1.1-2 Purchased electricity")</f>
        <v>14.1.1-2 Purchased electricity</v>
      </c>
      <c r="D52" s="2" t="s">
        <v>3158</v>
      </c>
    </row>
    <row r="53" spans="1:7" ht="20.100000000000001" customHeight="1" x14ac:dyDescent="0.2">
      <c r="A53" s="5" t="str">
        <f>HYPERLINK("#'15 Scope 3'!A1", "15 Scope 3")</f>
        <v>15 Scope 3</v>
      </c>
      <c r="D53" s="17" t="s">
        <v>3159</v>
      </c>
    </row>
    <row r="54" spans="1:7" ht="20.100000000000001" customHeight="1" x14ac:dyDescent="0.2">
      <c r="A54" s="5" t="str">
        <f>HYPERLINK("#'Calcs - Manure sent off-site'!A1", "Calcs - Manure sent off-site")</f>
        <v>Calcs - Manure sent off-site</v>
      </c>
      <c r="D54" s="25" t="s">
        <v>3160</v>
      </c>
    </row>
    <row r="55" spans="1:7" ht="20.100000000000001" customHeight="1" x14ac:dyDescent="0.2">
      <c r="D55" s="1" t="s">
        <v>1122</v>
      </c>
    </row>
    <row r="56" spans="1:7" ht="20.100000000000001" customHeight="1" x14ac:dyDescent="0.2">
      <c r="D56" s="9" t="s">
        <v>1989</v>
      </c>
    </row>
    <row r="57" spans="1:7" ht="20.100000000000001" customHeight="1" x14ac:dyDescent="0.2">
      <c r="A57" s="82" t="s">
        <v>1</v>
      </c>
      <c r="D57" s="19" t="s">
        <v>1119</v>
      </c>
      <c r="E57" s="19" t="s">
        <v>1122</v>
      </c>
    </row>
    <row r="58" spans="1:7" ht="20.100000000000001" customHeight="1" x14ac:dyDescent="0.2">
      <c r="A58" s="5" t="str">
        <f>HYPERLINK("#'Constants - Dairy'!A1", "Constants - Dairy")</f>
        <v>Constants - Dairy</v>
      </c>
      <c r="D58" s="19" t="s">
        <v>1071</v>
      </c>
      <c r="E58" s="19">
        <v>0.5</v>
      </c>
    </row>
    <row r="59" spans="1:7" ht="20.100000000000001" customHeight="1" x14ac:dyDescent="0.2">
      <c r="A59" s="5" t="str">
        <f>HYPERLINK("#'Constants - Ag Residue'!A1", "Constants - Ag residue")</f>
        <v>Constants - Ag residue</v>
      </c>
      <c r="D59" s="1" t="s">
        <v>1065</v>
      </c>
      <c r="E59" s="19">
        <v>0.09</v>
      </c>
    </row>
    <row r="60" spans="1:7" ht="20.100000000000001" customHeight="1" x14ac:dyDescent="0.2">
      <c r="A60" s="5" t="str">
        <f>HYPERLINK("#'Constants - Common Livestock'!A1", "Constants - Common Livestock")</f>
        <v>Constants - Common Livestock</v>
      </c>
      <c r="D60" s="1" t="s">
        <v>1083</v>
      </c>
      <c r="E60" s="19">
        <v>0.24</v>
      </c>
    </row>
    <row r="61" spans="1:7" ht="20.100000000000001" customHeight="1" x14ac:dyDescent="0.2">
      <c r="A61" s="5" t="str">
        <f>HYPERLINK("#'Constants - Electricity'!A1", "Constants - Electricity")</f>
        <v>Constants - Electricity</v>
      </c>
      <c r="D61" s="1" t="s">
        <v>3145</v>
      </c>
      <c r="E61" s="19">
        <v>0.15</v>
      </c>
    </row>
    <row r="62" spans="1:7" ht="20.100000000000001" customHeight="1" x14ac:dyDescent="0.2">
      <c r="A62" s="5" t="str">
        <f>HYPERLINK("#'Constants - Fertiliser'!A1", "Constants - Fertiliser")</f>
        <v>Constants - Fertiliser</v>
      </c>
      <c r="D62" s="1" t="s">
        <v>3146</v>
      </c>
      <c r="E62" s="19">
        <v>0.14000000000000001</v>
      </c>
    </row>
    <row r="63" spans="1:7" ht="20.100000000000001" customHeight="1" x14ac:dyDescent="0.2">
      <c r="A63" s="5" t="str">
        <f>HYPERLINK("#'Constants - Fuel'!A1", "Constants - Fuel")</f>
        <v>Constants - Fuel</v>
      </c>
      <c r="D63" s="1" t="s">
        <v>3147</v>
      </c>
      <c r="E63" s="19">
        <v>0.72</v>
      </c>
    </row>
    <row r="64" spans="1:7" ht="20.100000000000001" customHeight="1" x14ac:dyDescent="0.2">
      <c r="A64" s="5" t="str">
        <f>HYPERLINK("#'Constants - Scope 3'!A1", "Constants - Scope 3")</f>
        <v>Constants - Scope 3</v>
      </c>
      <c r="D64" s="1" t="s">
        <v>3148</v>
      </c>
      <c r="E64" s="19">
        <v>0.14000000000000001</v>
      </c>
    </row>
    <row r="65" spans="1:5" ht="20.100000000000001" customHeight="1" x14ac:dyDescent="0.2">
      <c r="A65" s="5" t="str">
        <f>HYPERLINK("#'Constants - Common'!A1", "Constants - Common")</f>
        <v>Constants - Common</v>
      </c>
      <c r="D65" s="1" t="s">
        <v>3149</v>
      </c>
      <c r="E65" s="19">
        <v>0.42</v>
      </c>
    </row>
    <row r="66" spans="1:5" ht="20.100000000000001" customHeight="1" x14ac:dyDescent="0.2">
      <c r="A66" s="5" t="str">
        <f>HYPERLINK("#'Constants - Refrigerants'!A1", "Constants - Refrigerants")</f>
        <v>Constants - Refrigerants</v>
      </c>
      <c r="D66" s="1" t="s">
        <v>3150</v>
      </c>
      <c r="E66" s="19">
        <v>0.36</v>
      </c>
    </row>
    <row r="67" spans="1:5" ht="20.100000000000001" customHeight="1" x14ac:dyDescent="0.2">
      <c r="A67" s="83" t="str">
        <f>HYPERLINK("#'Constants - Solid Waste'!A1", "Constants - Solid Waste")</f>
        <v>Constants - Solid Waste</v>
      </c>
      <c r="D67" s="1" t="s">
        <v>3151</v>
      </c>
      <c r="E67" s="19">
        <v>0.33</v>
      </c>
    </row>
    <row r="68" spans="1:5" ht="20.100000000000001" customHeight="1" x14ac:dyDescent="0.2">
      <c r="A68" s="5" t="str">
        <f>HYPERLINK("#'Acknowledgements'!A1", "Acknowledgements")</f>
        <v>Acknowledgements</v>
      </c>
      <c r="D68" s="1" t="s">
        <v>3152</v>
      </c>
      <c r="E68" s="19">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DB6B6-17A1-4910-B750-612358569E87}">
  <sheetPr>
    <tabColor theme="2" tint="-0.499984740745262"/>
  </sheetPr>
  <dimension ref="A1:A68"/>
  <sheetViews>
    <sheetView zoomScaleNormal="100" workbookViewId="0">
      <pane xSplit="1" topLeftCell="B1" activePane="topRight" state="frozenSplit"/>
      <selection pane="topRight" activeCell="A68" sqref="A68"/>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5"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6" spans="1:1" ht="20.100000000000001" customHeight="1" x14ac:dyDescent="0.2">
      <c r="A6" s="5" t="str">
        <f>HYPERLINK("#'Results'!A1", "Results")</f>
        <v>Results</v>
      </c>
    </row>
    <row r="9" spans="1:1" ht="20.100000000000001" customHeight="1" x14ac:dyDescent="0.2">
      <c r="A9" s="7" t="s">
        <v>0</v>
      </c>
    </row>
    <row r="10" spans="1:1" ht="20.100000000000001" customHeight="1" x14ac:dyDescent="0.2">
      <c r="A10" s="5" t="str">
        <f>HYPERLINK("#'Input - Enterprise'!A1", "Enterprise")</f>
        <v>Enterprise</v>
      </c>
    </row>
    <row r="11" spans="1:1" ht="20.100000000000001" customHeight="1" x14ac:dyDescent="0.2">
      <c r="A11" s="5" t="str">
        <f>HYPERLINK("#'Input - Site'!A1", "Site")</f>
        <v>Site</v>
      </c>
    </row>
    <row r="12" spans="1:1" ht="20.100000000000001" customHeight="1" x14ac:dyDescent="0.2">
      <c r="A12" s="5" t="str">
        <f>HYPERLINK("#'Input - Dairy'!A1", "Dairy")</f>
        <v>Dairy</v>
      </c>
    </row>
    <row r="13" spans="1:1" ht="20.100000000000001" customHeight="1" x14ac:dyDescent="0.2">
      <c r="A13" s="5" t="str">
        <f>HYPERLINK("#'Input - Livestock sales'!A1", "Livestock sales")</f>
        <v>Livestock sales</v>
      </c>
    </row>
    <row r="14" spans="1:1" ht="20.100000000000001" customHeight="1" x14ac:dyDescent="0.2">
      <c r="A14" s="5" t="str">
        <f>HYPERLINK("#'Input - Dairy cattle purchases'!A1", "Dairy cattle purchases")</f>
        <v>Dairy cattle purchases</v>
      </c>
    </row>
    <row r="15" spans="1:1" ht="20.100000000000001" customHeight="1" x14ac:dyDescent="0.2">
      <c r="A15" s="5" t="str">
        <f>HYPERLINK("#'Input - Pasture'!A1", "Pasture")</f>
        <v>Pasture</v>
      </c>
    </row>
    <row r="16" spans="1:1" ht="20.100000000000001" customHeight="1" x14ac:dyDescent="0.2">
      <c r="A16" s="5" t="str">
        <f>HYPERLINK("#'Input - Fert Prod System'!A1", "Fert Prod System")</f>
        <v>Fert Prod System</v>
      </c>
    </row>
    <row r="17" spans="1:1" ht="20.100000000000001" customHeight="1" x14ac:dyDescent="0.2">
      <c r="A17" s="5" t="str">
        <f>HYPERLINK("#'Input - Fertiliser'!A1", "Fertiliser")</f>
        <v>Fertiliser</v>
      </c>
    </row>
    <row r="18" spans="1:1" ht="20.100000000000001" customHeight="1" x14ac:dyDescent="0.2">
      <c r="A18" s="5" t="str">
        <f>HYPERLINK("#'Input - Fuel'!A1", "Fuel")</f>
        <v>Fuel</v>
      </c>
    </row>
    <row r="19" spans="1:1" ht="20.100000000000001" customHeight="1" x14ac:dyDescent="0.2">
      <c r="A19" s="5" t="str">
        <f>HYPERLINK("#'Input - Electricity'!A1", "Electricity")</f>
        <v>Electricity</v>
      </c>
    </row>
    <row r="20" spans="1:1" ht="20.100000000000001" customHeight="1" x14ac:dyDescent="0.2">
      <c r="A20" s="5" t="str">
        <f>HYPERLINK("#'Input - Common farm inputs'!A1", "Common farm inputs")</f>
        <v>Common farm inputs</v>
      </c>
    </row>
    <row r="21" spans="1:1" ht="20.100000000000001" customHeight="1" x14ac:dyDescent="0.2">
      <c r="A21" s="5" t="str">
        <f>HYPERLINK("#'Input - Crop pasture farm input'!A1", "Crop pasture farm input")</f>
        <v>Crop pasture farm input</v>
      </c>
    </row>
    <row r="22" spans="1:1" ht="20.100000000000001" customHeight="1" x14ac:dyDescent="0.2">
      <c r="A22" s="5" t="str">
        <f>HYPERLINK("#'Input - Livestock farm Inputs'!A1", "Livestock farm Inputs")</f>
        <v>Livestock farm Inputs</v>
      </c>
    </row>
    <row r="23" spans="1:1" ht="20.100000000000001" customHeight="1" x14ac:dyDescent="0.2">
      <c r="A23" s="5" t="str">
        <f>HYPERLINK("#'Input - Freight'!A1", "Freight")</f>
        <v>Freight</v>
      </c>
    </row>
    <row r="24" spans="1:1" ht="20.100000000000001" customHeight="1" x14ac:dyDescent="0.2">
      <c r="A24" s="5" t="str">
        <f>HYPERLINK("#'Input - Solid waste'!A1", "Solid waste")</f>
        <v>Solid waste</v>
      </c>
    </row>
    <row r="25" spans="1:1" ht="20.100000000000001" customHeight="1" x14ac:dyDescent="0.2">
      <c r="A25" s="5" t="str">
        <f>HYPERLINK("#'Input - Manure sent off-site'!A1", "Manure sent off-site")</f>
        <v>Manure sent off-site</v>
      </c>
    </row>
    <row r="26" spans="1:1" ht="20.100000000000001" customHeight="1" x14ac:dyDescent="0.2">
      <c r="A26" s="5" t="str">
        <f>HYPERLINK("#'Input - Refrigerants'!A1", "Refrigerants")</f>
        <v>Refrigerants</v>
      </c>
    </row>
    <row r="27" spans="1:1" ht="20.100000000000001" customHeight="1" x14ac:dyDescent="0.2">
      <c r="A27" s="5" t="str">
        <f>HYPERLINK("#'Input - Data quality'!A1", "Data quality")</f>
        <v>Data quality</v>
      </c>
    </row>
    <row r="30" spans="1:1" ht="20.100000000000001" customHeight="1" x14ac:dyDescent="0.2">
      <c r="A30" s="6" t="s">
        <v>2</v>
      </c>
    </row>
    <row r="31" spans="1:1" ht="20.100000000000001" customHeight="1" x14ac:dyDescent="0.2">
      <c r="A31" s="5" t="str">
        <f>HYPERLINK("#'3.3.1.1-2 Enteric Methane'!A1", "3.3.1.1-2 Enteric methane")</f>
        <v>3.3.1.1-2 Enteric methane</v>
      </c>
    </row>
    <row r="32" spans="1:1" ht="20.100000000000001" customHeight="1" x14ac:dyDescent="0.2">
      <c r="A32" s="5" t="str">
        <f>HYPERLINK("#'4.3.1.1-2 Methane'!A1", "4.3.1.1-2 Manure methane")</f>
        <v>4.3.1.1-2 Manure methane</v>
      </c>
    </row>
    <row r="33" spans="1:1" ht="20.100000000000001" customHeight="1" x14ac:dyDescent="0.2">
      <c r="A33" s="5" t="str">
        <f>HYPERLINK("#'4.3.1.3-4 Direct N20'!A1", "4.3.1.3-4 Direct N20")</f>
        <v>4.3.1.3-4 Direct N20</v>
      </c>
    </row>
    <row r="34" spans="1:1" ht="20.100000000000001" customHeight="1" x14ac:dyDescent="0.2">
      <c r="A34" s="5" t="str">
        <f>HYPERLINK("#'4.3.1.5 Atmos deposition'!A1", "4.3.1.5 Atmos deposition")</f>
        <v>4.3.1.5 Atmos deposition</v>
      </c>
    </row>
    <row r="35" spans="1:1" ht="20.100000000000001" customHeight="1" x14ac:dyDescent="0.2">
      <c r="A35" s="5" t="str">
        <f>HYPERLINK("#'4.3.1.6-7 Leaching and runoff'!A1", "4.3.1.6-7 Leaching &amp; runoff")</f>
        <v>4.3.1.6-7 Leaching &amp; runoff</v>
      </c>
    </row>
    <row r="36" spans="1:1" ht="20.100000000000001" customHeight="1" x14ac:dyDescent="0.2">
      <c r="A36" s="5" t="str">
        <f>HYPERLINK("#'4.3.1.8 Manure applied to soils'!A1", "4.3.1.8 Manure applied to soils")</f>
        <v>4.3.1.8 Manure applied to soils</v>
      </c>
    </row>
    <row r="37" spans="1:1" ht="20.100000000000001" customHeight="1" x14ac:dyDescent="0.2">
      <c r="A37" s="5" t="str">
        <f>HYPERLINK("#'4.3.1.9 Soil direct N2O'!A1", "4.3.1.9 Soil direct N2O")</f>
        <v>4.3.1.9 Soil direct N2O</v>
      </c>
    </row>
    <row r="38" spans="1:1" ht="20.100000000000001" customHeight="1" x14ac:dyDescent="0.2">
      <c r="A38" s="5" t="str">
        <f>HYPERLINK("#'4.3.1.10-11 Soil Atmos Dep'!A1", "4.3.1.10-11 Soil Atmos Deposition")</f>
        <v>4.3.1.10-11 Soil Atmos Deposition</v>
      </c>
    </row>
    <row r="39" spans="1:1" ht="20.100000000000001" customHeight="1" x14ac:dyDescent="0.2">
      <c r="A39" s="5" t="str">
        <f>HYPERLINK("#'4.3.1.12-13 Soil leach runoff'!A1", "4.3.1.12-13 Soil leach &amp; runoff")</f>
        <v>4.3.1.12-13 Soil leach &amp; runoff</v>
      </c>
    </row>
    <row r="40" spans="1:1" ht="20.100000000000001" customHeight="1" x14ac:dyDescent="0.2">
      <c r="A40" s="5" t="str">
        <f>HYPERLINK("#'5.1.1.1-2 Inorganic fert N2O'!A1", "5.1.1.1-2 Inorganic fert N2O")</f>
        <v>5.1.1.1-2 Inorganic fert N2O</v>
      </c>
    </row>
    <row r="41" spans="1:1" ht="20.100000000000001" customHeight="1" x14ac:dyDescent="0.2">
      <c r="A41" s="5" t="str">
        <f>HYPERLINK("#'5.1.1.3-4 Inorganic fert CO2'!A1", "5.1.1.3-4 Inorganic fert CO2")</f>
        <v>5.1.1.3-4 Inorganic fert CO2</v>
      </c>
    </row>
    <row r="42" spans="1:1" ht="20.100000000000001" customHeight="1" x14ac:dyDescent="0.2">
      <c r="A42" s="5" t="str">
        <f>HYPERLINK("#'5.2.1.1-2 Organic Fert N2O'!A1", "5.2.1.1-2 Organic fert N2O")</f>
        <v>5.2.1.1-2 Organic fert N2O</v>
      </c>
    </row>
    <row r="43" spans="1:1" ht="20.100000000000001" customHeight="1" x14ac:dyDescent="0.2">
      <c r="A43" s="5" t="str">
        <f>HYPERLINK("#'5.3.1.1-2 Lime CO2'!A1", "5.3.1.1-2 Lime CO2")</f>
        <v>5.3.1.1-2 Lime CO2</v>
      </c>
    </row>
    <row r="44" spans="1:1" ht="20.100000000000001" customHeight="1" x14ac:dyDescent="0.2">
      <c r="A44" s="5" t="str">
        <f>HYPERLINK("#'5.4.1.1-4 Atmos deposition'!A1", "5.4.1.1-4 Atmos. deposition")</f>
        <v>5.4.1.1-4 Atmos. deposition</v>
      </c>
    </row>
    <row r="45" spans="1:1" ht="20.100000000000001" customHeight="1" x14ac:dyDescent="0.2">
      <c r="A45" s="5" t="str">
        <f>HYPERLINK("#'5.5.1.1-2 Leaching and runoff'!A1", "5.5.1.1-2 Leaching &amp; runoff")</f>
        <v>5.5.1.1-2 Leaching &amp; runoff</v>
      </c>
    </row>
    <row r="46" spans="1:1" ht="20.100000000000001" customHeight="1" x14ac:dyDescent="0.2">
      <c r="A46" s="5" t="str">
        <f>HYPERLINK("#'6.2.1.1-2 Pasture residue N2O'!A1", "6.2.1.1-2 Pasture residue N2O")</f>
        <v>6.2.1.1-2 Pasture residue N2O</v>
      </c>
    </row>
    <row r="47" spans="1:1" ht="20.100000000000001" customHeight="1" x14ac:dyDescent="0.2">
      <c r="A47" s="5" t="str">
        <f>HYPERLINK("#'6.3.1.1-2 Leach runoff pasture'!A1", "6.3.1.1-2 Leach &amp; runoff (pasture)")</f>
        <v>6.3.1.1-2 Leach &amp; runoff (pasture)</v>
      </c>
    </row>
    <row r="48" spans="1:1" ht="20.100000000000001" customHeight="1" x14ac:dyDescent="0.2">
      <c r="A48" s="5" t="str">
        <f>HYPERLINK("#'8.1.1.1-2 Transport fuel'!A1", "8.1.1.1-2 Transport fuel")</f>
        <v>8.1.1.1-2 Transport fuel</v>
      </c>
    </row>
    <row r="49" spans="1:1" ht="20.100000000000001" customHeight="1" x14ac:dyDescent="0.2">
      <c r="A49" s="5" t="str">
        <f>HYPERLINK("#'8.2.1.1-2 Stationary fuel'!A1", "8.2.1.1-2 Stationary fuel")</f>
        <v>8.2.1.1-2 Stationary fuel</v>
      </c>
    </row>
    <row r="50" spans="1:1" ht="20.100000000000001" customHeight="1" x14ac:dyDescent="0.2">
      <c r="A50" s="5" t="str">
        <f>HYPERLINK("#'9.1.1.1-2 Refrigerant use'!A1", "9.1.1.1-2 Refrigerant use")</f>
        <v>9.1.1.1-2 Refrigerant use</v>
      </c>
    </row>
    <row r="51" spans="1:1" ht="20.100000000000001" customHeight="1" x14ac:dyDescent="0.2">
      <c r="A51" s="5" t="str">
        <f>HYPERLINK("#'10.1.1-2 Solid waste treatment'!A1", "10.1.1.1-2 Solid waste")</f>
        <v>10.1.1.1-2 Solid waste</v>
      </c>
    </row>
    <row r="52" spans="1:1" ht="20.100000000000001" customHeight="1" x14ac:dyDescent="0.2">
      <c r="A52" s="5" t="str">
        <f>HYPERLINK("#'14.1.1-2 Purchased electricity'!A1", "14.1.1-2 Purchased electricity")</f>
        <v>14.1.1-2 Purchased electricity</v>
      </c>
    </row>
    <row r="53" spans="1:1" ht="20.100000000000001" customHeight="1" x14ac:dyDescent="0.2">
      <c r="A53" s="5" t="str">
        <f>HYPERLINK("#'15 Scope 3'!A1", "15 Scope 3")</f>
        <v>15 Scope 3</v>
      </c>
    </row>
    <row r="54" spans="1:1" ht="20.100000000000001" customHeight="1" x14ac:dyDescent="0.2">
      <c r="A54" s="5" t="str">
        <f>HYPERLINK("#'Calcs - Manure sent off-site'!A1", "Calcs - Manure sent off-site")</f>
        <v>Calcs - Manure sent off-site</v>
      </c>
    </row>
    <row r="57" spans="1:1" ht="20.100000000000001" customHeight="1" x14ac:dyDescent="0.2">
      <c r="A57" s="82" t="s">
        <v>1</v>
      </c>
    </row>
    <row r="58" spans="1:1" ht="20.100000000000001" customHeight="1" x14ac:dyDescent="0.2">
      <c r="A58" s="5" t="str">
        <f>HYPERLINK("#'Constants - Dairy'!A1", "Constants - Dairy")</f>
        <v>Constants - Dairy</v>
      </c>
    </row>
    <row r="59" spans="1:1" ht="20.100000000000001" customHeight="1" x14ac:dyDescent="0.2">
      <c r="A59" s="5" t="str">
        <f>HYPERLINK("#'Constants - Ag Residue'!A1", "Constants - Ag residue")</f>
        <v>Constants - Ag residue</v>
      </c>
    </row>
    <row r="60" spans="1:1" ht="20.100000000000001" customHeight="1" x14ac:dyDescent="0.2">
      <c r="A60" s="5" t="str">
        <f>HYPERLINK("#'Constants - Common Livestock'!A1", "Constants - Common Livestock")</f>
        <v>Constants - Common Livestock</v>
      </c>
    </row>
    <row r="61" spans="1:1" ht="20.100000000000001" customHeight="1" x14ac:dyDescent="0.2">
      <c r="A61" s="5" t="str">
        <f>HYPERLINK("#'Constants - Electricity'!A1", "Constants - Electricity")</f>
        <v>Constants - Electricity</v>
      </c>
    </row>
    <row r="62" spans="1:1" ht="20.100000000000001" customHeight="1" x14ac:dyDescent="0.2">
      <c r="A62" s="5" t="str">
        <f>HYPERLINK("#'Constants - Fertiliser'!A1", "Constants - Fertiliser")</f>
        <v>Constants - Fertiliser</v>
      </c>
    </row>
    <row r="63" spans="1:1" ht="20.100000000000001" customHeight="1" x14ac:dyDescent="0.2">
      <c r="A63" s="5" t="str">
        <f>HYPERLINK("#'Constants - Fuel'!A1", "Constants - Fuel")</f>
        <v>Constants - Fuel</v>
      </c>
    </row>
    <row r="64" spans="1:1" ht="20.100000000000001" customHeight="1" x14ac:dyDescent="0.2">
      <c r="A64" s="5" t="str">
        <f>HYPERLINK("#'Constants - Scope 3'!A1", "Constants - Scope 3")</f>
        <v>Constants - Scope 3</v>
      </c>
    </row>
    <row r="65" spans="1:1" ht="20.100000000000001" customHeight="1" x14ac:dyDescent="0.2">
      <c r="A65" s="5" t="str">
        <f>HYPERLINK("#'Constants - Common'!A1", "Constants - Common")</f>
        <v>Constants - Common</v>
      </c>
    </row>
    <row r="66" spans="1:1" ht="20.100000000000001" customHeight="1" x14ac:dyDescent="0.2">
      <c r="A66" s="5" t="str">
        <f>HYPERLINK("#'Constants - Refrigerants'!A1", "Constants - Refrigerants")</f>
        <v>Constants - Refrigerants</v>
      </c>
    </row>
    <row r="67" spans="1:1" ht="20.100000000000001" customHeight="1" x14ac:dyDescent="0.2">
      <c r="A67" s="5" t="str">
        <f>HYPERLINK("#'Constants - Solid Waste'!A1", "Constants - Solid Waste")</f>
        <v>Constants - Solid Waste</v>
      </c>
    </row>
    <row r="68" spans="1:1" ht="20.100000000000001" customHeight="1" x14ac:dyDescent="0.2">
      <c r="A68" s="83" t="str">
        <f>HYPERLINK("#'Acknowledgements'!A1", "Acknowledgements")</f>
        <v>Acknowledgements</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532C-8540-44E5-8090-E452C3E8BF20}">
  <sheetPr>
    <tabColor rgb="FFCC6600"/>
  </sheetPr>
  <dimension ref="A1:M83"/>
  <sheetViews>
    <sheetView showGridLines="0" tabSelected="1" zoomScaleNormal="100" workbookViewId="0">
      <pane xSplit="1" topLeftCell="B1" activePane="topRight" state="frozenSplit"/>
      <selection pane="topRight" activeCell="B1" sqref="B1"/>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7" width="47"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186</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2" t="s">
        <v>282</v>
      </c>
    </row>
    <row r="6" spans="1:13" ht="20.100000000000001" customHeight="1" x14ac:dyDescent="0.2">
      <c r="A6" s="5" t="str">
        <f>HYPERLINK("#'Results'!A1", "Results")</f>
        <v>Results</v>
      </c>
    </row>
    <row r="7" spans="1:13" ht="20.100000000000001" customHeight="1" x14ac:dyDescent="0.2">
      <c r="D7" s="81" t="s">
        <v>283</v>
      </c>
      <c r="E7" s="81" t="s">
        <v>284</v>
      </c>
      <c r="F7" s="81" t="s">
        <v>285</v>
      </c>
      <c r="G7" s="81" t="s">
        <v>286</v>
      </c>
      <c r="H7" s="81" t="s">
        <v>187</v>
      </c>
      <c r="I7" s="81" t="s">
        <v>188</v>
      </c>
      <c r="J7" s="81" t="s">
        <v>189</v>
      </c>
    </row>
    <row r="8" spans="1:13" ht="20.100000000000001" customHeight="1" x14ac:dyDescent="0.2">
      <c r="D8" s="1" t="str">
        <f>"Milk produced"</f>
        <v>Milk produced</v>
      </c>
      <c r="E8" s="13"/>
      <c r="F8" s="13"/>
      <c r="G8" s="13"/>
      <c r="H8" s="96"/>
      <c r="I8" s="96"/>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9" spans="1:13" ht="20.100000000000001" customHeight="1" x14ac:dyDescent="0.2">
      <c r="A9" s="7" t="s">
        <v>0</v>
      </c>
      <c r="D9" s="1" t="str">
        <f>"Milk sold"</f>
        <v>Milk sold</v>
      </c>
      <c r="E9" s="13"/>
      <c r="F9" s="13"/>
      <c r="G9" s="13"/>
      <c r="H9" s="96"/>
      <c r="I9" s="96"/>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ht="20.100000000000001" customHeight="1" x14ac:dyDescent="0.2">
      <c r="A10" s="5" t="str">
        <f>HYPERLINK("#'Input - Enterprise'!A1", "Enterprise")</f>
        <v>Enterprise</v>
      </c>
      <c r="D10" s="1" t="str">
        <f>"Liveweight sold"</f>
        <v>Liveweight sold</v>
      </c>
      <c r="E10" s="13" t="s">
        <v>287</v>
      </c>
      <c r="F10" s="13" t="s">
        <v>288</v>
      </c>
      <c r="G10" s="13" t="s">
        <v>289</v>
      </c>
      <c r="H10" s="96"/>
      <c r="I10" s="96"/>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11" spans="1:13" ht="20.100000000000001" customHeight="1" x14ac:dyDescent="0.2">
      <c r="A11" s="5" t="str">
        <f>HYPERLINK("#'Input - Site'!A1", "Site")</f>
        <v>Site</v>
      </c>
      <c r="D11" s="1" t="str">
        <f>"Manure produced"</f>
        <v>Manure produced</v>
      </c>
      <c r="E11" s="13" t="s">
        <v>293</v>
      </c>
      <c r="F11" s="13" t="s">
        <v>294</v>
      </c>
      <c r="G11" s="13" t="s">
        <v>292</v>
      </c>
      <c r="H11" s="96"/>
      <c r="I11" s="96"/>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2" spans="1:13" ht="20.100000000000001" customHeight="1" x14ac:dyDescent="0.2">
      <c r="A12" s="5" t="str">
        <f>HYPERLINK("#'Input - Dairy'!A1", "Dairy")</f>
        <v>Dairy</v>
      </c>
      <c r="D12" s="1" t="str">
        <f>"Manure sold"</f>
        <v>Manure sold</v>
      </c>
      <c r="E12" s="13" t="s">
        <v>295</v>
      </c>
      <c r="F12" s="13" t="s">
        <v>296</v>
      </c>
      <c r="G12" s="13" t="s">
        <v>297</v>
      </c>
      <c r="H12" s="96"/>
      <c r="I12" s="96"/>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3" spans="1:13" ht="20.100000000000001" customHeight="1" x14ac:dyDescent="0.2">
      <c r="A13" s="5" t="str">
        <f>HYPERLINK("#'Input - Livestock sales'!A1", "Livestock sales")</f>
        <v>Livestock sales</v>
      </c>
      <c r="D13" s="1" t="str">
        <f>"Percent income from milk sold"</f>
        <v>Percent income from milk sold</v>
      </c>
      <c r="E13" s="13"/>
      <c r="F13" s="13"/>
      <c r="G13" s="13"/>
      <c r="H13" s="96"/>
      <c r="I13" s="96"/>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1:13" ht="20.100000000000001" customHeight="1" x14ac:dyDescent="0.2">
      <c r="A14" s="5" t="str">
        <f>HYPERLINK("#'Input - Dairy cattle purchases'!A1", "Dairy cattle purchases")</f>
        <v>Dairy cattle purchases</v>
      </c>
      <c r="D14" s="1" t="str">
        <f>"Percent income from liveweight sold"</f>
        <v>Percent income from liveweight sold</v>
      </c>
      <c r="E14" s="13" t="s">
        <v>298</v>
      </c>
      <c r="F14" s="13" t="s">
        <v>299</v>
      </c>
      <c r="G14" s="13" t="s">
        <v>300</v>
      </c>
      <c r="H14" s="96"/>
      <c r="I14" s="96"/>
      <c r="J14"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5" spans="1:13" ht="20.100000000000001" customHeight="1" x14ac:dyDescent="0.2">
      <c r="A15" s="5" t="str">
        <f>HYPERLINK("#'Input - Pasture'!A1", "Pasture")</f>
        <v>Pasture</v>
      </c>
      <c r="D15" s="1" t="str">
        <f>"Percent income from manure sold"</f>
        <v>Percent income from manure sold</v>
      </c>
      <c r="E15" s="13" t="s">
        <v>287</v>
      </c>
      <c r="F15" s="13" t="s">
        <v>291</v>
      </c>
      <c r="G15" s="13" t="s">
        <v>289</v>
      </c>
      <c r="H15" s="96"/>
      <c r="I15" s="96"/>
      <c r="J15"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6" spans="1:13" ht="20.100000000000001" customHeight="1" x14ac:dyDescent="0.2">
      <c r="A16" s="5" t="str">
        <f>HYPERLINK("#'Input - Fert Prod System'!A1", "Fert Prod System")</f>
        <v>Fert Prod System</v>
      </c>
    </row>
    <row r="17" spans="1:10" ht="20.100000000000001" customHeight="1" x14ac:dyDescent="0.2">
      <c r="A17" s="5" t="str">
        <f>HYPERLINK("#'Input - Fertiliser'!A1", "Fertiliser")</f>
        <v>Fertiliser</v>
      </c>
      <c r="J17" s="88">
        <f>SUM(Table_Input_DataQuality_Enterprise[Score])</f>
        <v>48</v>
      </c>
    </row>
    <row r="18" spans="1:10" ht="20.100000000000001" customHeight="1" x14ac:dyDescent="0.2">
      <c r="A18" s="5" t="str">
        <f>HYPERLINK("#'Input - Fuel'!A1", "Fuel")</f>
        <v>Fuel</v>
      </c>
      <c r="D18" s="2" t="s">
        <v>301</v>
      </c>
    </row>
    <row r="19" spans="1:10" ht="20.100000000000001" customHeight="1" x14ac:dyDescent="0.2">
      <c r="A19" s="5" t="str">
        <f>HYPERLINK("#'Input - Electricity'!A1", "Electricity")</f>
        <v>Electricity</v>
      </c>
    </row>
    <row r="20" spans="1:10" ht="20.100000000000001" customHeight="1" x14ac:dyDescent="0.2">
      <c r="A20" s="5" t="str">
        <f>HYPERLINK("#'Input - Common farm inputs'!A1", "Common farm inputs")</f>
        <v>Common farm inputs</v>
      </c>
      <c r="D20" s="81" t="s">
        <v>283</v>
      </c>
      <c r="E20" s="81" t="s">
        <v>284</v>
      </c>
      <c r="F20" s="81" t="s">
        <v>285</v>
      </c>
      <c r="G20" s="81" t="s">
        <v>286</v>
      </c>
      <c r="H20" s="81" t="s">
        <v>187</v>
      </c>
      <c r="I20" s="81" t="s">
        <v>188</v>
      </c>
      <c r="J20" s="81" t="s">
        <v>189</v>
      </c>
    </row>
    <row r="21" spans="1:10" ht="20.100000000000001" customHeight="1" x14ac:dyDescent="0.2">
      <c r="A21" s="5" t="str">
        <f>HYPERLINK("#'Input - Crop pasture farm input'!A1", "Crop pasture farm input")</f>
        <v>Crop pasture farm input</v>
      </c>
      <c r="D21" s="1" t="str">
        <f>"Leaching zone"</f>
        <v>Leaching zone</v>
      </c>
      <c r="E21" s="13" t="s">
        <v>290</v>
      </c>
      <c r="F21" s="13" t="s">
        <v>294</v>
      </c>
      <c r="G21" s="13" t="s">
        <v>289</v>
      </c>
      <c r="H21" s="96"/>
      <c r="I21" s="96"/>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ht="20.100000000000001" customHeight="1" x14ac:dyDescent="0.2">
      <c r="A22" s="5" t="str">
        <f>HYPERLINK("#'Input - Livestock farm Inputs'!A1", "Livestock farm Inputs")</f>
        <v>Livestock farm Inputs</v>
      </c>
      <c r="D22" s="1" t="str">
        <f>"Elevation"</f>
        <v>Elevation</v>
      </c>
      <c r="E22" s="13" t="s">
        <v>290</v>
      </c>
      <c r="F22" s="13" t="s">
        <v>294</v>
      </c>
      <c r="G22" s="13" t="s">
        <v>289</v>
      </c>
      <c r="H22" s="96"/>
      <c r="I22" s="96"/>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ht="20.100000000000001" customHeight="1" x14ac:dyDescent="0.2">
      <c r="A23" s="5" t="str">
        <f>HYPERLINK("#'Input - Freight'!A1", "Freight")</f>
        <v>Freight</v>
      </c>
      <c r="D23" s="1" t="str">
        <f>"Average temperature for reporting period"</f>
        <v>Average temperature for reporting period</v>
      </c>
      <c r="E23" s="13" t="s">
        <v>290</v>
      </c>
      <c r="F23" s="13" t="s">
        <v>294</v>
      </c>
      <c r="G23" s="13" t="s">
        <v>289</v>
      </c>
      <c r="H23" s="96"/>
      <c r="I23" s="96"/>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1:10" ht="20.100000000000001" customHeight="1" x14ac:dyDescent="0.2">
      <c r="A24" s="5" t="str">
        <f>HYPERLINK("#'Input - Solid waste'!A1", "Solid waste")</f>
        <v>Solid waste</v>
      </c>
      <c r="D24" s="1" t="str">
        <f>"Total rainfall for reporting period"</f>
        <v>Total rainfall for reporting period</v>
      </c>
      <c r="E24" s="13" t="s">
        <v>287</v>
      </c>
      <c r="F24" s="13" t="s">
        <v>291</v>
      </c>
      <c r="G24" s="13" t="s">
        <v>289</v>
      </c>
      <c r="H24" s="96"/>
      <c r="I24" s="96"/>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5" spans="1:10" ht="20.100000000000001" customHeight="1" x14ac:dyDescent="0.2">
      <c r="A25" s="5" t="str">
        <f>HYPERLINK("#'Input - Manure sent off-site'!A1", "Manure sent off-site")</f>
        <v>Manure sent off-site</v>
      </c>
      <c r="D25" s="1" t="str">
        <f>"Potential evapotranspiration for reporting period"</f>
        <v>Potential evapotranspiration for reporting period</v>
      </c>
      <c r="E25" s="13" t="s">
        <v>290</v>
      </c>
      <c r="F25" s="13" t="s">
        <v>294</v>
      </c>
      <c r="G25" s="13" t="s">
        <v>289</v>
      </c>
      <c r="H25" s="96"/>
      <c r="I25" s="96"/>
      <c r="J25"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6" spans="1:10" ht="20.100000000000001" customHeight="1" x14ac:dyDescent="0.2">
      <c r="A26" s="5" t="str">
        <f>HYPERLINK("#'Input - Refrigerants'!A1", "Refrigerants")</f>
        <v>Refrigerants</v>
      </c>
      <c r="D26" s="1" t="str">
        <f>"Number of frost days for reporting period"</f>
        <v>Number of frost days for reporting period</v>
      </c>
      <c r="E26" s="97" t="s">
        <v>293</v>
      </c>
      <c r="F26" s="97" t="s">
        <v>294</v>
      </c>
      <c r="G26" s="97" t="s">
        <v>289</v>
      </c>
      <c r="H26" s="96"/>
      <c r="I26" s="96"/>
      <c r="J26"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7" spans="1:10" ht="20.100000000000001" customHeight="1" x14ac:dyDescent="0.2">
      <c r="A27" s="100" t="str">
        <f>HYPERLINK("#'Input - Data quality'!A1", "Data quality")</f>
        <v>Data quality</v>
      </c>
    </row>
    <row r="28" spans="1:10" ht="20.100000000000001" customHeight="1" x14ac:dyDescent="0.2">
      <c r="J28" s="88">
        <f>SUM(Table_Input_DataQuality_Site[Score])</f>
        <v>73</v>
      </c>
    </row>
    <row r="29" spans="1:10" ht="20.100000000000001" customHeight="1" x14ac:dyDescent="0.2">
      <c r="D29" s="2" t="s">
        <v>308</v>
      </c>
    </row>
    <row r="30" spans="1:10" ht="20.100000000000001" customHeight="1" x14ac:dyDescent="0.2">
      <c r="A30" s="6" t="s">
        <v>2</v>
      </c>
    </row>
    <row r="31" spans="1:10" ht="20.100000000000001" customHeight="1" x14ac:dyDescent="0.2">
      <c r="A31" s="5" t="str">
        <f>HYPERLINK("#'3.3.1.1-2 Enteric Methane'!A1", "3.3.1.1-2 Enteric methane")</f>
        <v>3.3.1.1-2 Enteric methane</v>
      </c>
      <c r="D31" s="81" t="s">
        <v>283</v>
      </c>
      <c r="E31" s="81" t="s">
        <v>284</v>
      </c>
      <c r="F31" s="81" t="s">
        <v>285</v>
      </c>
      <c r="G31" s="81" t="s">
        <v>286</v>
      </c>
      <c r="H31" s="81" t="s">
        <v>187</v>
      </c>
      <c r="I31" s="81" t="s">
        <v>188</v>
      </c>
      <c r="J31" s="81" t="s">
        <v>189</v>
      </c>
    </row>
    <row r="32" spans="1:10" ht="20.100000000000001" customHeight="1" x14ac:dyDescent="0.2">
      <c r="A32" s="5" t="str">
        <f>HYPERLINK("#'4.3.1.1-2 Methane'!A1", "4.3.1.1-2 Manure methane")</f>
        <v>4.3.1.1-2 Manure methane</v>
      </c>
      <c r="D32" s="1" t="str">
        <f>"Cattle breed"</f>
        <v>Cattle breed</v>
      </c>
      <c r="E32" s="13" t="s">
        <v>287</v>
      </c>
      <c r="F32" s="13" t="s">
        <v>291</v>
      </c>
      <c r="G32" s="13" t="s">
        <v>289</v>
      </c>
      <c r="H32" s="96"/>
      <c r="I32" s="96"/>
      <c r="J32"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3" spans="1:10" ht="20.100000000000001" customHeight="1" x14ac:dyDescent="0.2">
      <c r="A33" s="5" t="str">
        <f>HYPERLINK("#'4.3.1.3-4 Direct N20'!A1", "4.3.1.3-4 Direct N20")</f>
        <v>4.3.1.3-4 Direct N20</v>
      </c>
      <c r="D33" s="1" t="str">
        <f>"Head count"</f>
        <v>Head count</v>
      </c>
      <c r="E33" s="13" t="s">
        <v>287</v>
      </c>
      <c r="F33" s="13" t="s">
        <v>291</v>
      </c>
      <c r="G33" s="13" t="s">
        <v>292</v>
      </c>
      <c r="H33" s="96"/>
      <c r="I33" s="96"/>
      <c r="J33"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4" spans="1:10" ht="20.100000000000001" customHeight="1" x14ac:dyDescent="0.2">
      <c r="A34" s="5" t="str">
        <f>HYPERLINK("#'4.3.1.5 Atmos deposition'!A1", "4.3.1.5 Atmos deposition")</f>
        <v>4.3.1.5 Atmos deposition</v>
      </c>
      <c r="D34" s="1" t="str">
        <f>"Liveweight"</f>
        <v>Liveweight</v>
      </c>
      <c r="E34" s="13" t="s">
        <v>287</v>
      </c>
      <c r="F34" s="13" t="s">
        <v>291</v>
      </c>
      <c r="G34" s="13" t="s">
        <v>302</v>
      </c>
      <c r="H34" s="96"/>
      <c r="I34" s="96"/>
      <c r="J34"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12</v>
      </c>
    </row>
    <row r="35" spans="1:10" ht="20.100000000000001" customHeight="1" x14ac:dyDescent="0.2">
      <c r="A35" s="5" t="str">
        <f>HYPERLINK("#'4.3.1.6-7 Leaching and runoff'!A1", "4.3.1.6-7 Leaching &amp; runoff")</f>
        <v>4.3.1.6-7 Leaching &amp; runoff</v>
      </c>
      <c r="D35" s="1" t="str">
        <f>"Liveweight gain"</f>
        <v>Liveweight gain</v>
      </c>
      <c r="E35" s="13" t="s">
        <v>287</v>
      </c>
      <c r="F35" s="13" t="s">
        <v>291</v>
      </c>
      <c r="G35" s="13" t="s">
        <v>297</v>
      </c>
      <c r="H35" s="96"/>
      <c r="I35" s="96"/>
      <c r="J35"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11</v>
      </c>
    </row>
    <row r="36" spans="1:10" ht="20.100000000000001" customHeight="1" x14ac:dyDescent="0.2">
      <c r="A36" s="5" t="str">
        <f>HYPERLINK("#'4.3.1.8 Manure applied to soils'!A1", "4.3.1.8 Manure applied to soils")</f>
        <v>4.3.1.8 Manure applied to soils</v>
      </c>
      <c r="D36" s="1" t="str">
        <f>"Dry matter digestibility of diet"</f>
        <v>Dry matter digestibility of diet</v>
      </c>
      <c r="E36" s="13" t="s">
        <v>287</v>
      </c>
      <c r="F36" s="97" t="s">
        <v>294</v>
      </c>
      <c r="G36" s="97" t="s">
        <v>300</v>
      </c>
      <c r="H36" s="96"/>
      <c r="I36" s="96"/>
      <c r="J36"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7" spans="1:10" ht="20.100000000000001" customHeight="1" x14ac:dyDescent="0.2">
      <c r="A37" s="5" t="str">
        <f>HYPERLINK("#'4.3.1.9 Soil direct N2O'!A1", "4.3.1.9 Soil direct N2O")</f>
        <v>4.3.1.9 Soil direct N2O</v>
      </c>
      <c r="D37" s="1" t="str">
        <f>"Crude protein in diet"</f>
        <v>Crude protein in diet</v>
      </c>
      <c r="E37" s="13" t="s">
        <v>287</v>
      </c>
      <c r="F37" s="97" t="s">
        <v>294</v>
      </c>
      <c r="G37" s="97" t="s">
        <v>300</v>
      </c>
      <c r="H37" s="96"/>
      <c r="I37" s="96"/>
      <c r="J37"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8" spans="1:10" ht="20.100000000000001" customHeight="1" x14ac:dyDescent="0.2">
      <c r="A38" s="5" t="str">
        <f>HYPERLINK("#'4.3.1.10-11 Soil Atmos Dep'!A1", "4.3.1.10-11 Soil Atmos Deposition")</f>
        <v>4.3.1.10-11 Soil Atmos Deposition</v>
      </c>
      <c r="D38" s="1" t="str">
        <f>"Production and manure management systems"</f>
        <v>Production and manure management systems</v>
      </c>
      <c r="E38" s="13" t="s">
        <v>287</v>
      </c>
      <c r="F38" s="97" t="s">
        <v>291</v>
      </c>
      <c r="G38" s="97" t="s">
        <v>289</v>
      </c>
      <c r="H38" s="96"/>
      <c r="I38" s="96"/>
      <c r="J38"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9" spans="1:10" ht="20.100000000000001" customHeight="1" x14ac:dyDescent="0.2">
      <c r="A39" s="5" t="str">
        <f>HYPERLINK("#'4.3.1.12-13 Soil leach runoff'!A1", "4.3.1.12-13 Soil leach &amp; runoff")</f>
        <v>4.3.1.12-13 Soil leach &amp; runoff</v>
      </c>
      <c r="D39" s="1" t="str">
        <f>"Livestock sales"</f>
        <v>Livestock sales</v>
      </c>
      <c r="E39" s="13" t="s">
        <v>287</v>
      </c>
      <c r="F39" s="97" t="s">
        <v>291</v>
      </c>
      <c r="G39" s="97" t="s">
        <v>289</v>
      </c>
      <c r="H39" s="96"/>
      <c r="I39" s="96"/>
      <c r="J39"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0" spans="1:10" ht="20.100000000000001" customHeight="1" x14ac:dyDescent="0.2">
      <c r="A40" s="5" t="str">
        <f>HYPERLINK("#'5.1.1.1-2 Inorganic fert N2O'!A1", "5.1.1.1-2 Inorganic fert N2O")</f>
        <v>5.1.1.1-2 Inorganic fert N2O</v>
      </c>
      <c r="D40" s="1" t="str">
        <f>"Livestock purchases"</f>
        <v>Livestock purchases</v>
      </c>
      <c r="E40" s="13" t="s">
        <v>287</v>
      </c>
      <c r="F40" s="97" t="s">
        <v>291</v>
      </c>
      <c r="G40" s="97" t="s">
        <v>289</v>
      </c>
      <c r="H40" s="96"/>
      <c r="I40" s="96"/>
      <c r="J4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1" spans="1:10" ht="20.100000000000001" customHeight="1" x14ac:dyDescent="0.2">
      <c r="A41" s="5" t="str">
        <f>HYPERLINK("#'5.1.1.3-4 Inorganic fert CO2'!A1", "5.1.1.3-4 Inorganic fert CO2")</f>
        <v>5.1.1.3-4 Inorganic fert CO2</v>
      </c>
    </row>
    <row r="42" spans="1:10" ht="20.100000000000001" customHeight="1" x14ac:dyDescent="0.2">
      <c r="A42" s="5" t="str">
        <f>HYPERLINK("#'5.2.1.1-2 Organic Fert N2O'!A1", "5.2.1.1-2 Organic fert N2O")</f>
        <v>5.2.1.1-2 Organic fert N2O</v>
      </c>
      <c r="J42" s="88">
        <f>SUM(Table_Input_DataQuality_PastureBeef[Score])</f>
        <v>110</v>
      </c>
    </row>
    <row r="43" spans="1:10" ht="20.100000000000001" customHeight="1" x14ac:dyDescent="0.2">
      <c r="A43" s="5" t="str">
        <f>HYPERLINK("#'5.3.1.1-2 Lime CO2'!A1", "5.3.1.1-2 Lime CO2")</f>
        <v>5.3.1.1-2 Lime CO2</v>
      </c>
      <c r="D43" s="2" t="s">
        <v>303</v>
      </c>
    </row>
    <row r="44" spans="1:10" ht="20.100000000000001" customHeight="1" x14ac:dyDescent="0.2">
      <c r="A44" s="5" t="str">
        <f>HYPERLINK("#'5.4.1.1-4 Atmos deposition'!A1", "5.4.1.1-4 Atmos. deposition")</f>
        <v>5.4.1.1-4 Atmos. deposition</v>
      </c>
    </row>
    <row r="45" spans="1:10" ht="20.100000000000001" customHeight="1" x14ac:dyDescent="0.2">
      <c r="A45" s="5" t="str">
        <f>HYPERLINK("#'5.5.1.1-2 Leaching and runoff'!A1", "5.5.1.1-2 Leaching &amp; runoff")</f>
        <v>5.5.1.1-2 Leaching &amp; runoff</v>
      </c>
      <c r="D45" s="81" t="s">
        <v>283</v>
      </c>
      <c r="E45" s="81" t="s">
        <v>284</v>
      </c>
      <c r="F45" s="81" t="s">
        <v>285</v>
      </c>
      <c r="G45" s="81" t="s">
        <v>286</v>
      </c>
      <c r="H45" s="81" t="s">
        <v>187</v>
      </c>
      <c r="I45" s="81" t="s">
        <v>188</v>
      </c>
      <c r="J45" s="81" t="s">
        <v>189</v>
      </c>
    </row>
    <row r="46" spans="1:10" ht="20.100000000000001" customHeight="1" x14ac:dyDescent="0.2">
      <c r="A46" s="5" t="str">
        <f>HYPERLINK("#'6.2.1.1-2 Pasture residue N2O'!A1", "6.2.1.1-2 Pasture residue N2O")</f>
        <v>6.2.1.1-2 Pasture residue N2O</v>
      </c>
      <c r="D46" s="1" t="str">
        <f>"Pasture type"</f>
        <v>Pasture type</v>
      </c>
      <c r="E46" s="13" t="s">
        <v>287</v>
      </c>
      <c r="F46" s="13" t="s">
        <v>291</v>
      </c>
      <c r="G46" s="13" t="s">
        <v>289</v>
      </c>
      <c r="H46" s="96"/>
      <c r="I46" s="96"/>
      <c r="J46"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7" spans="1:10" ht="20.100000000000001" customHeight="1" x14ac:dyDescent="0.2">
      <c r="A47" s="5" t="str">
        <f>HYPERLINK("#'6.3.1.1-2 Leach runoff pasture'!A1", "6.3.1.1-2 Leach &amp; runoff (pasture)")</f>
        <v>6.3.1.1-2 Leach &amp; runoff (pasture)</v>
      </c>
      <c r="D47" s="1" t="str">
        <f>"Irrigation method"</f>
        <v>Irrigation method</v>
      </c>
      <c r="E47" s="13" t="s">
        <v>287</v>
      </c>
      <c r="F47" s="13" t="s">
        <v>291</v>
      </c>
      <c r="G47" s="13" t="s">
        <v>289</v>
      </c>
      <c r="H47" s="96"/>
      <c r="I47" s="96"/>
      <c r="J4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8" spans="1:10" ht="20.100000000000001" customHeight="1" x14ac:dyDescent="0.2">
      <c r="A48" s="5" t="str">
        <f>HYPERLINK("#'8.1.1.1-2 Transport fuel'!A1", "8.1.1.1-2 Transport fuel")</f>
        <v>8.1.1.1-2 Transport fuel</v>
      </c>
      <c r="D48" s="1" t="str">
        <f>"Area under pasture"</f>
        <v>Area under pasture</v>
      </c>
      <c r="E48" s="13" t="s">
        <v>287</v>
      </c>
      <c r="F48" s="13" t="s">
        <v>291</v>
      </c>
      <c r="G48" s="13" t="s">
        <v>289</v>
      </c>
      <c r="H48" s="96"/>
      <c r="I48" s="96"/>
      <c r="J4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9" spans="1:10" ht="20.100000000000001" customHeight="1" x14ac:dyDescent="0.2">
      <c r="A49" s="5" t="str">
        <f>HYPERLINK("#'8.2.1.1-2 Stationary fuel'!A1", "8.2.1.1-2 Stationary fuel")</f>
        <v>8.2.1.1-2 Stationary fuel</v>
      </c>
      <c r="D49" s="1" t="str">
        <f>"Pasture yield"</f>
        <v>Pasture yield</v>
      </c>
      <c r="E49" s="13" t="s">
        <v>287</v>
      </c>
      <c r="F49" s="13" t="s">
        <v>296</v>
      </c>
      <c r="G49" s="13" t="s">
        <v>300</v>
      </c>
      <c r="H49" s="96"/>
      <c r="I49" s="96"/>
      <c r="J4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8</v>
      </c>
    </row>
    <row r="50" spans="1:10" ht="20.100000000000001" customHeight="1" x14ac:dyDescent="0.2">
      <c r="A50" s="5" t="str">
        <f>HYPERLINK("#'9.1.1.1-2 Refrigerant use'!A1", "9.1.1.1-2 Refrigerant use")</f>
        <v>9.1.1.1-2 Refrigerant use</v>
      </c>
      <c r="D50" s="1" t="str">
        <f>"Area of pasture renewed or removed"</f>
        <v>Area of pasture renewed or removed</v>
      </c>
      <c r="E50" s="13" t="s">
        <v>287</v>
      </c>
      <c r="F50" s="13" t="s">
        <v>291</v>
      </c>
      <c r="G50" s="13" t="s">
        <v>289</v>
      </c>
      <c r="H50" s="96"/>
      <c r="I50" s="96"/>
      <c r="J5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1" spans="1:10" ht="20.100000000000001" customHeight="1" x14ac:dyDescent="0.2">
      <c r="A51" s="5" t="str">
        <f>HYPERLINK("#'10.1.1-2 Solid waste treatment'!A1", "10.1.1.1-2 Solid waste")</f>
        <v>10.1.1.1-2 Solid waste</v>
      </c>
    </row>
    <row r="52" spans="1:10" ht="20.100000000000001" customHeight="1" x14ac:dyDescent="0.2">
      <c r="A52" s="5" t="str">
        <f>HYPERLINK("#'14.1.1-2 Purchased electricity'!A1", "14.1.1-2 Purchased electricity")</f>
        <v>14.1.1-2 Purchased electricity</v>
      </c>
      <c r="J52" s="88">
        <f>SUM(Table_Input_DataQuality_PastureManagement[Score])</f>
        <v>64</v>
      </c>
    </row>
    <row r="53" spans="1:10" ht="20.100000000000001" customHeight="1" x14ac:dyDescent="0.2">
      <c r="A53" s="5" t="str">
        <f>HYPERLINK("#'15 Scope 3'!A1", "15 Scope 3")</f>
        <v>15 Scope 3</v>
      </c>
      <c r="D53" s="2" t="s">
        <v>304</v>
      </c>
    </row>
    <row r="54" spans="1:10" ht="20.100000000000001" customHeight="1" x14ac:dyDescent="0.2">
      <c r="A54" s="5" t="str">
        <f>HYPERLINK("#'Calcs - Manure sent off-site'!A1", "Calcs - Manure sent off-site")</f>
        <v>Calcs - Manure sent off-site</v>
      </c>
    </row>
    <row r="55" spans="1:10" ht="20.100000000000001" customHeight="1" x14ac:dyDescent="0.2">
      <c r="D55" s="81" t="s">
        <v>283</v>
      </c>
      <c r="E55" s="81" t="s">
        <v>284</v>
      </c>
      <c r="F55" s="81" t="s">
        <v>285</v>
      </c>
      <c r="G55" s="81" t="s">
        <v>286</v>
      </c>
      <c r="H55" s="81" t="s">
        <v>187</v>
      </c>
      <c r="I55" s="81" t="s">
        <v>188</v>
      </c>
      <c r="J55" s="81" t="s">
        <v>189</v>
      </c>
    </row>
    <row r="56" spans="1:10" ht="20.100000000000001" customHeight="1" x14ac:dyDescent="0.2">
      <c r="D56" s="1" t="str">
        <f>"Branded inorganic fertiliser applications"</f>
        <v>Branded inorganic fertiliser applications</v>
      </c>
      <c r="E56" s="13" t="s">
        <v>287</v>
      </c>
      <c r="F56" s="13" t="s">
        <v>291</v>
      </c>
      <c r="G56" s="13" t="s">
        <v>292</v>
      </c>
      <c r="H56" s="96"/>
      <c r="I56" s="96"/>
      <c r="J56"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57" spans="1:10" ht="20.100000000000001" customHeight="1" x14ac:dyDescent="0.2">
      <c r="A57" s="82" t="s">
        <v>1</v>
      </c>
      <c r="D57" s="1" t="str">
        <f>"Custom inorganic fertiliser blend applications"</f>
        <v>Custom inorganic fertiliser blend applications</v>
      </c>
      <c r="E57" s="13" t="s">
        <v>287</v>
      </c>
      <c r="F57" s="13" t="s">
        <v>291</v>
      </c>
      <c r="G57" s="13" t="s">
        <v>289</v>
      </c>
      <c r="H57" s="96"/>
      <c r="I57" s="96"/>
      <c r="J57"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58" spans="1:10" ht="20.100000000000001" customHeight="1" x14ac:dyDescent="0.2">
      <c r="A58" s="5" t="str">
        <f>HYPERLINK("#'Constants - Dairy'!A1", "Constants - Dairy")</f>
        <v>Constants - Dairy</v>
      </c>
      <c r="D58" s="1" t="str">
        <f>"Lime applications"</f>
        <v>Lime applications</v>
      </c>
      <c r="E58" s="13" t="s">
        <v>287</v>
      </c>
      <c r="F58" s="13" t="s">
        <v>291</v>
      </c>
      <c r="G58" s="13" t="s">
        <v>289</v>
      </c>
      <c r="H58" s="96"/>
      <c r="I58" s="96"/>
      <c r="J58"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59" spans="1:10" ht="20.100000000000001" customHeight="1" x14ac:dyDescent="0.2">
      <c r="A59" s="5" t="str">
        <f>HYPERLINK("#'Constants - Ag Residue'!A1", "Constants - Ag residue")</f>
        <v>Constants - Ag residue</v>
      </c>
      <c r="D59" s="1" t="str">
        <f>"Organic fertiliser applications"</f>
        <v>Organic fertiliser applications</v>
      </c>
      <c r="E59" s="13" t="s">
        <v>287</v>
      </c>
      <c r="F59" s="13" t="s">
        <v>291</v>
      </c>
      <c r="G59" s="13" t="s">
        <v>289</v>
      </c>
      <c r="H59" s="96"/>
      <c r="I59" s="96"/>
      <c r="J5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0" spans="1:10" ht="20.100000000000001" customHeight="1" x14ac:dyDescent="0.2">
      <c r="A60" s="5" t="str">
        <f>HYPERLINK("#'Constants - Common Livestock'!A1", "Constants - Common Livestock")</f>
        <v>Constants - Common Livestock</v>
      </c>
    </row>
    <row r="61" spans="1:10" ht="20.100000000000001" customHeight="1" x14ac:dyDescent="0.2">
      <c r="A61" s="5" t="str">
        <f>HYPERLINK("#'Constants - Electricity'!A1", "Constants - Electricity")</f>
        <v>Constants - Electricity</v>
      </c>
      <c r="J61" s="88">
        <f>SUM(Table_Input_DataQuality_FertiliserApplications[Score])</f>
        <v>55</v>
      </c>
    </row>
    <row r="62" spans="1:10" ht="20.100000000000001" customHeight="1" x14ac:dyDescent="0.2">
      <c r="A62" s="5" t="str">
        <f>HYPERLINK("#'Constants - Fertiliser'!A1", "Constants - Fertiliser")</f>
        <v>Constants - Fertiliser</v>
      </c>
      <c r="D62" s="2" t="s">
        <v>305</v>
      </c>
    </row>
    <row r="63" spans="1:10" ht="20.100000000000001" customHeight="1" x14ac:dyDescent="0.2">
      <c r="A63" s="5" t="str">
        <f>HYPERLINK("#'Constants - Fuel'!A1", "Constants - Fuel")</f>
        <v>Constants - Fuel</v>
      </c>
    </row>
    <row r="64" spans="1:10" ht="20.100000000000001" customHeight="1" x14ac:dyDescent="0.2">
      <c r="A64" s="5" t="str">
        <f>HYPERLINK("#'Constants - Scope 3'!A1", "Constants - Scope 3")</f>
        <v>Constants - Scope 3</v>
      </c>
      <c r="D64" s="81" t="s">
        <v>283</v>
      </c>
      <c r="E64" s="81" t="s">
        <v>284</v>
      </c>
      <c r="F64" s="81" t="s">
        <v>285</v>
      </c>
      <c r="G64" s="81" t="s">
        <v>286</v>
      </c>
      <c r="H64" s="81" t="s">
        <v>187</v>
      </c>
      <c r="I64" s="81" t="s">
        <v>188</v>
      </c>
      <c r="J64" s="81" t="s">
        <v>189</v>
      </c>
    </row>
    <row r="65" spans="1:10" ht="20.100000000000001" customHeight="1" x14ac:dyDescent="0.2">
      <c r="A65" s="5" t="str">
        <f>HYPERLINK("#'Constants - Common'!A1", "Constants - Common")</f>
        <v>Constants - Common</v>
      </c>
      <c r="D65" s="1" t="str">
        <f>"Fuel purchases"</f>
        <v>Fuel purchases</v>
      </c>
      <c r="E65" s="13" t="s">
        <v>287</v>
      </c>
      <c r="F65" s="13" t="s">
        <v>291</v>
      </c>
      <c r="G65" s="13" t="s">
        <v>292</v>
      </c>
      <c r="H65" s="96"/>
      <c r="I65" s="96"/>
      <c r="J65"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66" spans="1:10" ht="20.100000000000001" customHeight="1" x14ac:dyDescent="0.2">
      <c r="A66" s="5" t="str">
        <f>HYPERLINK("#'Constants - Refrigerants'!A1", "Constants - Refrigerants")</f>
        <v>Constants - Refrigerants</v>
      </c>
      <c r="D66" s="1" t="str">
        <f>"Fuel consumption"</f>
        <v>Fuel consumption</v>
      </c>
      <c r="E66" s="13" t="s">
        <v>287</v>
      </c>
      <c r="F66" s="13" t="s">
        <v>291</v>
      </c>
      <c r="G66" s="13" t="s">
        <v>289</v>
      </c>
      <c r="H66" s="96"/>
      <c r="I66" s="96"/>
      <c r="J6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7" spans="1:10" ht="20.100000000000001" customHeight="1" x14ac:dyDescent="0.2">
      <c r="A67" s="5" t="str">
        <f>HYPERLINK("#'Constants - Solid Waste'!A1", "Constants - Solid Waste")</f>
        <v>Constants - Solid Waste</v>
      </c>
      <c r="D67" s="1" t="str">
        <f>"Electricity consumption"</f>
        <v>Electricity consumption</v>
      </c>
      <c r="E67" s="13" t="s">
        <v>287</v>
      </c>
      <c r="F67" s="13" t="s">
        <v>291</v>
      </c>
      <c r="G67" s="13" t="s">
        <v>289</v>
      </c>
      <c r="H67" s="96"/>
      <c r="I67" s="96"/>
      <c r="J6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8" spans="1:10" ht="20.100000000000001" customHeight="1" x14ac:dyDescent="0.2">
      <c r="A68" s="5" t="str">
        <f>HYPERLINK("#'Acknowledgements'!A1", "Acknowledgements")</f>
        <v>Acknowledgements</v>
      </c>
      <c r="D68" s="1" t="str">
        <f>"Electricity generation"</f>
        <v>Electricity generation</v>
      </c>
      <c r="E68" s="13" t="s">
        <v>287</v>
      </c>
      <c r="F68" s="13" t="s">
        <v>291</v>
      </c>
      <c r="G68" s="13" t="s">
        <v>289</v>
      </c>
      <c r="H68" s="96"/>
      <c r="I68" s="96"/>
      <c r="J6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70" spans="1:10" ht="20.100000000000001" customHeight="1" x14ac:dyDescent="0.2">
      <c r="J70" s="88">
        <f>SUM(Table_Input_DataQuality_FuelElectricity[Score])</f>
        <v>55</v>
      </c>
    </row>
    <row r="72" spans="1:10" ht="20.100000000000001" customHeight="1" x14ac:dyDescent="0.2">
      <c r="D72" s="2" t="s">
        <v>306</v>
      </c>
    </row>
    <row r="74" spans="1:10" ht="20.100000000000001" customHeight="1" x14ac:dyDescent="0.2">
      <c r="D74" s="81" t="s">
        <v>283</v>
      </c>
      <c r="E74" s="81" t="s">
        <v>284</v>
      </c>
      <c r="F74" s="81" t="s">
        <v>285</v>
      </c>
      <c r="G74" s="81" t="s">
        <v>286</v>
      </c>
      <c r="H74" s="81" t="s">
        <v>187</v>
      </c>
      <c r="I74" s="81" t="s">
        <v>188</v>
      </c>
      <c r="J74" s="81" t="s">
        <v>189</v>
      </c>
    </row>
    <row r="75" spans="1:10" ht="20.100000000000001" customHeight="1" x14ac:dyDescent="0.2">
      <c r="D75" s="1" t="str">
        <f>"Farm input purchases"</f>
        <v>Farm input purchases</v>
      </c>
      <c r="E75" s="13" t="s">
        <v>287</v>
      </c>
      <c r="F75" s="13" t="s">
        <v>291</v>
      </c>
      <c r="G75" s="13" t="s">
        <v>292</v>
      </c>
      <c r="H75" s="96"/>
      <c r="I75" s="96"/>
      <c r="J75"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76" spans="1:10" ht="20.100000000000001" customHeight="1" x14ac:dyDescent="0.2">
      <c r="D76" s="1" t="str">
        <f>"Inbound freight use"</f>
        <v>Inbound freight use</v>
      </c>
      <c r="E76" s="13" t="s">
        <v>287</v>
      </c>
      <c r="F76" s="13" t="s">
        <v>291</v>
      </c>
      <c r="G76" s="13" t="s">
        <v>289</v>
      </c>
      <c r="H76" s="96"/>
      <c r="I76" s="96"/>
      <c r="J7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7" spans="1:10" ht="20.100000000000001" customHeight="1" x14ac:dyDescent="0.2">
      <c r="D77" s="1" t="str">
        <f>"Outbound freight use"</f>
        <v>Outbound freight use</v>
      </c>
      <c r="E77" s="13" t="s">
        <v>287</v>
      </c>
      <c r="F77" s="13" t="s">
        <v>291</v>
      </c>
      <c r="G77" s="13" t="s">
        <v>289</v>
      </c>
      <c r="H77" s="96"/>
      <c r="I77" s="96"/>
      <c r="J7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8" spans="1:10" ht="20.100000000000001" customHeight="1" x14ac:dyDescent="0.2">
      <c r="D78" s="1" t="str">
        <f>"Use of contractors and service providers"</f>
        <v>Use of contractors and service providers</v>
      </c>
      <c r="E78" s="13"/>
      <c r="F78" s="13"/>
      <c r="G78" s="13"/>
      <c r="H78" s="96"/>
      <c r="I78" s="96"/>
      <c r="J7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9" spans="1:10" ht="20.100000000000001" customHeight="1" x14ac:dyDescent="0.2">
      <c r="A79" s="129" t="str">
        <f>HYPERLINK("#A1", "▲ Back to top")</f>
        <v>▲ Back to top</v>
      </c>
      <c r="D79" s="1" t="str">
        <f>"Solid waste generation and treatment"</f>
        <v>Solid waste generation and treatment</v>
      </c>
      <c r="E79" s="13" t="s">
        <v>287</v>
      </c>
      <c r="F79" s="13" t="s">
        <v>291</v>
      </c>
      <c r="G79" s="13" t="s">
        <v>289</v>
      </c>
      <c r="H79" s="96"/>
      <c r="I79" s="96"/>
      <c r="J7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81" spans="4:10" ht="20.100000000000001" customHeight="1" x14ac:dyDescent="0.2">
      <c r="J81" s="88">
        <f>SUM(Table_Input_DataQuality_FarmInputsFreightWaste[Score])</f>
        <v>55</v>
      </c>
    </row>
    <row r="83" spans="4:10" ht="20.100000000000001" customHeight="1" x14ac:dyDescent="0.2">
      <c r="D83" s="87" t="s">
        <v>307</v>
      </c>
      <c r="E83" s="90" t="str">
        <f>(J17+J28+J42+J52+J61+J70+J81)&amp;"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460 out of 615</v>
      </c>
    </row>
  </sheetData>
  <dataValidations count="3">
    <dataValidation type="list" allowBlank="1" showInputMessage="1" showErrorMessage="1" sqref="G21:G26 G46:G50 G56:G59 G65:G68 G8:G15 G32:G40 G75:G79" xr:uid="{7348BC45-1F0E-4593-B1ED-28F0AA15AB79}">
      <formula1>INDIRECT("Table_SourceData_DataQuality_SampleSize[User friendly description]")</formula1>
    </dataValidation>
    <dataValidation type="list" allowBlank="1" showInputMessage="1" showErrorMessage="1" sqref="E21:E26 E46:E50 E56:E59 E65:E68 E8:E15 E32:E40 E75:E79" xr:uid="{BE274FAF-348C-4753-980A-995BBEF645F7}">
      <formula1>INDIRECT("Table_SourceData_DataQuality_TemporalRepresentativeness[User friendly description]")</formula1>
    </dataValidation>
    <dataValidation type="list" allowBlank="1" showInputMessage="1" showErrorMessage="1" sqref="F21:F26 F46:F50 F56:F59 F65:F68 F8:F15 F32:F40 F75:F79" xr:uid="{451D8DCB-BDE7-4E2E-8470-02EAA8EBEF42}">
      <formula1>INDIRECT("Table_SourceData_DataQuality_SpatialRepresentativeness[User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EAGEAaQ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IABNAGUAdABoAG8AZAAgADEAIAAtACAATQBhAG4AdQByAGUAIABNAGUAdABoAGEAbgBl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BfAF8AMQBfAFQAbwB0AGEAbABBAG4AbgB1AGEAbABNAGUAdABoAGEAbgBlAEYAcgBvAG0ATQBhAG4AdQByAGUATQBhAG4AYQBnAGUAbQBlAG4AdABcAG4AVABvAHQAYQBsACAAYQBuAG4AdQBhAGwAIABtAGUAdABoAGEAbgBlACAAcAByAG8AZAB1AGMAdABpAG8AbgAgAGYAcgBvAG0AIABtAGEAbgB1AHIAZQAgAG0AYQBuAGEAZwBlAG0AZQBuAHQAXABuAEUAXwBDAEgANABcAG4AdAAgAEMASAA0AFwAbgBFAF8AewBDAEgANAB9AD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bgBOAF8AagAxADIANAAgAD0AIABuAHUAbQBiAGUAcgAgAG8AZgAgAGQAYQBpAHIAeQAgAGMAYQB0AHQAbABlACAAaQBuACAAYwBsAGEAcwBzAGUAcwAgAGoAPQAxACwAMgAsADQAXABuAE0AXwBqADEAMgA0AG0AIAA9ACAAbQBlAHQAaABhAG4AZQAgAHAAcgBvAGQAdQBjAHQAaQBvAG4AIABmAHIAbwBtACAAbQBhAG4AdQByAGUAIABvAGYAIAB3AGUAYQBuAGUAZAAgAGQAYQBpAHIAeQAgAGMAYQB0AHQAbABlACAAaQBuACAAYwBsAGEAcwBzAGUAcwAgAGoAPQAxACwAMgAsADQAIABpAG4AIABNAE0AUwAgAG0AIAAoAGsAZwAgAEMASAA0AC8AaABlAGEAZAAvAGQAYQB5ACkAXABuAEQAXwBqADEAMgA0ACAAPQAgAGQAdQByAGEAdABpAG8AbgAgAG8AZgAgAHMAdABhAHkAIABvAG4AIABmAGEAcgBtACAAZgBvAHIAIABjAGwAYQBzAHMAZQBzACAAagA9ADEALAAyACwANAAgACgAZABhAHkAcwApAFwAbgBOAF8AagAzADUAIAA9ACAAbgB1AG0AYgBlAHIAIABvAGYAIABkAGEAaQByAHkAIABjAGEAdAB0AGwAZQAgAGkAbgAgAGMAbABhAHMAcwBlAHMAIABqAD0AMwAsADUAXABuAE0AXwBqADMANQBtACAAPQAgAG0AZQB0AGgAYQBuAGUAIABwAHIAbwBkAHUAYwB0AGkAbwBuACAAZgByAG8AbQAgAG0AYQBuAHUAcgBlACAAbwBmACAAdwBlAGEAbgBlAGQAIABkAGEAaQByAHkAIABjAGEAdAB0AGwAZQAgAGkAbgAgAGMAbABhAHMAcwBlAHMAIABqAD0AMwAsADUAIABpAG4AIABNAE0AUwAgAG0AIAAoAGsAZwAgAEMASAA0AC8AaABlAGEAZAAvAGQAYQB5ACkAXABuAEQAXwBqADMANQAgAD0AIABkAHUAcgBhAHQAaQBvAG4AIABvAGYAIABzAHQAYQB5ACAAbwBuACAAZgBhAHIAbQAgAGYAbwByACAAYwBsAGEAcwBzAGUAcwAgAGoAPQAzACwANQAgACgAZABhAHkAcwApAFwAbgBNAFAAVwBfAG0AYQBuAHUAcgBlAF8AagAzADUAIAA9ACAAbQBlAHQAaABhAG4AZQAgAHAAcgBvAGQAdQBjAHQAaQBvAG4AIABmAHIAbwBtACAAbQBhAG4AdQByAGUAIABvAGY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0AF8AMwBfADEAXwAxAF8AXwAxAF8AVABvAHQAYQBsAEEAbgBuAHUAYQBsAE0AZQB0AGgAYQBuAGUARgByAG8AbQBNAGEAbgB1AHIAZQBNAGEAbgBhAGcAZQBtAGUAbgB0AFwAbgAgACAAPQBMAEEATQBCAEQAQQAoAFwAbgAgACAAIAAgAE4AXwBqADEAMgA0ACwAIABNAF8AagAxADIANABtACwAIABEAF8AagAxADIANAAsACAATgBfAGoAMwA1ACwAIABNAF8AagAzADUAbQAsACAARABfAGoAMwA1ACwAIABNAFAAVwBfAG0AYQBuAHUAcgBlAF8AagAzADUALABcAG4AIAAgACAAIAAoACgATgBfAGoAMQAyADQAIAAqACAATQBfAGoAMQAyADQAbQAgACoAIABEAF8AagAxADIANAApACAAKwAgACgATgBfAGoAMwA1ACAAKgAgAE0AXwBqADMANQBtACAAKgAgAEQAXwBqADMANQApACAAKwAgACgATgBfAGoAMwA1ACAAKgAgAE0AUABXAF8AbQBhAG4AdQByAGUAXwBqADMANQAgACoAIABEAF8AagAzADUAKQApACAAKgAgADEAMAAgAF4AIAAtADMAXABuACAAIAApADsAXABuAFwAbgBWAEUARQBSAEcAXwA0AF8AMwBfADEAXwAxAF8AXwAxAF8AVABvAHQAYQBsAEEAbgBuAHUAYQBsAE0AZQB0AGgAYQBuAGUARgByAG8AbQBNAGEAbgB1AHIAZQBNAGEAbgBhAGcAZQBtAGUAbgB0AFYAYQByAGkAYQB0AGkAbwBuAFwAbgAgACAAPQBMAEEATQBCAEQAQQAoAFwAbgAgACAAIAAgAE4AXwBqADEAMgA0ACwAIABNAF8AagAxADIANABtACwAIABEAF8AagAxADIANAAsACAATgBfAGoAMwA1ACwAIABNAF8AagAzADUAbQAsACAARABfAGoAMwA1ACwAIABNAFAAVwBfAG0AYQBuAHUAcgBlAF8AagAzADUALAAgAEQAUABXAF8AagAzADUALABcAG4AIAAgACAAIAAoACgATgBfAGoAMQAyADQAIAAqACAATQBfAGoAMQAyADQAbQAgACoAIABEAF8AagAxADIANAApACAAKwAgACgATgBfAGoAMwA1ACAAKgAgAE0AXwBqADMANQBtACAAKgAgAEQAXwBqADMANQApACAAKwAgACgATgBfAGoAMwA1ACAAKgAgAE0AUABXAF8AbQBhAG4AdQByAGUAXwBqADMANQAgACoAIABEAFAAVwBfAGoAMwA1ACkAKQAgACoAIAAxADAAIABeACAALQAzAFwAbgAgACAAKQA7AFwAbgBcAG4AXABuAFYARQBFAFIARwBfADQAXwAzAF8AMQBfADEAXwBfADEAXwBUAG8AdABhAGwAQQBuAG4AdQBhAGwATQBlAHQAaABhAG4AZQBGAHIAbwBtAE0AYQBuAHUAcgBlAE0AYQBuAGEAZwBlAG0AZQBuAHQAXwBUAGkAdABsAGUAXABuACAAIAA9AEwAQQBNAEIARABBACgAXAAiAFQAbwB0AGEAbAAgAGEAbgBuAHUAYQBsACAAbQBlAHQAaABhAG4AZQAgAHAAcgBvAGQAdQBjAHQAaQBvAG4AIABmAHIAbwBtACAAbQBhAG4AdQByAGUAIABtAGEAbgBhAGcAZQBtAGUAbgB0AFwAIgApADsAXABuAFwAbgBWAEUARQBSAEcAXwA0AF8AMwBfADEAXwAxAF8AXwAxAF8AVABvAHQAYQBsAEEAbgBuAHUAYQBsAE0AZQB0AGgAYQBuAGUARgByAG8AbQBNAGEAbgB1AHIAZQBNAGEAbgBhAGcAZQBtAGUAbgB0AF8AVgBhAHIAaQBhAGIAbABlAFwAbgAgACAAPQBMAEEATQBCAEQAQQAoAFwAIgBFAF8AQwBIADQAXAAiACkAOwBcAG4AXABuAFYARQBFAFIARwBfADQAXwAzAF8AMQBfADEAXwBfADEAXwBUAG8AdABhAGwAQQBuAG4AdQBhAGwATQBlAHQAaABhAG4AZQBGAHIAbwBtAE0AYQBuAHUAcgBlAE0AYQBuAGEAZwBlAG0AZQBuAHQAXwBVAG4AaQB0AFwAbgAgACAAPQBMAEEATQBCAEQAQQAoAFwAIgB0ACAAQwBIADQAXAAiACkAOwBcAG4AXABuAFYARQBFAFIARwBfADQAXwAzAF8AMQBfADEAXwBfADEAXwBUAG8AdABhAGwAQQBuAG4AdQBhAGwATQBlAHQAaABhAG4AZQBGAHIAbwBtAE0AYQBuAHUAcgBlAE0AYQBuAGEAZwBlAG0AZQBuAHQAXwBTAG8AdQByAGMAZQBcAG4AIAAgAD0ATABBAE0AQgBEAEEAKABcACIAVgBFAEUAUgBHACAAMgAwADIANgA6ACAANAAuADMALgAxAC4AMQAsACAARQBxAHUAYQB0AGkAbwBuACAAKAAxACkAXAAiACkAOwBcAG4AXABuAFYARQBFAFIARwBfADQAXwAzAF8AMQBfADEAXwBfADEAXwBUAG8AdABhAGwAQQBuAG4AdQBhAGwATQBlAHQAaABhAG4AZQBGAHIAbwBtAE0AYQBuAHUAcgBlAE0AYQBuAGEAZwBlAG0AZQBuAHQAXwBOAEkAUgBSAGUAZgBlAHIAZQBuAGMAZQBcAG4AIAAgAD0ATABBAE0AQgBEAEEAKABcACIAXAAiACkAOwBcAG4AXABuAFYARQBFAFIARwBfADQAXwAzAF8AMQBfADEAXwBfADEAXwBUAG8AdABhAGwAQQBuAG4AdQBhAGwATQBlAHQAaABhAG4AZQBGAHIAbwBtAE0AYQBuAHUAcgBlAE0AYQBuAGEAZwBlAG0AZQBuAHQAXwBMAGEAdABlAHgARQBxAHU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CIAKQA7AFwAbgBcAG4AVgBFAEUAUgBHAF8ANABfADMAXwAxAF8AMQBfAF8AMQBfAFQAbwB0AGEAbABBAG4AbgB1AGEAbABNAGUAdABoAGEAbgBlAEYAcgBvAG0ATQBhAG4AdQByAGUATQBhAG4AYQBnAGUAbQBlAG4AdABfAEwAYQB0AGUAeABFAHEAdQBhAHQAaQBvAG4AVgBhAHIAa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QAFcAXwB7AGoAPQAzACwANQB9ACkAKQBcAFwAdABpAG0AZQBzACAAMQAwAF4AewAtADMAfQBcACIAKQA7AFwAbgBcAG4AVgBFAEUAUgBHAF8ANABfADMAXwAxAF8AMQBfAF8AMQBfAFQAbwB0AGEAbABBAG4AbgB1AGEAbABNAGUAdABoAGEAbgBlAEYAcgBvAG0ATQBhAG4AdQByAGUATQBhAG4AYQBnAGUAbQBlAG4AdA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G0AXAAiACwAIABcACIAbQBlAHQAaABhAG4AZQAgAHAAcgBvAGQAdQBjAHQAaQBvAG4AIABmAHIAbwBtACAAbQBhAG4AdQByAGUAIABvAGYAIAB3AGUAYQBuAGUAZAAgAGQAYQBpAHIAeQAgAGMAYQB0AHQAbABlACAAaQBuACAAYwBsAGEAcwBzAGUAcwAgAGoAPQAxACwAMgAsADQAIABpAG4AIABNAE0AUwAgAG0AXAAiACwAIABcACIAawBnACAAQwBIADQALwBoAGUAYQBkAC8AZABhAHkAXAAiACwAIABcACIAQwBhAGwAYwB1AGwAYQB0AGUAZAAgAGYAcgBvAG0AIAA0AC4AMwAuADEALgAxACAAKAAyACkAXAAiADsAXABuACAAIAAgACAAIAAgACAAIAAgACAAXAAiAEQAXwBqADEAMgA0AFwAIgAsACAAXAAiAGQAdQByAGEAdABpAG8AbgAgAG8AZgAgAHMAdABhAHkAIABvAG4AIABmAGEAcgBtACAAZgBvAHIAIABjAGwAYQBzAHMAZQBzACAAagA9ADEALAAyACwANABcACIALAAgAFwAIgBkAGEAeQBzAFwAIgAsACAAXAAiAEkAbgBwAHUAdABcACIAOwBcAG4AIAAgACAAIAAgACAAIAAgACAAIABcACIATgBfAGoAMwA1AFwAIgAsACAAXAAiAG4AdQBtAGIAZQByACAAbwBmACAAZABhAGkAcgB5ACAAYwBhAHQAdABsAGUAIABpAG4AIABjAGwAYQBzAHMAZQBzACAAagA9ADMALAA1AFwAIgAsACAAXAAiAGgAZQBhAGQAXAAiACwAIABcACIASQBuAHAAdQB0AFwAIgA7AFwAbgAgACAAIAAgACAAIAAgACAAIAAgAFwAIgBNAF8AagAzADUAbQBcACIALAAgAFwAIgBtAGUAdABoAGEAbgBlACAAcAByAG8AZAB1AGMAdABpAG8AbgAgAGYAcgBvAG0AIABtAGEAbgB1AHIAZQAgAG8AZgAgAHcAZQBhAG4AZQBkACAAZABhAGkAcgB5ACAAYwBhAHQAdABsAGUAIABpAG4AIABjAGwAYQBzAHMAZQBzACAAagA9ADMALAA1ACAAaQBuACAATQBNAFMAIABtAFwAIgAsACAAXAAiAGsAZwAgAEMASAA0AC8AaABlAGEAZAAvAGQAYQB5AFwAIgAsACAAXAAiAEMAYQBsAGMAdQBsAGEAdABlAGQAIABmAHIAbwBtACAANAAuADMALgAxAC4AMQAgACgAMgApAFwAIgA7AFwAbgAgACAAIAAgACAAIAAgACAAIAAgAFwAIgBEAF8AagAzADUAXAAiACwAIABcACIAZAB1AHIAYQB0AGkAbwBuACAAbwBmACAAcwB0AGEAeQAgAG8AbgAgAGYAYQByAG0AIABmAG8AcgAgAGMAbABhAHMAcwBlAHMAIABqAD0AMwAsADUAXAAiACwAIABcACIAZABhAHkAcwBcACIALAAgAFwAIgBJAG4AcAB1AHQAXAAiADsAXABuACAAIAAgACAAIAAgACAAIAAgACAAXAAiAE0AUABXAF8AbQBhAG4AdQByAGUAXwBqADMANQBcACIALAAgAFwAIgBtAGUAdABoAGEAbgBlACAAcAByAG8AZAB1AGMAdABpAG8AbgAgAGYAcgBvAG0AIABtAGEAbgB1AHIAZQAgAG8AZgAgAHAAcgBlAC0AdwBlAGEAbgBlAGQAIABoAGUAaQBmAGUAcgAgAGEAbgBkACAAYgB1AGwAbAAgAGMAYQBsAHYAZQBzAFwAIgAsACAAXAAiAGsAZwAgAEMASAA0AC8AaABlAGEAZAAvAGQAYQB5AFwAIgAsACAAXAAiAEMAbwBuAHMAdABhAG4AdABcACIAOwBcAG4AIAAgACAAIAAgACAAIAAgACAAIABcACIARABQAFcAXwBqADMANQBcACIALAAgAFwAIgBkAHUAcgBhAHQAaQBvAG4AIABvAGYAIABzAHQAYQB5ACAAbwBuACAAZgBhAHIAbQAgAGYAbwByACAAcAByAGUALQB3AGUAYQBuAGUAZAAgAGgAZQBpAGYAZQByACAAYQBuAGQAIABiAHUAbABsACAAYwBhAGwAdgBlAHMAXAAiACwAIABcACIAZABhAHkAcwBcACIALAAgAFwAIgBJAG4AcAB1AHQAXAAiAFwAbgAgACAAIAAgACAAIAAgACAAfQAsACAAcgAsACAAYwApAFwAbgAgACAAIAAgACAAIAApAFwAbgAgACAAIAAgACkAXABuACAAIAApADsAXABuAFwAbgBWAEUARQBSAEcAXwA0AF8AMwBfADEAXwAxAF8AXwAxAF8AVABvAHQAYQBsAEEAbgBuAHUAYQBsAE0AZQB0AGgAYQBuAGUARgByAG8AbQBNAGEAbgB1AHIAZQBNAGEAbgBhAGcAZQBtAGUAbgB0AF8AVgBhAHIAaQBhAHQAaQBvAG4AXABuACAAIAA9AEwAQQBNAEIARABBACgAXAAiAFYAQQBSAEkAQQBUAEkATwBOADoAIABVAHMAZQBkACAAcwBlAHAAYQByAGEAdABlACAAdgBhAHIAaQBhAGIAbABlACAAZgBvAHIAIABkAHUAcgBhAHQAaQBvAG4AIABvAGYAIABzAHQAYQB5ACAAbwBuACAAZgBhAHIAbQAgAGYAbwByACAAcAByAGUALQB3AGUAYQBuAGUAZAAgAGgAZQBpAGYAZQByACAAYQBuAGQAIABiAHUAbABsACAAYwBhAGwAdgBlAHMALgBcACIAKQA7AFwAbgBcAG4ALwAqAFwAbgAtAC0ALQAtAC0ALQAtAC0ALQAtAC0ALQAtAC0ALQAtAC0ALQAtAC0ALQAtAC0ALQAtAC0ALQAtAC0ALQAtAC0ALQAtAC0ALQAtAC0AXABuAFYARQBFAFIARwBfADQAXwAzAF8AMQBfADEAXwBfADIAXwBNAGUAdABoAGEAbgBlAEYAcgBvAG0ATQBhAG4AdQByAGUAUAByAG8AZAB1AGMAdABpAG8AbgBcAG4ATQBlAHQAaABhAG4AZQAgAGYAcgBvAG0AIABtAGEAbgB1AHIAZQAgAHAAcgBvAGQAdQBjAHQAaQBvAG4AIABmAHIAbwBtACAAdwBlAGEAbgBlAGQAIABkAGEAaQByAHkAIABjAGEAdAB0AGwAZQBcAG4ATQBfAGoAbQBcAG4AawBnACAAQwBIADQALwBoAGUAYQBkAC8AZABhAHkAXABuAE0AXwB7AGoAbQB9AD0AVgBTAF8AagBcAFwAdABpAG0AZQBzACAARgBWAFMAXwB7AGoAbQAsAFQAPQAxAH0AXABcAHQAaQBtAGUAcwAgAE0AQwBGAF8AewBpAG0AfQBcAFwAdABpAG0AZQBzACAAQgBfAG8AXABcAHQAaQBtAGUAcwAgAFwAXAByAGgAbwBcAG4AVgBTAF8AagAgAD0AIABkAGEAaQBsAHkAIAB2AG8AbABhAHQAaQBsAGUAIABzAG8AbABpAGQAcwAgAHAAcgBvAGQAdQBjAHQAaQBvAG4AIABwAGUAcgAgAGgAZQBhAGQAIABmAG8AcgAgAGQAYQBpAHIAeQAgAGMAYQB0AHQAbABlACAAKABrAGcALwBoAGUAYQBkAC8AZABhAHkAKQBcAG4ARgBWAFMAXwBqAG0AVAAxACAAPQAgAGYAcgBhAGMAdABpAG8AbgAgAG8AZgAgAHcAYQBzAHQAZQAgAGYAcgBvAG0AIABlAGEAYwBoACAAYwBsAGEAcwBzACAAaQBuACAAZQBhAGMAaAAgAG0AYQBuAGEAZwBlAG0AZQBuAHQAIABzAHkAcwB0AGUAbQBcAG4ATQBDAEYAXwBpAG0AIAA9ACAAbQBlAHQAaABhAG4AZQAgAGMAbwBuAHYAZQByAHMAaQBvAG4AIABmAGEAYwB0AG8AcgAgAGYAbwByACAAdABlAG0AcABlAHIAYQB0AHUAcgBlACAAegBvAG4AZQAgAGEAbgBkACAATQBNAFMAXABuAEIAXwBvACAAPQAgAGUAbQBpAHMAcwBpAG8AbgBzACAAcABvAHQAZQBuAHQAaQBhAGwAIAAoAG0AMwAgAEMASAA0AC8AawBnAFYAUwApAFwAbgByAGgAbwAgAD0AIABkAGUAbgBzAGkAdAB5ACAAbwBmACAAbQBlAHQAaABhAG4AZQAgACgAawBnAC8AbQAzACkAXABuAC0ALQAtAC0ALQAtAC0ALQAtAC0ALQAtAC0ALQAtAC0ALQAtAC0ALQAtAC0ALQAtAC0ALQAtAC0ALQAtAC0ALQAtAC0ALQAtAC0ALQBcAG4AKgAvAFwAbgBcAG4AVgBFAEUAUgBHAF8ANABfADMAXwAxAF8AMQBfAF8AMgBfAE0AZQB0AGgAYQBuAGUARgByAG8AbQBNAGEAbgB1AHIAZQBQAHIAbwBkAHUAYwB0AGkAbwBuAFwAbgAgACAAPQBMAEEATQBCAEQAQQAoAFwAbgAgACAAIAAgAFYAUwBfAGoALAAgAEYAVgBTAF8AagBtAFQAMQAsACAATQBDAEYAXwBpAG0ALAAgAEIAXwBvACwAIAByAGgAbwAsAFwAbgAgACAAIAAgAFYAUwBfAGoAIAAqACAARgBWAFMAXwBqAG0AVAAxACAAKgAgAE0AQwBGAF8AaQBtACAAKgAgAEIAXwBvACAAKgAgAHIAaABvAFwAbgAgACAAKQA7AFwAbgBcAG4AVgBFAEUAUgBHAF8ANABfADMAXwAxAF8AMQBfAF8AMgBfAE0AZQB0AGgAYQBuAGUARgByAG8AbQBNAGEAbgB1AHIAZQBQAHIAbwBkAHUAYwB0AGkAbwBuAF8AVABpAHQAbABlAFwAbgAgACAAPQBMAEEATQBCAEQAQQAoAFwAIgBNAGUAdABoAGEAbgBlACAAZgByAG8AbQAgAG0AYQBuAHUAcgBlACAAcAByAG8AZAB1AGMAdABpAG8AbgAgAGYAcgBvAG0AIAB3AGUAYQBuAGUAZAAgAGQAYQBpAHIAeQAgAGMAYQB0AHQAbABlAFwAIgApADsAXABuAFwAbgBWAEUARQBSAEcAXwA0AF8AMwBfADEAXwAxAF8AXwAyAF8ATQBlAHQAaABhAG4AZQBGAHIAbwBtAE0AYQBuAHUAcgBlAFAAcgBvAGQAdQBjAHQAaQBvAG4AXwBWAGEAcgBpAGEAYgBsAGUAXABuACAAIAA9AEwAQQBNAEIARABBACgAXAAiAE0AXwBqAG0AXAAiACkAOwBcAG4AXABuAFYARQBFAFIARwBfADQAXwAzAF8AMQBfADEAXwBfADIAXwBNAGUAdABoAGEAbgBlAEYAcgBvAG0ATQBhAG4AdQByAGUAUAByAG8AZAB1AGMAdABpAG8AbgBfAFUAbgBpAHQAXABuACAAIAA9AEwAQQBNAEIARABBACgAXAAiAGsAZwAgAEMASAA0AC8AaABlAGEAZAAvAGQAYQB5AFwAIgApADsAXABuAFwAbgBWAEUARQBSAEcAXwA0AF8AMwBfADEAXwAxAF8AXwAyAF8ATQBlAHQAaABhAG4AZQBGAHIAbwBtAE0AYQBuAHUAcgBlAFAAcgBvAGQAdQBjAHQAaQBvAG4AXwBTAG8AdQByAGMAZQBcAG4AIAAgAD0ATABBAE0AQgBEAEEAKABcACIAVgBFAEUAUgBHACAAMgAwADIANgA6ACAANAAuADMALgAxAC4AMQAsACAARQBxAHUAYQB0AGkAbwBuACAAKAAyACkAXAAiACkAOwBcAG4AXABuAFYARQBFAFIARwBfADQAXwAzAF8AMQBfADEAXwBfADIAXwBNAGUAdABoAGEAbgBlAEYAcgBvAG0ATQBhAG4AdQByAGUAUAByAG8AZAB1AGMAdABpAG8AbgBfAE4ASQBSAFIAZQBmAGUAcgBlAG4AYwBlAFwAbgAgACAAPQBMAEEATQBCAEQAQQAoAFwAIgBcACIAKQA7AFwAbgBcAG4AVgBFAEUAUgBHAF8ANABfADMAXwAxAF8AMQBfAF8AMgBfAE0AZQB0AGgAYQBuAGUARgByAG8AbQBNAGEAbgB1AHIAZQBQAHIAbwBkAHUAYwB0AGkAbwBuAF8ATABhAHQAZQB4AEUAcQB1AGEAdABpAG8AbgBcAG4AIAAgAD0ATABBAE0AQgBEAEEAKABcACIATQBfAHsAagBtAH0APQBWAFMAXwBqAFwAXAB0AGkAbQBlAHMAIABGAFYAUwBfAHsAagBtACwAVAA9ADEAfQBcAFwAdABpAG0AZQBzACAATQBDAEYAXwB7AGkAbQB9AFwAXAB0AGkAbQBlAHMAIABCAF8AbwBcAFwAdABpAG0AZQBzACAAXABcAHIAaABvAFwAIgApADsAXABuAFwAbgBWAEUARQBSAEcAXwA0AF8AMwBfADEAXwAxAF8AXwAyAF8ATQBlAHQAaABhAG4AZQBGAHIAbwBtAE0AYQBuAHUAc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cACIALAAgAFwAIgBkAGEAaQBsAHkAIAB2AG8AbABhAHQAaQBsAGUAIABzAG8AbABpAGQAcwAgAHAAcgBvAGQAdQBjAHQAaQBvAG4AIABwAGUAcgAgAGgAZQBhAGQAIABmAG8AcgAgAGQAYQBpAHIAeQAgAGMAYQB0AHQAbABlACAAKABrAGcALwBoAGUAYQBkAC8AZABhAHkAKQBcACIALAAgAFwAIgBrAGcALwBoAGUAYQBkAC8AZABhAHkAXAAiACwAIABcACIAQwBhAGwAYwB1AGwAYQB0AGUAZAAgAGYAcgBvAG0AIAA0AC4AMwAuADEALgAxACAAKAAzACkAXAAiADsAXABuACAAIAAgACAAIAAgACAAIAAgACAAXAAiAEYAVgBTAF8AagBtAFQAMQBcACIALAAgAFwAIgBmAHIAYQBjAHQAaQBvAG4AIABvAGYAIAB3AGEAcwB0AGUAIABmAHIAbwBtACAAZQBhAGMAaAAgAGMAbABhAHMAcwAgAGkAbgAgAGUAYQBjAGgAIABtAGEAbgBhAGcAZQBtAGUAbgB0ACAAcwB5AHMAdABlAG0AXAAiACwAIABcACIAZgByAGEAYwB0AGkAbwBuAFwAIgAsACAAXAAiAEMAYQBsAGMAdQBsAGEAdABlAGQAIABmAHIAbwBtACAANAAuADMALgAxAC4AMQAgACgANAApACgANQAp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CAF8AbwBcACIALAAgAFwAIgBlAG0AaQBzAHMAaQBvAG4AcwAgAHAAbwB0AGUAbgB0AGkAYQBsACAAKABtADMAIABDAEgANAAvAGsAZwBWAFMAKQBcACIALAAgAFwAIgBtADMAIABDAEgANAAvAGsAZwBWAFMAXAAiACwAIABcACIAQwBvAG4AcwB0AGEAbgB0AFwAIgA7AFwAbgAgACAAIAAgACAAIAAgACAAIAAgAFwAIgByAGgAbwBcACIALAAgAFwAIgBkAGUAbgBzAGkAdAB5ACAAbwBmACAAbQBlAHQAaABhAG4AZQAgACgAawBnAC8AbQAzACkAXAAiACwAIABcACIAawBnAC8AbQAzAFwAIgAsACAAXAAiAEMAbwBuAHMAdABhAG4AdABcACIAOwBcAG4AIAAgACAAIAAgACAAIAAgACAAIABcACIAaQBcACIALAAgAFwAIgBzAHQAYQB0AGUAXAAiACwAIABcACIAcwB0AGEAdABlAFwAIgAsACAAXAAiAEkAbgBwAHUAdABcACIAXABuACAAIAAgACAAIAAgACAAIAB9ACwAIAByACwAIABjACkAXABuACAAIAAgACAAIAAgACkAXABuACAAIAAgACAAKQBcAG4AIAAgACkAOwBcAG4AXABuAFYARQBFAFIARwBfADQAXwAzAF8AMQBfADEAXwBfADIAXwBNAGUAdABoAGEAbgBlAEYAcgBvAG0ATQBhAG4AdQBy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AgAFwAIgBkAGEAaQBsAHkAIAB2AG8AbABhAHQAaQBsAGUAIABzAG8AbABpAGQAcwAgAHAAcgBvAGQAdQBjAHQAaQBvAG4AIABwAGUAcgAgAGgAZQBhAGQAIABmAG8AcgAgAGQAYQBpAHIAeQAgAGMAYQB0AHQAbABlACAAKABrAGcALwBoAGUAYQBkAC8AZABhAHkAKQBcACIALAAgAFwAIgBrAGcALwBoAGUAYQBkAC8AZABhAHkAXAAiACwAIABcACIAQwBhAGwAYwB1AGwAYQB0AGUAZAAgAGYAcgBvAG0AIAA0AC4AMwAuADEALgAxACAAKAAzACkAXAAiADsAXABuACAAIAAgACAAIAAgACAAIAAgACAAXAAiAEYAVgBTAF8AagBtAFQAMQBcACIALAAgAFwAIgBmAHIAYQBjAHQAaQBvAG4AIABvAGYAIAB3AGEAcwB0AGUAIABmAHIAbwBtACAAZQBhAGMAaAAgAGMAbABhAHMAcwAgAGkAbgAgAGUAYQBjAGgAIABtAGEAbgBhAGcAZQBtAGUAbgB0ACAAcwB5AHMAdABlAG0AXAAiACwAIABcACIAZgByAGEAYwB0AGkAbwBuAFwAIgAsACAAXAAiAEMAYQBsAGMAdQBsAGEAdABlAGQAIABmAHIAbwBtACAANAAuADMALgAxAC4AMQAgACgANAApACgANQAp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CAF8AbwBcACIALAAgAFwAIgBlAG0AaQBzAHMAaQBvAG4AcwAgAHAAbwB0AGUAbgB0AGkAYQBsACAAKABtADMAIABDAEgANAAvAGsAZwBWAFMAKQBcACIALAAgAFwAIgBtADMAIABDAEgANAAvAGsAZwBWAFMAXAAiACwAIABcACIAQwBvAG4AcwB0AGEAbgB0AFwAIgA7AFwAbgAgACAAIAAgACAAIAAgACAAIAAgAFwAIgByAGgAbwBcACIALAAgAFwAIgBkAGUAbgBzAGkAdAB5ACAAbwBmACAAbQBlAHQAaABhAG4AZQAgACgAawBnAC8AbQAzACkAXAAiACwAIABcACIAawBnAC8AbQAzAFwAIgAsACAAXAAiAEMAbwBuAHMAdABhAG4AdABcACIAOwBcAG4AIAAgACAAIAAgACAAIAAgACAAIABcACIATQBBAFQAXAAiACwAIABcACIATQBlAGEAbgAgAGEAbgBuAHUAYQBsACAAdABlAG0AcABlAHIAYQB0AHUAcgBlAFwAIgAsACAAXAAiALAAQ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MwBfAFYAbwBsAGEAdABpAGwAZQBTAG8AbABpAGQAcwBGAG8AcgBXAGUAYQBuAGUAZABEAGEAaQByAHkAQwBhAHQAdABsAGUAXABuAFYAbwBsAGEAdABpAGwAZQAgAHMAbwBsAGkAZABzACAAZgBvAHIAIAB3AGUAYQBuAGUAZAAgAGQAYQBpAHIAeQAgAGMAYQB0AHQAbABlAFwAbgBWAFMAXwBqAFwAbgBrAGcALwBoAGUAYQBkAC8AZABhAHkAXABuAFYAUwBfAGoAPQAoAEkAXwBqAFwAXAB0AGkAbQBlAHMAIAAoADEALQBEAE0ARABfAGoAKQArACgAMAAuADAANABcAFwAdABpAG0AZQBzACAASQBfAGoAKQApAFwAXAB0AGkAbQBlAHMAIAAoADEALQBBACkAXABuAEkAXwBqACAAPQAgAGQAcgB5ACAAbQBhAHQAdABlAHIAIABmAGUAZQBkACAAaQBuAHQAYQBrAGUAIAAoAGsAZwBEAE0ALwBoAGUAYQBkAC8AZABhAHkAKQBcAG4ARABNAEQAXwBqACAAPQAgAGQAcgB5ACAAbQBhAHQAdABlAHIAIABkAGkAZwBlAHMAdABpAGIAaQBsAGkAdAB5AFwAbgBBACAAPQAgAGEAcwBoACAAYwBvAG4AdABlAG4AdAAgAG8AZgAgAGYAZQBlAGQAIABpAG4AdABhAGsAZQBcAG4ALQAtAC0ALQAtAC0ALQAtAC0ALQAtAC0ALQAtAC0ALQAtAC0ALQAtAC0ALQAtAC0ALQAtAC0ALQAtAC0ALQAtAC0ALQAtAC0ALQAtAFwAbgAqAC8AXABuAFwAbgBWAEUARQBSAEcAXwA0AF8AMwBfADEAXwAxAF8AXwAzAF8AVgBvAGwAYQB0AGkAbABlAFMAbwBsAGkAZABzAEYAbwByAFcAZQBhAG4AZQBkAEQAYQBpAHIAeQBDAGEAdAB0AGwAZQBcAG4AIAAgAD0ATABBAE0AQgBEAEEAKABcAG4AIAAgACAAIABJAF8AagAsACAARABNAEQAXwBqACwAIABBACwAXABuACAAIAAgACAAKABJAF8AagAgACoAIAAoADEAIAAtACAARABNAEQAXwBqACkAIAArACAAKAAwAC4AMAA0ACAAKgAgAEkAXwBqACkAKQAgACoAIAAoADEAIAAtACAAQQApAFwAbgAgACAAKQA7AFwAbgBcAG4AVgBFAEUAUgBHAF8ANABfADMAXwAxAF8AMQBfAF8AMwBfAFYAbwBsAGEAdABpAGwAZQBTAG8AbABpAGQAcwBGAG8AcgBXAGUAYQBuAGUAZABEAGEAaQByAHkAQwBhAHQAdABsAGUAXwBUAGkAdABsAGUAXABuACAAIAA9AEwAQQBNAEIARABBACgAXAAiAFYAbwBsAGEAdABpAGwAZQAgAHMAbwBsAGkAZABzACAAZgBvAHIAIAB3AGUAYQBuAGUAZAAgAGQAYQBpAHIAeQAgAGMAYQB0AHQAbABlAFwAIgApADsAXABuAFwAbgBWAEUARQBSAEcAXwA0AF8AMwBfADEAXwAxAF8AXwAzAF8AVgBvAGwAYQB0AGkAbABlAFMAbwBsAGkAZABzAEYAbwByAFcAZQBhAG4AZQBkAEQAYQBpAHIAeQBDAGEAdAB0AGwAZQBfAFYAYQByAGkAYQBiAGwAZQBcAG4AIAAgAD0ATABBAE0AQgBEAEEAKABcACIAVgBTAF8AagBcACIAKQA7AFwAbgBcAG4AVgBFAEUAUgBHAF8ANABfADMAXwAxAF8AMQBfAF8AMwBfAFYAbwBsAGEAdABpAGwAZQBTAG8AbABpAGQAcwBGAG8AcgBXAGUAYQBuAGUAZABEAGEAaQByAHkAQwBhAHQAdABsAGUAXwBVAG4AaQB0AFwAbgAgACAAPQBMAEEATQBCAEQAQQAoAFwAIgBrAGcALwBoAGUAYQBkAC8AZABhAHkAXAAiACkAOwBcAG4AXABuAFYARQBFAFIARwBfADQAXwAzAF8AMQBfADEAXwBfADMAXwBWAG8AbABhAHQAaQBsAGUAUwBvAGwAaQBkAHMARgBvAHIAVwBlAGEAbgBlAGQARABhAGkAcgB5AEMAYQB0AHQAbABlAF8AUwBvAHUAcgBjAGUAXABuACAAIAA9AEwAQQBNAEIARABBACgAXAAiAFYARQBFAFIARwAgADIAMAAyADYAOgAgADQALgAzAC4AMQAuADEALAAgAEUAcQB1AGEAdABpAG8AbgAgACgAMwApAFwAIgApADsAXABuAFwAbgBWAEUARQBSAEcAXwA0AF8AMwBfADEAXwAxAF8AXwAzAF8AVgBvAGwAYQB0AGkAbABlAFMAbwBsAGkAZABzAEYAbwByAFcAZQBhAG4AZQBkAEQAYQBpAHIAeQBDAGEAdAB0AGwAZQBfAE4ASQBSAFIAZQBmAGUAcgBlAG4AYwBlAFwAbgAgACAAPQBMAEEATQBCAEQAQQAoAFwAIgBcACIAKQA7AFwAbgBcAG4AVgBFAEUAUgBHAF8ANABfADMAXwAxAF8AMQBfAF8AMwBfAFYAbwBsAGEAdABpAGwAZQBTAG8AbABpAGQAcwBGAG8AcgBXAGUAYQBuAGUAZABEAGEAaQByAHkAQwBhAHQAdABsAGUAXwBMAGEAdABlAHgARQBxAHUAYQB0AGkAbwBuAFwAbgAgACAAPQBMAEEATQBCAEQAQQAoAFwAIgBWAFMAXwBqAD0AKABJAF8AagBcAFwAdABpAG0AZQBzACAAKAAxAC0ARABNAEQAXwBqACkAKwAoADAALgAwADQAXABcAHQAaQBtAGUAcwAgAEkAXwBqACkAKQBcAFwAdABpAG0AZQBzACAAKAAxAC0AQQApAFwAIgApADsAXABuAFwAbgBWAEUARQBSAEcAXwA0AF8AMwBfADEAXwAxAF8AXwAzAF8AVgBvAGwAYQB0AGkAbABlAFMAbwBsAGkAZABzAEYAbwByAFcAZQBhAG4AZQBkAEQAYQBpAHIAeQBDAGEAdAB0AGwAZQ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ZgBlAGUAZAAgAGkAbgB0AGEAawBlACAAKABrAGcARABNAC8AaABlAGEAZAAvAGQAYQB5ACkAXAAiACwAIABcACIAawBnAEQATQAvAGgAZQBhAGQALwBkAGEAeQBcACIALAAgAFwAIgBDAGEAbABjAHUAbABhAHQAZQBkACAAZgByAG8AbQAgADMALgAzAC4AMQAuADEAIAAoADMAKQBcACIAOwBcAG4AIAAgACAAIAAgACAAIAAgACAAIABcACIARABNAEQAXwBqAFwAIgAsACAAXAAiAGQAcgB5ACAAbQBhAHQAdABlAHIAIABkAGkAZwBlAHMAdABpAGIAaQBsAGkAdAB5AFwAIgAsACAAXAAiAGYAcgBhAGMAdABpAG8AbgBcACIALAAgAFwAIgBJAG4AcAB1AHQAXAAiADsAXABuACAAIAAgACAAIAAgACAAIAAgACAAXAAiAEEAXAAiACwAIABcACIAYQBzAGgAIABjAG8AbgB0AGUAbgB0ACAAbwBmACAAZgBlAGUAZA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ABfAEYAcgBhAGMAdABpAG8AbgBWAG8AbABhAHQAaQBsAGUAUwBvAGwAaQBkAHMATgBvAHQAUwBvAGwAaQBkAFMAdABvAHIAYQBnAGUAXABuAEYAcgBhAGMAdABpAG8AbgAgAG8AZgAgAHYAbwBsAGEAdABpAGwAZQAgAHMAbwBsAGkAZABzACAAaQBuACAAZQBhAGMAaAAgAHMAeQBzAHQAZQBtACAAbwB0AGgAZQByACAAdABoAGEAbgAgAHMAbwBsAGkAZAAgAHMAdABvAHIAYQBnAGUAXABuAEYAVgBTAF8AagBtAFwAbgBmAHIAYQBjAHQAaQBvAG4AXABuAEYAVgBTAF8AewBqAG0AfQA9AE0ATQBTAF8AewBqAG0AfQBcAFwAdABpAG0AZQBzACAAKAAxAC0AUwBTAF8AbQApAFwAbgBTAFMAXwBtACAAPQAgAGYAcgBhAGMAdABpAG8AbgAgAG8AZgAgAHYAbwBsAGEAdABpAGwAZQAgAHMAbwBsAGkAZABzACAAcwBlAHAAYQByAGEAdABlAGQAIAB0AG8AIABzAG8AbABpAGQAIABzAHQAbwByAGEAZwBlACAAZgBvAHIAIABlAGEAYwBoACAATQBNAFMAXABuAE0ATQBTAF8AagBtACAAPQAgAGYAcgBhAGMAdABpAG8AbgAgAG8AZgAgAG0AYQBuAHUAcgBlACAAdABvACAAZQBhAGMAaAAgAHAAcgBpAG0AYQByAHkAIABNAE0AUwAgAGYAbwByACAAZQBhAGMAaAAgAGMAbABhAHMAcwAgAHAAcgBpAG8AcgAgAHQAbwAgAHMAbwBsAGkAZAAgAHMAZQBwAGEAcgBhAHQAaQBvAG4AXABuAC0ALQAtAC0ALQAtAC0ALQAtAC0ALQAtAC0ALQAtAC0ALQAtAC0ALQAtAC0ALQAtAC0ALQAtAC0ALQAtAC0ALQAtAC0ALQAtAC0ALQBcAG4AKgAvAFwAbgBcAG4AVgBFAEUAUgBHAF8ANABfADMAXwAxAF8AMQBfAF8ANABfAEYAcgBhAGMAdABpAG8AbgBWAG8AbABhAHQAaQBsAGUAUwBvAGwAaQBkAHMATgBvAHQAUwBvAGwAaQBkAFMAdABvAHIAYQBnAGUAXABuACAAIAA9AEwAQQBNAEIARABBACgAXABuACAAIAAgACAATQBNAFMAXwBqAG0ALAAgAFMAUwBfAG0ALABcAG4AIAAgACAAIABNAE0AUwBfAGoAbQAgACoAIAAoADEAIAAtACAAUwBTAF8AbQApAFwAbgAgACAAKQA7AFwAbgBcAG4AVgBFAEUAUgBHAF8ANABfADMAXwAxAF8AMQBfAF8ANABfAEYAcgBhAGMAdABpAG8AbgBWAG8AbABhAHQAaQBsAGUAUwBvAGwAaQBkAHMATgBvAHQAUwBvAGwAaQBkAFMAdABvAHIAYQBnAGUAXwBUAGkAdABsAGUAXABuACAAIAA9AEwAQQBNAEIARABBACgAXAAiAEYAcgBhAGMAdABpAG8AbgAgAG8AZgAgAHYAbwBsAGEAdABpAGwAZQAgAHMAbwBsAGkAZABzACAAaQBuACAAZQBhAGMAaAAgAHMAeQBzAHQAZQBtACAAbwB0AGgAZQByACAAdABoAGEAbgAgAHMAbwBsAGkAZAAgAHMAdABvAHIAYQBnAGUAXAAiACkAOwBcAG4AXABuAFYARQBFAFIARwBfADQAXwAzAF8AMQBfADEAXwBfADQAXwBGAHIAYQBjAHQAaQBvAG4AVgBvAGwAYQB0AGkAbABlAFMAbwBsAGkAZABzAE4AbwB0AFMAbwBsAGkAZABTAHQAbwByAGEAZwBlAF8AVgBhAHIAaQBhAGIAbABlAFwAbgAgACAAPQBMAEEATQBCAEQAQQAoAFwAIgBGAFYAUwBfAGoAbQBcACIAKQA7AFwAbgBcAG4AVgBFAEUAUgBHAF8ANABfADMAXwAxAF8AMQBfAF8ANABfAEYAcgBhAGMAdABpAG8AbgBWAG8AbABhAHQAaQBsAGUAUwBvAGwAaQBkAHMATgBvAHQAUwBvAGwAaQBkAFMAdABvAHIAYQBnAGUAXwBVAG4AaQB0AFwAbgAgACAAPQBMAEEATQBCAEQAQQAoAFwAIgBmAHIAYQBjAHQAaQBvAG4AXAAiACkAOwBcAG4AXABuAFYARQBFAFIARwBfADQAXwAzAF8AMQBfADEAXwBfADQAXwBGAHIAYQBjAHQAaQBvAG4AVgBvAGwAYQB0AGkAbABlAFMAbwBsAGkAZABzAE4AbwB0AFMAbwBsAGkAZABTAHQAbwByAGEAZwBlAF8AUwBvAHUAcgBjAGUAXABuACAAIAA9AEwAQQBNAEIARABBACgAXAAiAFYARQBFAFIARwAgADIAMAAyADYAOgAgADQALgAzAC4AMQAuADEALAAgAEUAcQB1AGEAdABpAG8AbgAgACgANAApAFwAIgApADsAXABuAFwAbgBWAEUARQBSAEcAXwA0AF8AMwBfADEAXwAxAF8AXwA0AF8ARgByAGEAYwB0AGkAbwBuAFYAbwBsAGEAdABpAGwAZQBTAG8AbABpAGQAcwBOAG8AdABTAG8AbABpAGQAUwB0AG8AcgBhAGcAZQBfAE4ASQBSAFIAZQBmAGUAcgBlAG4AYwBlAFwAbgAgACAAPQBMAEEATQBCAEQAQQAoAFwAIgBcACIAKQA7AFwAbgBcAG4AVgBFAEUAUgBHAF8ANABfADMAXwAxAF8AMQBfAF8ANABfAEYAcgBhAGMAdABpAG8AbgBWAG8AbABhAHQAaQBsAGUAUwBvAGwAaQBkAHMATgBvAHQAUwBvAGwAaQBkAFMAdABvAHIAYQBnAGUAXwBMAGEAdABlAHgARQBxAHUAYQB0AGkAbwBuAFwAbgAgACAAPQBMAEEATQBCAEQAQQAoAFwAIgBGAFYAUwBfAHsAagBtAH0APQBNAE0AUwBfAHsAagBtAH0AXABcAHQAaQBtAGUAcwAgACgAMQAtAFMAUwBfAG0AKQBcACIAKQA7AFwAbgBcAG4AVgBFAEUAUgBHAF8ANABfADMAXwAxAF8AMQBfAF8ANABfAEYAcgBhAGMAdABpAG8AbgBWAG8AbABhAHQAaQBsAGUAUwBvAGwAaQBkAHMATgBvAHQAUwBvAGwAaQBkAFMAdABvAHIAYQBnAGUAXwBBAHIAZwB1AG0AZQBuAHQAcwBcAG4AIAAgAD0ATABBAE0AQgBEAEEAKABcAG4AIAAgACAAIABNAEEASwBFAEEAUgBSAEEAWQAoADIALAAgADQALABcAG4AIAAgACAAIAAgACAATABBAE0AQgBEAEEAKAByACwAYwAsAFwAbgAgACAAIAAgACAAIAAgACAASQBOAEQARQBYACgAewBcAG4AIAAgACAAIAAgACAAIAAgACAAIABcACIATQBNAFMAXwBqAG0AXAAiACwAIABcACIAZgByAGEAYwB0AGkAbwBuACAAbwBmACAAbQBhAG4AdQByAGUAIAB0AG8AIABlAGEAYwBoACAAcAByAGkAbQBhAHIAeQAgAE0ATQBTACAAZgBvAHIAIABlAGEAYwBoACAAYwBsAGEAcwBzACAAcAByAGkAbwByACAAdABvACAAcwBvAGwAaQBkACAAcwBlAHAAYQByAGEAdABpAG8Ab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1AF8ARgByAGEAYwB0AGkAbwBuAFYAbwBsAGEAdABpAGwAZQBTAG8AbABpAGQAcwBTAG8AbABpAGQAUwB0AG8AcgBhAGcAZQBcAG4ARgByAGEAYwB0AGkAbwBuACAAbwBmACAAdgBvAGwAYQB0AGkAbABlACAAcwBvAGwAaQBkAHMAIABpAG4AIABzAG8AbABpAGQAIABzAHQAbwByAGEAZwBlAFwAbgBGAFYAUwBfAGoAbQA0AFwAbgBmAHIAYQBjAHQAaQBvAG4AXABuAEYAVgBTAF8AewBqAG0APQA0AH0APQBNAE0AUwBfAHsAagBtAD0ANAB9ACsAKABNAE0AUwBfAHsAagBtAD0AMQAsADcALAA5AH0AXABcAHQAaQBtAGUAcwAgAFMAUwBfAG0AKQBcAG4ATQBNAFMAXwBqAG0ANAAgAD0AIABmAHIAYQBjAHQAaQBvAG4AIABvAGYAIAB2AG8AbABhAHQAaQBsAGUAIABzAG8AbABpAGQAcwAgAGkAbgAgAHMAbwBsAGkAZAAgAHMAdABvAHIAYQBnAGUAIABiAGUAZgBvAHIAZQAgAHQAcgBhAG4AcwBmAGUAcgBcAG4ATQBNAFMAXwBqAG0AMQA3ADkAIAA9ACAAZgByAGEAYwB0AGkAbwBuACAAbwBmACAAdgBvAGwAYQB0AGkAbABlACAAcwBvAGwAaQBkAHMAIABpAG4AIABNAE0AUwAgAG0APQAxACwANwAsADkAIABiAGUAZgBvAHIAZQAgAHQAcgBhAG4AcwBmAGUAcgBcAG4AUwBTAF8AbQAgAD0AIABmAHIAYQBjAHQAaQBvAG4AIABvAGYAIAB2AG8AbABhAHQAaQBsAGUAIABzAG8AbABpAGQAcwAgAHMAZQBwAGEAcgBhAHQAZQBkACAAdABvACAAcwBvAGwAaQBkACAAcwB0AG8AcgBhAGcAZQAgAGYAbwByACAAZQBhAGMAaAAgAE0ATQBTAFwAbgAtAC0ALQAtAC0ALQAtAC0ALQAtAC0ALQAtAC0ALQAtAC0ALQAtAC0ALQAtAC0ALQAtAC0ALQAtAC0ALQAtAC0ALQAtAC0ALQAtAC0AXABuACoALwBcAG4AXABuAFYARQBFAFIARwBfADQAXwAzAF8AMQBfADEAXwBfADUAXwBGAHIAYQBjAHQAaQBvAG4AVgBvAGwAYQB0AGkAbABlAFMAbwBsAGkAZABzAFMAbwBsAGkAZABTAHQAbwByAGEAZwBlAFwAbgAgACAAPQBMAEEATQBCAEQAQQAoAFwAbgAgACAAIAAgAE0ATQBTAF8AagBtADQALAAgAE0ATQBTAF8AagBtADEANwA5ACwAIABTAFMAXwBtACwAXABuACAAIAAgACAATQBNAFMAXwBqAG0ANAAgACsAIAAoAE0ATQBTAF8AagBtADEANwA5ACAAKgAgAFMAUwBfAG0AKQBcAG4AIAAgACkAOwBcAG4AXABuAFYARQBFAFIARwBfADQAXwAzAF8AMQBfADEAXwBfADUAXwBGAHIAYQBjAHQAaQBvAG4AVgBvAGwAYQB0AGkAbABlAFMAbwBsAGkAZABzAFMAbwBsAGkAZABTAHQAbwByAGEAZwBlAFYAYQByAGkAYQB0AGkAbwBuAFwAbgAgACAAPQBMAEEATQBCAEQAQQAoAFwAbgAgACAAIAAgAE0ATQBTAF8AagBtADQALAAgAE0ATQBTAF8AagBtADEALAAgAE0ATQBTAF8AagBtADcALAAgAE0ATQBTAF8AagBtADkALAAgAFMAUwBfAG0AMQAsACAAUwBTAF8AbQA3ACwAIABTAFMAXwBtADkALABcAG4AIAAgACAAIABNAE0AUwBfAGoAbQA0ACAAKwAgACgATQBNAFMAXwBqAG0AMQAgACoAIABTAFMAXwBtADEAKQAgACsAIAAoAE0ATQBTAF8AagBtADcAIAAqACAAUwBTAF8AbQA3ACkAIAArACAAKABNAE0AUwBfAGoAbQA5ACAAKgAgAFMAUwBfAG0AOQApAFwAbgAgACAAKQA7AFwAbgBcAG4AXABuAFYARQBFAFIARwBfADQAXwAz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zAF8AMQBfADEAXwBfADUAXwBGAHIAYQBjAHQAaQBvAG4AVgBvAGwAYQB0AGkAbABlAFMAbwBsAGkAZABzAFMAbwBsAGkAZABTAHQAbwByAGEAZwBlAF8AVgBhAHIAaQBhAGIAbABlAFwAbgAgACAAPQBMAEEATQBCAEQAQQAoAFwAIgBGAFYAUwBfAGoAbQA0AFwAIgApADsAXABuAFwAbgBWAEUARQBSAEcAXwA0AF8AMwBfADEAXwAxAF8AXwA1AF8ARgByAGEAYwB0AGkAbwBuAFYAbwBsAGEAdABpAGwAZQBTAG8AbABpAGQAcwBTAG8AbABpAGQAUwB0AG8AcgBhAGcAZQBfAFUAbgBpAHQAXABuACAAIAA9AEwAQQBNAEIARABBACgAXAAiAGYAcgBhAGMAdABpAG8AbgBcACIAKQA7AFwAbgBcAG4AVgBFAEUAUgBHAF8ANABfADMAXwAxAF8AMQBfAF8ANQBfAEYAcgBhAGMAdABpAG8AbgBWAG8AbABhAHQAaQBsAGUAUwBvAGwAaQBkAHMAUwBvAGwAaQBkAFMAdABvAHIAYQBnAGUAXwBTAG8AdQByAGMAZQBcAG4AIAAgAD0ATABBAE0AQgBEAEEAKABcACIAVgBFAEUAUgBHACAAMgAwADIANgA6ACAANAAuADMALgAxAC4AMQAsACAARQBxAHUAYQB0AGkAbwBuACAAKAA1ACkAXAAiACkAOwBcAG4AXABuAFYARQBFAFIARwBfADQAXwAzAF8AMQBfADEAXwBfADUAXwBGAHIAYQBjAHQAaQBvAG4AVgBvAGwAYQB0AGkAbABlAFMAbwBsAGkAZABzAFMAbwBsAGkAZABTAHQAbwByAGEAZwBlAF8ATgBJAFIAUgBlAGYAZQByAGUAbgBjAGUAXABuACAAIAA9AEwAQQBNAEIARABBACgAXAAiAFwAIgApADsAXABuAFwAbgBWAEUARQBSAEcAXwA0AF8AMwBfADEAXwAxAF8AXwA1AF8ARgByAGEAYwB0AGkAbwBuAFYAbwBsAGEAdABpAGwAZQBTAG8AbABpAGQAcwBTAG8AbABpAGQAUwB0AG8AcgBhAGcAZQBfAEwAYQB0AGUAeABFAHEAdQBhAHQAaQBvAG4AXABuACAAIAA9AEwAQQBNAEIARABBACgAXAAiAEYAVgBTAF8AewBqAG0APQA0AH0APQBNAE0AUwBfAHsAagBtAD0ANAB9ACsAKABNAE0AUwBfAHsAagBtAD0AMQAsADcALAA5AH0AXABcAHQAaQBtAGUAcwAgAFMAUwBfAG0AKQBcACIAKQA7AFwAbgBcAG4AVgBFAEUAUgBHAF8ANABfADMAXwAxAF8AMQBfAF8ANQBfAEYAcgBhAGMAdABpAG8AbgBWAG8AbABhAHQAaQBsAGUAUwBvAGwAaQBkAHMAUwBvAGwAaQBkAFMAdABvAHIAYQBnAGUAXwBMAGEAdABlAHgARQBxAHUAYQB0AGkAbwBuAFYAYQByAGkAYQB0AGkAbwBuAFwAbgAgACAAPQBMAEEATQBCAEQAQQAoAFwAIgBGAFYAUwBfAHsAagBtAD0ANAB9AD0ATQBNAFMAXwB7AGoAbQA9ADQAfQArACgATQBNAFMAXwB7AGoAbQA9ADEAfQBcAFwAdABpAG0AZQBzACAAUwBTAF8AewBtAD0AMQB9ACkAKwAoAE0ATQBTAF8AewBqAG0APQA3AH0AXABcAHQAaQBtAGUAcwAgAFMAUwBfAHsAbQA9ADcAfQApACsAKABNAE0AUwBfAHsAagBtAD0AOQB9AFwAXAB0AGkAbQBlAHMAIABTAFMAXwB7AG0APQA5AH0AKQBcACIAKQA7AFwAbgBcAG4AVgBFAEUAUgBHAF8ANABfADM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cACIALAAgAFwAIgBmAHIAYQBjAHQAaQBvAG4AIABvAGYAIAB2AG8AbABhAHQAaQBsAGUAIABzAG8AbABpAGQAcwAgAGkAbgAgAHMAbwBsAGkAZAAgAHMAdABvAHIAYQBnAGUAIABiAGUAZgBvAHIAZQAgAHQAcgBhAG4AcwBmAGUAcgBcACIALAAgAFwAIgBmAHIAYQBjAHQAaQBvAG4AXAAiACwAIABcACIASQBuAHAAdQB0AFwAIgA7AFwAbgAgACAAIAAgACAAIAAgACAAIAAgAFwAIgBNAE0AUwBfAGoAbQAxADcAOQBcACIALAAgAFwAIgBmAHIAYQBjAHQAaQBvAG4AIABvAGYAIAB2AG8AbABhAHQAaQBsAGUAIABzAG8AbABpAGQAcwAgAGkAbgAgAE0ATQBTACAAbQA9ADEALAA3ACwAOQAgAGIAZQBmAG8AcgBlACAAdAByAGEAbgBzAGYAZQBy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MAXwAxAF8AMQBfAF8ANQBfAEYAcgBhAGMAdABpAG8AbgBWAG8AbABhAHQAaQBsAGUAUwBvAGwAaQBkAHMAUwBvAGwAaQBkAFMAdABvAHIAYQBnAGUAXwBWAGEAcgBpAGEAdABpAG8AbgBcAG4AIAAgAD0ATABBAE0AQgBEAEEAKABcACIAVQBzAGUAZAAgAHMAZQBwAGEAcgBhAHQAZQAgAHYAYQByAGkAYQBiAGwAZQBzACAAZgBvAHIAIABNAE0AUwAgAGEAbgBkACAAUwBTACAAbQAgADEALAAgADcAIABhAG4AZAAgADkALgBcACIAKQA7AFwAbgBcAG4AIgB9ACwAewAiAHAAYQB0AGgAIgA6ACIALwBwAHIAbwBqAGUAYwB0AHMALwBNAE0AUwBfAEQAYQBp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MAIABNAGUAdABoAG8AZAAgADEAIAAtACAATQBhAG4AdQByAGU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NAE4AXwB7AGoAbQB9AFwAXAB0AGkAbQBlAHMAIABFAEYAXwBtAFwAXAB0AGkAbQBlAHMAIABDAF8AewBOADIATwB9AFwAXAB0AGkAbQBlAHMAIAAxADAAXgB7AC0AMwB9AFwAbgBNAE4AXwBqAG0AIAA9ACAAdABvAHQAYQBsACAAbgBpAHQAcgBvAGcAZQBuACAAaQBuACAAZQBhAGMAaAAgAE0ATQBTACAAZgBvAHIAIABkAGEAaQByAHkAIABjAGEAdAB0AGwAZQAgAGMAbABhAHMAcwBlAHMAIAAoAGsAZwAgAE4AKQBcAG4ARQBGAF8AbQAgAD0AIABuAGkAdAByAG8AdQBzACAAbwB4AGkAZABlACAAZQBtAGkAcwBzAGkAbwBuACAAZgBhAGMAdABvAHIAIABmAG8AcgAgAGUAYQBjAGgAIABNAE0AUw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zAF8AXwAxAF8AVABvAHQAYQBsAEEAbgBuAHUAYQBsAEQAaQByAGUAYwB0AE4AaQB0AHIAbwB1AHMATwB4AGkAZABlAEUAbQBpAHMAcwBpAG8AbgBzAEYAcgBvAG0ATQBNAFMAXABuACAAIAA9AEwAQQBNAEIARABBACgAXABuACAAIAAgACAATQBOAF8AagBtACwAIABFAEYAXwBtACwAIABDAF8ATgAyAE8ALABcAG4AIAAgACAAIABNAE4AXwBqAG0AIAAqACAARQBGAF8AbQAgACoAIABDAF8ATgAyAE8AIAAqACAAMQAwACAAXgAgAC0AMwBcAG4AIAAgACkAOwBcAG4AXABuAFYARQBFAFIARwBfADQAXwAz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wBfADEAXwAzAF8AXwAxAF8AVABvAHQAYQBsAEEAbgBuAHUAYQBsAEQAaQByAGUAYwB0AE4AaQB0AHIAbwB1AHMATwB4AGkAZABlAEUAbQBpAHMAcwBpAG8AbgBzAEYAcgBvAG0ATQBNAFMAXwBWAGEAcgBpAGEAYgBsAGUAXABuACAAIAA9AEwAQQBNAEIARABBACgAXAAiAEUAXwBOADIATwBkAGkAcgBcACIAKQA7AFwAbgBcAG4AVgBFAEUAUgBHAF8ANABfADMAXwAxAF8AMwBfAF8AMQBfAFQAbwB0AGEAbABBAG4AbgB1AGEAbABEAGkAcgBlAGMAdABOAGkAdAByAG8AdQBzAE8AeABpAGQAZQBFAG0AaQBzAHMAaQBvAG4AcwBGAHIAbwBtAE0ATQBTAF8AVQBuAGkAdABcAG4AIAAgAD0ATABBAE0AQgBEAEEAKABcACIAdAAgAE4AMgBPAFwAIgApADsAXABuAFwAbgBWAEUARQBSAEcAXwA0AF8AMwBfADEAXwAzAF8AXwAxAF8AVABvAHQAYQBsAEEAbgBuAHUAYQBsAEQAaQByAGUAYwB0AE4AaQB0AHIAbwB1AHMATwB4AGkAZABlAEUAbQBpAHMAcwBpAG8AbgBzAEYAcgBvAG0ATQBNAFMAXwBTAG8AdQByAGMAZQBcAG4AIAAgAD0ATABBAE0AQgBEAEEAKABcACIAVgBFAEUAUgBHACAAMgAwADIANgA6ACAANAAuADMALgAxAC4AMwAsACAARQBxAHUAYQB0AGkAbwBuACAAKAAxACkAXAAiACkAOwBcAG4AXABuAFYARQBFAFIARwBfADQAXwAzAF8AMQBfADMAXwBfADEAXwBUAG8AdABhAGwAQQBuAG4AdQBhAGwARABpAHIAZQBjAHQATgBpAHQAcgBvAHUAcwBPAHgAaQBkAGUARQBtAGkAcwBzAGkAbwBuAHMARgByAG8AbQBNAE0AUwBfAE4ASQBSAFIAZQBmAGUAcgBlAG4AYwBlAFwAbgAgACAAPQBMAEEATQBCAEQAQQAoAFwAIgBcACIAKQA7AFwAbgBcAG4AVgBFAEUAUgBHAF8ANABfADMAXwAxAF8AMwBfAF8AMQBfAFQAbwB0AGEAbABBAG4AbgB1AGEAbABEAGkAcgBlAGMAdABOAGkAdAByAG8AdQBzAE8AeABpAGQAZQBFAG0AaQBzAHMAaQBvAG4AcwBGAHIAbwBtAE0ATQBTAF8ATABhAHQAZQB4AEUAcQB1AGEAdABpAG8AbgBcAG4AIAAgAD0ATABBAE0AQgBEAEEAKABcACIARQBfAHsATgAyAE8ALABkAGkAcgB9AD0AXABcAHMAdQBtAFwAXABuAG8AbABpAG0AaQB0AHMAXwB7AGoAfQBcAFwAcwB1AG0AXABcAG4AbwBsAGkAbQBpAHQAcwBfAHsAbQB9ACgATQBOAF8AewBqAG0AfQBcAFwAdABpAG0AZQBzACAARQBGAF8AbQBcAFwAdABpAG0AZQBzACAAQwBfAHsATgAyAE8AfQBcAFwAdABpAG0AZQBzACAAMQAwAF4AewAtADMAfQApAFwAIgApADsAXABuAFwAbgBWAEUARQBSAEcAXwA0AF8AMw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bgBpAHQAcgBvAHUAcwAgAG8AeABpAGQAZQAgAGUAbQBpAHMAcwBpAG8AbgAgAGYAYQBjAHQAbwByACAAZgBvAHIAIABlAGEAYwBoACAATQBNAFMAIAAoAGsAZwAgAE4AMgBPAC0ATgAvAGsAZwAgAE4AIABkAGUAcABvAHMAaQB0AGUAZA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yAF8AVABvAHQAYQBsAE4AaQB0AHIAbwBnAGUAbgBJAG4ARQBhAGMAaABNAE0AUwBcAG4AVABvAHQAYQBsACAAbgBpAHQAcgBvAGcAZQBuACAAaQBuACAAZQBhAGMAaAAgAE0ATQBTAFwAbgBNAE4AXwBqAG0AXABuAGsAZwAgAE4AXABuAE0ATgBfAHsAagBtAH0APQBBAEUAXwBqAFwAXAB0AGkAbQBlAHMAIABNAE0AUwBfAHsAagBtAH0AXABuAEEARQBfAGoAIAA9ACAAdABvAHQAYQBsACAAbgBpAHQAcgBvAGcAZQBuACAAZQB4AGMAcgBlAHQAZQBkACAAYgB5ACAAZQBhAGMAaAAgAGQAYQBpAHIAeQAgAGMAbABhAHMAcwAgACgAawBnACAATgApAFwAbgBNAE0AUwBfAGoAbQAgAD0AIABtAGEAbgB1AHIAZQAgAG0AYQBuAGEAZwBlAG0AZQBuAHQAIABzAHkAcwB0AGUAbQAgAGYAcgBhAGMAdABpAG8AbgAgAGYAbwByACAAYwBsAGEAcwBzACAAagAgAGEAbgBkACAAcwB5AHMAdABlAG0AIABtAFwAbgAtAC0ALQAtAC0ALQAtAC0ALQAtAC0ALQAtAC0ALQAtAC0ALQAtAC0ALQAtAC0ALQAtAC0ALQAtAC0ALQAtAC0ALQAtAC0ALQAtAC0AXABuACoALwBcAG4AXABuAFYARQBFAFIARwBfADQAXwAzAF8AMQBfADMAXwBfADIAXwBUAG8AdABhAGwATgBpAHQAcgBvAGcAZQBuAEkAbgBFAGEAYwBoAE0ATQBTAFwAbgAgACAAPQBMAEEATQBCAEQAQQAoAFwAbgAgACAAIAAgAEEARQBfAGoALAAgAE0ATQBTAF8AagBtACwAXABuACAAIAAgACAAQQBFAF8AagAgACoAIABNAE0AUwBfAGoAbQBcAG4AIAAgACkAOwBcAG4AXABuAFYARQBFAFIARwBfADQAXwAzAF8AMQBfADMAXwBfADIAXwBUAG8AdABhAGwATgBpAHQAcgBvAGcAZQBuAEkAbgBFAGEAYwBoAE0ATQBTAF8AVABpAHQAbABlAFwAbgAgACAAPQBMAEEATQBCAEQAQQAoAFwAIgBUAG8AdABhAGwAIABuAGkAdAByAG8AZwBlAG4AIABpAG4AIABlAGEAYwBoACAATQBNAFMAXAAiACkAOwBcAG4AXABuAFYARQBFAFIARwBfADQAXwAzAF8AMQBfADMAXwBfADIAXwBUAG8AdABhAGwATgBpAHQAcgBvAGcAZQBuAEkAbgBFAGEAYwBoAE0ATQBTAF8AVgBhAHIAaQBhAGIAbABlAFwAbgAgACAAPQBMAEEATQBCAEQAQQAoAFwAIgBNAE4AXwBqAG0AXAAiACkAOwBcAG4AXABuAFYARQBFAFIARwBfADQAXwAzAF8AMQBfADMAXwBfADIAXwBUAG8AdABhAGwATgBpAHQAcgBvAGcAZQBuAEkAbgBFAGEAYwBoAE0ATQBTAF8AVQBuAGkAdABcAG4AIAAgAD0ATABBAE0AQgBEAEEAKABcACIAawBnACAATgBcACIAKQA7AFwAbgBcAG4AVgBFAEUAUgBHAF8ANABfADMAXwAxAF8AMwBfAF8AMgBfAFQAbwB0AGEAbABOAGkAdAByAG8AZwBlAG4ASQBuAEUAYQBjAGgATQBNAFMAXwBTAG8AdQByAGMAZQBcAG4AIAAgAD0ATABBAE0AQgBEAEEAKABcACIAVgBFAEUAUgBHACAAMgAwADIANgA6ACAANAAuADMALgAxAC4AMwAsACAARQBxAHUAYQB0AGkAbwBuACAAKAAyACkAXAAiACkAOwBcAG4AXABuAFYARQBFAFIARwBfADQAXwAzAF8AMQBfADMAXwBfADIAXwBUAG8AdABhAGwATgBpAHQAcgBvAGcAZQBuAEkAbgBFAGEAYwBoAE0ATQBTAF8ATgBJAFIAUgBlAGYAZQByAGUAbgBjAGUAXABuACAAIAA9AEwAQQBNAEIARABBACgAXAAiAFwAIgApADsAXABuAFwAbgBWAEUARQBSAEcAXwA0AF8AMwBfADEAXwAzAF8AXwAyAF8AVABvAHQAYQBsAE4AaQB0AHIAbwBnAGUAbgBJAG4ARQBhAGMAaABNAE0AUwBfAEwAYQB0AGUAeABFAHEAdQBhAHQAaQBvAG4AXABuACAAIAA9AEwAQQBNAEIARABBACgAXAAiAE0ATgBfAHsAagBtAH0APQBBAEUAXwBqAFwAXAB0AGkAbQBlAHMAIABNAE0AUwBfAHsAagBtAH0AXAAiACkAOwBcAG4AXABuAFYARQBFAFIARwBfADQAXwAzAF8AMQBfADMAXwBfADIAXwBUAG8AdABhAGwATgBpAHQAcgBvAGcAZQBuAEkAbgBFAGEAYwBoAE0ATQBTAF8AQQByAGcAdQBtAGUAbgB0AHMAXABuACAAIAA9AEwAQQBNAEIARABBACgAXABuACAAIAAgACAATQBBAEsARQBBAFIAUgBBAFkAKAAyACwAIAA0ACwAXABuACAAIAAgACAAIAAgAEwAQQBNAEIARABBACgAcgAsAGMALABcAG4AIAAgACAAIAAgACAAIAAgAEkATgBEAEUAWAAoAHsAXABuACAAIAAgACAAIAAgACAAIAAgACAAXAAiAEEARQBfAGoAXAAiACwAIABcACIAdABvAHQAYQBsACAAbgBpAHQAcgBvAGcAZQBuACAAZQB4AGMAcgBlAHQAZQBkACAAYgB5ACAAZQBhAGMAaAAgAGQAYQBpAHIAeQAgAGMAbABhAHMAcwBcACIALAAgAFwAIgBrAGcAIABOAFwAIgAsACAAXAAiAEMAYQBsAGMAdQBsAGEAdABlAGQAIABmAHIAbwBtACAANAAuADMALgAxAC4AMwAgACgAMwBhACkAIABhAG4AZAAgACgAMwBiACkAXAAiADsAXABuACAAIAAgACAAIAAgACAAIAAgACAAXAAiAE0ATQBTAF8AagBtAFwAIgAsACAAXAAiAG0AYQBuAHUAcgBlACAAbQBhAG4AYQBnAGUAbQBlAG4AdAAgAHMAeQBzAHQAZQBtACAAZgByAGEAYwB0AGkAbwBuACAAZgBvAHIAIABjAGwAYQBzAHMAIABqACAAYQBuAGQAIABzAHkAcwB0AGUAbQAg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zAGEAXwBUAG8AdABhAGwAQQBuAG4AdQBhAGwATgBpAHQAcgBvAGcAZQBuAEUAeABjAHIAZQB0AGUAZABHAHIAZQBhAHQAZQByAFQAaABhAG4ATwBuAGUAWQBlAGEAcgBcAG4AVABvAHQAYQBsACAAYQBuAG4AdQBhAGwAIABuAGkAdAByAG8AZwBlAG4AIABlAHgAYwByAGUAdABlAGQAIABiAHkAIABkAGEAaQByAHkAIABjAGEAdAB0AGwAZQAgAFwAdQAwADAAMwBl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FwAdQAwADAAMwBlADEAIAB5AGUAYQByACAAbwBsAGQAIAAoAGsAZwAgAE4ALwBoAGUAYQBkAC8AZABhAHkAKQBcAG4ALQAtAC0ALQAtAC0ALQAtAC0ALQAtAC0ALQAtAC0ALQAtAC0ALQAtAC0ALQAtAC0ALQAtAC0ALQAtAC0ALQAtAC0ALQAtAC0ALQAtAFwAbgAqAC8AXABuAFwAbgBWAEUARQBSAEcAXwA0AF8AMwBfADEAXwAzAF8AXwAzAGEAXwBUAG8AdABhAGwAQQBuAG4AdQBhAGwATgBpAHQAcgBvAGcAZQBuAEUAeABjAHIAZQB0AGUAZABHAHIAZQBhAHQAZQByAFQAaABhAG4ATwBuAGUAWQBlAGEAcgBcAG4AIAAgAD0ATABBAE0AQgBEAEEAKABcAG4AIAAgACAAIABOAF8AagAxADIANAAsACAATgBFAF8AagAxADIANAAsAFwAbgAgACAAIAAgAE4AXwBqADEAMgA0ACAAKgAgAE4ARQBfAGoAMQAyADQAIAAqACAAMwA2ADUAXABuACAAIAApADsAXABuAFwAbgBWAEUARQBSAEcAXwA0AF8AMwBfADEAXwAzAF8AXwAzAGEAXwBUAG8AdABhAGwAQQBuAG4AdQBhAGwATgBpAHQAcgBvAGcAZQBuAEUAeABjAHIAZQB0AGUAZABHAHIAZQBhAHQAZQByAFQAaABhAG4ATwBuAGUAWQBlAGEAcgBWAGEAcgBpAGEAdABpAG8AbgBcAG4AIAAgAD0ATABBAE0AQgBEAEEAKABcAG4AIAAgACAAIABOAF8AagAxADIANAAsACAATgBFAF8AagAxADIANAAsACAARABfAGoAMQAyADQALABcAG4AIAAgACAAIABOAF8AagAxADIANAAgACoAIABOAEUAXwBqADEAMgA0ACAAKgAgAEQAXwBqADEAMgA0AFwAbgAgACAAKQA7AFwAbgBcAG4AVgBFAEUAUgBHAF8ANABfADMAXwAxAF8AMwBfAF8AMwBhAF8AVABvAHQAYQBsAEEAbgBuAHUAYQBsAE4AaQB0AHIAbwBnAGUAbgBFAHgAYwByAGUAdABlAGQARwByAGUAYQB0AGUAcgBUAGgAYQBuAE8AbgBlAFkAZQBhAHIAXwBUAGkAdABsAGUAXABuACAAIAA9AEwAQQBNAEIARABBACgAXAAiAFQAbwB0AGEAbAAgAGEAbgBuAHUAYQBsACAAbgBpAHQAcgBvAGcAZQBuACAAZQB4AGMAcgBlAHQAZQBkACAAYgB5ACAAZABhAGkAcgB5ACAAYwBhAHQAdABsAGUAIABnAHIAZQBhAHQAZQByACAAdABoAGEAbgAgAG8AbgBlACAAeQBlAGEAcgAgAG8AbABkAFwAIgApADsAXABuAFwAbgBWAEUARQBSAEcAXwA0AF8AMwBfADEAXwAzAF8AXwAzAGEAXwBUAG8AdABhAGwAQQBuAG4AdQBhAGwATgBpAHQAcgBvAGcAZQBuAEUAeABjAHIAZQB0AGUAZABHAHIAZQBhAHQAZQByAFQAaABhAG4ATwBuAGUAWQBlAGEAcgBfAFYAYQByAGkAYQBiAGwAZQBcAG4AIAAgAD0ATABBAE0AQgBEAEEAKABcACIAQQBFAF8AagAxADIANABcACIAKQA7AFwAbgBcAG4AVgBFAEUAUgBHAF8ANABfADMAXwAxAF8AMwBfAF8AMwBhAF8AVABvAHQAYQBsAEEAbgBuAHUAYQBsAE4AaQB0AHIAbwBnAGUAbgBFAHgAYwByAGUAdABlAGQARwByAGUAYQB0AGUAcgBUAGgAYQBuAE8AbgBlAFkAZQBhAHIAXwBVAG4AaQB0AFwAbgAgACAAPQBMAEEATQBCAEQAQQAoAFwAIgBrAGcAIABOAFwAIgApADsAXABuAFwAbgBWAEUARQBSAEcAXwA0AF8AMwBfADEAXwAzAF8AXwAzAGEAXwBUAG8AdABhAGwAQQBuAG4AdQBhAGwATgBpAHQAcgBvAGcAZQBuAEUAeABjAHIAZQB0AGUAZABHAHIAZQBhAHQAZQByAFQAaABhAG4ATwBuAGUAWQBlAGEAcgBfAFMAbwB1AHIAYwBlAFwAbgAgACAAPQBMAEEATQBCAEQAQQAoAFwAIgBWAEUARQBSAEcAIAAyADAAMgA2ADoAIAA0AC4AMwAuADEALgAzACwAIABFAHEAdQBhAHQAaQBvAG4AIAAoADMAYQApAFwAIgApADsAXABuAFwAbgBWAEUARQBSAEcAXwA0AF8AMwBfADEAXwAzAF8AXwAzAGEAXwBUAG8AdABhAGwAQQBuAG4AdQBhAGwATgBpAHQAcgBvAGcAZQBuAEUAeABjAHIAZQB0AGUAZABHAHIAZQBhAHQAZQByAFQAaABhAG4ATwBuAGUAWQBlAGEAcgBfAE4ASQBSAFIAZQBmAGUAcgBlAG4AYwBlAFwAbgAgACAAPQBMAEEATQBCAEQAQQAoAFwAIgBcACIAKQA7AFwAbgBcAG4AVgBFAEUAUgBHAF8ANABfADMAXwAxAF8AMwBfAF8AMwBhAF8AVABvAHQAYQBsAEEAbgBuAHUAYQBsAE4AaQB0AHIAbwBnAGUAbgBFAHgAYwByAGUAdABlAGQARwByAGUAYQB0AGUAcgBUAGgAYQBuAE8AbgBlAFkAZQBhAHIAXwBMAGEAdABlAHgARQBxAHUAYQB0AGkAbwBuAFwAbgAgACAAPQBMAEEATQBCAEQAQQAoAFwAIgBBAEUAXwB7AGoAPQAxACwAMgAsADQAfQA9AE4AXwB7AGoAPQAxACwAMgAsADQAfQBcAFwAdABpAG0AZQBzACAATgBFAF8AewBqAD0AMQAsADIALAA0AH0AXABcAHQAaQBtAGUAcwAgADMANgA1AFwAIgApADsAXABuAFwAbgBWAEUARQBSAEcAXwA0AF8AMwBfADEAXwAzAF8AXwAzAGEAXwBUAG8AdABhAGwAQQBuAG4AdQBhAGwATgBpAHQAcgBvAGcAZQBuAEUAeABjAHIAZQB0AGUAZABHAHIAZQBhAHQAZQByAFQAaABhAG4ATwBuAGUAWQBlAGEAcgBfAEwAYQB0AGUAeABFAHEAdQBhAHQAaQBvAG4AVgBhAHIAaQBhAHQAaQBvAG4AXABuACAAIAA9AEwAQQBNAEIARABBACgAXAAiAEEARQBfAHsAagA9ADEALAAyACwANAB9AD0ATgBfAHsAagA9ADEALAAyACwANAB9AFwAXAB0AGkAbQBlAHMAIABOAEUAXwB7AGoAPQAxACwAMgAsADQAfQBcAFwAdABpAG0AZQBzACAARABfAHsAagA9ADEALAAyACwANAB9AFwAIgApADsAXABuAFwAbgBWAEUARQBSAEcAXwA0AF8AMwBfADEAXwAzAF8AXwAzAGEAXwBUAG8AdABhAGwAQQBuAG4AdQBhAGwATgBpAHQAcgBvAGcAZQBuAEUAeABjAHIAZQB0AGUAZA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4ARQBfAGoAMQAyADQAXAAiACwAIABcACIAbgBpAHQAcgBvAGcAZQBuACAAZQB4AGMAcgBlAHQAZQBkACAAYgB5ACAAZABhAGkAcgB5ACAAYwBhAHQAdABsAGUAIABnAHIAZQBhAHQAZQByACAAdABoAGEAbgAgAG8AbgBlACAAeQBlAGEAcgAgAG8AbABkACAAKABrAGcAIABOAC8AaABlAGEAZAAvAGQAYQB5ACkAXAAiACwAIABcACIAawBnACAATgAvAGgAZQBhAGQALwBkAGEAeQBcACIALAAgAFwAIgBDAGEAbABjAHUAbABhAHQAZQBkACAAZgByAG8AbQAgADQALgAzAC4AMQAuADMAIAAoADQAKQBcACIAOwBcAG4AIAAgACAAIAAgACAAIAAgACAAIABcACIARABfAGoAMQAyADQAXAAiACwAIABcACIAZAB1AHIAYQB0AGkAbwBuACAAbwBmACAAcwB0AGEAeQAgAG8AbgAgAGYAYQByAG0AIABmAG8AcgAgAGMAbABhAHMAcwBlAHMAIABqAD0AMQAsADIALAA0ACAAKABkAGEAeQBzACkAXAAiACwAIABcACIAZABhAHkAcwBcACIALAAgAFwAIgBJAG4AcAB1AHQAXAAiAFwAbgAgACAAIAAgACAAIAAgACAAfQAsACAAcgAsACAAYwApAFwAbgAgACAAIAAgACAAIAApAFwAbgAgACAAIAAgACkAXABuACAAIAApADsAXABuAFwAbgBWAEUARQBSAEcAXwA0AF8AMwBfADEAXwAzAF8AXwAzAGEAXwBUAG8AdABhAGwAQQBuAG4AdQBhAGwATgBpAHQAcgBvAGcAZQBuAEUAeABjAHIAZQB0AGUAZABHAHIAZQBhAHQAZQByAFQAaABhAG4ATwBuAGUAWQBlAGEAcgBfAFYAYQByAGkAYQB0AGkAbwBuAFwAbgAgACAAPQBMAEEATQBCAEQAQQAoAFwAIgBWAEEAUgBJAEEAVABJAE8ATgA6ACAAVQBzAGUAZAAgAEQAdQByAGEAdABpAG8AbgAgAHYAYQByAGkAYQBiAGwAZQBzACAAaQBuAHMAdABlAGEAZAAgAG8AZgAgAGgAYQByAGQALQBjAG8AZABlAGQAIAAzADYANQAgAHYAYQBsAHUAZQAuAFwAIgApADsAXABuAFwAbgAvACoAXABuAC0ALQAtAC0ALQAtAC0ALQAtAC0ALQAtAC0ALQAtAC0ALQAtAC0ALQAtAC0ALQAtAC0ALQAtAC0ALQAtAC0ALQAtAC0ALQAtAC0ALQBcAG4AVgBFAEUAUgBHAF8ANABfADMAXwAxAF8AMwBfAF8AMwBiAF8AVABvAHQAYQBsAEEAbgBuAHUAYQBsAE4AaQB0AHIAbwBnAGUAbgBFAHgAYwByAGUAdABlAGQATABlAHMAcwBUAGgAYQBuAE8AbgBlAFkAZQBhAHIAXABuAFQAbwB0AGEAbAAgAGEAbgBuAHUAYQBsACAAbgBpAHQAcgBvAGcAZQBuACAAZQB4AGMAcgBlAHQAZQBkACAAYgB5ACAAZABhAGkAcgB5ACAAYwBhAHQAdABsAGUAIABcAHUAMAAwADMAYwAxACAAeQBlAGEAcgAgAG8AbABkAFwAbgBBAEUAXwBqADMANQBcAG4AawBnACAATgBcAG4AQQBFAF8AewBqAD0AMwAsADUAfQA9ACgATgBfAHsAagA9ADMALAA1AH0AXABcAHQAaQBtAGUAcwAgAE4ARQBfAHsAagA9ADMALAA1AH0AXABcAHQAaQBtAGUAcwAgADIAOAAxACkAKwAoAE4AXwB7AGoAPQAzACwANQB9AFwAXAB0AGkAbQBlAHMAIABOAFAAVwBfAHsAagA9ADMALAA1AH0AXABcAHQAaQBtAGUAcwAgADgANAApAFwAbgBOAF8AagAzADUAIAA9ACAAbgB1AG0AYgBlAHIAIABvAGYAIABkAGEAaQByAHkAIABjAGEAdAB0AGwAZQAgAGkAbgAgAGMAbABhAHMAcwBlAHMAIABqAD0AMwAsADUAXABuAE4ARQBfAGoAMwA1ACAAPQAgAG4AaQB0AHIAbwBnAGUAbgAgAGUAeABjAHIAZQB0AGUAZAAgAGIAeQAgAHcAZQBhAG4AZQBkACAAZABhAGkAcgB5ACAAYwBhAHQAdABsAGUAIABcAHUAMAAwADMAYw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XAB1ADAAMAAzAGU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QwBQAEkAXwBqAFwAIgAsACAAXAAiAGMAcgB1AGQAZQAgAHAAcgBvAHQAZQBpAG4AIABpAG4AdABhAGsAZQAgACgAawBnAC8AaABlAGEAZAAvAGQAYQB5ACkAXAAiACwAIABcACIAawBnAC8AaABlAGEAZAAvAGQAYQB5AFwAIgAsACAAXAAiAEMAYQBsAGMAdQBsAGEAdABlAGQAIABmAHIAbwBtACAANAAuADMALgAxAC4AMwAgACgANQApAFwAIgA7AFwAbgAgACAAIAAgACAAIAAgACAAIAAgAFwAIgBOAFIAXwBqAFwAIgAsACAAXAAiAGEAbQBvAHUAbgB0ACAAbwBmACAAbgBpAHQAcgBvAGcAZQBuACAAcgBlAHQAYQBpAG4AZQBkACAAYgB5ACAAdABoAGUAIABiAG8AZAB5AFwAIgAsACAAXAAiAGsAZwAgAE4ALwBoAGUAYQBkAC8AZABhAHkAXAAiACwAIABcACIAQwBhAGwAYwB1AGwAYQB0AGUAZAAgAGYAcgBvAG0AIAA0AC4AMwAuADEALgAzACAAKAA2ACkAXAAiADsAXABuACAAIAAgACAAIAAgACAAIAAgACAAXAAiAFcAXwBqAFwAIgAsACAAXAAiAGwAaQB2AGUAdwBlAGkAZwBoAHQAIAAoAGsAZwApAFwAIgAsACAAXAAiAGsAZ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DAFAAXwBqAFwAIgAsACAAXAAiAGMAcgB1AGQAZQAgAHAAcgBvAHQAZQBpAG4AIABjAG8AbgB0AGUAbgB0ACAAbwBmACAAZgBlAGUAZA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gBfAE4AaQB0AHIAbwBnAGUAbgBSAGUAdABhAGkAbgBlAGQAQgB5AEIAbwBkAHkAXABuAEEAbQBvAHUAbgB0ACAAbwBmACAAbgBpAHQAcgBvAGcAZQBuACAAcgBlAHQAYQBpAG4AZQBkACAAYgB5ACAAdABoAGUAIABiAG8AZAB5AFwAbgBOAFIAXwBqAFwAbgBrAGcAIABOAC8AaABlAGEAZAAvAGQAYQB5AFwAbgBOAFIAXwBqAD0AKAAoACgAMAAuADAAMwAyAFwAXAB0AGkAbQBlAHMAIABNAFAAXwBqAFwAXAB0AGkAbQBlAHMAIAAxAC4AMAAzACkALwA2AC4AMwA4ACkAKwAoACgAMAAuADIAMQAyAC0AMAAuADAAMAA4AFwAXAB0AGkAbQBlAHMAIAAoAEwAXwBqAC0AMgApAC0AKAAoADAALgAxADQAMAAtADAALgAwADAAOABcAFwAdABpAG0AZQBzACAAKABMAF8AagAtADIAKQApAC8AKAAxACsARQBYAFAAKAAtADYAXABcAHQAaQBtAGUAcwAgACgAWgBfAGoALQAwAC4ANAApACkAKQApACkAXABcAHQAaQBtAGUAcwAgACgATABXAEcAXwBqAFwAXAB0AGkAbQBlAHMAIAAwAC4AOQAyACkAKQApAFwAXAB0AGkAbQBlAHMAIAAoADEALwA2AC4AMgA1ACkAXABuAE0AUABfAGoAIAA9ACAAbQBpAGwAawAgAHAAcgBvAGQAdQBjAHQAaQBvAG4AIAAoAEwALwBoAGUAYQBkAC8AZABhAHkAKQBcAG4ATABfAGoAIAA9ACAAaQBuAHQAYQBrAGUAIAByAGUAbABhAHQAaQB2AGUAIAB0AG8AIABtAGEAaQBuAHQAZQBuAGEAbgBjAGUAXABuAFoAXwBqACAAPQAgAHIAZQBsAGEAdABpAHYAZQAgAHMAaQB6AGUAXABuAEwAVwBHAF8AagAgAD0AIABsAGkAdgBlAHcAZQBpAGcAaAB0ACAAZwBhAGkAbgAgACgAawBnAC8AZABhAHkAKQBcAG4ALQAtAC0ALQAtAC0ALQAtAC0ALQAtAC0ALQAtAC0ALQAtAC0ALQAtAC0ALQAtAC0ALQAtAC0ALQAtAC0ALQAtAC0ALQAtAC0ALQAtAFwAbgAqAC8AXABuAFwAbgBWAEUARQBSAEcAXwA0AF8AMwBfADEAXwAzAF8AXwA2AF8ATgBpAHQAcgBvAGcAZQBuAFIAZQB0AGEAaQBuAGUAZABCAHkAQgBvAGQAeQBcAG4AIAAgAD0ATABBAE0AQgBEAEEAKABcAG4AIAAgACAAIABNAFAAXwBqACwAIABMAF8AagAsACAAWgBfAGoALAAgAEwAVwBHAF8AagAsAFwAbgAgACAAIAAgACgAKAAwAC4AMAAzADIAIAAqACAATQBQAF8AagAgACoAIAAxAC4AMAAzACkAIAAvACAANgAuADMAOAApACAAKwAgACgAKAAwAC4AMgAxADIAIAAtACAAMAAuADAAMAA4ACAAKgAgACgATABfAGoAIAAtACAAMgApACAALQAgACgAKAAwAC4AMQA0ADAAIAAtACAAMAAuADAAMAA4ACAAKgAgACgATABfAGoAIAAtACAAMgApACkAIAAvACAAKAAxACAAKwAgAEUAWABQACgALQA2ACAAKgAgACgAWgBfAGoAIAAtACAAMAAuADQAKQApACkAKQApACAAKgAgACgATABXAEcAXwBqACAAKgAgADAALgA5ADI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4ACAATQBlAHQAaABvAGQAIAAxACAALQAgAE0AYQBuAHUAcgBlACAAQQBwAHAAbABpAGUAZAAgAFQAbwAgAFMAbwBpAGwAc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gAXwBfADEAXwBNAGEAcwBzAE8AZgBOAGkAdAByAG8AZwBlAG4AQQBwAHAAbABpAGUAZABUAG8AUwBvAGkAbABzAFMAYwBvAHAAZQAxAFwAbgBNAGEAcwBzACAAbwBmACAAbgBpAHQAcgBvAGcAZQBuACAAZgByAG8AbQAgAG0AYQBuAHUAcgBlACAAYQBwAHAAbABpAGUAZAAgAHQAbwAgAHMAbwBpAGwAcwAgAGYAbwByACAAcwBjAG8AcABlACAAMQAgAGUAbQBpAHMAcwBpAG8AbgBzAFwAbgBNAE4AUwBvAGkAbABfAHMAYwBvAHAAZQAxAFwAbgBrAGcAIABOAFwAbgBNAE4AUwBvAGkAbABfAHsAcwBjAG8AcABlADEAfQA9ACgATQBOAF8AewBqAG0AfQBcAFwAdABpAG0AZQBzACAAKAAxAC0ARQBGAF8AbQAtAEYAcgBhAGMARwBBAFMATQBfAG0AKQAtAE0ATgBMAGUAYQBjAGgAXwBqAG0AKQBcAFwAdABpAG0AZQBzACAAUABGAF8AcwBjAG8AcABl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BfAHMAYwBvAHAAZQ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EAXwBNAGEAcwBzAE8AZgBOAGkAdAByAG8AZwBlAG4AQQBwAHAAbABpAGUAZABUAG8AUwBvAGkAbABzAFMAYwBvAHAAZQAxAFwAbgAgACAAPQBMAEEATQBCAEQAQQAoAFwAbgAgACAAIAAgAE0ATgBfAGoAbQAsACAARQBGAF8AbQAsACAARgByAGEAYwBHAEEAUwBNAF8AbQAsACAATQBOAEwAZQBhAGMAaABfAGoAbQAsACAAUABGAF8AcwBjAG8AcABlACwAXABuACAAIAAgACAAKABNAE4AXwBqAG0AIAAqACAAKAAxACAALQAgAEUARgBfAG0AIAAtACAARgByAGEAYwBHAEEAUwBNAF8AbQApACAALQAgAE0ATgBMAGUAYQBjAGgAXwBqAG0AKQAgACoAIABQAEYAXwBzAGMAbwBwAGUAXABuACAAIAApADsAXABuAFwAbgBWAEUARQBSAEcAXwA0AF8AMwBfADEAXwA4AF8AXwAxAF8ATQBhAHMAcwBPAGYATgBpAHQAcgBvAGcAZQBuAEEAcABwAGwAaQBlAGQAVABvAFMAbwBpAGwAcwBTAGMAbwBwAGUAMQBfAFQAaQB0AGwAZQBcAG4AIAAgAD0ATABBAE0AQgBEAEEAKABcACIATQBhAHMAcwAgAG8AZgAgAG4AaQB0AHIAbwBnAGUAbgAgAGYAcgBvAG0AIABtAGEAbgB1AHIAZQAgAGEAcABwAGwAaQBlAGQAIAB0AG8AIABzAG8AaQBsAHMAIABmAG8AcgAgAHMAYwBvAHAAZQAgADEAIABlAG0AaQBzAHMAaQBvAG4AcwBcACIAKQA7AFwAbgBcAG4AVgBFAEUAUgBHAF8ANABfADMAXwAxAF8AOABfAF8AMQBfAE0AYQBzAHMATwBmAE4AaQB0AHIAbwBnAGUAbgBBAHAAcABsAGkAZQBkAFQAbwBTAG8AaQBsAHMAUwBjAG8AcABlADEAXwBWAGEAcgBpAGEAYgBsAGUAXABuACAAIAA9AEwAQQBNAEIARABBACgAXAAiAE0ATgBTAG8AaQBsAF8AcwBjAG8AcABlADEAXAAiACkAOwBcAG4AXABuAFYARQBFAFIARwBfADQAXwAzAF8AMQBfADgAXwBfADEAXwBNAGEAcwBzAE8AZgBOAGkAdAByAG8AZwBlAG4AQQBwAHAAbABpAGUAZABUAG8AUwBvAGkAbABzAFMAYwBvAHAAZQAxAF8AVQBuAGkAdABcAG4AIAAgAD0ATABBAE0AQgBEAEEAKABcACIAawBnACAATgBcACIAKQA7AFwAbgBcAG4AVgBFAEUAUgBHAF8ANABfADMAXwAxAF8AOABfAF8AMQBfAE0AYQBzAHMATwBmAE4AaQB0AHIAbwBnAGUAbgBBAHAAcABsAGkAZQBkAFQAbwBTAG8AaQBsAHMAUwBjAG8AcABlADEAXwBTAG8AdQByAGMAZQBcAG4AIAAgAD0ATABBAE0AQgBEAEEAKABcACIAVgBFAEUAUgBHACAAMgAwADIANgA6ACAANAAuADMALgAxAC4AOAAsACAARQBxAHUAYQB0AGkAbwBuACAAKAAxACkAXAAiACkAOwBcAG4AXABuAFYARQBFAFIARwBfADQAXwAzAF8AMQBfADgAXwBfADEAXwBNAGEAcwBzAE8AZgBOAGkAdAByAG8AZwBlAG4AQQBwAHAAbABpAGUAZABUAG8AUwBvAGkAbABzAFMAYwBvAHAAZQAxAF8ATgBJAFIAUgBlAGYAZQByAGUAbgBjAGUAXABuACAAIAA9AEwAQQBNAEIARABBACgAXAAiAFwAIgApADsAXABuAFwAbgBWAEUARQBSAEcAXwA0AF8AMwBfADEAXwA4AF8AXwAxAF8ATQBhAHMAcwBPAGYATgBpAHQAcgBvAGcAZQBuAEEAcABwAGwAaQBlAGQAVABvAFMAbwBpAGwAcwBTAGMAbwBwAGUAMQBfAEwAYQB0AGUAeABFAHEAdQBhAHQAaQBvAG4AXABuACAAIAA9AEwAQQBNAEIARABBACgAXAAiAE0ATgBTAG8AaQBsAF8AewBzAGMAbwBwAGUAMQ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UABGAFwAIgApADsAXABuAFwAbgBWAEUARQBSAEcAXwA0AF8AMwBfADEAXwA4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lAG0AaQBzAHMAaQBvAG4AIABmAGEAYwB0AG8AcgAgAGYAbwByACAAbgBpAHQAcgBvAHUAcwAgAG8AeABpAGQAZQAgAGUAbQBpAHMAcwBpAG8AbgBzACAAcABlAHIAIABNAE0AUwBcACIALAAgAFwAIgBrAGcAIABOADIATwAtAE4ALwBrAGcAIABOAFwAIgAsACAAXAAiAEMAbwBuAHMAdABhAG4AdABcACIAOwBcAG4AIAAgACAAIAAgACAAIAAgACAAIABcACIARgByAGEAYwBHAEEAUwBNAF8AbQBcACIALAAgAFwAIgBmAHIAYQBjAHQAaQBvAG4AIABvAGYAIABOACAAdgBvAGwAYQB0AGkAbABpAHMAZQBkACAAZgByAG8AbQAgAE0ATQBTAFwAIgAsACAAXAAiAGYAcgBhAGMAdABpAG8AbgBcACIALAAgAFwAIgBDAG8AbgBzAHQAYQBuAHQAXAAiADsAXABuACAAIAAgACAAIAAgACAAIAAgACAAXAAiAE0ATgBMAGUAYQBjAGgAXwBqAG0AXAAiACwAIABcACIAbQBhAHMAcwAgAG8AZgAgAE4AIABsAG8AcwB0ACAAdABoAHIAbwB1AGcAaAAgAGwAZQBhAGMAaABpAG4AZwAgAGEAbgBkACAAcgB1AG4AbwBmAGYAIABmAHIAbwBtACAAZQBhAGMAaAAgAE0ATQBTAFwAIgAsACAAXAAiAGsAZwAgAE4AXAAiACwAIABcACIAQwBhAGwAYwB1AGwAYQB0AGUAZAAgAGYAcgBvAG0AIAA0AC4AMwAuADEALgA2ACAAKAAyACkAXAAiADsAXABuACAAIAAgACAAIAAgACAAIAAgACAAXAAiAFAARgBfAHMAYwBvAHAAZQBcACIALAAgAFwAIgBmAHIAYQBjAHQAaQBvAG4AIABvAGYAIABtAGEAbgB1AHIAZQAgAGEAcABwAGwAaQBlAGQAIAB0AG8AIABzAG8AaQBsACAAdwBpAHQAaABpAG4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OABfAF8AMgBfAE0AYQBzAHMATwBmAE4AaQB0AHIAbwBnAGUAbgBBAHAAcABsAGkAZQBkAFQAbwBTAG8AaQBsAHMAUwBjAG8AcABlADMAXABuAE0AYQBzAHMAIABvAGYAIABuAGkAdAByAG8AZwBlAG4AIABmAHIAbwBtACAAbQBhAG4AdQByAGUAIABhAHAAcABsAGkAZQBkACAAdABvACAAcwBvAGkAbABzACAAZgBvAHIAIABzAGMAbwBwAGUAIAAzACAAZQBtAGkAcwBzAGkAbwBuAHMAXABuAE0ATgBTAG8AaQBsAF8AcwBjAG8AcABlADMAXABuAGsAZwAgAE4AXABuAE0ATgBTAG8AaQBsAF8AewBzAGMAbwBwAGUAMwB9AD0AKABNAE4AXwB7AGoAbQB9AFwAXAB0AGkAbQBlAHMAIAAoADEALQBFAEYAXwBtAC0ARgByAGEAYwBHAEEAUwBNAF8AbQApAC0ATQBOAEwAZQBhAGMAaABfAGoAbQApAFwAXAB0AGkAbQBlAHMAIAAoADEALQBQAEYAK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yAF8ATQBhAHMAcwBPAGYATgBpAHQAcgBvAGcAZQBuAEEAcABwAGwAaQBlAGQAVABvAFMAbwBpAGwAcwBTAGMAbwBwAGUAMwBcAG4AIAAgAD0ATABBAE0AQgBEAEEAKABcAG4AIAAgACAAIABNAE4AXwBqAG0ALAAgAEUARgBfAG0ALAAgAEYAcgBhAGMARwBBAFMATQBfAG0ALAAgAE0ATgBMAGUAYQBjAGgAXwBqAG0ALAAgAFAARgAsAFwAbgAgACAAIAAgACgATQBOAF8AagBtACAAKgAgACgAMQAgAC0AIABFAEYAXwBtACAALQAgAEYAcgBhAGMARwBBAFMATQBfAG0AKQAgAC0AIABNAE4ATABlAGEAYwBoAF8AagBtACkAIAAqACAAKAAxACAALQAgAFAARgApAFwAbgAgACAAKQA7AFwAbgBcAG4AVgBFAEUAUgBHAF8ANABfADMAXwAxAF8AOABfAF8AMgBfAE0AYQBzAHMATwBmAE4AaQB0AHIAbwBnAGUAbgBBAHAAcABsAGkAZQBkAFQAbwBTAG8AaQBsAHMAUwBjAG8AcABlADMAXwBUAGkAdABsAGUAXABuACAAIAA9AEwAQQBNAEIARABBACgAXAAiAE0AYQBzAHMAIABvAGYAIABuAGkAdAByAG8AZwBlAG4AIABmAHIAbwBtACAAbQBhAG4AdQByAGUAIABhAHAAcABsAGkAZQBkACAAdABvACAAcwBvAGkAbABzACAAZgBvAHIAIABzAGMAbwBwAGUAIAAzACAAZQBtAGkAcwBzAGkAbwBuAHMAXAAiACkAOwBcAG4AXABuAFYARQBFAFIARwBfADQAXwAzAF8AMQBfADgAXwBfADIAXwBNAGEAcwBzAE8AZgBOAGkAdAByAG8AZwBlAG4AQQBwAHAAbABpAGUAZABUAG8AUwBvAGkAbABzAFMAYwBvAHAAZQAzAF8AVgBhAHIAaQBhAGIAbABlAFwAbgAgACAAPQBMAEEATQBCAEQAQQAoAFwAIgBNAE4AUwBvAGkAbABfAHMAYwBvAHAAZQAzAFwAIgApADsAXABuAFwAbgBWAEUARQBSAEcAXwA0AF8AMwBfADEAXwA4AF8AXwAyAF8ATQBhAHMAcwBPAGYATgBpAHQAcgBvAGcAZQBuAEEAcABwAGwAaQBlAGQAVABvAFMAbwBpAGwAcwBTAGMAbwBwAGUAMwBfAFUAbgBpAHQAXABuACAAIAA9AEwAQQBNAEIARABBACgAXAAiAGsAZwAgAE4AXAAiACkAOwBcAG4AXABuAFYARQBFAFIARwBfADQAXwAzAF8AMQBfADgAXwBfADIAXwBNAGEAcwBzAE8AZgBOAGkAdAByAG8AZwBlAG4AQQBwAHAAbABpAGUAZABUAG8AUwBvAGkAbABzAFMAYwBvAHAAZQAzAF8AUwBvAHUAcgBjAGUAXABuACAAIAA9AEwAQQBNAEIARABBACgAXAAiAFYARQBFAFIARwAgADIAMAAyADYAOgAgADQALgAzAC4AMQAuADgALAAgAEUAcQB1AGEAdABpAG8AbgAgACgAMgApAFwAIgApADsAXABuAFwAbgBWAEUARQBSAEcAXwA0AF8AMwBfADEAXwA4AF8AXwAyAF8ATQBhAHMAcwBPAGYATgBpAHQAcgBvAGcAZQBuAEEAcABwAGwAaQBlAGQAVABvAFMAbwBpAGwAcwBTAGMAbwBwAGUAMwBfAE4ASQBSAFIAZQBmAGUAcgBlAG4AYwBlAFwAbgAgACAAPQBMAEEATQBCAEQAQQAoAFwAIgBcACIAKQA7AFwAbgBcAG4AVgBFAEUAUgBHAF8ANABfADMAXwAxAF8AOABfAF8AMgBfAE0AYQBzAHMATwBmAE4AaQB0AHIAbwBnAGUAbgBBAHAAcABsAGkAZQBkAFQAbwBTAG8AaQBsAHMAUwBjAG8AcABlADMAXwBMAGEAdABlAHgARQBxAHUAYQB0AGkAbwBuAFwAbgAgACAAPQBMAEEATQBCAEQAQQAoAFwAIgBNAE4AUwBvAGkAbABfAHsAcwBjAG8AcABlADM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CgAMQAtAFAARgApAFwAIgApADsAXABuAFwAbgBWAEUARQBSAEcAXwA0AF8AMwBfADEAXwA4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lAG0AaQBzAHMAaQBvAG4AIABmAGEAYwB0AG8AcgAgAGYAbwByACAAbgBpAHQAcgBvAHUAcwAgAG8AeABpAGQAZQAgAGUAbQBpAHMAcwBpAG8AbgBzACAAcABlAHIAIABNAE0AUwBcACIALAAgAFwAIgBrAGcAIABOADIATwAtAE4ALwBrAGcAIABOAFwAIgAsACAAXAAiAEMAbwBuAHMAdABhAG4AdABcACIAOwBcAG4AIAAgACAAIAAgACAAIAAgACAAIABcACIARgByAGEAYwBHAEEAUwBNAF8AbQBcACIALAAgAFwAIgBmAHIAYQBjAHQAaQBvAG4AIABvAGYAIABOACAAdgBvAGwAYQB0AGkAbABpAHMAZQBkACAAZgByAG8AbQAgAE0ATQBTAFwAIgAsACAAXAAiAGYAcgBhAGMAdABpAG8AbgBcACIALAAgAFwAIgBDAG8AbgBzAHQAYQBuAHQAXAAiADsAXABuACAAIAAgACAAIAAgACAAIAAgACAAXAAiAE0ATgBMAGUAYQBjAGgAXwBqAG0AXAAiACwAIABcACIAbQBhAHMAcwAgAG8AZgAgAE4AIABsAG8AcwB0ACAAdABoAHIAbwB1AGcAaAAgAGwAZQBhAGMAaABpAG4AZwAgAGEAbgBkACAAcgB1AG4AbwBmAGYAIABmAHIAbwBtACAAZQBhAGMAaAAgAE0ATQBTAFwAIgAsACAAXAAiAGsAZwAgAE4AXAAiACwAIABcACIAQwBhAGwAYwB1AGwAYQB0AGUAZAAgAGYAcgBvAG0AIAA0AC4AMwAuADEALgA2ACAAKAAyACkAXAAiADsAXABuACAAIAAgACAAIAAgACAAIAAgACAAXAAiAFAARgBcACIALAAgAFwAIgBmAHIAYQBjAHQAaQBvAG4AIABvAGYAIABtAGEAbgB1AHIAZQAgAGEAcABwAGwAaQBlAGQAIAB0AG8AIABzAG8AaQBsACAAdwBpAHQAaABpAG4AIABmAGEAcgBtACAAYgBvAHUAbgBkAGEAcgB5AFwAIgAsACAAXAAiAGYAcgBhAGMAdABpAG8AbgBcACIALAAgAFwAIgBJAG4AcAB1AHQAXAAiAFwAbgAgACAAIAAgACAAIAAgACAAfQAsACAAcgAsACAAYwApAFwAbgAgACAAIAAgACAAIAApAFwAbgAgACAAIAAgACkAXABuACAAIAApADsAXABuACIAfQAsAHsAIgBwAGEAdABoACIAOgAiAC8AcAByAG8AagBlAGMAdABzAC8ATQBNAFMAXwBEAGEAaQ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QAgAE0AZQB0AGgAbwBkACAAMQAgAC0AIABTAG8AaQBs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kAXwBfADEAXwBEAGkAcgBlAGMAdABOAGkAdAByAG8AdQBzAE8AeABpAGQAZQBFAG0AaQBzAHMAaQBvAG4AcwBPAG4AUABhAHMAdAB1AHIAZQBcAG4ARABpAHIAZQBjAHQAIABuAGkAdAByAG8AdQBzACAAbwB4AGkAZABlACAAZQBtAGkAcwBzAGkAbwBuAHMAIABvAG4AIABwAGEAcwB0AHUAcgBlAFwAbgBFAF8ATgAyAE8AZABpAHIAXABuAHQAIABOADIATwBcAG4ARQBfAHsATgAyAE8ALABkAGkAcgB9AD0ATQBOAF8AewBqAG0APQAxADQAfQBcAFwAdABpAG0AZQBzACAARQBGAF8AewBQAFIAUAB9AFwAXAB0AGkAbQBlAHMAIABDAF8AewBOADIATwB9AFwAXAB0AGkAbQBlAHMAIAAxADAAXgB7AC0AMwB9AFwAbgBNAE4AXwBqAG0AMQA0ACAAPQAgAG0AYQBzAHMAIABvAGYAIABuAGkAdAByAG8AZwBlAG4AIABlAHgAYwByAGUAdABlAGQAIABvAG4AIABwAGEAcwB0AHUAcgBlACwAIAByAGEAbgBnAGUALAAgAGEAbgBkACAAcABhAGQAZABvAGMAawAgAGYAbwByACAAZQBhAGMAaAAgAGQAYQBpAHIAeQAgAGMAYQB0AHQAbABlACAAYwBsAGEAcwBzACAAKABrAGcAIABOACkAXABuAEUARgBfAFAAUgBQACAAPQAgAGUAbQBpAHMAcwBpAG8AbgAgAGYAYQBjAHQAbwByACAAZgBvAHIAIABuAGkAdAByAG8AdQBzACAAbwB4AGkAZABlACAAZQBtAGkAcwBzAGkAbwBuAHMAIABmAG8AcgAgAHUAcgBpAG4AZQAgAGEAbgBkACAAZAB1AG4AZwAgAGQAZQBwAG8AcwBpAHQAZQBkACAAbwBuACAAUABSAFA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OQBfAF8AMQBfAEQAaQByAGUAYwB0AE4AaQB0AHIAbwB1AHMATwB4AGkAZABlAEUAbQBpAHMAcwBpAG8AbgBzAE8AbgBQAGEAcwB0AHUAcgBlAFwAbgAgACAAPQBMAEEATQBCAEQAQQAoAFwAbgAgACAAIAAgAE0ATgBfAGoAbQAxADQALAAgAEUARgBfAFAAUgBQACwAIABDAF8ATgAyAE8ALABcAG4AIAAgACAAIABNAE4AXwBqAG0AMQA0ACAAKgAgAEUARgBfAFAAUgBQACAAKgAgAEMAXwBOADIATwAgACoAIAAxADAAIABeACAALQAzAFwAbgAgACAAKQA7AFwAbgBcAG4AVgBFAEUAUgBHAF8ANABfADMAXwAxAF8AOQBfAF8AMQBfAEQAaQByAGUAYwB0AE4AaQB0AHIAbwB1AHMATwB4AGkAZABlAEUAbQBpAHMAcwBpAG8AbgBzAE8AbgBQAGEAcwB0AHUAcgBlAF8AVABpAHQAbABlAFwAbgAgACAAPQBMAEEATQBCAEQAQQAoAFwAIgBEAGkAcgBlAGMAdAAgAG4AaQB0AHIAbwB1AHMAIABvAHgAaQBkAGUAIABlAG0AaQBzAHMAaQBvAG4AcwAgAG8AbgAgAHAAYQBzAHQAdQByAGUAXAAiACkAOwBcAG4AXABuAFYARQBFAFIARwBfADQAXwAzAF8AMQBfADkAXwBfADEAXwBEAGkAcgBlAGMAdABOAGkAdAByAG8AdQBzAE8AeABpAGQAZQBFAG0AaQBzAHMAaQBvAG4AcwBPAG4AUABhAHMAdAB1AHIAZQBfAFYAYQByAGkAYQBiAGwAZQBcAG4AIAAgAD0ATABBAE0AQgBEAEEAKABcACIARQBfAE4AMgBPAGQAaQByAFwAIgApADsAXABuAFwAbgBWAEUARQBSAEcAXwA0AF8AMwBfADEAXwA5AF8AXwAxAF8ARABpAHIAZQBjAHQATgBpAHQAcgBvAHUAcwBPAHgAaQBkAGUARQBtAGkAcwBzAGkAbwBuAHMATwBuAFAAYQBzAHQAdQByAGUAXwBVAG4AaQB0AFwAbgAgACAAPQBMAEEATQBCAEQAQQAoAFwAIgB0ACAATgAyAE8AXAAiACkAOwBcAG4AXABuAFYARQBFAFIARwBfADQAXwAzAF8AMQBfADkAXwBfADEAXwBEAGkAcgBlAGMAdABOAGkAdAByAG8AdQBzAE8AeABpAGQAZQBFAG0AaQBzAHMAaQBvAG4AcwBPAG4AUABhAHMAdAB1AHIAZQBfAFMAbwB1AHIAYwBlAFwAbgAgACAAPQBMAEEATQBCAEQAQQAoAFwAIgBWAEUARQBSAEcAIAAyADAAMgA2ADoAIAA0AC4AMwAuADEALgA5ACwAIABFAHEAdQBhAHQAaQBvAG4AIAAoADEAKQBcACIAKQA7AFwAbgBcAG4AVgBFAEUAUgBHAF8ANABfADMAXwAxAF8AOQBfAF8AMQBfAEQAaQByAGUAYwB0AE4AaQB0AHIAbwB1AHMATwB4AGkAZABlAEUAbQBpAHMAcwBpAG8AbgBzAE8AbgBQAGEAcwB0AHUAcgBlAF8ATgBJAFIAUgBlAGYAZQByAGUAbgBjAGUAXABuACAAIAA9AEwAQQBNAEIARABBACgAXAAiAFwAIgApADsAXABuAFwAbgBWAEUARQBSAEcAXwA0AF8AMwBfADEAXwA5AF8AXwAxAF8ARABpAHIAZQBjAHQATgBpAHQAcgBvAHUAcwBPAHgAaQBkAGUARQBtAGkAcwBzAGkAbwBuAHMATwBuAFAAYQBzAHQAdQByAGUAXwBMAGEAdABlAHgARQBxAHUAYQB0AGkAbwBuAFwAbgAgACAAPQBMAEEATQBCAEQAQQAoAFwAIgBFAF8AewBOADIATwAsAGQAaQByAH0APQBcAFwAcwB1AG0AXABcAG4AbwBsAGkAbQBpAHQAcwBfAHsAagB9ACgATQBOAF8AewBqAG0APQAxADQAfQBcAFwAdABpAG0AZQBzACAARQBGAF8AewBQAFIAUAB9AFwAXAB0AGkAbQBlAHMAIABDAF8AewBOADIATwB9AFwAXAB0AGkAbQBlAHMAIAAxADAAXgB7AC0AMwB9ACkAXAAiACkAOwBcAG4AXABuAFYARQBFAFIARwBfADQAXwAzAF8AMQBfADk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LAAgAGEAbgBkACAAcABhAGQAZABvAGMAawAgAGYAbwByACAAZQBhAGMAaAAgAGQAYQBpAHIAeQAgAGMAYQB0AHQAbABlACAAYwBsAGEAcwBzAFwAIgAsACAAXAAiAGsAZwAgAE4AXAAiACwAIABcACIAQwBhAGwAYwB1AGwAYQB0AGUAZAAgAGYAcgBvAG0AIAA0AC4AMwAuADEALgAzACAAKAAyACkAXAAiADsAXABuACAAIAAgACAAIAAgACAAIAAgACAAXAAiAEUARgBfAFAAUgBQAFwAIgAsACAAXAAiAGUAbQBpAHMAcwBpAG8AbgAgAGYAYQBjAHQAbwByACAAZgBvAHIAIABuAGkAdAByAG8AdQBzACAAbwB4AGkAZABlACAAZQBtAGkAcwBzAGkAbwBuAHMAIABmAG8AcgAgAHUAcgBpAG4AZQAgAGEAbgBkACAAZAB1AG4AZwAgAGQAZQBwAG8AcwBpAHQAZQBkACAAbwBuACAAUABSAFA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egBcACIALABcACIAVwBlAHQAIABvAHIAIABkAHIAeQAgAGMAbABpAG0AYQB0AGUAIAB6AG8AbgBlAFwAIgAsACAAXAAiAFwAIgAsACAAXAAiAEkAbgBwAHUAdABcACIAXABuACAAIAAgACAAIAAgACAAIAB9ACwAIAByACwAIABjACkAXABuACAAIAAgACAAIAAgACkAXABuACAAIAAgACAAKQBcAG4AIAAgACkAOwBcAG4AIgB9ACwAewAiAHAAYQB0AGgAIgA6ACIALwBwAHIAbwBqAGUAYwB0AHMALwBNAE0AUwBfAEQAYQBp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AAIABNAGUAdABoAG8AZAAgADEAIAAtACAAUwBvAGkAbAAgAEEAdABtAG8AcwBwAGgAZQByAGkAYwAgAEQAZQBwAG8AcwBpAHQAaQBvAG4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A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ABfAF8AMQBfAEEAdABtAG8AcwBwAGgAZQByAGkAYwBEAGUAcABvAHMAaQB0AGkAbwBuAEUAbQBpAHMAcwBpAG8AbgBzAEYAcgBvAG0AVQByAGkAbgBlAEEAbgBkAEQAdQBuAGc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zAF8AMQBfADEAMA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zAF8AMQBfADEAMA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zAF8AMQBfADEAMABfAF8AMQBfAEEAdABtAG8AcwBwAGgAZQByAGkAYwBEAGUAcABvAHMAaQB0AGkAbwBuAEUAbQBpAHMAcwBpAG8AbgBzAEYAcgBvAG0AVQByAGkAbgBlAEEAbgBkAEQAdQBuAGcATwBuAFAAYQBzAHQAdQByAGUAXwBVAG4AaQB0AFwAbgAgACAAPQBMAEEATQBCAEQAQQAoAFwAIgB0ACAATgAyAE8AXAAiACkAOwBcAG4AXABuAFYARQBFAFIARwBfADQAXwAzAF8AMQBfADEAMABfAF8AMQBfAEEAdABtAG8AcwBwAGgAZQByAGkAYwBEAGUAcABvAHMAaQB0AGkAbwBuAEUAbQBpAHMAcwBpAG8AbgBzAEYAcgBvAG0AVQByAGkAbgBlAEEAbgBkAEQAdQBuAGcATwBuAFAAYQBzAHQAdQByAGUAXwBTAG8AdQByAGMAZQBcAG4AIAAgAD0ATABBAE0AQgBEAEEAKABcACIAVgBFAEUAUgBHACAAMgAwADIANgA6ACAANAAuADMALgAxAC4AMQAwACwAIABFAHEAdQBhAHQAaQBvAG4AIAAoADEAKQBcACIAKQA7AFwAbgBcAG4AVgBFAEUAUgBHAF8ANABfADMAXwAxAF8AMQAwAF8AXwAxAF8AQQB0AG0AbwBzAHAAaABlAHIAaQBjAEQAZQBwAG8AcwBpAHQAaQBvAG4ARQBtAGkAcwBzAGkAbwBuAHMARgByAG8AbQBVAHIAaQBuAGUAQQBuAGQARAB1AG4AZwBPAG4AUABhAHMAdAB1AHIAZQBfAE4ASQBSAFIAZQBmAGUAcgBlAG4AYwBlAFwAbgAgACAAPQBMAEEATQBCAEQAQQAoAFwAIgBcACIAKQA7AFwAbgBcAG4AVgBFAEUAUgBHAF8ANABfADMAXwAxAF8AMQAwAF8AXwAxAF8AQQB0AG0AbwBzAHAAaABlAHIAaQBjAEQAZQBwAG8AcwBpAHQAaQBvAG4ARQBtAGkAcwBzAGkAbwBuAHMARgByAG8AbQBVAHIAaQBuAGUAQQBuAGQARAB1AG4AZw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MwBfADEAXwAxADAAXwBfADEAXwBBAHQAbQBvAHMAcABoAGUAcgBpAGMARABlAHAAbwBzAGkAdABpAG8AbgBFAG0AaQBzAHMAaQBvAG4AcwBGAHIAbwBtAFUAcgBpAG4AZQBBAG4AZABEAHUAbgBn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MALgAxAC4AMQAw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AwAF8AXwAyAF8ATQBhAHMAcwBPAGYATgBpAHQAcgBvAGcAZQBuAFYAbwBsAGEAdABpAGwAaQBzAGUAZABPAG4AUABhAHMAdAB1AHIAZQBcAG4ATQBhAHMAcwAgAG8AZgAgAG4AaQB0AHIAbwBnAGUAbgAgAHYAbwBsAGEAdABpAGwAaQBzAGUAZAAgAGYAcgBvAG0AIAB1AHIAaQBuAGUAIABhAG4AZAAgAGYAYQBlAGMAZQBzACAAZABlAHAAbwBzAGkAdABlAGQAIABvAG4AIABwAGEAcwB0AHUAcgBlAFwAbgBNAF8AdgBvAGwAXwBtADEANABcAG4AawBnACAATgBcAG4ATQBfAHsAdgBvAGwALABtAD0AMQA0AH0APQBNAE4AXwB7AGoAbQA9ADEANAB9AFwAXAB0AGkAbQBlAHMAIABGAHIAYQBjAEcAQQBTAE0AcwBvAGkAbABcAG4ATQBOAF8AagBtADEANAAgAD0AIABtAGEAcwBzACAAbwBmACAAbgBpAHQAcgBvAGcAZQBuACAAZQB4AGMAcgBlAHQAZQBkACAAbwBuACAAcABhAHMAdAB1AHIAZQAsACAAcgBhAG4AZwBlACAAYQBuAGQAIABwAGEAZABkAG8AYwBrACAAZgBvAHIAIABlAGEAYwBoACAAZABhAGkAcgB5ACAAYwBsAGEAcwBz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wBfADEAXwAxADAAXwBfADIAXwBNAGEAcwBzAE8AZgBOAGkAdAByAG8AZwBlAG4AVgBvAGwAYQB0AGkAbABpAHMAZQBkAE8AbgBQAGEAcwB0AHUAcgBlAFwAbgAgACAAPQBMAEEATQBCAEQAQQAoAFwAbgAgACAAIAAgAE0ATgBfAGoAbQAxADQALAAgAEYAcgBhAGMARwBBAFMATQBzAG8AaQBsACwAXABuACAAIAAgACAATQBOAF8AagBtADEANAAgACoAIABGAHIAYQBjAEcAQQBTAE0AcwBvAGkAbABcAG4AIAAgACkAOwBcAG4AXABuAFYARQBFAFIARwBfADQAXwAzAF8AMQBfADEAMABfAF8AMgBfAE0AYQBzAHMATwBmAE4AaQB0AHIAbwBnAGUAbgBWAG8AbABhAHQAaQBsAGkAcwBlAGQATwBu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MAXwAxAF8AMQAwAF8AXwAyAF8ATQBhAHMAcwBPAGYATgBpAHQAcgBvAGcAZQBuAFYAbwBsAGEAdABpAGwAaQBzAGUAZABPAG4AUABhAHMAdAB1AHIAZQBfAFYAYQByAGkAYQBiAGwAZQBcAG4AIAAgAD0ATABBAE0AQgBEAEEAKABcACIATQBfAHYAbwBsAF8AbQAxADQAXAAiACkAOwBcAG4AXABuAFYARQBFAFIARwBfADQAXwAzAF8AMQBfADEAMABfAF8AMgBfAE0AYQBzAHMATwBmAE4AaQB0AHIAbwBnAGUAbgBWAG8AbABhAHQAaQBsAGkAcwBlAGQATwBuAFAAYQBzAHQAdQByAGUAXwBVAG4AaQB0AFwAbgAgACAAPQBMAEEATQBCAEQAQQAoAFwAIgBrAGcAIABOAFwAIgApADsAXABuAFwAbgBWAEUARQBSAEcAXwA0AF8AMwBfADEAXwAxADAAXwBfADIAXwBNAGEAcwBzAE8AZgBOAGkAdAByAG8AZwBlAG4AVgBvAGwAYQB0AGkAbABpAHMAZQBkAE8AbgBQAGEAcwB0AHUAcgBlAF8AUwBvAHUAcgBjAGUAXABuACAAIAA9AEwAQQBNAEIARABBACgAXAAiAFYARQBFAFIARwAgADIAMAAyADYAOgAgADQALgAzAC4AMQAuADEAMAAsACAARQBxAHUAYQB0AGkAbwBuACAAKAAyACkAXAAiACkAOwBcAG4AXABuAFYARQBFAFIARwBfADQAXwAzAF8AMQBfADEAMABfAF8AMgBfAE0AYQBzAHMATwBmAE4AaQB0AHIAbwBnAGUAbgBWAG8AbABhAHQAaQBsAGkAcwBlAGQATwBuAFAAYQBzAHQAdQByAGUAXwBOAEkAUgBSAGUAZgBlAHIAZQBuAGMAZQBcAG4AIAAgAD0ATABBAE0AQgBEAEEAKABcACIAXAAiACkAOwBcAG4AXABuAFYARQBFAFIARwBfADQAXwAzAF8AMQBfADEAMABfAF8AMgBfAE0AYQBzAHMATwBmAE4AaQB0AHIAbwBnAGUAbgBWAG8AbABhAHQAaQBsAGkAcwBlAGQATwBuAFAAYQBzAHQAdQByAGUAXwBMAGEAdABlAHgARQBxAHUAYQB0AGkAbwBuAFwAbgAgACAAPQBMAEEATQBCAEQAQQAoAFwAIgBNAF8AewB2AG8AbAAsAG0APQAxADQAfQA9AFwAXABzAHUAbQBcAFwAbgBvAGwAaQBtAGkAdABzAF8AewBqAH0AKABNAE4AXwB7AGoAbQA9ADEANAB9AFwAXAB0AGkAbQBlAHMAIABGAHIAYQBjAEcAQQBTAE0AcwBvAGkAbAApAFwAIgApADsAXABuAFwAbgBWAEUARQBSAEcAXwA0AF8AMwBfADEAXwAxADA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BcACIALAAgAFwAIgAoAGsAZwAgAE4ASAAzAC0ATgAgACsAIABOAE8AeAAtAE4AKQAvAGsAZwAgAE4AKQBcACIALAAgAFwAIgBDAG8AbgBzAHQAYQBuAHQAXAAiAFwAbgAgACAAIAAgACAAIAAgACAAfQAsACAAcgAsACAAYwApAFwAbgAgACAAIAAgACAAIAApAFwAbgAgACAAIAAgACkAXABuACAAIAApADsAXABuACIAfQAsAHsAIgBwAGEAdABoACIAOgAiAC8AcAByAG8AagBlAGMAdABzAC8ATQBNAFMAXwBEAGEAaQByAHk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IAIABNAGUAdABoAG8AZAAgADEAIAAtACAAUwBvAGkAbA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gBfAF8AMQBfAEwAZQBhAGMAaABpAG4AZwBBAG4AZABSAHUAbgBvAGYAZgBFAG0AaQBzAHMAaQBvAG4AcwBGAHIAbwBtAFUAcgBpAG4AZQBBAG4AZABEAHUAbgBnAE8Abg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dQByAGkAbgBlACAAYQBuAGQAIABmAGEAZQBjAGUAcwAgAGQAZQBwAG8AcwBpAHQAZQBkACAAbwBuACAAcABhAHMAdAB1AHIAZQ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IAXwBfADEAXwBMAGUAYQBjAGgAaQBuAGcAQQBuAGQAUgB1AG4AbwBmAGYARQBtAGkAcwBzAGkAbwBuAHMARgByAG8AbQBVAHIAaQBuAGUAQQBuAGQARAB1AG4AZw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zAF8AMQBfADEAMg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wBfADEAXwAxADIAXwBfADEAXwBMAGUAYQBjAGgAaQBuAGcAQQBuAGQAUgB1AG4AbwBmAGYARQBtAGkAcwBzAGkAbwBuAHMARgByAG8AbQBVAHIAaQBuAGUAQQBuAGQARAB1AG4AZwBPAG4AUABhAHMAdAB1AHIAZQBfAFYAYQByAGkAYQBiAGwAZQBcAG4AIAAgAD0ATABBAE0AQgBEAEEAKABcACIARQBfAE4AMgBPAGwAZQBhAGMAaABcACIAKQA7AFwAbgBcAG4AVgBFAEUAUgBHAF8ANABfADMAXwAxAF8AMQAyAF8AXwAxAF8ATABlAGEAYwBoAGkAbgBnAEEAbgBkAFIAdQBuAG8AZgBmAEUAbQBpAHMAcwBpAG8AbgBzAEYAcgBvAG0AVQByAGkAbgBlAEEAbgBkAEQAdQBuAGcATwBuAFAAYQBzAHQAdQByAGUAXwBVAG4AaQB0AFwAbgAgACAAPQBMAEEATQBCAEQAQQAoAFwAIgB0ACAATgAyAE8AXAAiACkAOwBcAG4AXABuAFYARQBFAFIARwBfADQAXwAzAF8AMQBfADEAMgBfAF8AMQBfAEwAZQBhAGMAaABpAG4AZwBBAG4AZABSAHUAbgBvAGYAZgBFAG0AaQBzAHMAaQBvAG4AcwBGAHIAbwBtAFUAcgBpAG4AZQBBAG4AZABEAHUAbgBnAE8AbgBQAGEAcwB0AHUAcgBlAF8AUwBvAHUAcgBjAGUAXABuACAAIAA9AEwAQQBNAEIARABBACgAXAAiAFYARQBFAFIARwAgADIAMAAyADYAOgAgADQALgAzAC4AMQAuADEAMgAsACAARQBxAHUAYQB0AGkAbwBuACAAKAAxACkAXAAiACkAOwBcAG4AXABuAFYARQBFAFIARwBfADQAXwAzAF8AMQBfADEAMgBfAF8AMQBfAEwAZQBhAGMAaABpAG4AZwBBAG4AZABSAHUAbgBvAGYAZgBFAG0AaQBzAHMAaQBvAG4AcwBGAHIAbwBtAFUAcgBpAG4AZQBBAG4AZABEAHUAbgBnAE8AbgBQAGEAcwB0AHUAcgBlAF8ATgBJAFIAUgBlAGYAZQByAGUAbgBjAGUAXABuACAAIAA9AEwAQQBNAEIARABBACgAXAAiAFwAIgApADsAXABuAFwAbgBWAEUARQBSAEcAXwA0AF8AMwBfADEAXwAxADI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zAF8AMQBfADEAMg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dQByAGkAbgBlACAAYQBuAGQAIABmAGEAZQBjAGUAcwAgAGQAZQBwAG8AcwBpAHQAZQBkACAAbwBuACAAcABhAHMAdAB1AHIAZQBcACIALAAgAFwAIgBrAGcAIABOAFwAIgAsACAAXAAiAEMAYQBsAGMAdQBsAGEAdABlAGQAIABmAHIAbwBtACAANAAuADMALgAxAC4AMQAy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VwBlAHQAXAAiACwAIABcACIAZgByAGEAYwB0AGkAbwBuACAAbwBmACAATgAgAGEAdgBhAGkAbABhAGIAbABlACAAZgBvAHIAIABsAGUAYQBjAGgAaQBuAGcAIABhAG4AZAAgAHIAdQBuAG8AZgBmAFwAIgAsACAAXAAiAFwAIgAsACAAXAAiAEMAbwBuAHMAdABhAG4AdABcACIAOwBcAG4AIAAgACAAIAAgACAAIAAgACAAIABcACIARgByAGEAYwBMAEUAQQBDAEgAXAAiACwAIABcACIAZgByAGEAYwB0AGkAbwBuACAAbwBmACAATgAgAGwAbwBzAHQAIAB0AGgAcgBvAHUAZwBoACAAbABlAGEAYwBoAGkAbgBnACAAYQBuAGQAIAByAHUAbgBvAGYAZgBcACIALAAgAFwAI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SAGUAZgByAGkAZwBlAHIAYQBuAHQAcwBfAEUAcQB1AGEAdABpAG8AbgBzACIALAAiAHQAZQB4AHQAIgA6ACIALwAqAFwAbgA9AD0APQA9AD0APQA9AD0APQA9AD0APQA9AD0APQA9AD0APQA9AD0APQA9AD0APQA9AD0APQA9AD0APQA9AD0APQA9AD0APQA9AD0AXABuADkAOgAgAFIAZQBmAHIAaQBnAGUAcgBhAG4AdAAgAFUAcwBlAFwAbgA9AD0APQA9AD0APQA9AD0APQA9AD0APQA9AD0APQA9AD0APQA9AD0APQA9AD0APQA9AD0APQA9AD0APQA9AD0APQA9AD0APQA9AD0AXABuADkALgAxACAAUgBlAGYAcgBpAGcAZQByAGEAbgB0ACAAVQBzAGUAXABuAD0APQA9AD0APQA9AD0APQA9AD0APQA9AD0APQA9AD0APQA9AD0APQA9AD0APQA9AD0APQA9AD0APQA9AD0APQA9AD0APQA9AD0APQBcAG4AKgAvAFwAbgBcAG4ALwAqACAAXABuAC0ALQAtAC0ALQAtAC0ALQAtAC0ALQAtAC0ALQAtAC0ALQAtAC0ALQAtAC0ALQAtAC0ALQAtAC0ALQAtAC0ALQAtAC0ALQAtAC0ALQBcAG4AVgBFAEUAUgBHAF8AOQBfADEAXwAxAF8AXwAxAF8AUgBlAGYAcgBpAGcAZQByAGEAbgB0AEwAZQBhAGsAaQBuAGcAXABuAFQAaABlACAAdABvAHQAYQBsACAAZQBtAGkAcwBzAGkAbwBuAHMAIABvAGYAIAByAGUAZgByAGkAZwBlAHIAYQBuAHQAIABsAGUAYQBrAGkAbgBnACAAZAB1AHIAaQBuAGcAIABvAHAAZQByAGEAdABpAG8AbgAgACgAbgBvAHQAIABkAHUAcgBpAG4AZwAgAGkAbgBzAHQAYQBsAGwAYQB0AGkAbwBuACAAbwByACAAZABpAHMAcABvAHMAYQBsACkAXABuAEcAVwBQAFIAIAA6ACAARwBsAG8AYgBhAGwAIAB3AGEAcgBtAGkAbgBnACAAcABvAHQAZQBuAHQAaQBhAGwAIABvAGYAIAByAGUAZgByAGkAZwBlAHIAYQBuAHQAIABSACAAOgAgAEQAaQBtAGUAbgBzAGkAbwBuAGwAZQBzAHMAXABuAGMAaABhAHIAZwBlAF8AUgBhACAAOgAgAEEAbQBvAHUAbgB0ACAAbwBmACAAcgBlAGYAcgBpAGcAZQByAGEAbgB0ACAAUgAgAGMAbwBuAHQAYQBpAG4AZQBkACAAaQBuACAAYQBwAHAAbABpAGEAbgBjAGUAIABhACAAOgAgAGsAZwBcAG4AbABlAGEAawBhAGcAZQByAGEAdABlAF8AYQAgADoAIABQAHIAYwBlAG4AdABhAGcAZQAgAG8AZgAgAHQAbwB0AGEAbAAgAGMAaABhAHIAZwBlACAAbABlAGEAawBlAGQAIABmAHIAbwBtACAAYQBwAHAAbABpAGEAbgBjAGUAIABhACAAZQBhAGMAaAAgAHkAZQBhAHIAIAA6ACAAUABlAHIAYwBlAG4AdABcAG4ALQAtAC0ALQAtAC0ALQAtAC0ALQAtAC0ALQAtAC0ALQAtAC0ALQAtAC0ALQAtAC0ALQAtAC0ALQAtAC0ALQAtAC0ALQAtAC0ALQAtAFwAbgAqAC8AXABuAFwAbgBcAG4AVgBFAEUAUgBHAF8AOQBfADEAXwAxAF8AXwAxAF8AUgBlAGYAcgBpAGcAZQByAGEAbgB0AEwAZQBhAGsAaQBuAGcAXABuACAAIAA9AEwAQQBNAEIARABBACgAXABuACAAIAAgACAAYwBoAGEAcgBnAGUAXwBSAGEALAAgAGwAZQBhAGsAYQBnAGUAcgBhAHQAZQBfAGEALABcAG4AIAAgACAAIAAoAGMAaABhAHIAZwBlAF8AUgBhACAAKgAgACgAbABlAGEAawBhAGcAZQByAGEAdABlAF8AYQAvADEAMAAwACkAKQAgACoAIAAxADAAIABeACAALQAgADMAXABuACAAIAApADsAXABuAFwAbgBWAEUARQBSAEcAXwA5AF8AMQBfADEAXwBfADEAXwBSAGUAZgByAGkAZwBlAHIAYQBuAHQATABlAGEAawBpAG4AZwBHAFcAUABcAG4AIAAgAD0ATABBAE0AQgBEAEEAKABcAG4AIAAgACAAIABFAF8AUgAsACAARwBXAFAAXwBSACwAXABuACAAIAAgACAAKAAoAEUAXwBSACAAKgAgADEAMABeADMAKQAgACoAIABHAFcAUABfAFIAKQAgACoAIAAxADAAXgAtADMAXABuACAAIAApADsAXABuAFwAbgBWAEUARQBSAEcAXwA5AF8AMQBfADEAXwBfADEAXwBSAGUAZgByAGkAZwBlAHIAYQBuAHQATABlAGEAawBpAG4AZwBfAFQAaQB0AGwAZQBcAG4AIAAgAD0ATABBAE0AQgBEAEEAKABcACIAVABoAGUAIAB0AG8AdABhAGwAIABlAG0AaQBzAHMAaQBvAG4AcwAgAG8AZgAgAHIAZQBmAHIAaQBnAGUAcgBhAG4AdAAgAGwAZQBhAGsAaQBuAGcAIABkAHUAcgBpAG4AZwAgAG8AcABlAHIAYQB0AGkAbwBuACAAKABuAG8AdAAgAGQAdQByAGkAbgBnACAAaQBuAHMAdABhAGwAbABhAHQAaQBvAG4AIABvAHIAIABkAGkAcwBwAG8AcwBhAGwAKQBcACIAKQA7AFwAbgBcAG4AVgBFAEUAUgBHAF8AOQBfADEAXwAxAF8AXwAxAF8AUgBlAGYAcgBpAGcAZQByAGEAbgB0AEwAZQBhAGsAaQBuAGcARwBXAFAAXwBUAGkAdABsAGUAXABuACAAIAA9AEwAQQBNAEIARABBACgAXAAiAFIAZQBmAHIAaQBnAGUAcgBhAG4AdAAgAGwAZQBhAGsAYQBnAGUAIABlAG0AaQBzAHMAaQBvAG4AcwAgAGMAbwBuAHYAZQByAHQAZQBkACAAdABvACAAQwBPADIALQBlAFwAIgApADsAXABuAFwAbgBWAEUARQBSAEcAXwA5AF8AMQBfADEAXwBfADEAXwBSAGUAZgByAGkAZwBlAHIAYQBuAHQATABlAGEAawBpAG4AZwBfAFYAYQByAGkAYQBiAGwAZQBcAG4AIAAgAD0ATABBAE0AQgBEAEEAKABcACIARQBfAFIAXAAiACkAOwBcAG4AXABuAFYARQBFAFIARwBfADkAXwAxAF8AMQBfAF8AMQBfAFIAZQBmAHIAaQBnAGUAcgBhAG4AdABMAGUAYQBrAGkAbgBnAEcAVwBQAF8AVgBhAHIAaQBhAGIAbABlAFwAbgAgACAAPQBMAEEATQBCAEQAQQAoAFwAIgBFAF8AQwBPADIAZQBcACIAKQA7AFwAbgBcAG4AVgBFAEUAUgBHAF8AOQBfADEAXwAxAF8AXwAxAF8AUgBlAGYAcgBpAGcAZQByAGEAbgB0AEwAZQBhAGsAaQBuAGcAXwBVAG4AaQB0AFwAbgAgACAAPQBMAEEATQBCAEQAQQAoAFwAIgB0ACAAcgBlAGYAcgBpAGcAZQByAGEAbgB0ACAAZwBhAHMAXAAiACkAOwBcAG4AXABuAFYARQBFAFIARwBfADkAXwAxAF8AMQBfAF8AMQBfAFIAZQBmAHIAaQBnAGUAcgBhAG4AdABMAGUAYQBrAGkAbgBnAEcAVwBQAF8AVQBuAGkAdABcAG4AIAAgAD0ATABBAE0AQgBEAEEAKABcACIAdAAgAEMATwAyAC0AZQBcACIAKQA7AFwAbgBcAG4AVgBFAEUAUgBHAF8AOQBfADEAXwAxAF8AXwAxAF8AUgBlAGYAcgBpAGcAZQByAGEAbgB0AEwAZQBhAGsAaQBuAGcAXwBTAG8AdQByAGMAZQBcAG4AIAAgAD0ATABBAE0AQgBEAEEAKABcACIAVgBFAEUAUgBHACAAMgAwADIANgA6ACAAOQAuADEALgAxACwAIABFAHEAdQBhAHQAaQBvAG4AIAAoADEAKQBcACIAKQA7AFwAbgBcAG4AVgBFAEUAUgBHAF8AOQBfADEAXwAxAF8AXwAxAF8AUgBlAGYAcgBpAGcAZQByAGEAbgB0AEwAZQBhAGsAaQBuAGcARwBXAFAAXwBTAG8AdQByAGMAZQBcAG4AIAAgAD0ATABBAE0AQgBEAEEAKABcACIAQQB1AHMAdAByAGEAbABpAGEAbgAgAE4AYQB0AGkAbwBuAGEAbAAgAEcAcgBlAGUAbgBoAG8AdQBzAGUAIABBAGMAYwBvAHUAbgB0AHMAIABGAGEAYwB0AG8AcgBzACAAMgAwADIANQAgAC0AIAAzAC4AMQAgAEUAcwB0AGkAbQBhAHQAaQBuAGcAIABpAG4AZAB1AHMAdAByAGkAYQBsACAAcAByAG8AYwBlAHMAcwBlAHMAIABlAG0AaQBzAHMAaQBvAG4AcwAgAC0AIABSAGUAZgByAGkAZwBlAHIAYQBuAHQAIABsAGUAYQBrAGEAZwBlAFwAIgApADsAXABuAFwAbgBWAEUARQBSAEcAXwA5AF8AMQBfADEAXwBfADEAXwBSAGUAZgByAGkAZwBlAHIAYQBuAHQATABlAGEAawBpAG4AZwBfAFIAZQBhAGQAYQBiAGwAZQBFAHEAdQBhAHQAaQBvAG4AXABuACAAIAA9AEwAQQBNAEIARABBACgAXAAiAGMAaABhAHIAZwBlAF8AUgBhACAAKgAgACgAbABlAGEAawBhAGcAZQByAGEAdABlAF8AYQAvADEAMAAwACkAIAAqACAAMQAwACAAXgAgAC0AIAAzAFwAIgApADsAXABuAFwAbgBWAEUARQBSAEcAXwA5AF8AMQBfADEAXwBfADEAXwBSAGUAZgByAGkAZwBlAHIAYQBuAHQATABlAGEAawBpAG4AZwBfAEwAYQB0AGUAeABFAHEAdQBhAHQAaQBvAG4AXABuACAAIAA9AEwAQQBNAEIARABBACgAXAAiAEUAXwBSACAAPQAgAFwAXABzAHUAbQBcAFwAbgBvAGwAaQBtAGkAdABzAF8AYQAgAFwAXABsAGUAZgB0ACgAIABjAGgAYQByAGcAZQBfAHsAUgBhAH0AIABcAFwAdABpAG0AZQBzACAAXABcAGYAcgBhAGMAewBsAGUAYQBrAGEAZwBlAFwAXAAsAHIAYQB0AGUAXwBhAH0AewAxADAAMAB9ACAAXABcAHIAaQBnAGgAdAApACAAXABcAHQAaQBtAGUAcwAgADEAMABeAHsALQAzAH0AXAAiACkAOwBcAG4AXABuAFYARQBFAFIARwBfADkAXwAxAF8AMQBfAF8AMQBfAFIAZQBmAHIAaQBnAGUAcgBhAG4AdABMAGUAYQBrAGkAbgBnAEcAVwBQAF8ATABhAHQAZQB4AEUAcQB1AGEAdABpAG8AbgBcAG4AIAAgAD0ATABBAE0AQgBEAEEAKABcACIARQBfAEMATwAyAGUAIAA9ACAAXABcAGwAZQBmAHQAKABFAF8AUgAgAFwAXAB0AGkAbQBlAHMAIAAxADAAXgB7ADMAfQAgAFwAXAByAGkAZwBoAHQAKQAgAFwAXAB0AGkAbQBlAHMAIABHAFcAUABfAFIAIABcAFwAdABpAG0AZQBzACAAMQAwAF4AewAtADMAfQBcACIAKQA7AFwAbgBcAG4AVgBFAEUAUgBHAF8AOQBfADEAXwAxAF8AXwAxAF8AUgBlAGYAcgBpAGcAZQByAGEAbgB0AEwAZQBhAGsAaQBuAGcAXwBBAHIAZwB1AG0AZQBuAHQAcwBcAG4AIAAgAD0ATABBAE0AQgBEAEEAKABcAG4AIAAgACAAIABNAEEASwBFAEEAUgBSAEEAWQAoADQALAAgADQALAAgAFwAbgAgACAAIAAgACAAIABMAEEATQBCAEQAQQAoAHIALABjACwAIABcAG4AIAAgACAAIAAgACAAIAAgAEkATgBEAEUAWAAoAHsAXABuACAAIAAgACAAIAAgACAAIAAgACAAXAAiAGMAaABhAHIAZwBlAF8AUgBhAFwAIgAsACAAXAAiAEEAbQBvAHUAbgB0ACAAbwBmACAAcgBlAGYAcgBpAGcAZQByAGEAbgB0ACAAUgAgAGMAbwBuAHQAYQBpAG4AZQBkACAAaQBuACAAYQBwAHAAbABpAGEAbgBjAGUAIABhAFwAIgAsACAAXAAiAGsAZwBcACIALAAgAFwAIgBJAG4AcAB1AHQAXAAiADsAXABuACAAIAAgACAAIAAgACAAIAAgACAAXAAiAGwAZQBhAGsAYQBnAGUAcgBhAHQAZQBfAGEAXAAiACwAIABcACIAUAByAGMAZQBuAHQAYQBnAGUAIABvAGYAIAB0AG8AdABhAGwAIABjAGgAYQByAGcAZQAgAGwAZQBhAGsAZQBkACAAZgByAG8AbQAgAGEAcABwAGwAaQBhAG4AYwBlACAAYQAgAGUAYQBjAGgAIAB5AGUAYQByAFwAIgAsACAAXAAiAFAAZQByAGMAZQBuAHQAXAAiACwAIABcACIAQwBvAG4AcwB0AGEAbgB0AFwAIgA7AFwAbgAgACAAIAAgACAAIAAgACAAIAAgAFwAIgBhAFwAIgAsACAAXAAiAEEAcABwAGwAaQBhAG4AYwBlACAAdAB5AHAAZQBcACIALAAgAFwAIgBcACIALAAgAFwAIgBJAG4AcAB1AHQAXAAiADsAXABuACAAIAAgACAAIAAgACAAIAAgACAAXAAiAFIAXAAiACwAIABcACIAUgBlAGYAcgBpAGcAZQByAGEAbgB0AFwAIgAsACAAXAAiAFwAIgAsACAAXAAiAEkAbgBwAHUAdABcACIAXABuACAAIAAgACAAIAAgACAAIAB9ACwAIAByACwAIABjACkAXABuACAAIAAgACAAIAAgACkAXABuACAAIAAgACAAKQBcAG4AIAAgACkAOwBcAG4AXABuAFYARQBFAFIARwBfADkAXwAxAF8AMQBfAF8AMQBfAFIAZQBmAHIAaQBnAGUAcgBhAG4AdABMAGUAYQBrAGkAbgBnAEcAVwBQAF8AQQByAGcAdQBtAGUAbgB0AHMAXABuACAAIAA9AEwAQQBNAEIARABBACgAXABuACAAIAAgACAATQBBAEsARQBBAFIAUgBBAFkAKAAyACwAIAA0ACwAIABcAG4AIAAgACAAIAAgACAATABBAE0AQgBEAEEAKAByACwAYwAsACAAXABuACAAIAAgACAAIAAgACAAIABJAE4ARABFAFgAKAB7AFwAbgAgACAAIAAgACAAIAAgACAAIAAgAFwAIgBFAF8AUgBcACIALAAgAFwAIgBUAG8AdABhAGwAIABlAG0AaQBzAHMAaQBvAG4AcwAgAG8AZgAgAHIAZQBmAHIAaQBnAGUAcgBhAG4AdAAgAFIAXAAiACwAIABcACIAdAAgAHIAZQBmAHIAaQBnAGUAcgBhAG4AdAAgAGcAYQBzAFwAIgAsACAAXAAiAEMAYQBsAGMAdQBsAGEAdABlAGQAIABmAHIAbwBtACAAOQAuADEALgAxACAAKAAxACkAXAAiADsAXABuACAAIAAgACAAIAAgACAAIAAgACAAXAAiAEcAVwBQAF8AUgBcACIALAAgAFwAIgBHAGwAbwBiAGEAbAAgAHcAYQByAG0AaQBuAGcAIABwAG8AdABlAG4AdABpAGEAbAAgAG8AZgAgAHIAZQBmAHIAaQBnAGUAcgBhAG4AdAAgAFIAXAAiACwAIABcACIARABpAG0AZQBuAHMAaQBvAG4AbABlAHMAcwBcACIALAAgAFwAIgBDAG8AbgBzAHQAYQBuAHQAXAAiAFwAbgAgACAAIAAgACAAIAAgACAAfQAsACAAcgAsACAAYwApAFwAbgAgACAAIAAgACAAIAApAFwAbgAgACAAIAAgACkAXABuACAAIAApADsAXABuAFwAbgBWAEUARQBSAEcAXwA5AF8AMQBfADEAXwBfADEAXwBSAGUAZgByAGkAZwBlAHIAYQBuAHQATABlAGEAawBpAG4AZwBfAFYAYQByAGkAYQB0AGkAbwBuAFwAbgAgACAAPQBMAEEATQBCAEQAQQAoAFwAIgBWAEEAUgBJAEEAVABJAE8ATgAgAE8ATgAgAFMATwBVAFIAQwBFADoAIABBAGQAZABlAGQAIABlAHEAdQBhAHQAaQBvAG4AIAB0AG8AIABjAG8AbgB2AGUAcgB0ACAAcgBlAGYAcgBpAGcAZQByAGEAbgB0ACAAUgAgAHQAbwAgAEMATwAyAC0AZQAgAHUAcwBpAG4AZwAgAHQAaABlACAAcgBlAGYAcgBpAGcAZQByAGEAbgB0AFwAdQAwADAAMgA3AHMAIABnAGwAbwBiAGEAbAAgAHcAYQByAG0AaQBuAGcAIABwAG8AdABlAG4AdABpAGEAbAAgACgARwBXAFAAKQAuAFwAIgApADsAIgB9ACwAewAiAHAAYQB0AGgAIgA6ACIALwBwAHIAbwBqAGUAYwB0AHMALwBSAGUAZgByAGkAZwBlAHIAYQBuAHQAcwBfAEkAbgBwAHUAdABGAHUAbgBjAHQAaQBvAG4AcwAiACwAIgB0AGUAeAB0ACIAOgAiAFIAZQBmAHIAaQBnAGUAcgBhAG4AdABzAF8AQwBhAGwAYwB1AGwAYQB0AGUAQgBsAGUAbgBkAEcAVwBQAFwAbgA9AEwAQQBNAEIARABBACgAXABuACAAIABDAG8AbgBzAHQAaQB0AHUAZQBuAHQARgBhAGMAdABpAG8AbgAxACwAIABDAG8AbgBzAHQAaQB0AHUAZQBuAHQARwBXAFAAMQAsACAAXABuACAAIABDAG8AbgBzAHQAaQB0AHUAZQBuAHQARgBhAGMAdABpAG8AbgAyACwAIABDAG8AbgBzAHQAaQB0AHUAZQBuAHQARwBXAFAAMgAsACAAXABuACAAIABDAG8AbgBzAHQAaQB0AHUAZQBuAHQARgBhAGMAdABpAG8AbgAzACwAIABDAG8AbgBzAHQAaQB0AHUAZQBuAHQARwBXAFAAMwAsACAAXABuACAAIABDAG8AbgBzAHQAaQB0AHUAZQBuAHQARgBhAGMAdABpAG8AbgA0ACwAIABDAG8AbgBzAHQAaQB0AHUAZQBuAHQARwBXAFAANAAsAFwAbgAgACAAKABDAG8AbgBzAHQAaQB0AHUAZQBuAHQARgBhAGMAdABpAG8AbgAxACAAKgAgAEMAbwBuAHMAdABpAHQAdQBlAG4AdABHAFcAUAAxACkAIAArAFwAbgAgACAAKABDAG8AbgBzAHQAaQB0AHUAZQBuAHQARgBhAGMAdABpAG8AbgAyACAAKgAgAEMAbwBuAHMAdABpAHQAdQBlAG4AdABHAFcAUAAyACkAIAArAFwAbgAgACAAKABDAG8AbgBzAHQAaQB0AHUAZQBuAHQARgBhAGMAdABpAG8AbgAzACAAKgAgAEMAbwBuAHMAdABpAHQAdQBlAG4AdABHAFcAUAAzACkAIAArAFwAbgAgACAAKABDAG8AbgBzAHQAaQB0AHUAZQBuAHQARgBhAGMAdABpAG8AbgA0ACAAKgAgAEMAbwBuAHMAdABpAHQAdQBlAG4AdABHAFcAUAA0ACkAXABuACkAOwAiAH0ALAB7ACIAcABhAHQAaAAiADoAIgAvAHAAcgBvAGoAZQBjAHQAcwAvAFIAZQBmAHIAaQBnAGUAcgBhAG4AdABzAF8AUwBvAHUAcgBjAGUARABhAHQAYQAiACwAIgB0AGUAeAB0ACIAOgAiAC8AKgBcAG4APQA9AD0APQA9AD0APQA9AD0APQA9AD0APQA9AD0APQA9AD0APQA9AD0APQA9AD0APQA9AD0APQA9AD0APQA9AD0APQA9AD0APQA9AD0APQA9AD0APQA9AD0APQA9AD0APQA9AD0APQA9AD0APQA9AD0APQA9AD0APQA9AD0APQA9AD0APQA9AD0APQA9AD0APQA9AD0APQBcAG4AQQBwAHAAZQBuAGQAaQB4ACAAMgAgAEcAbABvAGIAYQBsACAAVwBhAHIAbQBpAG4AZwAgAFAAbwB0AGUAbgB0AGkAYQBsAHMAOgAgAFQAYQBiAGwAZQAgADIAMwAgAEcAbABvAGIAYQBsACAAVwBhAHIAbQBpAG4AZwAgAFAAbwB0AGUAbgB0AGkAYQBsAHMAXABuAD0APQA9AD0APQA9AD0APQA9AD0APQA9AD0APQA9AD0APQA9AD0APQA9AD0APQA9AD0APQA9AD0APQA9AD0APQA9AD0APQA9AD0APQA9AD0APQA9AD0APQA9AD0APQA9AD0APQA9AD0APQA9AD0APQA9AD0APQA9AD0APQA9AD0APQA9AD0APQA9AD0APQA9AD0APQA9AD0AXABuACoALwBcAG4AXABuAFIAZQBmAHIAaQBnAGUAcgBhAG4AdABzAF8AQwBoAGUAbQBpAGMAYQBsAEcAVwBQAF8AVABpAHQAbABlAFwAbgA9AEwAQQBNAEIARABBACgAKABcACIARwBsAG8AYgBhAGwAIABXAGEAcgBtAGkAbgBnACAAUABvAHQAZQBuAHQAaQBhAGwAcwBcACIAKQApADsAXABuAFwAbgBSAGUAZgByAGkAZwBlAHIAYQBuAHQAcwBfAEMAaABlAG0AaQBjAGEAbABHAFcAUABfAEQAZQBzAGMAcgBpAHAAdABpAG8AbgBcAG4APQBMAEEATQBCAEQAQQAoACgAXAAiAFwAIgApACkAOwBcAG4AXABuAFIAZQBmAHIAaQBnAGUAcgBhAG4AdABzAF8AQwBoAGUAbQBpAGMAYQBsAEcAVwBQAF8AUwBvAHUAcgBjAGUAXABuAD0ATABBAE0AQgBEAEEAKAAoAFwAIgBBAHUAcwB0AHIAYQBsAGkAYQBuACAATgBhAHQAaQBvAG4AYQBsACAARwByAGUAZQBuAGgAbwB1AHMAZQAgAEEAYwBjAG8AdQBuAHQAcwAgAEYAYQBjAHQAbwByAHMAIAAyADAAMgA1ACAALQAgAEEAcABwAGUAbgBkAGkAeAAgADIAIAAtACAAVABhAGIAbABlACAAMgAzAFwAIgApACkAOwBcAG4AXABuAFIAZQBmAHIAaQBnAGUAcgBhAG4AdABzAF8AQwBoAGUAbQBpAGMAYQBsAEcAVwBQAF8ARABhAHQAYQBcAG4APQBMAEEATQBCAEQAQQAoAFwAbgAgACAATQBBAEsARQBBAFIAUgBBAFkAKAAzADkALAAgADUALABcAG4AIAAgACAAIABMAEEATQBCAEQAQQAoAHIALABjACwAXABuACAAIAAgACAAIAAgAEkATgBEAEUAWAAoAHsAXABuACAAIAAgACAAIAAgACAAIABcACIARwBhAHMAXAAiACwAIABcACIAQwBoAGUAbQBpAGMAYQBsACAAZgBvAHIAbQB1AGwAYQBcACIALAAgAFwAIgBHAGwAbwBiAGEAbAAgAFcAYQByAG0AaQBuAGcAIABQAG8AdABlAG4AdABpAGEAbAAgACgAQQBSADUAKQBcACIALAAgAFwAIgBHAGEAcwAgAC0AIABGAEMAIABuAGEAbQBlAFwAIgAsACAAXAAiAEEAZABpAHQAaQBvAG4AYQBsACAAZABhAHQAYQAgAHMAbwB1AHIAYwBlAFwAIgA7AFwAbgAgACAAIAAgACAAIAAgACAAXAAiAEMAYQByAGIAbwBuACAAZABpAG8AeABpAGQAZQBcACIALAAgAFwAIgBDAE8AMgBcACIALAAgADEALAAgAFwAIgBDAE8AMgBcACIALAAgAFwAIgBcACIAOwBcAG4AIAAgACAAIAAgACAAIAAgAFwAIgBNAGUAdABoAGEAbgBlAFwAIgAsACAAXAAiAEMASAA0AFwAIgAsACAAMgA4ACwAIABcACIAQwBIADQAXAAiACwAIABcACIAXAAiADsAXABuACAAIAAgACAAIAAgACAAIABcACIATgBpAHQAcgBvAHUAcwAgAG8AeABpAGQAZQBcACIALAAgAFwAIgBOADIATwBcACIALAAgADIANgA1ACwAIABcACIATgAyAE8AXAAiACwAIABcACIAXAAiADsAXABuACAAIAAgACAAIAAgACAAIABcACIAUwB1AGwAcABoAHUAcgAgAGgAZQB4AGEAZgBsAHUAbwByAGkAZABlAFwAIgAsACAAXAAiAFMARgA2AFwAIgAsACAAMgAzADUAMAAwACwAIABcACIAUwBGADYAXAAiACwAIABcACIAXAAiADsAXABuACAAIAAgACAAIAAgACAAIABcACIASABGAEMALQAyADMAIAAoAFIALQAyADMAKQBcACIALAAgAFwAIgBDAEgARgAzAFwAIgAsACAAIAAxADIANAAwADAALAAgAFwAIgBIAEYAQwAtADIAMwBcACIALAAgAFwAIgBcACIAOwBcAG4AIAAgACAAIAAgACAAIAAgAFwAIgBIAEYAQwAtADMAMgAgACgAUgAtADMAMgApAFwAIgAsACAAXAAiAEMASAAyAEYAMgBcACIALAAgADYANwA3ACwAIABcACIASABGAEMALQAzADIAXAAiACwAIABcACIAXAAiADsAXABuACAAIAAgACAAIAAgACAAIABcACIASABGAEMALQA0ADEAIAAoAFIALQA0ADEAKQBcACIALAAgAFwAIgBDAEgAMwBGAFwAIgAsACAAIAAxADEANgAsACAAXAAiAEgARgBDAC0ANAAxAFwAIgAsACAAXAAiAFwAIgA7AFwAbgAgACAAIAAgACAAIAAgACAAXAAiAEgARgBDAC0ANAAzAC0AMQAwAG0AZQBlACAAKABSAC0ANAAzADEAMABtAGUAZQApAFwAIgAsACAAXAAiAEMANQBIADIARgAxADAAXAAiACwAIAAxADYANQAwACwAIABcACIASABGAEMALQA0ADMALQAxADAAbQBlAGUAXAAiACwAIABcACIAXAAiADsAXABuACAAIAAgACAAIAAgACAAIABcACIASABGAEMALQAxADIANQAgACgAUgAtADEAMgA1ACkAXAAiACwAIABcACIAQwAyAEgARgA1AFwAIgAsACAAIAAzADEANwAwACwAIABcACIASABGAEMALQAxADIANQBcACIALAAgAFwAIgBcACIAOwBcAG4AIAAgACAAIAAgACAAIAAgAFwAIgBIAEYAQwAtADEAMwA0ACAAKABSAC0AMQAzADQAKQBcACIALAAgAFwAIgBDADIASAAyAEYANAAgACgAQwBIAEYAMgBDAEgARgAyACkAXAAiACwAIAAgADEAMQAyADAALAAgAFwAIgBIAEYAQwAtADEAMwA0AFwAIgAsACAAXAAiAFwAIgA7AFwAbgAgACAAIAAgACAAIAAgACAAXAAiAEgARgBDAC0AMQAzADQAYQAgACgAUgAtADEAMwA0AGEAKQBcACIALAAgAFwAIgBDADIASAAyAEYANAAgACgAQwBIADIARgBDAEYAMwApAFwAIgAsACAAMQAzADAAMAAsACAAXAAiAEgARgBDAC0AMQAzADQAYQBcACIALAAgAFwAIgBcACIAOwBcAG4AIAAgACAAIAAgACAAIAAgAFwAIgBIAEYAQwAtADEANAAzACAAKABSAC0AMQA0ADMAKQBcACIALAAgAFwAIgBDADIASAAzAEYAMwAgACgAQwBIAEYAMgBDAEgAMgBGACkAXAAiACwAIAAzADIAOAAsACAAXAAiAEgARgBDAC0AMQA0ADMAXAAiACwAIABcACIAXAAiADsAXABuACAAIAAgACAAIAAgACAAIABcACIASABGAEMALQAxADQAMwBhACAAKABSAC0AMQA0ADMAYQApAFwAIgAsACAAXAAiAEMAMgBIADMARgAzACAAKABDAEYAMwBDAEgAMwApAFwAIgAsACAANAA4ADAAMAAsACAAXAAiAEgARgBDAC0AMQA0ADMAYQBcACIALAAgAFwAIgBcACIAOwBcAG4AIAAgACAAIAAgACAAIAAgAFwAIgBIAEYAQwAtADEANQAyAGEAIAAoAFIALQAxADUAMgBhACkAXAAiACwAIABcACIAQwAyAEgANABGADIAIAAoAEMASAAzAEMASABGADIAKQBcACIALAAgADEAMwA4ACwAIABcACIASABGAEMALQAxADUAMgBhAFwAIgAsACAAXAAiAFwAIgA7AFwAbgAgACAAIAAgACAAIAAgACAAXAAiAEgARgBDAC0AMgAyADcAZQBhACAAKABSAC0AMgAyADcAZQBhACkAXAAiACwAIABcACIAQwAzAEgARgA3AFwAIgAsACAAMwAzADUAMAAsACAAXAAiAEgARgBDAC0AMgAyADcAZQBhAFwAIgAsACAAXAAiAFwAIgA7AFwAbgAgACAAIAAgACAAIAAgACAAXAAiAEgARgBDAC0AMgAzADYAZgBhACAAKABSAC0AMgAzADYAZgBhACkAXAAiACwAIABcACIAQwAzAEgAMgBGADYAXAAiACwAIAA4ADAANgAwACwAIABcACIASABGAEMALQAyADMANgBmAGEAXAAiACwAIABcACIAXAAiADsAXABuACAAIAAgACAAIAAgACAAIABcACIASABGAEMALQAyADQANQBjAGEAIAAoAFIALQAyADQANQBjAGEAKQBcACIALAAgAFwAIgBDADMASAAzAEYANQBcACIALAAgADcAMQA2ACwAIABcACIASABGAEMALQAyADQANQBjAGEAXAAiACwAIABcACIAXAAiADsAXABuACAAIAAgACAAIAAgACAAIABcACIASABGAEMALQAyADQANQBmAGEAIAAoAFIALQAyADQANQBmAGEAKQBcACIALAAgAFwAIgBDAEgARgAyAEMASAAyAEMARgAzAFwAIgAsACAAOAA1ADgALAAgAFwAIgBIAEYAQwAtADIANAA1AGYAYQBcACIALAAgAFwAIgBcACIAOwBcAG4AIAAgACAAIAAgACAAIAAgAFwAIgBIAEYAQwAtADMANgA1AG0AZgBjACAAKABSAC0AMwA2ADUAbQBmAGMAKQBcACIALAAgAFwAIgBDAEgAMwBDAEYAMgBDAEgAMgBDAEYAMwBcACIALAAgADgAMAA0ACwAIABcACIASABGAEMALQAzADYANQBtAGYAYwBcACIALAAgAFwAIgBcACIAOwBcAG4AIAAgACAAIAAgACAAIAAgAFwAIgBIAEMARgBDAC0AMgAyACAAKABSAC0AMgAyACkAXAAiACwAIABcACIAQwBIAEMAbABGADIAXAAiACwAIAAxADcANgAwACwAIABcACIASABDAEYAQwAtADIAMgBcACIALAAgAFwAIgBcACIAOwBcAG4AIAAgACAAIAAgACAAIAAgAFwAIgBIAEMARgBDAC0AMQAyADMAIAAoAFIALQAxADIAMwApAFwAIgAsACAAXAAiAEMASABDAGwAMgAyAEMARgAzAFwAIgAsACAANwA5ACwAIABcACIASABDAEYAQwAtADEAMgAzAFwAIgAsACAAXAAiAFwAIgA7AFwAbgAgACAAIAAgACAAIAAgACAAXAAiAEgAQwBGAEMALQAxADIANAAgACgAUgAtADEAMgA0ACkAXAAiACwAIABcACIAQwBIAEMAbABGAEMARgAzAFwAIgAsACAANQAyADcALAAgAFwAIgBIAEMARgBDAC0AMQAyADQAXAAiACwAIABcACIAXAAiADsAXABuACAAIAAgACAAIAAgACAAIABcACIASABDAEYAQwAtADEANAAxAGIAIAAoAFIALQAxADQAMQBiACkAXAAiACwAIABcACIAQwBIADMAQwBDAGwAMgBGAFwAIgAsACAANwA4ADIALAAgAFwAIgBIAEMARgBDAC0AMQA0ADEAYgBcACIALAAgAFwAIgBcACIAOwBcAG4AIAAgACAAIAAgACAAIAAgAFwAIgBIAEMARgBDAC0AMQA0ADIAYgAgACgAUgAtADEANAAyAGIAKQBcACIALAAgAFwAIgBDAEgAMgBDAEMAbABGADIAXAAiACwAIAAxADkAOAAwACwAIABcACIASABDAEYAQwAtADEANAAyAGIAXAAiACwAIABcACIAXAAiADsAXABuACAAIAAgACAAIAAgACAAIABcACIASABDAEYAQwAtADIAMgA1AGMAYQAgACgAUgAtADIAMgA1AGMAYQApAFwAIgAsACAAXAAiAEMASABDAGwAMgBDAEYAMgBDAEYAMwBcACIALAAgADEAMgA3ACwAIABcACIASABDAEYAQwAtADIAMgA1AGMAYQBcACIALAAgAFwAIgBcACIAOwBcAG4AIAAgACAAIAAgACAAIAAgAFwAIgBIAEMARgBDAC0AMgAyADUAYwBiACAAKABSAC0AMgAyADUAYwBiACkAXAAiACwAIABcACIAQwBIAEMAbABGAEMARgAyAEMAQwBJAEYAMgBcACIALAAgADUAMgA1ACwAIABcACIASABDAEYAQwAtADIAMgA1AGMAYgBcACIALAAgAFwAIgBcACIAOwBcAG4AIAAgACAAIAAgACAAIAAgAFwAIgBQAEYAQwAtADEANAAgAFAAZQByAGYAbAB1AG8AcgBvAG0AZQB0AGgAYQBuAGUAIAAoAHQAZQB0AHIAYQBmAGwAdQBvAHIAbwBtAGUAdABoAGEAbgBlACkAXAAiACwAIABcACIAQwBGADQAXAAiACwAIAA2ADYAMwAwACwAIABcACIAUABGAEMALQAxADQAXAAiACwAIABcACIAXAAiADsAXABuACAAIAAgACAAIAAgACAAIABcACIAUABGAEMALQAxADEANgAgAFAAZQByAGYAbAB1AG8AcgBvAGUAdABoAGEAbgBlACAAKABoAGUAeABhAGYAbAB1AG8AcgBvAGUAdABoAGEAbgBlACkAXAAiACwAIABcACIAQwAyAEYANgBcACIALAAgADEAMQAxADAAMAAsACAAXAAiAFAARgBDAC0AMQAxADYAXAAiACwAIABcACIAXAAiADsAXABuACAAIAAgACAAIAAgACAAIABcACIAUABGAEMALQAyADEAOAAgAFAAZQByAGYAbAB1AG8AcgBvAHAAcgBvAHAAYQBuAGUAXAAiACwAIABcACIAQwAzAEYAOABcACIALAAgADgAOQAwADAALAAgAFwAIgBQAEYAQwAtADIAMQA4AFwAIgAsACAAXAAiAFwAIgA7AFwAbgAgACAAIAAgACAAIAAgACAAXAAiAFAARgBDAC0AMwAxAC0AMQAwACAAUABlAHIAZgBsAHUAbwByAG8AYgB1AHQAYQBuAGUAXAAiACwAIABcACIAQwA0AEYAMQAwAFwAIgAsACAAOQAyADAAMAAsACAAXAAiAFAARgBDAC0AMwAxAC0AMQAwAFwAIgAsACAAXAAiAFwAIgA7AFwAbgAgACAAIAAgACAAIAAgACAAXAAiAFAARgBDAC0AMwAxADgAIABQAGUAcgBmAGwAdQBvAHIAbwBjAHkAYwBsAG8AYgB1AHQAYQBuAGUAXAAiACwAIABcACIAYwAtAEMANABGADgAXAAiACwAIAA5ADUANAAwACwAIABcACIAUABGAEMALQAzADEAOABcACIALAAgAFwAIgBcACIAOwBcAG4AIAAgACAAIAAgACAAIAAgAFwAIgBQAEYAQwAtADQAMQAtADEAMgAgAFAAZQByAGYAbAB1AG8AcgBvAHAAZQBuAHQAYQBuAGUAXAAiACwAIABcACIAQwA1AEYAMQAyAFwAIgAsACAAOAA1ADUAMAAsACAAXAAiAFAARgBDAC0ANAAxAC0AMQAyAFwAIgAsACAAXAAiAFwAIgA7AFwAbgAgACAAIAAgACAAIAAgACAAXAAiAFAARgBDAC0ANQAxAC0AMQA0ACAAUABlAHIAZgBsAHUAbwByAG8AaABlAHgAYQBuAGUAXAAiACwAIABcACIAQwA2AEYAMQA0AFwAIgAsACAANwA5ADEAMAAsACAAXAAiAFAARgBDAC0ANQAxAC0AMQA0AFwAIgAsACAAXAAiAFwAIgA7AFwAbgAgACAAIAAgACAAIAAgACAAXAAiAFAARgBDAC0AOQAxAC0AMQA4ACAAUABlAHIAZgBsAHUAbgBhAGYAZQBuAGUAXAAiACwAIABcACIAQwAxADAARgAxADgAXAAiACwAIAA3ADEAOQAwACwAIABcACIAUABGAEMALQA5ADEALQAxADgAXAAiACwAIABcACIAXAAiADsAXABuACAAIAAgACAAIAAgACAAIABcACIAQwBGAEMALQAxADIAXAAiACwAIABcACIAQwBDAGwAMgBGADIAXAAiACwAIAAxADAAMgAwADAALAAgAFwAIgBDAEYAQwAtADEAMgBcACIALAAgAFwAIgBJAFAAQwBDACAARwBsAG8AYgBhAGwAIABXAGEAcgBtAGkAbgBnACAAUABvAHQAZQBuAHQAaQBhAGwAIABWAGEAbAB1AGUAcwAgAHYAMgAuADAAIAAtACAAKABBAFIANQApAFwAIgA7AFwAbgAgACAAIAAgACAAIAAgACAAXAAiAEMARgBDAC0AMQAzAFwAIgAsACAAXAAiAEMAQwBsAEYAMwBcACIALAAgADEAMwA5ADAAMAAsACAAXAAiAEMARgBDAC0AMQAzAFwAIgAsACAAXAAiAEkAUABDAEMAIABHAGwAbwBiAGEAbAAgAFcAYQByAG0AaQBuAGcAIABQAG8AdABlAG4AdABpAGEAbAAgAFYAYQBsAHUAZQBzACAAdgAyAC4AMAAgAC0AIAAoAEEAUgA1ACkAXAAiADsAXABuACAAIAAgACAAIAAgACAAIABcACIAQwBGAEMALQAxADEANABcACIALAAgAFwAIgBDAEMAbABGADIAQwBDAGwARgAyAFwAIgAsACAAOAA1ADkAMAAsACAAXAAiAEMARgBDAC0AMQAxADQAXAAiACwAIABcACIASQBQAEMAQwAgAEcAbABvAGIAYQBsACAAVwBhAHIAbQBpAG4AZwAgAFAAbwB0AGUAbgB0AGkAYQBsACAAVgBhAGwAdQBlAHMAIAB2ADIALgAwACAALQAgACgAQQBSADUAKQBcACIAOwBcAG4AIAAgACAAIAAgACAAIAAgAFwAIgBDAEYAQwAtADEAMQA1AFwAIgAsACAAXAAiAEMAQwBsAEYAMgBDAEYAMwBcACIALAAgADcANgA3ADAALAAgAFwAIgBDAEYAQwAtADEAMQA1AFwAIgAsACAAXAAiAEkAUABDAEMAIABHAGwAbwBiAGEAbAAgAFcAYQByAG0AaQBuAGcAIABQAG8AdABlAG4AdABpAGEAbAAgAFYAYQBsAHUAZQBzACAAdgAyAC4AMAAgAC0AIAAoAEEAUgA1ACkAXAAiAFwAbgAgACAAIAAgACAAIAB9ACwAIAByACwAIABjACkAXABuACkAKQApADsAXABuAFwAbgBSAGUAZgByAGkAZwBlAHIAYQBuAHQAcwBfAEMAaABlAG0AaQBjAGEAbABHAFcAUABfAFYAYQByAGkAYQB0AGkAbwBuAFwAbgA9AEwAQQBNAEIARABBACgAKABcACIAVgBBAFIASQBBAFQASQBPAE4AIABPAEYAIABTAE8AVQBSAEMARQAgAEQAQQBUAEEAOgAgAEEAZABkAGUAZAAgAFwAdQAwADAAMgA3AEcAQQBTACAALQAgAEYAQwAgAG4AYQBtAGUAXAB1ADAAMAAyADcAIABjAG8AbAB1AG0AbgAgAHcAaQB0AGgAIAB0AHIAdQBuAGMAYQB0AGUAZAAgAGcAYQBzACAAbgBhAG0AZQAgAHQAbwAgAGEAbABsAG8AdwAgAG0AYQB0AGMAaABpAG4AZwAgAHcAaQB0AGgAIABvAHQAaABlAHIAIAB0AGEAYgBsAGUAcwAuACAAQQBkAGQAZQBkACAAZQB4AHQAcgBhACAAZwBhAHMAZQBzACAAZgByAG8AbQAgAEkAUABDAEMAIABHAGwAbwBiAGEAbAAgAFcAYQByAG0AaQBuAGcAIABQAG8AdABlAG4AdABpAGEAbAAgAFYAYQBsAHUAZQBzACAAdgAyAC4AMAAgAC0AIAAoAEEAUgA1ACkALgAgAEEAZABkAGUAZAAgAFwAdQAwADAAMgA3AEEAZABkAGkAdABpAG8AbgBhAGwAIABkAGEAdABhACAAcwBvAHUAcgBjAGUAXAB1ADAAMAAyADcAIABjAG8AbAB1AG0AbgAuAFwAIgApACkAOwBcAG4AXABuAC8AKgBcAG4APQA9AD0APQA9AD0APQA9AD0APQA9AD0APQA9AD0APQA9AD0APQA9AD0APQA9AD0APQA9AD0APQA9AD0APQA9AD0APQA9AD0APQA9AD0APQA9AD0APQA9AD0APQA9AD0APQA9AD0APQA9AD0APQA9AD0APQA9AD0APQA9AD0APQA9AD0APQA9AD0APQA9AD0APQA9AD0APQBcAG4AQQBwAHAAZQBuAGQAaQB4ACAAMgAgAEcAbABvAGIAYQBsACAAVwBhAHIAbQBpAG4AZwAgAFAAbwB0AGUAbgB0AGkAYQBsAHMAOgAgAEIAbABlAG4AZABlAGQAIAByAGUAZgByAGkAZwBlAHIAYQBuAHQAcwBcAG4APQA9AD0APQA9AD0APQA9AD0APQA9AD0APQA9AD0APQA9AD0APQA9AD0APQA9AD0APQA9AD0APQA9AD0APQA9AD0APQA9AD0APQA9AD0APQA9AD0APQA9AD0APQA9AD0APQA9AD0APQA9AD0APQA9AD0APQA9AD0APQA9AD0APQA9AD0APQA9AD0APQA9AD0APQA9AD0APQBcAG4AKgAvAFwAbgBcAG4AUgBlAGYAcgBpAGcAZQByAGEAbgB0AHMAXwBDAGgAZQBtAGkAYwBhAGwAQgBsAGUAbgBkAHMAXwBUAGkAdABsAGUAXABuAD0ATABBAE0AQgBEAEEAKAAoAFwAIgBCAGwAZQBuAGQAZQBkACAAcgBlAGYAcgBpAGcAZQByAGEAbgB0AHMAIAAoAG0AYQBuAHkAIABjAG8AbgB0AGEAaQBuAGkAbgBnACAASABGAEMAUwAgAGEAbgBkAC8AbwByACAAUABGAEMAUwApAFwAIgApACkAOwBcAG4AXABuAFIAZQBmAHIAaQBnAGUAcgBhAG4AdABzAF8AQwBoAGUAbQBpAGMAYQBsAEIAbABlAG4AZABzAF8ARABlAHMAYwByAGkAcAB0AGkAbwBuAFwAbgA9AEwAQQBNAEIARABBACgAKABcACIAXAAiACkAKQA7AFwAbgBcAG4AUgBlAGYAcgBpAGcAZQByAGEAbgB0AHMAXwBDAGgAZQBtAGkAYwBhAGwAQgBsAGUAbgBkAHMAXwBTAG8AdQByAGMAZQBcAG4APQBMAEEATQBCAEQAQQAoACgAXAAiAEEAdQBzAHQAcgBhAGwAaQBhAG4AIABOAGEAdABpAG8AbgBhAGwAIABHAHIAZQBlAG4AaABvAHUAcwBlACAAQQBjAGMAbwB1AG4AdABzACAARgBhAGMAdABvAHIAcwAgADIAMAAyADUAIAAtACAAQQBwAHAAZQBuAGQAaQB4ACAAMgAgAC0AIABUAGEAYgBsAGUAIAAyADQAXAAiACkAKQA7AFwAbgBcAG4AUgBlAGYAcgBpAGcAZQByAGEAbgB0AHMAXwBDAGgAZQBtAGkAYwBhAGwAQgBsAGUAbgBkAHMAXwBEAGEAdABhAFwAbgA9AEwAQQBNAEIARABBACgAXABuACAAIABNAEEASwBFAEEAUgBSAEEAWQAoADUAMQAsACAAMwAsAFwAbgAgACAAIAAgAEwAQQBNAEIARABBACgAcgAsAGMALABcAG4AIAAgACAAIAAgACAASQBOAEQARQBYACgAewBcAG4AIAAgACAAIAAgACAAIAAgAFwAIgBCAGwAZQBuAGQAXAAiACwAIABcACIAQwBvAG4AcwB0AGkAdAB1AGUAbgB0AHMAXAAiACwAIABcACIAQwBvAG0AcABvAHMAaQB0AGkAbwBuACAAKAAlACkAXAAiADsAXABuACAAIAAgACAAIAAgACAAIABcACIAUgAtADQAMAAwAFwAIgAsACAAXAAiAEMARgBDAC0AMQAyAC8AQwBGAEMALQAxADEANABcACIALAAgAFwAIgBSAC0ANAAwADAAIABjAGEAbgAgAGgAYQB2AGUAIAB2AGEAcgBpAG8AdQBzACAAcAByAG8AcABvAHIAdABpAG8AbgBzACAAbwBmACAAQwBGAEMALQAxADIAIABhAG4AZAAgAEMARgBDAC0AMQAxADQALgAgAFQAaABlACAAZQB4AGEAYwB0ACAAYwBvAG0AcABvAHMAaQB0AGkAbwBuACAAbgBlAGUAZABzACAAdABvACAAYgBlACAAcwBwAGUAYwBpAGYAaQBlAGQALAAgAGUALgBnAC4ALAAgAFIALQA0ADAAMAAgACgANgAwAC8ANAAwACkALgBcACIAOwBcAG4AIAAgACAAIAAgACAAIAAgAFwAIgBSAC0ANAAwADEAQQBcACIALAAgAFwAIgBIAEMARgBDAC0AMgAyAC8ASABGAEMALQAxADUAMgBhAC8ASABDAEYAQwAtADEAMgA0AFwAIgAsACAAXAAiACgANQAzAC4AMAAvADEAMwAuADAALwAzADQALgAwACkAXAAiADsAXABuACAAIAAgACAAIAAgACAAIABcACIAUgAtADQAMAAxAEIAXAAiACwAIABcACIASABDAEYAQwAtADIAMgAvAEgARgBDAC0AMQA1ADIAYQAvAEgAQwBGAEMALQAxADIANABcACIALAAgAFwAIgAoADYAMQAuADAALwAxADEALgAwAC8AMgA4AC4AMAApAFwAIgA7AFwAbgAgACAAIAAgACAAIAAgACAAXAAiAFIALQA0ADAAMQBDAFwAIgAsACAAXAAiAEgAQwBGAEMALQAyADIALwBIAEYAQwAtADEANQAyAGEALwBIAEMARgBDAC0AMQAyADQAXAAiACwAIABcACIAKAAzADMALgAwAC8AMQA1AC4AMAAvADUAMgAuADAAKQBcACIAOwBcAG4AIAAgACAAIAAgACAAIAAgAFwAIgBSAC0ANAAwADIAQQBcACIALAAgAFwAIgBIAEYAQwAtADEAMgA1AC8ASABDAC0AMgA5ADAALwBIAEMARgBDAC0AMgAyAFwAIgAsACAAXAAiACgANgAwAC4AMAAvADIALgAwAC8AMwA4AC4AMAApAFwAIgA7AFwAbgAgACAAIAAgACAAIAAgACAAXAAiAFIALQA0ADAAMgBCAFwAIgAsACAAXAAiAEgARgBDAC0AMQAyADUALwBIAEMALQAyADkAMAAvAEgAQwBGAEMALQAyADIAXAAiACwAIABcACIAKAAzADgALgAwAC8AMgAuADAALwA2ADAALgAwACkAXAAiADsAXABuACAAIAAgACAAIAAgACAAIABcACIAUgAtADQAMAAzAEEAXAAiACwAIABcACIASABDAC0AMgA5ADAALwBIAEMARgBDAC0AMgAyAC8AUABGAEMALQAyADEAOABcACIALAAgAFwAIgAoADUALgAwAC8ANwA1AC4AMAAvADIAMAAuADAAKQBcACIAOwBcAG4AIAAgACAAIAAgACAAIAAgAFwAIgBSAC0ANAAwADMAQgBcACIALAAgAFwAIgBIAEMALQAyADkAMAAvAEgAQwBGAEMALQAyADIALwBQAEYAQwAtADIAMQA4AFwAIgAsACAAXAAiACgANQAuADAALwA1ADYALgAwAC8AMwA5AC4AMAApAFwAIgA7AFwAbgAgACAAIAAgACAAIAAgACAAXAAiAFIALQA0ADAANABBAFwAIgAsACAAXAAiAEgARgBDAC0AMQAyADUALwBIAEYAQwAtADEANAAzAGEALwBIAEYAQwAtADEAMwA0AGEAXAAiACwAIABcACIAKAA0ADQALgAwAC8ANQAyAC4AMAAvADQALgAwACkAXAAiADsAXABuACAAIAAgACAAIAAgACAAIABcACIAUgAtADQAMAA1AEEAXAAiACwAIABcACIASABDAEYAQwAtADIAMgAvACAASABGAEMALQAxADUAMgBhAC8ASABDAEYAQwAtADEANAAyAGIALwBQAEYAQwAtADMAMQA4AFwAIgAsACAAXAAiACgANAA1AC4AMAAvADcALgAwAC8ANQAuADUALwA0ADIALgA1ACkAXAAiADsAXABuACAAIAAgACAAIAAgACAAIABcACIAUgAtADQAMAA2AEEAXAAiACwAIABcACIASABDAEYAQwAtADIAMgAvAEgAQwAtADYAMAAwAGEALwBIAEMARgBDAC0AMQA0ADIAYgBcACIALAAgAFwAIgAoADUANQAuADAALwAxADQALgAwAC8ANAAxAC4AMAApAFwAIgA7AFwAbgAgACAAIAAgACAAIAAgACAAXAAiAFIALQA0ADAANwBBAFwAIgAsACAAXAAiAEgARgBDAC0AMwAyAC8ASABGAEMALQAxADIANQAvAEgARgBDAC0AMQAzADQAYQBcACIALAAgAFwAIgAoADIAMAAuADAALwA0ADAALgAwAC8ANAAwAC4AMAApAFwAIgA7AFwAbgAgACAAIAAgACAAIAAgACAAXAAiAFIALQA0ADAANwBCAFwAIgAsACAAXAAiAEgARgBDAC0AMwAyAC8ASABGAEMALQAxADIANQAvAEgARgBDAC0AMQAzADQAYQBcACIALAAgAFwAIgAoADEAMAAuADAALwA3ADAALgAwAC8AMgAwAC4AMAApAFwAIgA7AFwAbgAgACAAIAAgACAAIAAgACAAXAAiAFIALQA0ADAANwBDAFwAIgAsACAAXAAiAEgARgBDAC0AMwAyAC8ASABGAEMALQAxADIANQAvAEgARgBDAC0AMQAzADQAYQBcACIALAAgAFwAIgAoADIAMwAuADAALwAyADUALgAwAC8ANQAyAC4AMAApAFwAIgA7AFwAbgAgACAAIAAgACAAIAAgACAAXAAiAFIALQA0ADAANwBEAFwAIgAsACAAXAAiAEgARgBDAC0AMwAyAC8ASABGAEMALQAxADIANQAvAEgARgBDAC0AMQAzADQAYQBcACIALAAgAFwAIgAoADEANQAuADAALwAxADUALgAwAC8ANwAwAC4AMAApAFwAIgA7AFwAbgAgACAAIAAgACAAIAAgACAAXAAiAFIALQA0ADAANwBFAFwAIgAsACAAXAAiAEgARgBDAC0AMwAyAC8ASABGAEMALQAxADIANQAvAEgARgBDAC0AMQAzADQAYQBcACIALAAgAFwAIgAoADIANQAuADAALwAxADUALgAwAC8ANgAwAC4AMAApAFwAIgA7AFwAbgAgACAAIAAgACAAIAAgACAAXAAiAFIALQA0ADAAOABBAFwAIgAsACAAXAAiAEgARgBDAC0AMQAyADUALwBIAEYAQwAtADEANAAzAGEALwBIAEMARgBDAC0AMgAyAFwAIgAsACAAXAAiACgANwAuADAALwA0ADYALgAwAC8ANAA3AC4AMAApAFwAIgA7AFwAbgAgACAAIAAgACAAIAAgACAAXAAiAFIALQA0ADAAOQBBAFwAIgAsACAAXAAiAEgAQwBGAEMALQAyADIALwBIAEMARgBDAC0AMQAyADQALwBIAEMARgBDAC0AMQA0ADIAYgBcACIALAAgAFwAIgAoADYAMAAuADAALwAyADUALgAwAC8AMQA1AC4AMAApAFwAIgA7AFwAbgAgACAAIAAgACAAIAAgACAAXAAiAFIALQA0ADAAOQBCAFwAIgAsACAAXAAiAEgAQwBGAEMALQAyADIALwBIAEMARgBDAC0AMQAyADQALwBIAEMARgBDAC0AMQA0ADIAYgBcACIALAAgAFwAIgAoADYANQAuADAALwAyADUALgAwAC8AMQAwAC4AMAApAFwAIgA7AFwAbgAgACAAIAAgACAAIAAgACAAXAAiAFIALQA0ADEAMABBAFwAIgAsACAAXAAiAEgARgBDAC0AMwAyAC8ASABGAEMALQAxADIANQBcACIALAAgAFwAIgAoADUAMAAuADAALwA1ADAALgAwACkAXAAiADsAXABuACAAIAAgACAAIAAgACAAIABcACIAUgAtADQAMQAwAEIAXAAiACwAIABcACIASABGAEMALQAzADIALwBIAEYAQwAtADEAMgA1AFwAIgAsACAAXAAiACgANAA1AC4AMAAvADUANQAuADAAKQBcACIAOwBcAG4AIAAgACAAIAAgACAAIAAgAFwAIgBSAC0ANAAxADEAQQBcACIALAAgAFwAIgBIAEMALQAxADIANwAwAC8ASABDAEYAQwAtADIAMgAvAEgARgBDAC0AMQA1ADIAYQBcACIALAAgAFwAIgAoADEALgA1AC8AOAA3AC4ANQAvADEAMQAuADAAKQBcACIAOwBcAG4AIAAgACAAIAAgACAAIAAgAFwAIgBSAC0ANAAxADEAQgBcACIALAAgAFwAIgBIAEMALQAxADIANwAwAC8ASABDAEYAQwAtADIAMgAvAEgARgBDAC0AMQA1ADIAYQBcACIALAAgAFwAIgAoADMALgAwAC8AOQA0AC4AMAAvADMALgAwACkAXAAiADsAXABuACAAIAAgACAAIAAgACAAIABcACIAUgAtADQAMQAxAEMAXAAiACwAIABcACIASABDAC0AMQAyADcAMAAvAEgAQwBGAEMALQAyADIALwBIAEYAQwAtADEANQAyAGEAXAAiACwAIABcACIAKAAzAC4AMAAvADkANQAuADUALwAxAC4ANQApAFwAIgA7AFwAbgAgACAAIAAgACAAIAAgACAAXAAiAFIALQA0ADEAMgBBAFwAIgAsACAAXAAiAEgAQwBGAEMALQAyADIALwBQAEYAQwAtADIAMQA4AC8ASABDAEYAQwAtADEANAAyAGIAXAAiACwAIABcACIAKAA3ADAALgAwAC8ANQAuADAALwAyADUALgAwACkAXAAiADsAXABuACAAIAAgACAAIAAgACAAIABcACIAUgAtADQAMQAzAEEAXAAiACwAIABcACIAUABGAEMALQAyADEAOAAvAEgARgBDAC0AMQAzADQAYQAvAEgAQwAtADYAMAAwAGEAXAAiACwAIABcACIAKAA5AC4AMAAvADgAOAAuADAALwAzAC4AMAApAFwAIgA7AFwAbgAgACAAIAAgACAAIAAgACAAXAAiAFIALQA0ADEANABBAFwAIgAsACAAXAAiAEgAQwBGAEMALQAyADIALwBIAEMARgBDAC0AMQAyADQALwBIAEMALQA2ADAAMABhAC8ASABDAEYAQwAtADEANAAyAGIAXAAiACwAIABcACIAKAA1ADEALgAwAC8AMgA4AC4ANQAvADQALgAwAC8AMQA2AC4ANQApAFwAIgA7AFwAbgAgACAAIAAgACAAIAAgACAAXAAiAFIALQA0ADEANABCAFwAIgAsACAAXAAiAEgAQwBGAEMALQAyADIALwBIAEMARgBDAC0AMQAyADQALwBIAEMALQA2ADAAMABhAC8ASABDAEYAQwAtADEANAAyAGIAXAAiACwAIABcACIAKAA1ADAALgAwAC8AMwA5AC4AMAAvADEALgA1AC8AOQAuADUAKQBcACIAOwBcAG4AIAAgACAAIAAgACAAIAAgAFwAIgBSAC0ANAAxADUAQQBcACIALAAgAFwAIgBIAEMARgBDAC0AMgAyAC8ASABGAEMALQAxADUAMgBhAFwAIgAsACAAXAAiACgAOAAyAC4AMAAvADEAOAAuADAAKQBcACIAOwBcAG4AIAAgACAAIAAgACAAIAAgAFwAIgBSAC0ANAAxADUAQgBcACIALAAgAFwAIgBIAEMARgBDAC0AMgAyAC8ASABGAEMALQAxADUAMgBhAFwAIgAsACAAXAAiACgAMgA1AC4AMAAvADcANQAuADAAKQBcACIAOwBcAG4AIAAgACAAIAAgACAAIAAgAFwAIgBSAC0ANAAxADYAQQBcACIALAAgAFwAIgBIAEYAQwAtADEAMwA0AGEALwBIAEMARgBDAC0AMQAyADQALwBIAEMALQA2ADAAMABcACIALAAgAFwAIgAoADUAOQAuADAALwAzADkALgA1AC8AMQAuADUAKQBcACIAOwBcAG4AIAAgACAAIAAgACAAIAAgAFwAIgBSAC0ANAAxADcAQQBcACIALAAgAFwAIgBIAEYAQwAtADEAMgA1AC8ASABGAEMALQAxADMANABhAC8ASABDAC0ANgAwADAAXAAiACwAIABcACIAKAA0ADYALgA2AC8ANQAwAC4AMAAvADMALgA0ACkAXAAiADsAXABuACAAIAAgACAAIAAgACAAIABcACIAUgAtADQAMQA4AEEAXAAiACwAIABcACIASABDAC0AMgA5ADAALwBIAEMARgBDAC0AMgAyAC8ASABGAEMALQAxADUAMgBhAFwAIgAsACAAXAAiACgAMQAuADUALwA5ADYALgAwAC8AMgAuADUAKQBcACIAOwBcAG4AIAAgACAAIAAgACAAIAAgAFwAIgBSAC0ANAAxADkAQQBcACIALAAgAFwAIgBIAEYAQwAtADEAMgA1AC8ASABGAEMALQAxADMANABhAC8ASABFAC0ARQAxADcAMABcACIALAAgAFwAIgAoADcANwAuADAALwAxADkALgAwAC8ANAAuADAAKQBcACIAOwBcAG4AIAAgACAAIAAgACAAIAAgAFwAIgBSAC0ANAAyADAAQQBcACIALAAgAFwAIgBIAEYAQwAtADEAMwA0AGEALwBIAEMARgBDAC0AMQA0ADIAYgBcACIALAAgAFwAIgAoADgAOAAuADAALwAxADIALgAwACkAXAAiADsAXABuACAAIAAgACAAIAAgACAAIABcACIAUgAtADQAMgAxAEEAXAAiACwAIABcACIASABGAEMALQAxADIANQAvAEgARgBDAC0AMQAzADQAYQBcACIALAAgAFwAIgAoADUAOAAuADAALwA0ADIALgAwACkAXAAiADsAXABuACAAIAAgACAAIAAgACAAIABcACIAUgAtADQAMgAyAEEAXAAiACwAIABcACIASABGAEMALQAxADIANQAvAEgARgBDAC0AMQAzADQAYQAvAEgAQwAtADYAMAAwAGEAXAAiACwAIABcACIAKAA4ADUALgAxAC8AMQAxAC4ANQAvADMALgA0ACkAXAAiADsAXABuACAAIAAgACAAIAAgACAAIABcACIAUgAtADQAMgAyAEIAXAAiACwAIABcACIASABGAEMALQAxADIANQAvAEgARgBDAC0AMQAzADQAYQAvAEgAQwAtADYAMAAwAGEAXAAiACwAIABcACIAKAA1ADUALgAwAC8ANAAyAC4AMAAvADMALgAwACkAXAAiADsAXABuACAAIAAgACAAIAAgACAAIABcACIAUgAtADQAMgAyAEMAXAAiACwAIABcACIASABGAEMALQAxADIANQAvAEgARgBDAC0AMQAzADQAYQAvAEgAQwAtADYAMAAwAGEAXAAiACwAIABcACIAKAA4ADIALgAwAC8AMQA1AC4AMAAvADMALgAwACkAXAAiADsAXABuACAAIAAgACAAIAAgACAAIABcACIAUgAtADUAMAAwAFwAIgAsACAAXAAiAEMARgBDAC0AMQAyAC8ASABGAEMALQAxADUAMgBhAFwAIgAsACAAXAAiACgANwAzAC4AOAAvADIANgAuADIAKQBcACIAOwBcAG4AIAAgACAAIAAgACAAIAAgAFwAIgBSAC0ANQAwADEAXAAiACwAIABcACIASABDAEYAQwAtADIAMgAvAEMARgBDAC0AMQAyAFwAIgAsACAAXAAiACgANwA1AC4AMAAvADIANQAuADAAKQBcACIAOwBcAG4AIAAgACAAIAAgACAAIAAgAFwAIgBSAC0ANQAwADIAXAAiACwAIABcACIASABDAEYAQwAtADIAMgAvAEMARgBDAC0AMQAxADUAXAAiACwAIABcACIAKAA0ADgALgA4AC8ANQAxAC4AMgApAFwAIgA7AFwAbgAgACAAIAAgACAAIAAgACAAXAAiAFIALQA1ADAAMwBcACIALAAgAFwAIgBIAEYAQwAtADIAMwAvAEMARgBDAC0AMQAzAFwAIgAsACAAXAAiACgANAAwAC4AMQAvADUAOQAuADkAKQBcACIAOwBcAG4AIAAgACAAIAAgACAAIAAgAFwAIgBSAC0ANQAwADQAXAAiACwAIABcACIASABGAEMALQAzADIALwBDAEYAQwAtADEAMQA1AFwAIgAsACAAXAAiACgANAA4AC4AMgAvADUAMQAuADgAKQBcACIAOwBcAG4AIAAgACAAIAAgACAAIAAgAFwAIgBSAC0ANQAwADUAXAAiACwAIABcACIAQwBGAEMALQAxADIALwBIAEMARgBDAC0AMwAxAFwAIgAsACAAXAAiACgANwA4AC4AMAAvADIAMgAuADAAKQBcACIAOwBcAG4AIAAgACAAIAAgACAAIAAgAFwAIgBSAC0ANQAwADYAXAAiACwAIABcACIAQwBGAEMALQAzADEALwBDAEYAQwAtADEAMQA0AFwAIgAsACAAXAAiACgANQA1AC4AMQAvADQANAAuADkAKQBcACIAOwBcAG4AIAAgACAAIAAgACAAIAAgAFwAIgBSAC0ANQAwADcAQQBcACIALAAgAFwAIgBIAEYAQwAtADEAMgA1AC8ASABGAEMALQAxADQAMwBhAFwAIgAsACAAXAAiACgANQAwAC4AMAAvADUAMAAuADAAKQBcACIAOwBcAG4AIAAgACAAIAAgACAAIAAgAFwAIgBSAC0ANQAwADgAQQBcACIALAAgAFwAIgBIAEYAQwAtADIAMwAvAFAARgBDAC0AMQAxADYAXAAiACwAIABcACIAKAAzADkALgAwAC8ANgAxAC4AMAApAFwAIgA7AFwAbgAgACAAIAAgACAAIAAgACAAXAAiAFIALQA1ADAAOABCAFwAIgAsACAAXAAiAEgARgBDAC0AMgAzAC8AUABGAEMALQAxADEANgBcACIALAAgAFwAIgAoADQANgAuADAALwA1ADQALgAwACkAXAAiADsAXABuACAAIAAgACAAIAAgACAAIABcACIAUgAtADUAMAA5AEEAXAAiACwAIABcACIASABDAEYAQwAtADIAMgAvAFAARgBDAC0AMgAxADgAXAAiACwAIABcACIAKAA0ADQALgAwAC8ANQA2AC4AMAApAFwAIgBcAG4AIAAgACAAIAAgACAAfQAsACAAcgAsACAAYwApAFwAbgApACkAKQA7AFwAbgBcAG4AUgBlAGYAcgBpAGcAZQByAGEAbgB0AHMAXwBDAGgAZQBtAGkAYwBhAGwAQgBsAGUAbgBkAHMAXwBWAGEAcgBpAGEAdABpAG8AbgBcAG4APQBMAEEATQBCAEQAQQAoACgAXAAiAFYAQQBSAEkAQQBUAEkATwBOACAATwBGACAAUwBPAFUAUgBDAEUAIABEAEEAVABBADoAIABGAGkAeABlAGQAIAB0AHkAcABvACAALQAgAGMAaABhAG4AZwBlAGQAIABIAEMANgAwADAAYQAgAHQAbwAgAEgAQwAtADYAMAAwAGEAIABmAG8AcgAgAGIAbABlAG4AZAAgAFIALQA0ADEANABCAC4AIABGAGkAeABlAGQAIAB0AHkAcABvACAAZgBvAHIAIABiAGwAZQBuAGQAIABSAC0ANAAwADUAQQAgAC0AIABDAGgAYQBuAGcAZQBkACAASABDAEYAQwAxADQAMgBiACAAdABvACAASABDAEYAQwAtADEANAAyAGIALgBcACIAKQApADsAXABuAFwAbgBcAG4ALwAqAFwAbgA9AD0APQA9AD0APQA9AD0APQA9AD0APQA9AD0APQA9AD0APQA9AD0APQA9AD0APQA9AD0APQA9AD0APQA9AD0APQA9AD0APQA9AD0APQA9AD0APQA9AD0APQA9AD0APQA9AD0APQA9AD0APQA9AD0APQA9AD0APQA9AD0APQA9AD0APQA9AD0APQA9AD0APQA9AD0APQA9AFwAbgBMAGUAYQBrAGEAZwBlACAAcgBhAHQAZQBzACAAZgBvAHIAIABjAG8AbQBtAG8AbgAgAHIAZQBmAHIAaQBnAGUAcgBhAHQAaQBvAG4AIABhAG4AZAAgAGEAaQByAFwAbgA9AD0APQA9AD0APQA9AD0APQA9AD0APQA9AD0APQA9AD0APQA9AD0APQA9AD0APQA9AD0APQA9AD0APQA9AD0APQA9AD0APQA9AD0APQA9AD0APQA9AD0APQA9AD0APQA9AD0APQA9AD0APQA9AD0APQA9AD0APQA9AD0APQA9AD0APQA9AD0APQA9AD0APQA9AD0APQA9AFwAbgAqAC8AXABuAFwAbgBSAGUAZgByAGkAZwBlAHIAYQBuAHQAcwBfAEwAZQBhAGsAYQBnAGUAUgBhAHQAZQBzAF8AVABpAHQAbABlAFwAbgA9AEwAQQBNAEIARABBACgAKABcACIASQBuAGQAaQBjAGEAdABpAHYAZQAgAGwAZQBhAGsAYQBnAGUAIAByAGEAdABlAHMAIABmAG8AcgAgAGMAbwBtAG0AbwBuACAAcgBlAGYAcgBpAGcAZQByAGEAdABpAG8AbgAgAGEAbgBkACAAYQBpAHIAIAAtACAAYwBvAG4AZABpAHQAaQBvAG4AaQBuAGcAIABlAHEAdQBpAHAAbQBlAG4AdABcACIAKQApADsAXABuAFwAbgBSAGUAZgByAGkAZwBlAHIAYQBuAHQAcwBfAEwAZQBhAGsAYQBnAGUAUgBhAHQAZQBzAF8ARABlAHMAYwByAGkAcAB0AGkAbwBuAFwAbgA9AEwAQQBNAEIARABBACgAKABcACIAXAAiACkAKQA7AFwAbgBcAG4AUgBlAGYAcgBpAGcAZQByAGEAbgB0AHMAXwBMAGUAYQBrAGEAZwBlAFIAYQB0AGUAcwBfAFMAbwB1AHIAYwBlAFwAbgA9AEwAQQBNAEIARABBACgAKABcACIAQQB1AHMAdAByAGEAbABpAGEAbgAgAE4AYQB0AGkAbwBuAGEAbAAgAEcAcgBlAGUAbgBoAG8AdQBzAGUAIABBAGMAYwBvAHUAbgB0AHMAIABGAGEAYwB0AG8AcgBzACAAMgAwADIANQAgAC0AIABUAGEAYgBsAGUAIAAxADAAXAAiACkAKQA7AFwAbgBcAG4AUgBlAGYAcgBpAGcAZQByAGEAbgB0AHMAXwBMAGUAYQBrAGEAZwBlAFIAYQB0AGUAcwBfAEQAYQB0AGEAXABuAD0ATABBAE0AQgBEAEEAKABcAG4AIAAgAE0AQQBLAEUAQQBSAFIAQQBZACgAOAAsACAAMgAsAFwAbgAgACAAIAAgAEwAQQBNAEIARABBACgAcgAsAGMALABcAG4AIAAgACAAIAAgACAASQBOAEQARQBYACgAewBcAG4AIAAgACAAIAAgACAAIAAgAFwAIgBQAHIAbwBkAHUAYwB0AFwAIgAsACAAXAAiAEEAbgBuAHUAYQBsACAAbABlAGEAawBhAGcAZQAgAHIAYQB0AGUAIAAoACUAKQBcACIAOwBcAG4AIAAgACAAIAAgACAAIAAgAFwAIgBEAG8AbQBlAHMAdABpAGMAIAByAGUAZgByAGkAZwBlAHIAYQB0AG8AcgBzAFwAIgAsACAAMQAuADcAOwBcAG4AIAAgACAAIAAgACAAIAAgAFwAIgBUAHIAYQBuAHMAcABvAHIAdAAgAHIAZQBmAHIAaQBnAGUAcgBhAHQAaQBvAG4AXAAiACwAIAAxADUALgA3ADsAXABuACAAIAAgACAAIAAgACAAIABcACIARABvAG0AZQBzAHQAaQBjACAAQQAvAEMAIABwAG8AcgB0AGEAYgBsAGUAXAAiACwAIAAyAC4ANQA7AFwAbgAgACAAIAAgACAAIAAgACAAXAAiAEQAbwBtAGUAcwB0AGkAYwAgAEEALwBDACAAcwBwAGwAaQB0AFwAIgAsACAAMwAuADUAOwBcAG4AIAAgACAAIAAgACAAIAAgAFwAIgBEAG8AbQBlAHMAdABpAGMAIABBAC8AQwAgAHAAYQBjAGsAYQBnAGUAZABcACIALAAgADIALgA1ADsAXABuACAAIAAgACAAIAAgACAAIABcACIATABpAGcAaAB0ACAAdgBlAGgAaQBjAGwAZQAgAEEALwBDAFwAIgAsACAANgAuADcAOwBcAG4AIAAgACAAIAAgACAAIAAgAFwAIgBIAGUAYQB2AHkAIAB2AGUAaABpAGMAbABlACAAQQAvAEMAXAAiACwAIAAxADAALgA4AFwAbgAgACAAIAAgACAAIAB9ACwAIAByACwAIABjACkAXABuACkAKQApADsAXABuAFwAbgBSAGUAZgByAGkAZwBlAHIAYQBuAHQAcwBfAEwAZQBhAGsAYQBnAGUAUgBhAHQAZQBzAF8AVgBhAHIAaQBhAHQAaQBvAG4AXABuAD0ATABBAE0AQgBEAEEAKAAoAFwAIgBcACIAKQApADs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BAGcAUgBlAHMAaQBkAHUAZQBfAEUAcQB1AGEAdABpAG8AbgBzAF8AQwByAG8AcABSAGUAcwBpAGQAdQBlACIALAAiAHQAZQB4AHQAIgA6ACIALwAqACAAXABuAC0ALQAtAC0ALQAtAC0ALQAtAC0ALQAtAC0ALQAtAC0ALQAtAC0ALQAtAC0ALQAtAC0ALQAtAC0ALQAtAC0ALQAtAC0ALQAtAC0ALQBcAG4AVgBFAEUAUgBHAF8ANgBfADEAXwAxAF8AMQBfAF8AMQBfAF8ATgBpAHQAcgBvAHUAcwBPAHgAaQBkAGUARQBtAGkAcwBzAGkAbwBuAHMARgByAG8AbQBDAHIAbwBwAFIAZQBzAGkAZAB1AGUAcwBcAG4ATgBpAHQAcgBvAHUAcwAgAG8AeABpAGQAZQAgAGUAbQBpAHMAcwBpAG8AbgBzACAAZgByAG8AbQAgAHQAaABlACAAcgBlAHQAdQByAG4AIABvAGYAIABjAHIAbwBwACAAcgBlAHMAaQBkAHUAZQBzACAAYQBjAHIAbwBzAHMAIABhAGwAbAAgAGMAcgBvAHAAcwAgAGMAIAB0AG8AIAB0AGgAZQAgAHMAbwBpAGwAXABuAEUAXABuAHQAIABOADIATwBcAG4ARQA9AFwAXABzAHUAbQBfAHsAYwB9AHsATQBfAHsAYwB9AFwAXAB0AGkAbQBlAHMAIABFAEYAXwB7AE4AfQBcAFwAdABpAG0AZQBzACAAQwBfAHsAZwAsAE4AMgBPAH0AXABcAHQAaQBtAGUAcwAgADEAMABeAHsALQAzAH0AfQBcAG4ATQBjACAAPQAgAG0AYQBzAHMAIABvAGYAIABuAGkAdAByAG8AZwBlAG4AIABpAG4AIABjAHIAbwBwACAAYwAgAHIAZQBzAGkAZAB1AGUAcwAgAHIAZQB0AHUAcgBuAGUAZAAgAHQAbwAgAHQAaABlACAAcwBvAGkAbAAgACgAawBnACAATgApAFwAbgBFAEYATgBpACAAPQAgAGUAbQBpAHMAcwBpAG8AbgAgAGYAYQBjAHQAbwByACAAZgBvAHIAIABjAHIAbwBwACAAcgBlAHMAaQBkAHUAZQBzACAAcgBlAHQAdQByAG4AZQBkACAAdABvACAAdABoAGUAIABzAG8AaQBsACAAKABrAGcAIABOADIATwAtAE4ALwBrAGcAIABOACkAXABuAEMAZ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EAXwAxAF8AMQBfAF8AMQBfAF8ATgBpAHQAcgBvAHUAcwBPAHgAaQBkAGUARQBtAGkAcwBzAGkAbwBuAHMARgByAG8AbQBDAHIAbwBwAFIAZQBzAGkAZAB1AGUAcwBcAG4AIAAgAD0ATABBAE0AQgBEAEEAKABcAG4AIAAgACAAIABNAF8AYwAsACAARQBGAF8ATgBpACwAIABDAF8ATgAyAE8ALABcAG4AIAAgACAAIABNAF8AYwAgACoAIABFAEYAXwBOAGkAIAAqACAAQwBfAE4AMgBPACAAKgAgADEAMABeACgALQAzACkAXABuACAAIAApAFwAbgA7AFwAbgBcAG4AVgBFAEUAUgBHAF8ANgBfADEAXwAxAF8AMQBfAF8AMQBfAF8ATgBpAHQAcgBvAHUAcwBPAHgAaQBkAGUARQBtAGkAcwBzAGkAbwBuAHMARgByAG8AbQBDAHIAbwBwAFIAZQBzAGkAZAB1AGUAcwBfAEYAdQBuAGMAdABpAG8AbgBOAGEAbQBlAFwAbgAgACAAPQBMAEEATQBCAEQAQQAoAFwAIgBWAEUARQBSAEcAXwA2AF8AMQBfADEAXwAxAF8AXwAxAF8AXwBOAGkAdAByAG8AdQBzAE8AeABpAGQAZQBFAG0AaQBzAHMAaQBvAG4AcwBGAHIAbwBtAEMAcgBvAHAAUgBlAHMAaQBkAHUAZQBzAFwAIgApADsAXABuAFwAbgBWAEUARQBSAEcAXwA2AF8AMQBfADEAXwAxAF8AXwAxAF8AXwBOAGkAdAByAG8AdQBzAE8AeABpAGQAZQBFAG0AaQBzAHMAaQBvAG4AcwBGAHIAbwBtAEMAcgBvAHAAUgBlAHMAaQBkAHUAZQBzAF8AVABpAHQAbABlAFwAbgAgACAAPQBMAEEATQBCAEQAQQAoAFwAIgBOAGkAdAByAG8AdQBzACAAbwB4AGkAZABlACAAZQBtAGkAcwBzAGkAbwBuAHMAIABmAHIAbwBtACAAdABoAGUAIAByAGUAdAB1AHIAbgAgAG8AZgAgAGMAcgBvAHAAIAByAGUAcwBpAGQAdQBlAHMAIABhAGMAcgBvAHMAcwAgAGEAbABsACAAYwByAG8AcABzACAAYwAgAHQAbwAgAHQAaABlACAAcwBvAGkAbABcACIAKQA7AFwAbgBcAG4AVgBFAEUAUgBHAF8ANgBfADEAXwAxAF8AMQBfAF8AMQBfAF8ATgBpAHQAcgBvAHUAcwBPAHgAaQBkAGUARQBtAGkAcwBzAGkAbwBuAHMARgByAG8AbQBDAHIAbwBwAFIAZQBzAGkAZAB1AGUAcwBfAFYAYQByAGkAYQBiAGwAZQBcAG4AIAAgAD0ATABBAE0AQgBEAEEAKABcACIARQBcACIAKQA7AFwAbgBcAG4AVgBFAEUAUgBHAF8ANgBfADEAXwAxAF8AMQBfAF8AMQBfAF8ATgBpAHQAcgBvAHUAcwBPAHgAaQBkAGUARQBtAGkAcwBzAGkAbwBuAHMARgByAG8AbQBDAHIAbwBwAFIAZQBzAGkAZAB1AGUAcwBfAFUAbgBpAHQAXABuACAAIAA9AEwAQQBNAEIARABBACgAXAAiAHQAIABOADIATwBcACIAKQA7AFwAbgBcAG4AVgBFAEUAUgBHAF8ANgBfADEAXwAxAF8AMQBfAF8AMQBfAF8ATgBpAHQAcgBvAHUAcwBPAHgAaQBkAGUARQBtAGkAcwBzAGkAbwBuAHMARgByAG8AbQBDAHIAbwBwAFIAZQBzAGkAZAB1AGUAcwBfAFMAbwB1AHIAYwBlAFwAbgAgACAAPQBMAEEATQBCAEQAQQAoAFwAIgBWAEUARQBSAEcAIAAyADAAMgA2ADoAIAA2AC4AMQAuADEALgAxACwAIABFAHEAdQBhAHQAaQBvAG4AIAAoADEAKQBcACIAKQA7AFwAbgBcAG4AVgBFAEUAUgBHAF8ANgBfADEAXwAxAF8AMQBfAF8AMQBfAF8ATgBpAHQAcgBvAHUAcwBPAHgAaQBkAGUARQBtAGkAcwBzAGkAbwBuAHMARgByAG8AbQBDAHIAbwBwAFIAZQBzAGkAZAB1AGUAcwBfAE4ASQBSAFIAZQBmAGUAcgBlAG4AYwBlAFwAbgAgACAAPQBMAEEATQBCAEQAQQAoAFwAIgBcACIAKQA7AFwAbgBcAG4AVgBFAEUAUgBHAF8ANgBfADEAXwAxAF8AMQBfAF8AMQBfAF8ATgBpAHQAcgBvAHUAcwBPAHgAaQBkAGUARQBtAGkAcwBzAGkAbwBuAHMARgByAG8AbQBDAHIAbwBwAFIAZQBzAGkAZAB1AGUAcwBfAEwAYQB0AGUAeABFAHEAdQBhAHQAaQBvAG4AXABuACAAIAA9AEwAQQBNAEIARABBACgAXAAiAEUAPQBcAFwAcwB1AG0AXABcAG4AbwBsAGkAbQBpAHQAcwBfAGMAXABcAGwAZQBmAHQAKABNAF8AewBjAH0AXABcAHQAaQBtAGUAcwAgAEUARgBfAHsATgB9AFwAXAByAGkAZwBoAHQAKQBcAFwAdABpAG0AZQBzACAAQwBfAHsAZwAsAE4AMgBPAH0AXABcAHQAaQBtAGUAcwAgADEAMABeAHsALQAzAH0AXAAiACkAOwBcAG4AXABuAFYARQBFAFIARwBfADYAXwAxAF8AMQBfADEAXwBfADEAXwBfAE4AaQB0AHIAbwB1AHMATwB4AGkAZABlAEUAbQBpAHMAcwBpAG8AbgBzAEYAcgBvAG0AQwByAG8AcA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jAFwAIgAsAFwAIgBtAGEAcwBzACAAbwBmACAAbgBpAHQAcgBvAGcAZQBuACAAaQBuACAAYwByAG8AcAAgAGMAIAByAGUAcwBpAGQAdQBlAHMAIAByAGUAdAB1AHIAbgBlAGQAIAB0AG8AIAB0AGgAZQAgAHMAbwBpAGwAXAAiACwAIABcACIAawBnACAATgBcACIALAAgAFwAIgBDAGEAbABjAHUAbABhAHQAZQBkACAAZgByAG8AbQAgADYALgAxAC4AMQAuADEAIAAoADIAKQBcACIAOwBcAG4AIAAgACAAIAAgACAAIAAgACAAIABcACIARQBGAF8ATgBpAFwAIgAsAFwAIgBlAG0AaQBzAHMAaQBvAG4AIABmAGEAYwB0AG8AcgAgAGYAbwByACAAYwByAG8AcAAgAHIAZQBzAGkAZAB1AGUAcwAgAHIAZQB0AHUAcgBuAGUAZAAgAHQAbwAgAHQAaABlACAAcwBvAGkAbA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xAF8AXwAyAF8AXwBNAGEAcwBzAE8AZgBOAGkAdAByAG8AZwBlAG4ASQBuAEMAcgBvAHAAUgBlAHMAaQBkAHUAZQBzAFwAbgBNAGEAcwBzACAAbwBmACAAbgBpAHQAcgBvAGcAZQBuACAAaQBuACAAYwByAG8AcAAgAHIAZQBzAGkAZAB1AGUAcwAgAHIAZQB0AHUAcgBuAGUAZAAgAHQAbwAgAHQAaABlACAAcwBvAGkAbABcAG4ATQBjAFwAbgBrAGcAIABOAFwAb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bgBQAGMAIAA9ACAAYQBuAG4AdQBhAGwAIABwAHIAbwBkAHUAYwB0AGkAbwBuACAAbwBmACAAYwByAG8AcAAgAGMAIAAoAGsAZwApAFwAbgBSAEEARwBjACAAPQAgAHIAZQBzAGkAZAB1AGUAIAB0AG8AIABjAHIAbwBwACAAcgBhAHQAaQBvACAAZgBvAHIAIABjAHIAbwBwACAAYwAgACgAZABpAG0AZQBuAHMAaQBvAG4AbABlAHMAcwApAFwAbgBSAEIARwBjACAAPQAgAGIAZQBsAG8AdwAgAGcAcgBvAHUAbgBkAC0AcgBlAHMAaQBkAHUAZQAgAHQAbwAgAGEAYgBvAHYAZQAgAGcAcgBvAHUAbgBkACAAcgBlAHMAaQBkAHUAZQAgAHIAYQB0AGkAbwAgAGYAbwByACAAYwByAG8AcAAgAGMAIAAoAGQAaQBtAGUAbgBzAGkAbwBuAGwAZQBzAHMAKQBcAG4ARgBjACAAPQAgAGYAcgBhAGMAdABpAG8AbgAgAG8AZgAgAGMAcgBvAHAAIAByAGUAcwBpAGQAdQBlACAAdABoAGEAdAAgAGkAcwAgAGIAdQByAG4AdAAgAGYAbwByACAAYwByAG8AcAAgAGMAIAAoAGQAaQBtAGUAbgBzAGkAbwBuAGwAZQBzAHMAKQBcAG4ARgBGAE8ARABjACAAPQAgAGYAcgBhAGMAdABpAG8AbgAgAG8AZgAgAHQAaABlACAAYwByAG8AcAAgAHIAZQBzAGkAZAB1AGUAIAB0AGgAYQB0ACAAaQBzACAAcgBlAG0AbwB2AGUAZAAgAGYAbwByACAAYwByAG8AcAAgAGMAIAAoAGQAaQBtAGUAbgBzAGkAbwBuAGwAZQBzAHMAKQBcAG4ARABNAGMAIAA9ACAAZAByAHkAIABtAGEAdAB0AGUAcgAgAGMAbwBuAHQAZQBuAHQAIABvAGYAIABjAHIAbwBwACAAYwAgACgAawBnACAAZAByAHkAIAB3AGUAaQBnAGgAdAAvAGsAZwAgAGMAcgBvAHAAIAByAGUAcwBpAGQAdQBlACkAXABuAE4AQwBBAEcAYwAgAD0AIABuAGkAdAByAG8AZwBlAG4AIABjAG8AbgB0AGUAbgB0ACAAbwBmACAAYQBiAG8AdgBlAC0AZwByAG8AdQBuAGQAIABjAHIAbwBwACAAcgBlAHMAaQBkAHUAZQAgAG8AZgAgAGMAcgBvAHAAIABjACAAKABrAGcAIABOAC8AawBnACAARABNACkAXABuAE4AQwBCAEcAYwAgAD0AIABuAGkAdAByAG8AZwBlAG4AIABjAG8AbgB0AGUAbgB0ACAAbwBmACAAYgBlAGwAbwB3AC0AZwByAG8AdQBuAGQAIABjAHIAbwBwACAAcgBlAHMAaQBkAHUAZQAgAG8AZgAgAGMAcgBvAHAAIABjACAAKABrAGcAIABOAC8AawBnACAARABNACkAXABuAGMAIAA9ACAAQwByAG8AcAAgAHQAeQBwAGUAXABuAC0ALQAtAC0ALQAtAC0ALQAtAC0ALQAtAC0ALQAtAC0ALQAtAC0ALQAtAC0ALQAtAC0ALQAtAC0ALQAtAC0ALQAtAC0ALQAtAC0ALQBcAG4AKgAvAFwAbgBcAG4AVgBFAEUAUgBHAF8ANgBfADEAXwAxAF8AMQBfAF8AMgBfAF8ATQBhAHMAcwBPAGYATgBpAHQAcgBvAGcAZQBuAEkAbgBDAHIAbwBwAFIAZQBzAGkAZAB1AGUAcwBcAG4AIAAgAD0ATABBAE0AQgBEAEEAKABcAG4AIAAgACAAIABQAF8AYwAsACAAUgBfAEEARwBjACwAIABGAF8AYwAsACAARgBGAE8ARABfAGMALAAgAEQATQBfAGMALAAgAE4AQwBfAEEARwBjACwAIABSAF8AQgBHAGMALAAgAE4AQwBfAEIARwBjACwAXABuACAAIAAgACAAKABQAF8AYwAgACoAIABSAF8AQQBHAGMAIAAqACAAKAAxACAALQAgAEYAXwBjACAALQAgAEYARgBPAEQAXwBjACkAIAAqACAARABNAF8AYwAgACoAIABOAEMAXwBBAEcAYwApACAAKwAgACgAUABfAGMAIAAqACAAUgBfAEEARwBjACAAKgAgAFIAXwBCAEcAYwAgACoAIABEAE0AXwBjACAAKgAgAE4AQwBfAEIARwBjACkAXABuACAAIAApAFwAbgA7AFwAbgBcAG4AVgBFAEUAUgBHAF8ANgBfADEAXwAxAF8AMQBfAF8AMgBfAF8ATQBhAHMAcwBPAGYATgBpAHQAcgBvAGcAZQBuAEkAbgBDAHIAbwBwAFIAZQBzAGkAZAB1AGUAcwBfAFQAaQB0AGwAZQBcAG4AIAAgAD0ATABBAE0AQgBEAEEAKABcACIATQBhAHMAcwAgAG8AZgAgAG4AaQB0AHIAbwBnAGUAbgAgAGkAbgAgAGMAcgBvAHAAIAByAGUAcwBpAGQAdQBlAHMAIAByAGUAdAB1AHIAbgBlAGQAIAB0AG8AIAB0AGgAZQAgAHMAbwBpAGwAXAAiACkAOwBcAG4AXABuAFYARQBFAFIARwBfADYAXwAxAF8AMQBfADEAXwBfADIAXwBfAE0AYQBzAHMATwBmAE4AaQB0AHIAbwBnAGUAbgBJAG4AQwByAG8AcABSAGUAcwBpAGQAdQBlAHMAXwBWAGEAcgBpAGEAYgBsAGUAXABuACAAIAA9AEwAQQBNAEIARABBACgAXAAiAE0AXwBjAFwAIgApADsAXABuAFwAbgBWAEUARQBSAEcAXwA2AF8AMQBfADEAXwAxAF8AXwAyAF8AXwBNAGEAcwBzAE8AZgBOAGkAdAByAG8AZwBlAG4ASQBuAEMAcgBvAHAAUgBlAHMAaQBkAHUAZQBzAF8AVQBuAGkAdABcAG4AIAAgAD0ATABBAE0AQgBEAEEAKABcACIAawBnACAATgBcACIAKQA7AFwAbgBcAG4AVgBFAEUAUgBHAF8ANgBfADEAXwAxAF8AMQBfAF8AMgBfAF8ATQBhAHMAcwBPAGYATgBpAHQAcgBvAGcAZQBuAEkAbgBDAHIAbwBwAFIAZQBzAGkAZAB1AGUAcwBfAFMAbwB1AHIAYwBlAFwAbgAgACAAPQBMAEEATQBCAEQAQQAoAFwAIgBWAEUARQBSAEcAIAAyADAAMgA2ADoAIAA2AC4AMQAuADEALgAxACwAIABFAHEAdQBhAHQAaQBvAG4AIAAoADIAKQBcACIAKQA7AFwAbgBcAG4AVgBFAEUAUgBHAF8ANgBfADEAXwAxAF8AMQBfAF8AMgBfAF8ATQBhAHMAcwBPAGYATgBpAHQAcgBvAGcAZQBuAEkAbgBDAHIAbwBwAFIAZQBzAGkAZAB1AGUAcwBfAE4ASQBSAFIAZQBmAGUAcgBlAG4AYwBlAFwAbgAgACAAPQBMAEEATQBCAEQAQQAoAFwAIgBcACIAKQA7AFwAbgBcAG4AVgBFAEUAUgBHAF8ANgBfADEAXwAxAF8AMQBfAF8AMgBfAF8ATQBhAHMAcwBPAGYATgBpAHQAcgBvAGcAZQBuAEkAbgBDAHIAbwBwAFIAZQBzAGkAZAB1AGUAcwBfAEwAYQB0AGUAeABFAHEAdQBhAHQAaQBvAG4AXABuACAAIAA9AEwAQQBNAEIARABBACgAXAAi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AiACkAOwBcAG4AXABuAFYARQBFAFIARwBfADYAXwAxAF8AMQBfADEAXwBfADIAXwBfAE0AYQBzAHMATwBmAE4AaQB0AHIAbwBnAGUAbgBJAG4AQwByAG8AcABSAGUAcwBpAGQAdQBlAHMAXwBBAHIAZwB1AG0AZQBuAHQAcw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bwBuAHMAdABhAG4AdA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BWAEUARQBSAEcAXwA2AF8AMQBfADEAXwAxAF8AXwAyAF8AXwBNAGEAcwBzAE8AZgBOAGkAdAByAG8AZwBlAG4ASQBuAEMAcgBvAHAAUgBlAHMAaQBkAHUAZQBzAF8AQQByAGcAdQBtAGUAbgB0AHMAXwBNAGUAdABoAG8AZAAy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hAGwAYwB1AGwAYQB0AGUAZAAgAGYAcgBvAG0AIAA2AC4AMQAuADEALgAyACAAKAAxACk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gBfAF8AMQBfAF8ARgByAGEAYwB0AGkAbwBuAE8AZgBDAHIAbwBwAFIAZQBzAGkAZAB1AGUAUgBlAG0AbwB2AGUAZABCAGEAbABlAGQAXABuAEYAcgBhAGMAdABpAG8AbgAgAG8AZgAgAGMAcgBvAHAAIAByAGUAcwBpAGQAdQBlACAAdABoAGEAdAAgAGkAcwAgAHIAZQBtAG8AdgBlAGQAIABmAG8AcgAgAGMAcgBvAHAAIABjACwAIABjAGEAbABjAHUAbABhAHQAZQBkACAAdwBoAGUAcgBlACAAcgBlAHMAaQBkAHUAZQBzACAAYQByAGUAIABiAGEAbABlAGQAXABuAEYARgBPAEQAYwBcAG4AZABpAG0AZQBuAHMAaQBvAG4AbABlAHMAcwBcAG4ARgBGAE8ARABfAHsAYwB9AD0AXABcAGYAcgBhAGMAewBCAFwAXAB0AGkAbQBlAHMAIABNAF8AewBCAH0AfQB7AFAAXwB7AGMAfQBcAFwAdABpAG0AZQBzACAAUgBfAHsAQQBHACwAYwB9AH0AXABuAEIAIAA9ACAAbgB1AG0AYgBlAHIAIABvAGYAIABiAGEAbABlAHMAIABnAGUAbgBlAHIAYQB0AGUAZAAgACgAbgB1AG0AYgBlAHIAKQBcAG4ATQBCACAAPQAgAG0AYQBzAHMAIABvAGYAIABlAGEAYwBoACAAYgBhAGwAZQAgACgAawBnACkAXABuAFAAYwAgAD0AIABhAG4AbgB1AGEAbAAgAHAAcgBvAGQAdQBjAHQAaQBvAG4AIABvAGYAIABjAHIAbwBwACAAYwAgACgAawBnACkAXABuAFIAQQBHAGMAIAA9ACAAcgBlAHMAaQBkAHUAZQAgAHQAbwAgAGMAcgBvAHAAIAByAGEAdABpAG8AIABmAG8AcgAgAGMAcgBvAHAAIABjACAAKABmAHIAYQBjAHQAaQBvAG4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cACIAKQA7AFwAbgBcAG4AVgBFAEUAUgBHAF8ANgBfADEAXwAxAF8AMgBfAF8AMQBfAF8ARgByAGEAYwB0AGkAbwBuAE8AZgBDAHIAbwBwAFIAZQBzAGkAZAB1AGUAUgBlAG0AbwB2AGUAZABCAGEAbABlAGQAXwBVAG4AaQB0AFwAbgAgACAAPQBMAEEATQBCAEQAQQAoAFwAIgBmAHIAYQBjAHQAaQBvAG4AXAAiACkAOwBcAG4AXABuAFYARQBFAFIARwBfADYAXwAxAF8AMQBfADIAXwBfADEAXwBfAEYAcgBhAGMAdABpAG8AbgBPAGYAQwByAG8AcABSAGUAcwBpAGQAdQBlAFIAZQBtAG8AdgBlAGQAQgBhAGwAZQBkAF8AUwBvAHUAcgBjAGUAXABuACAAIAA9AEwAQQBNAEIARABBACgAXAAiAFYARQBFAFIARwAgADIAMAAyADYAOgAgADYALgAxAC4AMQAuADIALAAgAEUAcQB1AGEAdABpAG8AbgAgACgAMQApAFwAIgApADsAXABuAFwAbgBWAEUARQBSAEcAXwA2AF8AMQBfADEAXwAyAF8AXwAxAF8AXwBGAHIAYQBjAHQAaQBvAG4ATwBmAEMAcgBvAHAAUgBlAHMAaQBkAHUAZQBSAGUAbQBvAHYAZQBkAEIAYQBsAGUAZABfAE4ASQBSAFIAZQBmAGUAcgBlAG4AYwBlAFwAbgAgACAAPQBMAEEATQBCAEQAQQAoAFwAIgBcACIAKQA7AFwAbgBcAG4AVgBFAEUAUgBHAF8ANgBfADEAXwAxAF8AMgBfAF8AMQBfAF8ARgByAGEAYwB0AGkAbwBuAE8AZgBDAHIAbwBwAFIAZQBzAGkAZAB1AGUAUgBlAG0AbwB2AGUAZABCAGEAbABlAGQAXwBMAGEAdABlAHgARQBxAHUAYQB0AGkAbwBuAFwAbgAgACAAPQBMAEEATQBCAEQAQQAoAFwAIgBGAEYATwBEAF8AewBjAH0APQBcAFwAZgByAGEAYwB7AEIAXABcAHQAaQBtAGUAcwAgAE0AXwB7AEIAfQB9AHsAUABfAHsAYwB9AFwAXAB0AGkAbQBlAHMAIABSAF8AewBBAEcALABjAH0AfQBcACIAKQA7AFwAbgBcAG4AVgBFAEUAUgBHAF8ANgBfADEAXwAxAF8AMgBfAF8AMQBfAF8ARgByAGEAYwB0AGkAbwBuAE8AZgBDAHIAbwBwAFIAZQBzAGkAZAB1AGUAUgBlAG0AbwB2AGUAZABCAGEAbABlAGQAXwBBAHIAZwB1AG0AZQBuAHQAcwBcAG4AIAAgAD0ATABBAE0AQgBEAEEAKABcAG4AIAAgACAAIABNAEEASwBFAEEAUgBSAEEAWQAoADUALAAgADQALAAgAFwAbgAgACAAIAAgACAAIABMAEEATQBCAEQAQQAoAHIALABjACwAIABcAG4AIAAgACAAIAAgACAAIAAgAEkATgBEAEUAWAAoAHsAXABuACAAIAAgACAAIAAgACAAIAAgACAAXAAiAEIAXAAiACwAXAAiAG4AdQBtAGIAZQByACAAbwBmACAAYgBhAGwAZQBzACAAZwBlAG4AZQByAGEAdABlAGQAXAAiACwAIABcACIAXAAiACwAIABcACIASQBuAHAAdQB0AFwAIgA7AFwAbgAgACAAIAAgACAAIAAgACAAIAAgAFwAIgBNAF8AQgBcACIALABcACIAbQBhAHMAcwAgAG8AZgAgAGUAYQBjAGgAIABiAGEAbABlAFwAIgAsACAAXAAiAGsAZwBcACIALAAgAFwAIgBJAG4AcAB1AHQAXAAiAD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FYARQBFAFIARwBfADYAXwAxAF8AMQBfADIAXwBfADEAXwBfAEYAcgBhAGMAdABpAG8AbgBPAGYAQwByAG8AcABSAGUAcwBpAGQAdQBlAFIAZQBtAG8AdgBlAGQAQgBhAGwAZQBkAF8AVgBhAHIAaQBhAHQAaQBvAG4AXABuACAAIAA9AEwAQQBNAEIARABBACgAXAAi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LwAqAFwAbgBWAEUARQBSAEcAXwA2AF8AMQBfADEAXwAyAF8AXwAxAGEAXwBfAEYAcgBhAGMAdABpAG8AbgBPAGYAQwByAG8AcABSAGUAcwBpAGQAdQBlAFIAZQBtAG8AdgBlAGQAXABuACAAIAA9AEwAQQBNAEIARABBACgAXABuACAAIAAgACAARgBGAE8ARABfAGMAYgBhAGwAZQBkACwAIABGAEYATwBEAF8AYwBvAHQAaABlAHIALABcAG4AIAAgACAAIABGAEYATwBEAF8AYwBiAGEAbABlAGQAIAArACAARgBGAE8ARABfAGMAbwB0AGgAZQByAFwAbgAgACAAKQBcAG4AOwBcAG4AXABuAFYARQBFAFIARwBfADYAXwAxAF8AMQBfADIAXwBfADEAYQBfAF8ARgByAGEAYwB0AGkAbwBuAE8AZgBDAHIAbwBwAFIAZQBzAGkAZAB1AGUAUgBlAG0AbwB2AGUAZABfAFQAaQB0AGwAZQBcAG4AIAAgAD0ATABBAE0AQgBEAEEAKABcACIARgByAGEAYwB0AGkAbwBuACAAbwBmACAAYwByAG8AcAAgAHIAZQBzAGkAZAB1AGUAIAB0AGgAYQB0ACAAaQBzACAAcgBlAG0AbwB2AGUAZAAgAGYAbwByACAAYwByAG8AcAAgAGMAXAAiACkAOwBcAG4AXABuAFYARQBFAFIARwBfADYAXwAxAF8AMQBfADIAXwBfADEAYQBfAF8ARgByAGEAYwB0AGkAbwBuAE8AZgBDAHIAbwBwAFIAZQBzAGkAZAB1AGUAUgBlAG0AbwB2AGUAZABfAFYAYQByAGkAYQBiAGwAZQBcAG4AIAAgAD0ATABBAE0AQgBEAEEAKABcACIARgBGAE8ARABfAGMAXAAiACkAOwBcAG4AXABuAFYARQBFAFIARwBfADYAXwAxAF8AMQBfADIAXwBfADEAYQBfAF8ARgByAGEAYwB0AGkAbwBuAE8AZgBDAHIAbwBwAFIAZQBzAGkAZAB1AGUAUgBlAG0AbwB2AGUAZABfAFUAbgBpAHQAXABuACAAIAA9AEwAQQBNAEIARABBACgAXAAiAGQAaQBtAGUAbgBzAGkAbwBuAGwAZQBzAHMAXAAiACkAOwBcAG4AXABuAFYARQBFAFIARwBfADYAXwAxAF8AMQBfADIAXwBfADEAYQBfAF8ARgByAGEAYwB0AGkAbwBuAE8AZgBDAHIAbwBwAFIAZQBzAGkAZAB1AGUAUgBlAG0AbwB2AGUAZABfAFMAbwB1AHIAYwBlAFwAbgAgACAAPQBMAEEATQBCAEQAQQAoAFwAIgBcACIAKQA7AFwAbgBcAG4AVgBFAEUAUgBHAF8ANgBfADEAXwAxAF8AMgBfAF8AMQBhAF8AXwBGAHIAYQBjAHQAaQBvAG4ATwBmAEMAcgBvAHAAUgBlAHMAaQBkAHUAZQBSAGUAbQBvAHYAZQBkAF8ATgBJAFIAUgBlAGYAZQByAGUAbgBjAGUAXABuACAAIAA9AEwAQQBNAEIARABBACgAXAAiAFwAIgApADsAXABuAFwAbgBWAEUARQBSAEcAXwA2AF8AMQBfADEAXwAyAF8AXwAxAGEAXwBfAEYAcgBhAGMAdABpAG8AbgBPAGYAQwByAG8AcABSAGUAcwBpAGQAdQBlAFIAZQBtAG8AdgBlAGQAXwBMAGEAdABlAHgARQBxAHUAYQB0AGkAbwBuAFwAbgAgACAAPQBMAEEATQBCAEQAQQAoAFwAIgBGAEYATwBEAF8AewBjAH0AIAA9ACAARgBGAE8ARABfAHsAYwAsAGIAYQBsAGUAZAB9ACAAKwAgAEYARgBPAEQAXwB7AGMALABvAHQAaABlAHIAfQBcACIAKQA7AFwAbgBcAG4AVgBFAEUAUgBHAF8ANgBfADEAXwAxAF8AMgBfAF8AMQBhAF8AXwBGAHIAYQBjAHQAaQBvAG4ATwBmAEMAcgBvAHAAUgBlAHMAaQBkAHUAZQBSAGUAbQBvAHYAZQBkAF8AQQByAGcAdQBtAGUAbgB0AHMAXABuACAAIAA9AEwAQQBNAEIARABBACgAXABuACAAIAAgACAATQBBAEsARQBBAFIAUgBBAFkAKAAyACwAIAA0ACwAIABcAG4AIAAgACAAIAAgACAATABBAE0AQgBEAEEAKAByACwAYwAsACAAXABuACAAIAAgACAAIAAgACAAIABJAE4ARABFAFgAKAB7AFwAbgAgACAAIAAgACAAIAAgACAAIAAgAFwAIgBGAEYATwBEAF8AYwBiAGEAbABlAGQAXAAiACwAXAAiAEYAcgBhAGMAdABpAG8AbgAgAG8AZgAgAGMAcgBvAHAAIAByAGUAcwBpAGQAdQBlACAAdABoAGEAdAAgAGkAcwAgAHIAZQBtAG8AdgBlAGQAIABmAG8AcgAgAGMAcgBvAHAAIABjACwAIABjAGEAbABjAHUAbABhAHQAZQBkACAAdwBoAGUAcgBlACAAcgBlAHMAaQBkAHUAZQBzACAAYQByAGUAIABiAGEAbABlAGQAXAAiACwAIABcACIAZgByAGEAYwB0AGkAbwBuAFwAIgAsACAAXAAiAEMAYQBsAGMAdQBsAGEAdABlAGQAIABmAHIAbwBtACAANgAuADEALgAxAC4AMgAsACAAKAAxACkAXAAiADsAXABuACAAIAAgACAAIAAgACAAIAAgACAAXAAiAEYARgBPAEQAXwBjAG8AdABoAGUAcgBcACIALABcACIARgByAGEAYwB0AGkAbwBuACAAbwBmACAAYwByAG8AcAAgAHIAZQBzAGkAZAB1AGUAIAB0AGgAYQB0ACAAaQBzACAAcgBlAG0AbwB2AGUAZAAgAGYAbwByACAAYwByAG8AcAAgAGMALAAgAGMAYQBsAGMAdQBsAGEAdABlAGQAIAB3AGgAZQByAGUAIAByAGUAcwBpAGQAdQBlAHMAIABhAHIAZQAgAHIAZQBtAG8AdgBlAGQAIABiAHkAIABvAHQAaABlAHIAIABtAGUAYQBuAHMAXAAiACwAIABcACIAZgByAGEAYwB0AGkAbwBuAFwAIgAsACAAXAAiAEkAbgBwAHUAdABcACIAXABuACAAIAAgACAAIAAgACAAIAB9ACwAIAByACwAIABjACkAXABuACAAIAAgACAAIAAgACkAXABuACAAIAAgACAAKQBcAG4AIAAgACkAOwBcAG4AXABuAFYARQBFAFIARwBfADYAXwAxAF8AMQBfADIAXwBfADEAYQBfAF8ARgByAGEAYwB0AGkAbwBuAE8AZgBDAHIAbwBwAFIAZQBzAGkAZAB1AGUAUgBlAG0AbwB2AGUAZABfAFYAYQByAGkAYQB0AGkAbwBuAFwAbgAgACAAPQBMAEEATQBCAEQAQQAoAFwAIgBWAEEAUgBJAEEAVABJAE8ATgAgAEYAUgBPAE0AIABTAE8AVQBSAEMARQA6ACAAQQBkAGQAZQBkACAAdABoAGkAcwAgAGUAcQB1AGEAdABpAG8AbgAgAHQAbwAgAGEAYwBjAG8AbQBtAG8AZABhAHQAZQAgAHUAcwBlAHIALQBkAGUAZgBpAG4AZQBkACAAcgBlAHMAaQBkAHUAZQAgAHIAZQBtAG8AdgBhAGwAIABvAHQAaABlAHIAIAB0AGgAYQBuACAAYgBhAGwAaQBuAGcALgBcACIAKQA7AFwAbgAgACAAKgAvACIAfQAsAHsAIgBwAGEAdABoACIAOgAiAC8AcAByAG8AagBlAGMAdABzAC8AQQBnAFIAZQBzAGkAZAB1AGUAXwBFAHEAdQBhAHQAaQBvAG4AcwBfAFAAYQBzAHQAdQByAGUAUgBlAHMAaQBkAHUAZQ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XwBwACwAIABFAEYAXwBOAGkALAAgAEMAXwBOADIATwAsAFwAbgAgACAAIAAgACgATQBfAHAAIAAqACAARQBGAF8ATgBpACkAIAAqACAAQwBfAE4AMgBPACAAKgAgADEAMABeACgALQAzACkAXABuACAAIAApADsAXABuAFwAbgBWAEUARQBSAEcAXwA2AF8AMgBfADEAXwAxAF8AXwAxAF8AXwBOAGkAdAByAG8AdQBzAE8AeABpAGQAZQBFAG0AaQBzAHMAaQBvAG4AcwBGAHIAbwBtAFAAYQBzAHQAdQByAGUAUgBlAHMAaQBkAHUAZQBzAF8AVABpAHQAbABlAFwAbgAgACAAPQBMAEEATQBCAEQAQQAoAFwAIgBOAGkAdAByAG8AdQBzACAAbwB4AGkAZABlACAAZQBtAGkAcwBzAGkAbwBuAHMAIABmAHIAbwBtACAAdABoAGUAIAByAGUAdAB1AHIAbgAgAG8AZgAgAHAAYQBzAHQAdQByAGUAIAByAGUAcwBpAGQAdQBlAHMAIABmAHIAbwBtACAAYQBsAGwAIABwAGEAcwB0AHUAcgBlACAAdAB5AHAAZQBzACAAdABvACAAdABoAGUAIABzAG8AaQBsAFwAIgApADsAXABuAFwAbgBWAEUARQBSAEcAXwA2AF8AMgBfADEAXwAxAF8AXwAxAF8AXwBOAGkAdAByAG8AdQBzAE8AeABpAGQAZQBFAG0AaQBzAHMAaQBvAG4AcwBGAHIAbwBtAFAAYQBzAHQAdQByAGUAUgBlAHMAaQBkAHUAZQBzAF8AVgBhAHIAaQBhAGIAbABlAFwAbgAgACAAPQBMAEEATQBCAEQAQQAoAFwAIgBFAE4AMgBPAFwAIgApADsAXABuAFwAbgBWAEUARQBSAEcAXwA2AF8AMgBfADEAXwAxAF8AXwAxAF8AXwBOAGkAdAByAG8AdQBzAE8AeABpAGQAZQBFAG0AaQBzAHMAaQBvAG4AcwBGAHIAbwBtAFAAYQBzAHQAdQByAGUAUgBlAHMAaQBkAHUAZQBzAF8AVQBuAGkAdABcAG4AIAAgAD0ATABBAE0AQgBEAEEAKABcACIAdAAgAE4AMgBPAFwAIgApADsAXABuAFwAbgBWAEUARQBSAEcAXwA2AF8AMgBfADEAXwAxAF8AXwAxAF8AXwBOAGkAdAByAG8AdQBzAE8AeABpAGQAZQBFAG0AaQBzAHMAaQBvAG4AcwBGAHIAbwBtAFAAYQBzAHQAdQByAGUAUgBlAHMAaQBkAHUAZQBzAF8AUwBvAHUAcgBjAGUAXABuACAAIAA9AEwAQQBNAEIARABBACgAXAAiAFYARQBFAFIARwAgADIAMAAyADYAOgAgADYALgAyAC4AMQAuADEALAAgAEUAcQB1AGEAdABpAG8AbgAgACgAMQApAFwAIgApADsAXABuAFwAbgBWAEUARQBSAEcAXwA2AF8AMgBfADEAXwAxAF8AXwAxAF8AXwBOAGkAdAByAG8AdQBzAE8AeABpAGQAZQBFAG0AaQBzAHMAaQBvAG4AcwBGAHIAbwBtAFAAYQBzAHQAdQByAGUAUgBlAHMAaQBkAHUAZQBzAF8ATgBJAFIAUgBlAGYAZQByAGUAbgBjAGUAXABuACAAIAA9AEwAQQBNAEIARABBACgAXAAiAFwAIgApADsAXABuAFwAbgBWAEUARQBSAEcAXwA2AF8AMgBfADEAXwAxAF8AXwAxAF8AXwBOAGkAdAByAG8AdQBzAE8AeABpAGQAZQBFAG0AaQBzAHMAaQBvAG4AcwBGAHIAbwBtAFAAYQBzAHQAdQByAGUAUgBlAHMAaQBkAHUAZQBzAF8ATABhAHQAZQB4AEUAcQB1AGEAdABpAG8AbgBcAG4AIAAgAD0ATABBAE0AQgBEAEEAKABcACIARQBfAHsATgAyAE8AfQA9AFwAXABzAHUAbQBcAFwAbgBvAGwAaQBtAGkAdABzAF8AcABcAFwAbABlAGYAdAAoAE0AXwBwAFwAXAB0AGkAbQBlAHMAIABFAEYAXwB7AE4AaQB9AFwAXAByAGkAZwBoAHQAKQBcAFwAdABpAG0AZQBzACAAQwBfAHsATgAyAE8AfQBcAFwAdABpAG0AZQBzAHsAMQAwAH0AXgB7AC0AMwB9AFwAIgApADsAXABuAFwAbgBWAEUARQBSAEcAXwA2AF8AMgBfADEAXwAxAF8AXwAxAF8AXwBOAGkAdAByAG8AdQBzAE8AeABpAGQAZQBFAG0AaQBzAHMAaQBvAG4AcwBGAHIAbwBtAFAAYQBzAHQAdQByAGU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cABcACIALABcACIAbQBhAHMAcwAgAG8AZgAgAG4AaQB0AHIAbwBnAGUAbgAgAGkAbgAgAHAAYQBzAHQAdQByAGUAIABwACAAcgBlAHMAaQBkAHUAZQBzACAAcgBlAHQAdQByAG4AZQBkACAAdABvACAAdABoAGUAIABzAG8AaQBsAFwAIgAsACAAXAAiAGsAZwAgAE4AXAAiACwAIABcACIAQwBhAGwAYwB1AGwAYQB0AGUAZAAgAGYAcgBvAG0AIAA2AC4AMgAuADEALgAxACAAKAAyACkAXAAiADsAXABuACAAIAAgACAAIAAgACAAIAAgACAAXAAiAEUARgBfAE4AaQBcACIALABcACIAZQBtAGkAcwBzAGkAbwBuACAAZgBhAGMAdABvAHIAIABmAG8AcgAgAGMAcgBvAHAAIAByAGUAcwBpAGQAdQBlAHMAIAByAGUAdAB1AHIAbgBlAGQAIAB0AG8AIAB0AGgAZQAgAHMAbwBpAGwAIABpAG4AIABjAGwAaQBtAGEAdABlACAAegBvAG4AZQAgAGk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cABcACIALABcACIAUABhAHMAdAB1AHIAZQ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IAXwAxAF8AMQBfAF8AMgBfAF8ATQBhAHMAcwBPAGYATgBpAHQAcgBvAGcAZQBuAEkAbgBQAGEAcwB0AHUAcgBlAFIAZQBzAGkAZAB1AGUAcwBcAG4ATQBhAHMAcwAgAG8AZgAgAG4AaQB0AHIAbwBnAGUAbgAgAGkAbgAgAHAAYQBzAHQAdQByAGUAIAByAGUAcwBpAGQAdQBlAHMAIAByAGUAdAB1AHIAbgBlAGQAIAB0AG8AIAB0AGgAZQAgAHMAbwBpAGwAXABuAE0AcABcAG4AawBnACAATgBcAG4ATQBfAHAAIAA9ACAAKABBAF8AcAAgANc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BuAEEAXwBwACAAPQAgAGEAcgBlAGEAIABvAGYAIABwAGEAcwB0AHUAcgBlACAAcgBlAG4AZQB3AGUAZAAgAG8AcgAgAHIAZQBtAG8AdgBlAGQAIAAoAGgAYQApAFwAbgBZAHAAIAA9ACAAYQB2AGUAcgBhAGcAZQAgAHkAaQBlAGwAZAAgAG8AZgAgAHAAYQBzAHQAdQByAGUAIABjAHIAbwBwACAAKAB0ACAARABNAC8AaABhACkAXABuAE4AQwBBAEcAcAAgAD0AIABOACAAYwBvAG4AdABlAG4AdAAgAG8AZgAgAGEAYgBvAHYAZQAtAGcAcgBvAHUAbgBkACAAcABhAHMAdAB1AHIAZQAgAHIAZQBzAGkAZAB1AGUAIAAoAGsAZwAgAE4ALwBrAGcAIABEAE0AKQBcAG4AUgBfAEIARwBwACAAPQAgAGIAZQBsAG8AdwAtAGcAcgBvAHUAbgBkACAAcgBlAHMAaQBkAHUAZQAgAHQAbwAgAGEAYgBvAHYAZQAtAGcAcgBvAHUAbgBkACAAcgBlAHMAaQBkAHUAZQAgAHIAYQB0AGkAbwAgAGYAbwByACAAcABhAHMAdAB1AHIAZQAgAGMAcgBvAHAAIAAoAGQAaQBtAGUAbgBzAGkAbwBuAGwAZQBzAHMAKQBcAG4ATgBDAF8AQgBHAHAAIAA9ACAATgAgAGMAbwBuAHQAZQBuAHQAIABvAGYAIABiAGUAbABvAHcALQBnAHIAbwB1AG4AZAAgAHAAYQBzAHQAdQByAGUAIABjAHIAbwBwACAAcgBlAHMAaQBkAHUAZQAgACgAawBnACAATgAvAGsAZwAgAEQATQApAFwAbgBGAEYATwBEAHAAIAA9ACAAZgByAGEAYwB0AGkAbwBuACAAbwBmACAAcABhAHMAdAB1AHIAZQAgAHkAaQBlAGwAZAAgAHQAaABhAHQAIABpAHMAIAByAGUAbQBvAHYAZQBkACAAKABkAGkAbQBlAG4AcwBpAG8AbgBsAGUAcwBzACkAXABuAHAAIAA9ACAAUABhAHMAdAB1AHIAZQAgAHQAeQBwAGUAXABuAC0ALQAtAC0ALQAtAC0ALQAtAC0ALQAtAC0ALQAtAC0ALQAtAC0ALQAtAC0ALQAtAC0ALQAtAC0ALQAtAC0ALQAtAC0ALQAtAC0ALQBcAG4AKgAvAFwAbgBcAG4AVgBFAEUAUgBHAF8ANgBfADIAXwAxAF8AMQBfAF8AMgBfAF8ATQBhAHMAcwBPAGYATgBpAHQAcgBvAGcAZQBuAEkAbgBQAGEAcwB0AHUAcgBlAFIAZQBzAGkAZAB1AGUAcwBcAG4AIAAgAD0ATABBAE0AQgBEAEEAKABcAG4AIAAgACAAIABBAF8AcAAsACAAWQBfAHAALAAgAEYARgBPAEQAXwBwACwAIABOAEMAXwBBAEcAcAAsACAAUgBfAEIARwBwACwAIABOAEMAXwBCAEcAcAAsAFwAbgAgACAAIAAgACgAQQBfAHAAIAAqACAAKABZAF8AcAAgACoAIAAxADAAXgAoAC0AMwApACkAIAAqACAAKAAxACAALQAgAEYARgBPAEQAXwBwACkAIAAqACAATgBDAF8AQQBHAHAAKQAgACsAIAAoAEEAXwBwACAAKgAgACgAWQBfAHAAIAAqACAAMQAwAF4AKAAtADMAKQApACAAKgAgAFIAXwBCAEcAcAAgACoAIABOAEMAXwBCAEcAcAApAFwAbgAgACA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QwBvAG4AcwB0AGEAbg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VgBFAEUAUgBHAF8ANgBfADIAXwAxAF8AMQBfAF8AMgBfAF8ATQBhAHMAcwBPAGYATgBpAHQAcgBvAGcAZQBuAEkAbgBQAGEAcwB0AHUAcgBlAFIAZQBzAGkAZAB1AGUAcwBfAEEAcgBnAHUAbQBlAG4AdABzAF8ATQBlAHQAaABvAGQAMg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JAG4AcAB1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cAG4AXABuACIAfQAsAHsAIgBwAGEAdABoACIAOgAiAC8AcAByAG8AagBlAGMAdABzAC8AQQBnAFIAZQBzAGkAZAB1AGUAXwBFAHEAdQBhAHQAaQBvAG4AcwBfAEwAZQBhAGMAaABpAG4AZwAiACwAIgB0AGUAeAB0ACIAOgAiAC8AKgAgAFwAbgAtAC0ALQAtAC0ALQAtAC0ALQAtAC0ALQAtAC0ALQAtAC0ALQAtAC0ALQAtAC0ALQAtAC0ALQAtAC0ALQAtAC0ALQAtAC0ALQAtAC0AXABuAFYARQBFAFIARwBfADYAXwAzAF8AMQBfADEAXwBfADEAXwBfAEwAZQBhAGMAaABpAG4AZwBBAG4AZABSAHUAbgBvAGYAZgBFAG0AaQBzAHMAaQBvAG4AcwBDAHIAbwBwAEEAbgBkAFAAYQBzAHQAdQByAGUAUgBlAHMAaQBkAHUAZQBcAG4ATgBpAHQAcgBvAHUAcwAgAG8AeABpAGQAZQAgAGwAZQBhAGMAaABpAG4AZwAgAGEAbgBkACAAcgB1AG4AbwBmAGYAIABlAG0AaQBzAHMAaQBvAG4AcwAgAGYAcgBvAG0AIABjAHIAbwBwACAAYQBuAGQAIABwAGEAcwB0AHUAcgBlACAAcgBlAHMAaQBkAHUAZQBzACAAcgBlAHQAdQByAG4AZQBkACAAdABvACAAdABoAGUAIABzAG8AaQBsACwAIABhAGMAcgBvAHMAcwAgAGEAbABsACAAYwByAG8AcAAgAHIAZQBzAGkAZAB1AGUAcwAgAGMAIABhAG4AZAAgAHAAYQBzAHQAdQByAGUAIAByAGUAcwBpAGQAdQBlAHMAIABwAFwAbgBFAE4AMgBPAFwAbgB0ACAATgAyAE8AXABuAEUAXwB7AE4AMgBPAH0APQBcAFwAcwB1AG0AXwB7AGMAfQBcAFwAcwB1AG0AXwB7AHAAfQAoAE0AXwB7AGwAZQBhAGMAaAAsAGMAcAB9AFwAXAB0AGkAbQBlAHMAIABFAEYAXwB7AGwAZQBhAGMAaAB9AFwAXAB0AGkAbQBlAHMAIABDAF8AewBOADIATwB9AFwAXAB0AGkAbQBlAHMAIAAxADAAXgB7AC0AMwB9ACkAXABuAE0AXwBsAGUAYQBjAGgAYwBwACAAPQAgAG0AYQBzAHMAIABvAGYAIABuAGkAdAByAG8AZwBlAG4AIABsAG8AcwB0ACAAdABoAHIAbwB1AGcAaAAgAGwAZQBhAGMAaABpAG4AZwAgAGEAbgBkACAAcgB1AG4AbwBmAGYAIABmAHIAbwBtACAAdABoAGUAIABjAHIAbwBwACAAcgBlAHMAaQBkAHUAZQAgAGMAIABvAHIAIABwAGEAcwB0AHUAcgBlACAAcgBlAHMAaQBkAHUAZQAgAHAAIAAoAGsAZwAgAE4AKQBcAG4ARQBGAF8AbABlAGEAYwBoACAAPQAgAGUAbQBpAHMAcwBpAG8AbgAgAGYAYQBjAHQAbwByACAAZgBvAHIAIABsAGUAYQBjAGgAaQBuAGcAIABhAG4AZAAgAHIAdQBuAG8AZgBm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jACAAPQAgAEMAcgBvAHAAIAByAGUAcwBpAGQAdQBlACAAdAB5AHAAZQBcAG4AcAAgAD0AIABQAGEAcwB0AHUAcgBlACAAcgBlAHMAaQBkAHUAZQAgAHQAeQBwAGUAXABuAC0ALQAtAC0ALQAtAC0ALQAtAC0ALQAtAC0ALQAtAC0ALQAtAC0ALQAtAC0ALQAtAC0ALQAtAC0ALQAtAC0ALQAtAC0ALQAtAC0ALQBcAG4AKgAvAFwAbgBcAG4AVgBFAEUAUgBHAF8ANgBfADMAXwAxAF8AMQBfAF8AMQBfAF8ATABlAGEAYwBoAGkAbgBnAEEAbgBkAFIAdQBuAG8AZgBmAEUAbQBpAHMAcwBpAG8AbgBzAEMAcgBvAHAAQQBuAGQAUABhAHMAdAB1AHIAZQBSAGUAcwBpAGQAdQBlAFwAbgAgACAAPQBMAEEATQBCAEQAQQAoAFwAbgAgACAAIAAgAE0AXwBsAGUAYQBjAGgAYwBwACwAIABFAEYAXwBsAGUAYQBjAGgALAAgAEMAXwBOADIATwAsAFwAbgAgACAAIAAgACgATQBfAGwAZQBhAGMAaABjAHAAIAAqACAARQBGAF8AbABlAGEAYwBoACkAIAAqACAAQwBfAE4AMgBPACAAKgAgADEAMABeACgALQAzACkAXABuACAAIAApAFwAbgA7AFwAbgBcAG4AVgBFAEUAUgBHAF8ANgBfADMAXwAxAF8AMQBfAF8AMQBfAF8ATABlAGEAYwBoAGkAbgBnAEEAbgBkAFIAdQBuAG8AZgBmAEUAbQBpAHMAcwBpAG8AbgBzAEMAcgBvAHAAQQBuAGQAUABhAHMAdAB1AHIAZQBSAGUAcwBpAGQAdQBlAF8AVABpAHQAbABlAFwAbgAgACAAPQBMAEEATQBCAEQAQQAoAFwAIgBOAGkAdAByAG8AdQBzACAAbwB4AGkAZABlACAAbABlAGEAYwBoAGkAbgBnACAAYQBuAGQAIAByAHUAbgBvAGYAZgAgAGUAbQBpAHMAcwBpAG8AbgBzACAAZgByAG8AbQAgAGMAcgBvAHAAIABhAG4AZAAgAHAAYQBzAHQAdQByAGUAIAByAGUAcwBpAGQAdQBlAHMAIAByAGUAdAB1AHIAbgBlAGQAIAB0AG8AIAB0AGgAZQAgAHMAbwBpAGwAXAAiACkAOwBcAG4AXABuAFYARQBFAFIARwBfADYAXwAzAF8AMQBfADEAXwBfADEAXwBfAEwAZQBhAGMAaABpAG4AZwBBAG4AZABSAHUAbgBvAGYAZgBFAG0AaQBzAHMAaQBvAG4AcwBDAHIAbwBwAEEAbgBkAFAAYQBzAHQAdQByAGUAUgBlAHMAaQBkAHUAZQBfAFYAYQByAGkAYQBiAGwAZQBcAG4AIAAgAD0ATABBAE0AQgBEAEEAKABcACIARQBOADIATwBcACIAKQA7AFwAbgBcAG4AVgBFAEUAUgBHAF8ANgBfADMAXwAxAF8AMQBfAF8AMQBfAF8ATABlAGEAYwBoAGkAbgBnAEEAbgBkAFIAdQBuAG8AZgBmAEUAbQBpAHMAcwBpAG8AbgBzAEMAcgBvAHAAQQBuAGQAUABhAHMAdAB1AHIAZQBSAGUAcwBpAGQAdQBlAF8AVQBuAGkAdABcAG4AIAAgAD0ATABBAE0AQgBEAEEAKABcACIAdAAgAE4AMgBPAFwAIgApADsAXABuAFwAbgBWAEUARQBSAEcAXwA2AF8AMwBfADEAXwAxAF8AXwAxAF8AXwBMAGUAYQBjAGgAaQBuAGcAQQBuAGQAUgB1AG4AbwBmAGYARQBtAGkAcwBzAGkAbwBuAHMAQwByAG8AcABBAG4AZABQAGEAcwB0AHUAcgBlAFIAZQBzAGkAZAB1AGUAXwBTAG8AdQByAGMAZQBcAG4AIAAgAD0ATABBAE0AQgBEAEEAKABcACIAVgBFAEUAUgBHACAAMgAwADIANgA6ACAANgAuADMALgAxAC4AMQAsACAARQBxAHUAYQB0AGkAbwBuACAAKAAxACkAXAAiACkAOwBcAG4AXABuAFYARQBFAFIARwBfADYAXwAzAF8AMQBfADEAXwBfADEAXwBfAEwAZQBhAGMAaABpAG4AZwBBAG4AZABSAHUAbgBvAGYAZgBFAG0AaQBzAHMAaQBvAG4AcwBDAHIAbwBwAEEAbgBkAFAAYQBzAHQAdQByAGUAUgBlAHMAaQBkAHUAZQBfAE4ASQBSAFIAZQBmAGUAcgBlAG4AYwBlAFwAbgAgACAAPQBMAEEATQBCAEQAQQAoAFwAIgBcACIAKQA7AFwAbgBcAG4AVgBFAEUAUgBHAF8ANgBfADMAXwAxAF8AMQBfAF8AMQBfAF8ATABlAGEAYwBoAGkAbgBnAEEAbgBkAFIAdQBuAG8AZgBmAEUAbQBpAHMAcwBpAG8AbgBzAEMAcgBvAHAAQQBuAGQAUABhAHMAdAB1AHIAZQBSAGUAcwBpAGQAdQBlAF8ATABhAHQAZQB4AEUAcQB1AGEAdABpAG8AbgBcAG4AIAAgAD0ATABBAE0AQgBEAEEAKABcACIARQBfAHsATgAyAE8AfQA9AFwAXABzAHUAbQBcAFwAbgBvAGwAaQBtAGkAdABzAF8AYwBcAFwAcwB1AG0AXABcAG4AbwBsAGkAbQBpAHQAcwBfAHAAKABNAF8AewBsAGUAYQBjAGgALABjAHAAfQBcAFwAdABpAG0AZQBzACAARQBGAF8AewBsAGUAYQBjAGgAfQBcAFwAdABpAG0AZQBzACAAQwBfAHsATgAyAE8AfQBcAFwAdABpAG0AZQBzACAAMQAwAF4AewAtADMAfQApAFwAIgApADsAXABuAFwAbgBWAEUARQBSAEcAXwA2AF8AMwBfADEAXwAxAF8AXwAxAF8AXwBMAGUAYQBjAGgAaQBuAGcAQQBuAGQAUgB1AG4AbwBmAGYARQBtAGkAcwBzAGkAbwBuAHMAQwByAG8AcABBAG4AZABQAGEAcwB0AHUAcgBlAFIAZQBzAGkAZAB1AGUAXwBBAHIAZwB1AG0AZQBuAHQAcwBcAG4AIAAgAD0ATABBAE0AQgBEAEEAKABcAG4AIAAgACAAIABNAEEASwBFAEEAUgBSAEEAWQAoADUALAAgADQALAAgAFwAbgAgACAAIAAgACAAIABMAEEATQBCAEQAQQAoAHIALABjACwAIABcAG4AIAAgACAAIAAgACAAIAAgAEkATgBEAEUAWAAoAHsAXABuACAAIAAgACAAIAAgACAAIAAgACAAXAAiAE0AXwBsAGUAYQBjAGgAYwBwAFwAIgAsAFwAIgBtAGEAcwBzACAAbwBmACAAbgBpAHQAcgBvAGcAZQBuACAAbABvAHMAdAAgAHQAaAByAG8AdQBnAGgAIABsAGUAYQBjAGgAaQBuAGcAIABhAG4AZAAgAHIAdQBuAG8AZgBmACAAZgByAG8AbQAgAHQAaABlACAAYwByAG8AcAAgAHIAZQBzAGkAZAB1AGUAIABjACAAbwByACAAcABhAHMAdAB1AHIAZQAgAHIAZQBzAGkAZAB1AGUAIABwAFwAIgAsACAAXAAiAGsAZwAgAE4AXAAiACwAIABcACIAQwBhAGwAYwB1AGwAYQB0AGUAZAAgAGYAcgBvAG0AIAA2AC4AMwAuADEALgAx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zAF8AMQBfADEAXwBfADIAXwBfAE0AYQBzAHMATwBmAE4AaQB0AHIAbwBnAGUAbgBMAG8AcwB0AFQAaAByAG8AdQBnAGgATABlAGEAYwBoAGkAbgBnAEEAbgBkAFIAdQBuAG8AZgBmAFwAbgBNAGEAcwBzACAAbwBmACAAbgBpAHQAcgBvAGcAZQBuACAAbABvAHMAdAAgAHQAaAByAG8AdQBnAGgAIABsAGUAYQBjAGgAaQBuAGcAIABhAG4AZAAgAHIAdQBuAG8AZgBmAFwAbgBNAF8AbABlAGEAYwBoAGMAcABcAG4AawBnACAATgBcAG4ATQBfAHsAbABlAGEAYwBoACwAYwBwAH0APQBNAF8AewBjAHAAfQBcAFwAdABpAG0AZQBzACAARgByAGEAYwBXAEUAVABfAHsAagB9AFwAXAB0AGkAbQBlAHMAIABGAHIAYQBjAEwARQBBAEMASABcAG4ATQBfAGMAcAAgAD0AIABtAGEAcwBzACAAbwBmACAAbgBpAHQAcgBvAGcAZQBuACAAaQBuACAAYwByAG8AcAAgAHIAZQBzAGkAZAB1AGUAcwAgAGMAIABvAHIAIABwAGEAcwB0AHUAcgBlACAAcgBlAHMAaQBkAHUAZQBzACAAcAAgAGEAcABwAGwAaQBlAGQAIAB0AG8AIABzAG8AaQBsAHMAIAAoAGsAZwAgAE4AKQBcAG4ARgByAGEAYwBXAEUAVABqACAAPQAgAGYAcgBhAGMAdABpAG8AbgAgAG8AZgAgAE4AIAB0AGgAYQB0ACAAaQBzACAAYQB2AGEAaQBsAGEAYgBsAGUAIABmAG8AcgAgAGwAZQBhAGMAaABpAG4AZwAgAGEAbgBkACAAcgB1AG4AbwBmAGYAIABmAHIAbwBtACAAcAByAG8AZAB1AGMAdABpAG8AbgAgAHMAeQBzAHQAZQBtACAAagAgACgAZABpAG0AZQBuAHMAaQBvAG4AbABlAHMAcwApAFwAbgBGAHIAYQBjAEwARQBBAEMASAAgAD0AIABmAHIAYQBjAHQAaQBvAG4AIABvAGYAIABOACAAdABoAGEAdAAgAGkAcwAgAGwAbwBzAHQAIAB0AGgAcgBvAHUAZwBoACAAbABlAGEAYwBoAGkAbgBnACAAYQBuAGQAIAByAHUAbgBvAGYAZgAgACgAZABpAG0AZQBuAHMAaQBvAG4AbABlAHMAcwApAFwAbgBjACAAPQAgAEMAcgBvAHAAIAByAGUAcwBpAGQAdQBlACAAdAB5AHAAZQBcAG4AcAAgAD0AIABQAGEAcwB0AHUAcgBlACAAcgBlAHMAaQBkAHUAZQAgAHQAeQBwAGUAXABuAGkAcgAgAD0AIABpAHIAcgBpAGcAYQB0AGkAbwBuACAAdAB5AHAAZQBcAG4ALQAtAC0ALQAtAC0ALQAtAC0ALQAtAC0ALQAtAC0ALQAtAC0ALQAtAC0ALQAtAC0ALQAtAC0ALQAtAC0ALQAtAC0ALQAtAC0ALQAtAFwAbgAqAC8AXABuAFwAbgBWAEUARQBSAEcAXwA2AF8AMwBfADEAXwAxAF8AXwAyAF8AXwBNAGEAcwBzAE8AZgBOAGkAdAByAG8AZwBlAG4ATABvAHMAdABUAGgAcgBvAHUAZwBoAEwAZQBhAGMAaABpAG4AZwBBAG4AZABSAHUAbgBvAGYAZgBcAG4AIAAgAD0ATABBAE0AQgBEAEEAKABcAG4AIAAgACAAIABNAF8AYwBwACwAIABGAHIAYQBjAFcARQBUAF8AagAsACAARgByAGEAYwBMAEUAQQBDAEgALABcAG4AIAAgACAAIABNAF8AYwBwACAAKgAgAEYAcgBhAGMAVwBFAFQAXwBqACAAKgAgAEYAcgBhAGMATABFAEEAQwBIAFwAbgAgACAAKQBcAG4AOwBcAG4AXABuAFYARQBFAFIARwBfADYAXwAzAF8AMQBfADEAXwBfADIAXwBfAE0AYQBzAHMATwBmAE4AaQB0AHIAbwBnAGUAbgBMAG8AcwB0AFQAaAByAG8AdQBnAGgATABlAGEAYwBoAGkAbgBnAEEAbgBkAFIAdQBuAG8AZgBmAF8AVABpAHQAbABlAFwAbgAgACAAPQBMAEEATQBCAEQAQQAoAFwAIgBNAGEAcwBzACAAbwBmACAAbgBpAHQAcgBvAGcAZQBuACAAbABvAHMAdAAgAHQAaAByAG8AdQBnAGgAIABsAGUAYQBjAGgAaQBuAGcAIABhAG4AZAAgAHIAdQBuAG8AZgBmAFwAIgApADsAXABuAFwAbgBWAEUARQBSAEcAXwA2AF8AMwBfADEAXwAxAF8AXwAyAF8AXwBNAGEAcwBzAE8AZgBOAGkAdAByAG8AZwBlAG4ATABvAHMAdABUAGgAcgBvAHUAZwBoAEwAZQBhAGMAaABpAG4AZwBBAG4AZABSAHUAbgBvAGYAZgBfAFYAYQByAGkAYQBiAGwAZQBcAG4AIAAgAD0ATABBAE0AQgBEAEEAKABcACIATQBfAGwAZQBhAGMAaABjAHAAXAAiACkAOwBcAG4AXABuAFYARQBFAFIARwBfADYAXwAzAF8AMQBfADEAXwBfADIAXwBfAE0AYQBzAHMATwBmAE4AaQB0AHIAbwBnAGUAbgBMAG8AcwB0AFQAaAByAG8AdQBnAGgATABlAGEAYwBoAGkAbgBnAEEAbgBkAFIAdQBuAG8AZgBmAF8AVQBuAGkAdABcAG4AIAAgAD0ATABBAE0AQgBEAEEAKABcACIAawBnACAATgBcACIAKQA7AFwAbgBcAG4AVgBFAEUAUgBHAF8ANgBfADMAXwAxAF8AMQBfAF8AMgBfAF8ATQBhAHMAcwBPAGYATgBpAHQAcgBvAGcAZQBuAEwAbwBzAHQAVABoAHIAbwB1AGcAaABMAGUAYQBjAGgAaQBuAGcAQQBuAGQAUgB1AG4AbwBmAGYAXwBTAG8AdQByAGMAZQBcAG4AIAAgAD0ATABBAE0AQgBEAEEAKABcACIAVgBFAEUAUgBHACAAMgAwADIANgA6ACAANgAuADMALgAxAC4AMQAsACAARQBxAHUAYQB0AGkAbwBuACAAKAAyACkAXAAiACkAOwBcAG4AXABuAFYARQBFAFIARwBfADYAXwAzAF8AMQBfADEAXwBfADIAXwBfAE0AYQBzAHMATwBmAE4AaQB0AHIAbwBnAGUAbgBMAG8AcwB0AFQAaAByAG8AdQBnAGgATABlAGEAYwBoAGkAbgBnAEEAbgBkAFIAdQBuAG8AZgBmAF8ATgBJAFIAUgBlAGYAZQByAGUAbgBjAGUAXABuACAAIAA9AEwAQQBNAEIARABBACgAXAAiAFwAIgApADsAXABuAFwAbgBWAEUARQBSAEcAXwA2AF8AMwBfADEAXwAxAF8AXwAyAF8AXwBNAGEAcwBzAE8AZgBOAGkAdAByAG8AZwBlAG4ATABvAHMAdABUAGgAcgBvAHUAZwBoAEwAZQBhAGMAaABpAG4AZwBBAG4AZABSAHUAbgBvAGYAZgBfAEwAYQB0AGUAeABFAHEAdQBhAHQAaQBvAG4AXABuACAAIAA9AEwAQQBNAEIARABBACgAXAAiAE0AXwB7AGwAZQBhAGMAaAAsAGMAcAB9AD0ATQBfAHsAYwBwAH0AXABcAHQAaQBtAGUAcwAgAEYAcgBhAGMAVwBFAFQAXwB7AGoAfQBcAFwAdABpAG0AZQBzACAARgByAGEAYwBMAEUAQQBDAEgAXAAiACkAOwBcAG4AXABuAFYARQBFAFIARwBfADYAXwAzAF8AMQBfADEAXwBfADIAXwBfAE0AYQBzAHMATwBmAE4AaQB0AHIAbwBnAGUAbgBMAG8AcwB0AFQAaAByAG8AdQBnAGgATABlAGEAYwBoAGkAbgBnAEEAbgBkAFIAdQBuAG8AZgBmAF8AQQByAGcAdQBtAGUAbgB0AHMAXABuACAAIAA9AEwAQQBNAEIARABBACgAXABuACAAIAAgACAATQBBAEsARQBBAFIAUgBBAFkAKAA3ACwAIAA0ACwAIABcAG4AIAAgACAAIAAgACAATABBAE0AQgBEAEEAKAByACwAYwAsACAAXABuACAAIAAgACAAIAAgACAAIABJAE4ARABFAFgAKAB7AFwAbgAgACAAIAAgACAAIAAgACAAIAAgAFwAIgBNAF8AYwBwAFwAIgAsAFwAIgBtAGEAcwBzACAAbwBmACAAbgBpAHQAcgBvAGcAZQBuACAAaQBuACAAYwByAG8AcAAgAHIAZQBzAGkAZAB1AGUAcwAgAGMAIABvAHIAIABwAGEAcwB0AHUAcgBlACAAcgBlAHMAaQBkAHUAZQBzACAAcAAgAGEAcABwAGwAaQBlAGQAIAB0AG8AIABzAG8AaQBsAHMAXAAiACwAIABcACIAawBnACAATgBcACIALAAgAFwAIgBDAGEAbABjACAAZgByAG8AbQAgADYALgAxAC4AMQAuADEAIAAoADIAKQAgAGEAbgBkACAANgAuADIALgAxAC4AMQAgACgAMgApAFwAIgA7AFwAbgAgACAAIAAgACAAIAAgACAAIAAgAFwAIgBGAHIAYQBjAFcARQBUAF8AagBcACIAL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MAG8AYwBhAHQAaQBvAG4AIABpAG4AIABsAGUAYQBjAGgAaQBuAGcAIAB6AG8AbgBlAFwAIgAsACAAXAAiAFwAIgAsACAAXAAiAEkAbgBwAHU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OwBcAG4AIAAgACAAIAAgACAAIAAgACAAIABcACIAaQByAFwAIgAsACAAXAAiAEkAcgByAGkAZwBhAHQAaQBvAG4AIAB0AHkAcABlAFwAIgAsACAAXAAiAFwAIgAsACAAXAAiAEkAbgBwAHUAdA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cACIAKQA7AFwAbgBcAG4AXABuAFwAbgAiAH0ALAB7ACIAcABhAHQAaAAiADoAIgAvAHAAcgBvAGoAZQBjAHQAcwAvAEEAZwBSAGUAcwBpAGQAdQBlAF8ARQBxAHUAYQB0AGkAbwBuAHMAXwBGAGkAZQBsAGQAQgB1AHIAbgBpAG4AZwAiACwAIgB0AGUAeAB0ACIAOgAiAC8AKgAgAFwAbgAtAC0ALQAtAC0ALQAtAC0ALQAtAC0ALQAtAC0ALQAtAC0ALQAtAC0ALQAtAC0ALQAtAC0ALQAtAC0ALQAtAC0ALQAtAC0ALQAtAC0AXABuAFYARQBFAFIARwBfADYAXwA0AF8AMQBfADEAXwBfADEAXwBfAE0AZQB0AGgAYQBuAGUARQBtAGkAcwBzAGkAbwBuAHMARgByAG8AbQBCAHUAcgBuAGkAbgBnAE8AZgBDAHIAbwBwAFIAZQBzAGkAZAB1AGUAcwBcAG4ATQBlAHQAaABhAG4AZQAgAGUAbQBpAHMAcwBpAG8AbgBzACAAZgByAG8AbQAgAHQAaABlACAAYgB1AHIAbgBpAG4AZwAgAG8AZgAgAGMAcgBvAHAAIAByAGUAcwBpAGQAdQBlAHMAXABuAEUAQwBIADQAXABuAHQAIABDAEgANABcAG4ARQBfAHsAQwBIADQAfQA9AFwAbgBcAFwAcwB1AG0AXwB7AGMAfQAoAE0AXwB7AGIAdQByAG4ALABjAH0AXABcAHQAaQBtAGUAcwAgAEMAQwBfAHsAYwB9AFwAXAB0AGkAbQBlAHMAIABFAEYAXwB7AEMASAA0AH0AXABcAHQAaQBtAGUAcwAgAEMAXwB7AEMASAA0AH0AXABcAHQAaQBtAGUAcwAgADEAMABeAHsALQAzAH0AKQBcAG4ATQBfAGIAdQByAG4AYwAgAD0AIABtAGEAcwBzACAAbwBmACAAcgBlAHMAaQBkAHUAZQAgAGIAdQByAG4AdAAgAGYAbwByACAAYwByAG8AcAAgAHQAeQBwAGUAIABjACAAKABrAGcAKQBcAG4AQwBDAF8AYwAgAD0AIABjAGEAcgBiAG8AbgAgAG0AYQBzAHMAIABmAHIAYQBjAHQAaQBvAG4AIABpAG4AIAB0AGgAZQAgAHIAZQBzAGkAZAB1AGUAcwAgAG8AZgAgAGMAcgBvAHAAIAB0AHkAcABlACAAYwAgACgAZABpAG0AZQBuAHMAaQBvAG4AbABlAHMAcwApAFwAbgBFAEYAXwBDAEgANAAgAD0AIABlAG0AaQBzAHMAaQBvAG4AIABmAGEAYwB0AG8AcgAgAGYAbwByACAAbQBlAHQAaABhAG4AZQAgAGYAcgBvAG0AIABiAHUAcgBuAGkAbgBnACAAbwBmACAAYwByAG8AcAAgAHIAZQBzAGkAZAB1AGUAcwAgACgAawBnACAAQwBIADQALwBrAGcAIABDAEgANAAgAGIAdQByAG4AdAApAFwAbgBDAEMASAA0ACAAPQAgAGYAYQBjAHQAbwByACAAdABvACAAYwBvAG4AdgBlAHIAdAAgAGUAbABlAG0AZQBuAHQAYQBsACAAbQBhAHMAcwAgAG8AZgAgAG0AZQB0AGgAYQBu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xAF8AXwBNAGUAdABoAGEAbgBlAEUAbQBpAHMAcwBpAG8AbgBzAEYAcgBvAG0AQgB1AHIAbgBpAG4AZwBPAGYAQwByAG8AcABSAGUAcwBpAGQAdQBlAHMAXABuACAAIAA9AEwAQQBNAEIARABBACgAXABuACAAIAAgACAATQBfAGIAdQByAG4AYwAsACAAQwBDAF8AYwAsACAARQBGAF8AQwBIADQALAAgAEMAXwBDAEgANAAsAFwAbgAgACAAIAAgACgATQBfAGIAdQByAG4AYwAgACoAIABDAEMAXwBjACkAIAAqACAARQBGAF8AQwBIADQAIAAqACAAQwBfAEMASAA0ACAAKgAgADEAMABeACgALQAzACkAXABuACAAIAApADsAXABuAFwAbgBWAEUARQBSAEcAXwA2AF8ANABfADEAXwAxAF8AXwAxAF8AXwBNAGUAdABoAGEAbgBlAEUAbQBpAHMAcwBpAG8AbgBzAEYAcgBvAG0AQgB1AHIAbgBpAG4AZwBPAGYAQwByAG8AcABSAGUAcwBpAGQAdQBlAHMAXwBGAHUAbgBjAHQAaQBvAG4ATgBhAG0AZQBcAG4AIAAgAD0ATABBAE0AQgBEAEEAKABcACIAVgBFAEUAUgBHAF8ANgBfADQAXwAxAF8AMQBfAF8AMQBfAF8ATQBlAHQAaABhAG4AZQBFAG0AaQBzAHMAaQBvAG4AcwBGAHIAbwBtAEIAdQByAG4AaQBuAGcATwBmAEMAcgBvAHAAUgBlAHMAaQBkAHUAZQBzAFwAIgApADsAXABuAFwAbgBWAEUARQBSAEcAXwA2AF8ANABfADEAXwAxAF8AXwAxAF8AXwBNAGUAdABoAGEAbgBlAEUAbQBpAHMAcwBpAG8AbgBzAEYAcgBvAG0AQgB1AHIAbgBpAG4AZwBPAGYAQwByAG8AcABSAGUAcwBpAGQAdQBlAHMAXwBUAGkAdABsAGUAXABuACAAIAA9AEwAQQBNAEIARABBACgAXAAiAE0AZQB0AGgAYQBuAGUAIABlAG0AaQBzAHMAaQBvAG4AcwAgAGYAcgBvAG0AIAB0AGgAZQAgAGIAdQByAG4AaQBuAGcAIABvAGYAIABjAHIAbwBwACAAcgBlAHMAaQBkAHUAZQBzAFwAIgApADsAXABuAFwAbgBWAEUARQBSAEcAXwA2AF8ANABfADEAXwAxAF8AXwAxAF8AXwBNAGUAdABoAGEAbgBlAEUAbQBpAHMAcwBpAG8AbgBzAEYAcgBvAG0AQgB1AHIAbgBpAG4AZwBPAGYAQwByAG8AcABSAGUAcwBpAGQAdQBlAHMAXwBWAGEAcgBpAGEAYgBsAGUAXABuACAAIAA9AEwAQQBNAEIARABBACgAXAAiAEUAQwBIADQAXAAiACkAOwBcAG4AXABuAFYARQBFAFIARwBfADYAXwA0AF8AMQBfADEAXwBfADEAXwBfAE0AZQB0AGgAYQBuAGUARQBtAGkAcwBzAGkAbwBuAHMARgByAG8AbQBCAHUAcgBuAGkAbgBnAE8AZgBDAHIAbwBwAFIAZQBzAGkAZAB1AGUAcwBfAFUAbgBpAHQAXABuACAAIAA9AEwAQQBNAEIARABBACgAXAAiAHQAIABDAEgANABcACIAKQA7AFwAbgBcAG4AVgBFAEUAUgBHAF8ANgBfADQAXwAxAF8AMQBfAF8AMQBfAF8ATQBlAHQAaABhAG4AZQBFAG0AaQBzAHMAaQBvAG4AcwBGAHIAbwBtAEIAdQByAG4AaQBuAGcATwBmAEMAcgBvAHAAUgBlAHMAaQBkAHUAZQBzAF8AUwBvAHUAcgBjAGUAXABuACAAIAA9AEwAQQBNAEIARABBACgAXAAiAFYARQBFAFIARwAgADIAMAAyADYAOgAgADYALgA0AC4AMQAuADEALAAgAEUAcQB1AGEAdABpAG8AbgAgACgAMQApAFwAIgApADsAXABuAFwAbgBWAEUARQBSAEcAXwA2AF8ANABfADEAXwAxAF8AXwAxAF8AXwBNAGUAdABoAGEAbgBlAEUAbQBpAHMAcwBpAG8AbgBzAEYAcgBvAG0AQgB1AHIAbgBpAG4AZwBPAGYAQwByAG8AcABSAGUAcwBpAGQAdQBlAHMAXwBOAEkAUgBSAGUAZgBlAHIAZQBuAGMAZQBcAG4AIAAgAD0ATABBAE0AQgBEAEEAKABcACIAXAAiACkAOwBcAG4AXABuAFYARQBFAFIARwBfADYAXwA0AF8AMQBfADEAXwBfADEAXwBfAE0AZQB0AGgAYQBuAGUARQBtAGkAcwBzAGkAbwBuAHMARgByAG8AbQBCAHUAcgBuAGkAbgBnAE8AZgBDAHIAbwBwAFIAZQBzAGkAZAB1AGUAcwBfAEwAYQB0AGUAeABFAHEAdQBhAHQAaQBvAG4AXABuACAAIAA9AEwAQQBNAEIARABBACgAXAAiAEUAXwB7AEMASAA0AH0APQBcAFwAcwB1AG0AXABcAG4AbwBsAGkAbQBpAHQAcwBfAGMAKABNAF8AewBiAHUAcgBuACwAYwB9AFwAXAB0AGkAbQBlAHMAIABDAEMAXwB7AGMAfQApAFwAXAB0AGkAbQBlAHMAIABFAEYAXwB7AEMASAA0AH0AXABcAHQAaQBtAGUAcwAgAEMAXwB7AEMASAA0AH0AXABcAHQAaQBtAGUAcwAgADEAMABeAHsALQAzAH0AXAAiACkAOwBcAG4AXABuAFYARQBFAFIARwBfADYAXwA0AF8AMQBfADEAXwBfADEAXwBfAE0AZQB0AGgAYQBu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QwBDAF8AYwBcACIALABcACIAYwBhAHIAYgBvAG4AIABtAGEAcwBzACAAZgByAGEAYwB0AGkAbwBuACAAaQBuACAAdABoAGUAIAByAGUAcwBpAGQAdQBlAHMAIABvAGYAIABjAHIAbwBwACAAdAB5AHAAZQAgAGMAXAAiACwAIABcACIAZgByAGEAYwB0AGkAbwBuAFwAIgAsACAAXAAiAEMAbwBuAHMAdABhAG4AdABcACIAOwBcAG4AIAAgACAAIAAgACAAIAAgACAAIABcACIARQBGAF8AQwBIADQAXAAiACwAXAAiAGUAbQBpAHMAcwBpAG8AbgAgAGYAYQBjAHQAbwByACAAZgBvAHIAIABtAGUAdABoAGEAbgBlACAAZgByAG8AbQAgAGIAdQByAG4AaQBuAGcAIABvAGYAIABjAHIAbwBwACAAcgBlAHMAaQBkAHUAZQBzAFwAIgAsACAAXAAiAGsAZwAgAEMASAA0ACAALwAgAGsAZwAgAEMASAA0ACAAYgB1AHIAbgB0AFwAIgAsACAAXAAiAEMAbwBuAHMAdABhAG4AdABcACIAOwBcAG4AIAAgACAAIAAgACAAIAAgACAAIABcACIAQwBfAEMASAA0AFwAIgAsAFwAIgBmAGEAYwB0AG8AcgAgAHQAbwAgAGMAbwBuAHYAZQByAHQAIABlAGwAZQBtAGUAbgB0AGEAbAAgAG0AYQBzAHMAIABvAGYAIABtAGUAdABoAGEAbg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yAF8AXwBOAGkAdAByAG8AdQBzAE8AeABpAGQAZQBFAG0AaQBzAHMAaQBvAG4AcwBGAHIAbwBtAEIAdQByAG4AaQBuAGcATwBmAEMAcgBvAHAAUgBlAHMAaQBkAHUAZQBzAFwAbgBOAGkAdAByAG8AdQBzACAAbwB4AGkAZABlACAAZQBtAGkAcwBzAGkAbwBuAHMAIABmAHIAbwBtACAAdABoAGUAIABiAHUAcgBuAGkAbgBnACAAbwBmACAAYwByAG8AcAAgAHIAZQBzAGkAZAB1AGUAcwBcAG4ARQBOADIATwBcAG4AdAAgAE4AMgBPAFwAbgBFAF8AewBOADIATwB9AD0AXABcAHMAdQBtAF8AewBjAH0AKABNAF8AewBiAHUAcgBuACwAYwB9AFwAXAB0AGkAbQBlAHMAIABOAEMAXwB7AEEARwBjAH0AXABcAHQAaQBtAGUAcwAgAEUARgBfAHsATgAyAE8AfQBcAFwAdABpAG0AZQBzACAAQwBfAHsATgAyAE8AfQBcAFwAdABpAG0AZQBzACAAMQAwAF4AewAtADMAfQApAFwAbgBNAF8AYgB1AHIAbgBjACAAPQAgAG0AYQBzAHMAIABvAGYAIAByAGUAcwBpAGQAdQBlACAAYgB1AHIAbgB0ACAAZgBvAHIAIABjAHIAbwBwACAAdAB5AHAAZQAgAGMAIAAoAGsAZwApAFwAbgBOAEMAXwBBAEcAYwAgAD0AIABuAGkAdAByAG8AZwBlAG4AIABjAG8AbgB0AGUAbgB0ACAAaQBuACAAdABoAGUAIABhAGIAbwB2AGUALQBnAHIAbwB1AG4AZAAgAHIAZQBzAGkAZAB1AGUAIABvAGYAIABjAHIAbwBwACAAdAB5AHAAZQAgAGMAIAAoAGsAZwAgAE4ALwBrAGcAIABEAE0AKQBcAG4ARQBGAF8ATgAyAE8AIAA9ACAAZQBtAGkAcwBzAGkAbwBuACAAZgBhAGMAdABvAHIAIABmAG8AcgAgAG4AaQB0AHIAbwB1AHMAIABvAHgAaQBkAGUAIABmAHIAbwBtACAAYgB1AHIAbgBpAG4AZwAgAG8AZgAgAGMAcgBvAHAAIAByAGUAcwBpAGQAdQBlAHMAIAAoAGsAZwAgAE4AMgBPAC8AawBnACAATgAyAE8AIABiAHUAcgBuAHQAKQBcAG4AQwBf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yAF8AXwBOAGkAdAByAG8AdQBzAE8AeABpAGQAZQBFAG0AaQBzAHMAaQBvAG4AcwBGAHIAbwBtAEIAdQByAG4AaQBuAGcATwBmAEMAcgBvAHAAUgBlAHMAaQBkAHUAZQBzAFwAbgAgACAAPQBMAEEATQBCAEQAQQAoAFwAbgAgACAAIAAgAE0AXwBiAHUAcgBuAGMALAAgAE4AQwBfAEEARwBjACwAIABFAEYAXwBOADIATwAsACAAQwBfAE4AMgBPACwAXABuACAAIAAgACAAKABNAF8AYgB1AHIAbgBjACAAKgAgAE4AQwBfAEEARwBjACkAIAAqACAARQBGAF8ATgAyAE8AIAAqACAAQwBfAE4AMgBPACAAKgAgADEAMABeACgALQAzACkAXABuACAAIAApADsAXABuAFwAbgBWAEUARQBSAEcAXwA2AF8ANABfADEAXwAxAF8AXwAyAF8AXwBOAGkAdAByAG8AdQBzAE8AeABpAGQAZQBFAG0AaQBzAHMAaQBvAG4AcwBGAHIAbwBtAEIAdQByAG4AaQBuAGcATwBmAEMAcgBvAHAAUgBlAHMAaQBkAHUAZQBzAF8ARgB1AG4AYwB0AGkAbwBuAE4AYQBtAGUAXABuACAAIAA9AEwAQQBNAEIARABBACgAXAAiAFYARQBFAFIARwBfADYAXwA0AF8AMQBfADEAXwBfADIAXwBfAE4AaQB0AHIAbwB1AHMATwB4AGkAZABlAEUAbQBpAHMAcwBpAG8AbgBzAEYAcgBvAG0AQgB1AHIAbgBpAG4AZwBPAGYAQwByAG8AcABSAGUAcwBpAGQAdQBlAHMAXAAiACkAOwBcAG4AXABuAFYARQBFAFIARwBfADYAXwA0AF8AMQBfADEAXwBfADIAXwBfAE4AaQB0AHIAbwB1AHMATwB4AGkAZABlAEUAbQBpAHMAcwBpAG8AbgBzAEYAcgBvAG0AQgB1AHIAbgBpAG4AZwBPAGYAQwByAG8AcABSAGUAcwBpAGQAdQBlAHMAXwBUAGkAdABsAGUAXABuACAAIAA9AEwAQQBNAEIARABBACgAXAAiAE4AaQB0AHIAbwB1AHMAIABvAHgAaQBkAGUAIABlAG0AaQBzAHMAaQBvAG4AcwAgAGYAcgBvAG0AIAB0AGgAZQAgAGIAdQByAG4AaQBuAGcAIABvAGYAIABjAHIAbwBwACAAcgBlAHMAaQBkAHUAZQBzAFwAIgApADsAXABuAFwAbgBWAEUARQBSAEcAXwA2AF8ANABfADEAXwAxAF8AXwAyAF8AXwBOAGkAdAByAG8AdQBzAE8AeABpAGQAZQBFAG0AaQBzAHMAaQBvAG4AcwBGAHIAbwBtAEIAdQByAG4AaQBuAGcATwBmAEMAcgBvAHAAUgBlAHMAaQBkAHUAZQBzAF8AVgBhAHIAaQBhAGIAbABlAFwAbgAgACAAPQBMAEEATQBCAEQAQQAoAFwAIgBFAE4AMgBPAFwAIgApADsAXABuAFwAbgBWAEUARQBSAEcAXwA2AF8ANABfADEAXwAxAF8AXwAyAF8AXwBOAGkAdAByAG8AdQBzAE8AeABpAGQAZQBFAG0AaQBzAHMAaQBvAG4AcwBGAHIAbwBtAEIAdQByAG4AaQBuAGcATwBmAEMAcgBvAHAAUgBlAHMAaQBkAHUAZQBzAF8AVQBuAGkAdABcAG4AIAAgAD0ATABBAE0AQgBEAEEAKABcACIAdAAgAE4AMgBPAFwAIgApADsAXABuAFwAbgBWAEUARQBSAEcAXwA2AF8ANABfADEAXwAxAF8AXwAyAF8AXwBOAGkAdAByAG8AdQBzAE8AeABpAGQAZQBFAG0AaQBzAHMAaQBvAG4AcwBGAHIAbwBtAEIAdQByAG4AaQBuAGcATwBmAEMAcgBvAHAAUgBlAHMAaQBkAHUAZQBzAF8AUwBvAHUAcgBjAGUAXABuACAAIAA9AEwAQQBNAEIARABBACgAXAAiAFYARQBFAFIARwAgADIAMAAyADYAOgAgADYALgA0AC4AMQAuADEALAAgAEUAcQB1AGEAdABpAG8AbgAgACgAMgApAFwAIgApADsAXABuAFwAbgBWAEUARQBSAEcAXwA2AF8ANABfADEAXwAxAF8AXwAyAF8AXwBOAGkAdAByAG8AdQBzAE8AeABpAGQAZQBFAG0AaQBzAHMAaQBvAG4AcwBGAHIAbwBtAEIAdQByAG4AaQBuAGcATwBmAEMAcgBvAHAAUgBlAHMAaQBkAHUAZQBzAF8ATgBJAFIAUgBlAGYAZQByAGUAbgBjAGUAXABuACAAIAA9AEwAQQBNAEIARABBACgAXAAiAFwAIgApADsAXABuAFwAbgBWAEUARQBSAEcAXwA2AF8ANABfADEAXwAxAF8AXwAyAF8AXwBOAGkAdAByAG8AdQBzAE8AeABpAGQAZQBFAG0AaQBzAHMAaQBvAG4AcwBGAHIAbwBtAEIAdQByAG4AaQBuAGcATwBmAEMAcgBvAHAAUgBlAHMAaQBkAHUAZQBzAF8ATABhAHQAZQB4AEUAcQB1AGEAdABpAG8AbgBcAG4AIAAgAD0ATABBAE0AQgBEAEEAKABcACIARQBfAHsATgAyAE8AfQA9AFwAXABzAHUAbQBcAFwAbgBvAGwAaQBtAGkAdABzAF8AYwAoAE0AXwB7AGIAdQByAG4ALABjAH0AXABcAHQAaQBtAGUAcwAgAE4AQwBfAHsAQQBHAGMAfQApAFwAXAB0AGkAbQBlAHMAIABFAEYAXwB7AE4AMgBPAH0AXABcAHQAaQBtAGUAcwAgAEMAXwB7AE4AMgBPAH0AXABcAHQAaQBtAGUAcwAgADEAMABeAHsALQAzAH0AXAAiACkAOwBcAG4AXABuAFYARQBFAFIARwBfADYAXwA0AF8AMQBfADEAXwBfADIAXwBfAE4AaQB0AHIAbwB1AHMATwB4AGkAZA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4AQwBfAEEARwBjAFwAIgAsAFwAIgBuAGkAdAByAG8AZwBlAG4AIABjAG8AbgB0AGUAbgB0ACAAaQBuACAAdABoAGUAIABhAGIAbwB2AGUALQBnAHIAbwB1AG4AZAAgAHIAZQBzAGkAZAB1AGUAIABvAGYAIABjAHIAbwBwACAAdAB5AHAAZQAgAGMAXAAiACwAIABcACIAawBnACAATgAvAGsAZwAgAEQATQBcACIALAAgAFwAIgBDAG8AbgBzAHQAYQBuAHQAXAAiADsAXABuACAAIAAgACAAIAAgACAAIAAgACAAXAAiAEUARgBfAE4AMgBPAFwAIgAsAFwAIgBlAG0AaQBzAHMAaQBvAG4AIABmAGEAYwB0AG8AcgAgAGYAbwByACAAbgBpAHQAcgBvAHUAcwAgAG8AeABpAGQAZQAgAGYAcgBvAG0AIABiAHUAcgBuAGkAbgBnACAAbwBmACAAYwByAG8AcAAgAHIAZQBzAGkAZAB1AGUAcwBcACIALAAgAFwAIgBrAGcAIABOADIATwAvAGsAZwAgAE4AMgBPACAAYgB1AHIAbgB0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zAF8AXwBNAGEAcwBzAE8AZgBDAHIAbwBwAFIAZQBzAGkAZAB1AGUAQgB1AHIAbgB0AFwAbgBNAGEAcwBzACAAbwBmACAAcgBlAHMAaQBkAHUAZQAgAG8AZgAgAGMAcgBvAHAAIABjACAAYgB1AHIAbgB0AFwAbgBNAF8AYgB1AHIAbgBjAFwAbgBrAGcAXABuAE0AXwB7AGIAdQByAG4ALABjAH0APQBQAF8AewBjAH0AXABcAHQAaQBtAGUAcwAgAFIAXwB7AEEARwBjAH0AXABcAHQAaQBtAGUAcwAgAFMAXwB7AGMAfQBcAFwAdABpAG0AZQBzACAARABNAF8AewBjAH0AXABcAHQAaQBtAGUAcwAgAFoAXwB7AGMAfQBcAFwAdABpAG0AZQBzACAARgBfAHsAYwB9AFwAbgBQAF8AYwAgAD0AIABhAG4AbgB1AGEAbAAgAHAAcgBvAGQAdQBjAHQAaQBvAG4AIABvAGYAIABjAHIAbwBwACAAdAB5AHAAZQAgAGMAIAAoAGsAZwApAFwAbgBSAF8AQQBHAGMAIAA9ACAAcgBlAHMAaQBkAHUAZQAgAHQAbwAgAGMAcgBvAHAAIAByAGEAdABpAG8AIABvAGYAIABjAHIAbwBwACAAdAB5AHAAZQAgAGMAIAAoAGsAZwAgAGMAcgBvAHAAIAByAGUAcwBpAGQAdQBlAC8AawBnACAAYwByAG8AcAApAFwAbgBTAF8AYwAgAD0AIABmAHIAYQBjAHQAaQBvAG4AIABvAGYAIAByAGUAcwBpAGQAdQBlAHMAIABvAGYAIABjAHIAbwBwACAAdAB5AHAAZQAgAGMAIAByAGUAbQBhAGkAbgBpAG4AZwAgAGEAdAAgAGIAdQByAG4AaQBuAGcAIAAoAGQAaQBtAGUAbgBzAGkAbwBuAGwAZQBzAHMAKQBcAG4ARABNAF8AYwAgAD0AIABkAHIAeQAgAG0AYQB0AHQAZQByACAAYwBvAG4AdABlAG4AdAAgAG8AZgAgAGMAcgBvAHAAIAB0AHkAcABlACAAYwAgACgAawBnACAAZAByAHkAIAB3AGUAaQBnAGgAdAAvAGsAZwAgAGMAcgBvAHAAIAByAGUAcwBpAGQAdQBlACkAXABuAFoAXwBjACAAPQAgAGIAdQByAG4AaQBuAGcAIABlAGYAZgBpAGMAaQBlAG4AYwB5ACAAKAByAGEAdABpAG8AIABvAGYAIABmAHUAZQBsACAAYgB1AHIAbgB0ACAAdABvACAAZgB1AGUAbAAgAGwAbwBhAGQAKQAgAG8AZgAgAGMAcgBvAHAAIAB0AHkAcABlACAAYwAgACgAZABpAG0AZQBuAHMAaQBvAG4AbABlAHMAcwApAFwAbgBGAF8AYwAgAD0AIABmAHIAYQBjAHQAaQBvAG4AIABvAGYAIAB0AGgAZQAgAGEAbgBuAHUAYQBsACAAcAByAG8AZAB1AGMAdABpAG8AbgAgAG8AZgAgAGMAcgBvAHAAIAB0AHkAcABlACAAYwAgAHQAaABhAHQAIABpAHMAIABiAHUAcgBuAHQAIAAoAGQAaQBtAGUAbgBzAGkAbwBuAGwAZQBzAHMAKQBcAG4AYwAgAD0AIABDAHIAbwBwACAAdAB5AHAAZQBcAG4ALQAtAC0ALQAtAC0ALQAtAC0ALQAtAC0ALQAtAC0ALQAtAC0ALQAtAC0ALQAtAC0ALQAtAC0ALQAtAC0ALQAtAC0ALQAtAC0ALQAtAFwAbgAqAC8AXABuAFwAbgBWAEUARQBSAEcAXwA2AF8ANABfADEAXwAxAF8AXwAzAF8AXwBNAGEAcwBzAE8AZgBDAHIAbwBwAFIAZQBzAGkAZAB1AGUAQgB1AHIAbgB0AFwAbgAgACAAPQBMAEEATQBCAEQAQQAoAFwAbgAgACAAIAAgAFAAXwBjACwAIABSAF8AQQBHAGMALAAgAFMAXwBjACwAIABEAE0AXwBjACwAIABaAF8AYwAsACAARgBfAGMALABcAG4AIAAgACAAIABQAF8AYwAgACoAIABSAF8AQQBHAGMAIAAqACAAUwBfAGMAIAAqACAARABNAF8AYwAgACoAIABaAF8AYwAgACoAIABGAF8AYwBcAG4AIAAgACkAOwBcAG4AXABuAFYARQBFAFIARwBfADYAXwA0AF8AMQBfADEAXwBfADMAXwBfAE0AYQBzAHMATwBmAEMAcgBvAHAAUgBlAHMAaQBkAHUAZQBCAHUAcgBuAHQAXwBGAHUAbgBjAHQAaQBvAG4ATgBhAG0AZQBcAG4AIAAgAD0ATABBAE0AQgBEAEEAKABcACIAVgBFAEUAUgBHAF8ANgBfADQAXwAxAF8AMQBfAF8AMwBfAF8ATQBhAHMAcwBPAGYAQwByAG8AcABSAGUAcwBpAGQAdQBlAEIAdQByAG4AdABcACIAKQA7AFwAbgBcAG4AVgBFAEUAUgBHAF8ANgBfADQAXwAxAF8AMQBfAF8AMwBfAF8ATQBhAHMAcwBPAGYAQwByAG8AcABSAGUAcwBpAGQAdQBlAEIAdQByAG4AdABfAFQAaQB0AGwAZQBcAG4AIAAgAD0ATABBAE0AQgBEAEEAKABcACIATQBhAHMAcwAgAG8AZgAgAHIAZQBzAGkAZAB1AGUAIABvAGYAIABjAHIAbwBwACAAYwAgAGIAdQByAG4AdABcACIAKQA7AFwAbgBcAG4AVgBFAEUAUgBHAF8ANgBfADQAXwAxAF8AMQBfAF8AMwBfAF8ATQBhAHMAcwBPAGYAQwByAG8AcABSAGUAcwBpAGQAdQBlAEIAdQByAG4AdABfAFYAYQByAGkAYQBiAGwAZQBcAG4AIAAgAD0ATABBAE0AQgBEAEEAKABcACIATQBfAGIAdQByAG4AYwBcACIAKQA7AFwAbgBcAG4AVgBFAEUAUgBHAF8ANgBfADQAXwAxAF8AMQBfAF8AMwBfAF8ATQBhAHMAcwBPAGYAQwByAG8AcABSAGUAcwBpAGQAdQBlAEIAdQByAG4AdABfAFUAbgBpAHQAXABuACAAIAA9AEwAQQBNAEIARABBACgAXAAiAGsAZwBcACIAKQA7AFwAbgBcAG4AVgBFAEUAUgBHAF8ANgBfADQAXwAxAF8AMQBfAF8AMwBfAF8ATQBhAHMAcwBPAGYAQwByAG8AcABSAGUAcwBpAGQAdQBlAEIAdQByAG4AdABfAFMAbwB1AHIAYwBlAFwAbgAgACAAPQBMAEEATQBCAEQAQQAoAFwAIgBWAEUARQBSAEcAIAAyADAAMgA2ADoAIAA2AC4ANAAuADEALgAxACwAIABFAHEAdQBhAHQAaQBvAG4AIAAoADMAKQBcACIAKQA7AFwAbgBcAG4AVgBFAEUAUgBHAF8ANgBfADQAXwAxAF8AMQBfAF8AMwBfAF8ATQBhAHMAcwBPAGYAQwByAG8AcABSAGUAcwBpAGQAdQBlAEIAdQByAG4AdABfAE4ASQBSAFIAZQBmAGUAcgBlAG4AYwBlAFwAbgAgACAAPQBMAEEATQBCAEQAQQAoAFwAIgBcACIAKQA7AFwAbgBcAG4AVgBFAEUAUgBHAF8ANgBfADQAXwAxAF8AMQBfAF8AMwBfAF8ATQBhAHMAcwBPAGYAQwByAG8AcABSAGUAcwBpAGQAdQBlAEIAdQByAG4AdABfAEwAYQB0AGUAeABFAHEAdQBhAHQAaQBvAG4AXABuACAAIAA9AEwAQQBNAEIARABBACgAXAAiAE0AXwB7AGIAdQByAG4ALABjAH0APQBQAF8AewBjAH0AXABcAHQAaQBtAGUAcwAgAFIAXwB7AEEARwBjAH0AXABcAHQAaQBtAGUAcwAgAFMAXwB7AGMAfQBcAFwAdABpAG0AZQBzACAARABNAF8AewBjAH0AXABcAHQAaQBtAGUAcwAgAFoAXwB7AGMAfQBcAFwAdABpAG0AZQBzACAARgBfAHsAYwB9AFwAIgApADsAXABuAFwAbgBWAEUARQBSAEcAXwA2AF8ANABfADEAXwAxAF8AXwAzAF8AXwBNAGEAcwBzAE8AZgBDAHIAbwBwAFIAZQBzAGkAZAB1AGUAQgB1AHIAbgB0AF8AQQByAGcAdQBtAGUAbgB0AHMAXABuACAAIAA9AEwAQQBNAEIARABBACgAXABuACAAIAAgACAATQBBAEsARQBBAFIAUgBBAFkAKAA3ACwAIAA0ACwAXABuACAAIAAgACAAIAAgAEwAQQBNAEIARABBACgAcgAsAGMALABcAG4AIAAgACAAIAAgACAAIAAgAEkATgBEAEUAWAAoAHsAXABuACAAIAAgACAAIAAgACAAIAAgACAAXAAiAFAAXwBjAFwAIgAsAFwAIgBhAG4AbgB1AGEAbAAgAHAAcgBvAGQAdQBjAHQAaQBvAG4AIABvAGYAIABjAHIAbwBwACAAdAB5AHAAZQAgAGMAXAAiACwAIABcACIAawBnAFwAIgAsACAAXAAiAEkAbgBwAHUAdABcACIAOwBcAG4AIAAgACAAIAAgACAAIAAgACAAIABcACIAUgBfAEEARwBjAFwAIgAsAFwAIgByAGUAcwBpAGQAdQBlACAAdABvACAAYwByAG8AcAAgAHIAYQB0AGkAbwAgAG8AZgAgAGMAcgBvAHAAIAB0AHkAcABlACAAYwBcACIALAAgAFwAIgBrAGcAIABjAHIAbwBwACAAcgBlAHMAaQBkAHUAZQAvAGsAZwAgAGMAcgBvAHAAXAAiACwAIABcACIAQwBvAG4AcwB0AGEAbgB0AFwAIgA7AFwAbgAgACAAIAAgACAAIAAgACAAIAAgAFwAIgBTAF8AYwBcACIALABcACIAZgByAGEAYwB0AGkAbwBuACAAbwBmACAAcgBlAHMAaQBkAHUAZQBzACAAbwBmACAAYwByAG8AcAAgAHQAeQBwAGUAIABjACAAcgBlAG0AYQBpAG4AaQBuAGcAIABhAHQAIABiAHUAcgBuAGkAbgBnAFwAIgAsACAAXAAiAGYAcgBhAGMAdABpAG8Abg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XAAiACwAIABcACIAQwBvAG4AcwB0AGEAbgB0AFwAIgA7AFwAbgAgACAAIAAgACAAIAAgACAAIAAgAFwAIgBGAF8AYwBcACIALABcACIAZgByAGEAYwB0AGkAbwBuACAAbwBmACAAdABoAGUAIABhAG4AbgB1AGEAbAAgAHAAcgBvAGQAdQBjAHQAaQBvAG4AIABvAGYAIABjAHIAbwBwACAAdAB5AHAAZQAgAGMAIAB0AGgAYQB0ACAAaQBzACAAYgB1AHIAbgB0AFwAIgAsACAAXAAiAGYAcgBhAGMAdABpAG8Abg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XAB1ADAAMAAyADcATgAvAEEAXAB1ADAAMAAyAD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EANw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BcAHUAMAAwADIANwBBAGwAbAAgAG8AdABoAGUAcgAgAGMAcgBvAHAAIAB0AHkAcABlAHMAXAB1ADAAMAAyADcAIABpAG4AdABvACAAaQBuAGQAaQB2AGkAZAB1AGEAbAAgAGMAcgBvAHAAIAB0AHkAcABlAHMAIABmAG8AcgAgAGUAYQBjAGgAIABzAHQAYQB0AGUALgAgAEwAaQBzAHQAZQBkACAAYQBsAGwAIABzAHQAYQB0AGUAcwAgAGYAbwByACAAUwB1AGcAYQByACAAQwBhAG4AZQAsACAAdwBpAHQAaAAgAFwAdQAwADAAMgA3AE4ALwBBAFwAdQAwADAAMgA3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F0AfQ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428</vt:i4>
      </vt:variant>
    </vt:vector>
  </HeadingPairs>
  <TitlesOfParts>
    <vt:vector size="485" baseType="lpstr">
      <vt:lpstr>Home</vt:lpstr>
      <vt:lpstr>Results - Activity period</vt:lpstr>
      <vt:lpstr>Results - Product EI</vt:lpstr>
      <vt:lpstr>Input - Enterprise</vt:lpstr>
      <vt:lpstr>Input - Site</vt:lpstr>
      <vt:lpstr>Input - Dairy</vt:lpstr>
      <vt:lpstr>Input - Livestock sales</vt:lpstr>
      <vt:lpstr>Input - Dairy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3.3.1.1-2 Enteric Methane</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9.1.1.1-2 Refrigerant use</vt:lpstr>
      <vt:lpstr>10.1.1-2 Solid waste treatment</vt:lpstr>
      <vt:lpstr>14.1.1-2 Purchased electricity</vt:lpstr>
      <vt:lpstr>15 Scope 3</vt:lpstr>
      <vt:lpstr>Calcs - Manure sent off-site</vt:lpstr>
      <vt:lpstr>Constants - Dairy</vt:lpstr>
      <vt:lpstr>Constants - Ag Residue</vt:lpstr>
      <vt:lpstr>Constants - Common Livestock</vt:lpstr>
      <vt:lpstr>Constants - Electricity</vt:lpstr>
      <vt:lpstr>Constants - Fertiliser</vt:lpstr>
      <vt:lpstr>Constants - Fuel</vt:lpstr>
      <vt:lpstr>Constants - Scope 3</vt:lpstr>
      <vt:lpstr>Constants - Common</vt:lpstr>
      <vt:lpstr>Results</vt:lpstr>
      <vt:lpstr>Input - Refrigerants</vt:lpstr>
      <vt:lpstr>Constants - Refrigerants</vt:lpstr>
      <vt:lpstr>Constants - Solid Waste</vt:lpstr>
      <vt:lpstr>Acknowledgements</vt:lpstr>
      <vt:lpstr>Input - Data quality</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M1_Table_DPW_j35</vt:lpstr>
      <vt:lpstr>M1_Table_E_CH4</vt:lpstr>
      <vt:lpstr>M1_Table_E_CH4_Consumer_1</vt:lpstr>
      <vt:lpstr>M1_Table_E_CO2</vt:lpstr>
      <vt:lpstr>M1_Table_E_enteric</vt:lpstr>
      <vt:lpstr>M1_Table_E_enteric_Consumer_1</vt:lpstr>
      <vt:lpstr>M1_Table_E_N2O</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M1_Table_M_j</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M1_Table_MPW_j35</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M2_Table_DPW_j</vt:lpstr>
      <vt:lpstr>M2_Table_E_N2O_dir</vt:lpstr>
      <vt:lpstr>M2_Table_E_N2O_dir_Consumer_1</vt:lpstr>
      <vt:lpstr>M2_Table_EF_N2O_leach</vt:lpstr>
      <vt:lpstr>M2_Table_FertApplications</vt:lpstr>
      <vt:lpstr>M2_Table_FVS_j_m4</vt:lpstr>
      <vt:lpstr>M2_Table_I_j</vt:lpstr>
      <vt:lpstr>M2_Table_I_j_Consumer_1</vt:lpstr>
      <vt:lpstr>M2_Table_L_j</vt:lpstr>
      <vt:lpstr>M2_Table_LWG_j</vt:lpstr>
      <vt:lpstr>M2_Table_LWG_j_Consumer_1</vt:lpstr>
      <vt:lpstr>M2_Table_M_j</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Result_Enterprise_Method1</vt:lpstr>
      <vt:lpstr>Result_Enterprise_Method2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Table_E_ad_inorganic</vt:lpstr>
      <vt:lpstr>Table_E_ad_organic</vt:lpstr>
      <vt:lpstr>Table_E_CO2e</vt:lpstr>
      <vt:lpstr>Table_E_g</vt:lpstr>
      <vt:lpstr>Table_E_g_Consumer_1</vt:lpstr>
      <vt:lpstr>Table_E_g_offsite</vt:lpstr>
      <vt:lpstr>Table_E_g_onsite</vt:lpstr>
      <vt:lpstr>Table_E_lime</vt:lpstr>
      <vt:lpstr>Table_E_R</vt:lpstr>
      <vt:lpstr>Table_EF_m</vt:lpstr>
      <vt:lpstr>Table_EF_m_Consumer_1</vt:lpstr>
      <vt:lpstr>Table_FracGASM_m</vt:lpstr>
      <vt:lpstr>Table_FracGASM_m_Consumer_1</vt:lpstr>
      <vt:lpstr>Table_M_leach_inorganic_j</vt:lpstr>
      <vt:lpstr>Table_M_leach_organic_j</vt:lpstr>
      <vt:lpstr>Table_M_vol_inorganic_j_f</vt:lpstr>
      <vt:lpstr>Table_M_vol_organic_j_f</vt:lpstr>
      <vt:lpstr>Table_MN_j_f</vt:lpstr>
      <vt:lpstr>Table_MNSoil_j_f</vt:lpstr>
      <vt:lpstr>Table_MP_j</vt:lpstr>
      <vt:lpstr>Table_MP_j_Consumer_1</vt:lpstr>
      <vt:lpstr>Table_MPW_manure_j35</vt:lpstr>
      <vt:lpstr>Table_MR_j</vt:lpstr>
      <vt:lpstr>Table_MR_j_Consumer_1</vt:lpstr>
      <vt:lpstr>Table_MU_j_f</vt:lpstr>
      <vt:lpstr>Table_N_j</vt:lpstr>
      <vt:lpstr>Table_N_j_Consumer_1</vt:lpstr>
      <vt:lpstr>Table_NPW_j35</vt:lpstr>
      <vt:lpstr>Table_PF_fert</vt:lpstr>
      <vt:lpstr>Table_PF_scope</vt:lpstr>
      <vt:lpstr>Table_V_w_t_offsite</vt:lpstr>
      <vt:lpstr>Table_V_w_t_onsite</vt:lpstr>
      <vt:lpstr>Table_WR_j</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VEERG_3_3_1_1__1_TotalAnnualMethaneFromEntericFermentationVariation_Result_Method1</vt:lpstr>
      <vt:lpstr>VEERG_3_3_1_1__1_TotalAnnualMethaneFromEntericFermentationVariation_Result_Method2</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VEERG_9_1_1__1_RefrigerantLeaking_Result_Blend1_Name_Method1</vt:lpstr>
      <vt:lpstr>VEERG_9_1_1__1_RefrigerantLeaking_Result_Blend1_Value_Method1</vt:lpstr>
      <vt:lpstr>VEERG_9_1_1__1_RefrigerantLeaking_Result_Blend10_Name_Method1</vt:lpstr>
      <vt:lpstr>VEERG_9_1_1__1_RefrigerantLeaking_Result_Blend10_Value_Method1</vt:lpstr>
      <vt:lpstr>VEERG_9_1_1__1_RefrigerantLeaking_Result_Blend2_Name_Method1</vt:lpstr>
      <vt:lpstr>VEERG_9_1_1__1_RefrigerantLeaking_Result_Blend2_Value_Method1</vt:lpstr>
      <vt:lpstr>VEERG_9_1_1__1_RefrigerantLeaking_Result_Blend3_Name_Method1</vt:lpstr>
      <vt:lpstr>VEERG_9_1_1__1_RefrigerantLeaking_Result_Blend3_Value_Method1</vt:lpstr>
      <vt:lpstr>VEERG_9_1_1__1_RefrigerantLeaking_Result_Blend4_Name_Method1</vt:lpstr>
      <vt:lpstr>VEERG_9_1_1__1_RefrigerantLeaking_Result_Blend4_Value_Method1</vt:lpstr>
      <vt:lpstr>VEERG_9_1_1__1_RefrigerantLeaking_Result_Blend5_Name_Method1</vt:lpstr>
      <vt:lpstr>VEERG_9_1_1__1_RefrigerantLeaking_Result_Blend5_Value_Method1</vt:lpstr>
      <vt:lpstr>VEERG_9_1_1__1_RefrigerantLeaking_Result_Blend6_Name_Method1</vt:lpstr>
      <vt:lpstr>VEERG_9_1_1__1_RefrigerantLeaking_Result_Blend6_Value_Method1</vt:lpstr>
      <vt:lpstr>VEERG_9_1_1__1_RefrigerantLeaking_Result_Blend7_Name_Method1</vt:lpstr>
      <vt:lpstr>VEERG_9_1_1__1_RefrigerantLeaking_Result_Blend7_Value_Method1</vt:lpstr>
      <vt:lpstr>VEERG_9_1_1__1_RefrigerantLeaking_Result_Blend8_Name_Method1</vt:lpstr>
      <vt:lpstr>VEERG_9_1_1__1_RefrigerantLeaking_Result_Blend8_Value_Method1</vt:lpstr>
      <vt:lpstr>VEERG_9_1_1__1_RefrigerantLeaking_Result_Blend9_Name_Method1</vt:lpstr>
      <vt:lpstr>VEERG_9_1_1__1_RefrigerantLeaking_Result_Blend9_Value_Method1</vt:lpstr>
      <vt:lpstr>VEERG_9_1_1__1_RefrigerantLeakingGWP_Result_Method1</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X_Cell_Enterprise_LiveweightSold</vt:lpstr>
      <vt:lpstr>X_Cell_Enterprise_ManureSoldTonnes</vt:lpstr>
      <vt:lpstr>X_Cell_Enterprise_ManureUsedAsFertiliserTonnes</vt:lpstr>
      <vt:lpstr>X_Cell_Enterprise_MilkProduced</vt:lpstr>
      <vt:lpstr>X_Cell_Enterprise_MilkProducedUnit</vt:lpstr>
      <vt:lpstr>X_Cell_Enterprise_PercentIncomeFromLiveweight</vt:lpstr>
      <vt:lpstr>X_Cell_Enterprise_PercentIncomeFromManure</vt:lpstr>
      <vt:lpstr>X_Cell_Enterprise_PercentIncomeFromMilk</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2026-09-03T01:42:07Z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2026-09-02T18:44:17; rename=True resize=True rowheights=True scope=all</vt:lpwstr>
  </property>
</Properties>
</file>